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macedo\Transbat Dropbox\Oficina Técnica\1. LICITACIONES\35. OHL\"/>
    </mc:Choice>
  </mc:AlternateContent>
  <xr:revisionPtr revIDLastSave="0" documentId="13_ncr:1_{A968A0E3-DB70-4C5F-9361-8E633302F004}" xr6:coauthVersionLast="47" xr6:coauthVersionMax="47" xr10:uidLastSave="{00000000-0000-0000-0000-000000000000}"/>
  <bookViews>
    <workbookView xWindow="-108" yWindow="-108" windowWidth="23256" windowHeight="12576" tabRatio="647" firstSheet="1" activeTab="1" xr2:uid="{00000000-000D-0000-FFFF-FFFF00000000}"/>
  </bookViews>
  <sheets>
    <sheet name="0000000" sheetId="17" state="veryHidden" r:id="rId1"/>
    <sheet name="1.1 Formato C-1" sheetId="283" r:id="rId2"/>
    <sheet name="1.2 Rendimiento" sheetId="260" state="hidden" r:id="rId3"/>
    <sheet name="1.2 APU" sheetId="259" r:id="rId4"/>
    <sheet name="1.4 Insumos" sheetId="261" r:id="rId5"/>
    <sheet name="1.3 Gastos Generales" sheetId="300" r:id="rId6"/>
    <sheet name="1.9 Duration" sheetId="277" state="hidden" r:id="rId7"/>
    <sheet name="1.4 COMBUSTIBLE" sheetId="271" r:id="rId8"/>
    <sheet name="Tarifas" sheetId="269" state="hidden" r:id="rId9"/>
    <sheet name="1.7 Costos Covid" sheetId="278" r:id="rId10"/>
    <sheet name="Resumen Viajes" sheetId="293" state="hidden" r:id="rId11"/>
    <sheet name="1.8 Estimado del tiempo" sheetId="273" state="hidden" r:id="rId12"/>
    <sheet name="Equipos-Personal (HH y HM)" sheetId="270" state="hidden" r:id="rId13"/>
    <sheet name="EEPs OBREROS" sheetId="265" r:id="rId14"/>
    <sheet name="EPPs EMPLEADOS" sheetId="266" r:id="rId15"/>
    <sheet name="EPPs Empleados (kit)" sheetId="274" r:id="rId16"/>
    <sheet name="EPPs Obreros (kit)" sheetId="275" r:id="rId17"/>
    <sheet name="Cálculo de ciclos" sheetId="284" state="hidden" r:id="rId18"/>
    <sheet name="EPPs Colectivo KIT COVID" sheetId="272" r:id="rId19"/>
    <sheet name="Costo HH" sheetId="268" state="hidden" r:id="rId20"/>
    <sheet name="% Leyes Sociales" sheetId="267" state="hidden" r:id="rId21"/>
    <sheet name="Datos" sheetId="264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FHE7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HE7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localSheetId="5" hidden="1">#REF!</definedName>
    <definedName name="_Fill" localSheetId="11" hidden="1">#REF!</definedName>
    <definedName name="_Fill" localSheetId="18" hidden="1">#REF!</definedName>
    <definedName name="_Fill" localSheetId="15" hidden="1">#REF!</definedName>
    <definedName name="_Fill" localSheetId="16" hidden="1">#REF!</definedName>
    <definedName name="_Fill" hidden="1">#REF!</definedName>
    <definedName name="_xlnm._FilterDatabase" localSheetId="1" hidden="1">'1.1 Formato C-1'!$B$9:$L$23</definedName>
    <definedName name="_xlnm._FilterDatabase" localSheetId="3" hidden="1">'1.2 APU'!$A$9:$AC$111</definedName>
    <definedName name="_xlnm._FilterDatabase" localSheetId="4" hidden="1">'1.4 Insumos'!$A$9:$G$154</definedName>
    <definedName name="_xlnm._FilterDatabase" localSheetId="6" hidden="1">'1.9 Duration'!$A$3:$S$16</definedName>
    <definedName name="_xlnm._FilterDatabase" localSheetId="10" hidden="1">'Resumen Viajes'!$B$8:$M$5073</definedName>
    <definedName name="_jy5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jy5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Order1" hidden="1">0</definedName>
    <definedName name="_Order2" hidden="1">0</definedName>
    <definedName name="_Regression_Int" hidden="1">1</definedName>
    <definedName name="_tyl2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tyl2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zx2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a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PU" localSheetId="5">'[1]1.2 APU'!$A$5:$L$2024</definedName>
    <definedName name="APU" localSheetId="11">'[2]1.3 APU'!$A$2:$L$735</definedName>
    <definedName name="APU">'1.2 APU'!$A$5:$L$958</definedName>
    <definedName name="_xlnm.Print_Area" localSheetId="1">'1.1 Formato C-1'!$B$1:$M$28</definedName>
    <definedName name="_xlnm.Print_Area" localSheetId="3">'1.2 APU'!$B$4:$J$93</definedName>
    <definedName name="_xlnm.Print_Area" localSheetId="5">'1.3 Gastos Generales'!$A$1:$L$105</definedName>
    <definedName name="_xlnm.Print_Area" localSheetId="7">'1.4 COMBUSTIBLE'!$B$1:$G$30</definedName>
    <definedName name="_xlnm.Print_Area" localSheetId="4">'1.4 Insumos'!$A$1:$F$159</definedName>
    <definedName name="_xlnm.Print_Area" localSheetId="9">'1.7 Costos Covid'!$A$1:$L$108</definedName>
    <definedName name="_xlnm.Print_Area" localSheetId="6">'1.9 Duration'!$C$1:$R$21</definedName>
    <definedName name="_xlnm.Print_Area" localSheetId="19">'Costo HH'!$A$1:$J$41</definedName>
    <definedName name="_xlnm.Print_Area" localSheetId="18">'EPPs Colectivo KIT COVID'!$A$1:$H$24</definedName>
    <definedName name="_xlnm.Print_Area" localSheetId="15">'EPPs Empleados (kit)'!$A$1:$H$25</definedName>
    <definedName name="_xlnm.Print_Area" localSheetId="16">'EPPs Obreros (kit)'!$A$1:$H$48</definedName>
    <definedName name="_xlnm.Print_Area" localSheetId="12">'Equipos-Personal (HH y HM)'!$A$1:$K$44</definedName>
    <definedName name="_xlnm.Print_Area" localSheetId="10">'Resumen Viajes'!$A$1:$N$5078</definedName>
    <definedName name="CAPU">"rend"</definedName>
    <definedName name="casa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a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HSFH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p" localSheetId="11">#REF!</definedName>
    <definedName name="CP">Datos!$B$14</definedName>
    <definedName name="cub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_1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_1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_1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_1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_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_1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_1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_1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_1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bi_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d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ee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erd" localSheetId="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" localSheetId="1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" localSheetId="1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" localSheetId="16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_1" localSheetId="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_1" localSheetId="1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_1" localSheetId="1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_1" localSheetId="16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d_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fgch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HSFJKSG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_1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_1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_1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_1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HSFJKSG_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GJLHÑÑGHK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JLHÑÑGHK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hhhh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HMO">Datos!$B$12</definedName>
    <definedName name="j" localSheetId="11">[3]Datos!$B$10</definedName>
    <definedName name="j">Datos!$B$10</definedName>
    <definedName name="JUPOX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poxi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miene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PRESUPUESTO_">'1.1 Formato C-1'!$A$11:$L$169</definedName>
    <definedName name="PZ" localSheetId="5">'1.3 Gastos Generales'!$P$1</definedName>
    <definedName name="qx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qxi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ecursos" localSheetId="11">'[2]1.4 Insumos'!$A$1:$D$463</definedName>
    <definedName name="Recursos">'1.4 Insumos'!$A$1:$D$473</definedName>
    <definedName name="Rend">'1.2 Rendimiento'!$A:$E</definedName>
    <definedName name="RENDIMIENTO">'1.2 Rendimiento'!$A$4:$E$885</definedName>
    <definedName name="RiskCollectDistributionSamples">2</definedName>
    <definedName name="RiskFixedSeed">1</definedName>
    <definedName name="RiskHasSettings">TRUE</definedName>
    <definedName name="RiskMinimizeOnStart">FALSE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tandardRecalc">1</definedName>
    <definedName name="RiskStatFunctionsUpdateFreq">1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ty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ervices2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1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1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1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_1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_1" localSheetId="1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_1" localSheetId="1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_1" localSheetId="1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_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GAST5" localSheetId="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" localSheetId="1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" localSheetId="1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" localSheetId="16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_1" localSheetId="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_1" localSheetId="1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_1" localSheetId="1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_1" localSheetId="16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GAST5_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STRT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FSTRT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s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c" localSheetId="11">#REF!</definedName>
    <definedName name="TC" localSheetId="10">[4]Datos!$B$13</definedName>
    <definedName name="TC">Datos!$B$13</definedName>
    <definedName name="test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1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1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1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_1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_1" localSheetId="1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_1" localSheetId="1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_1" localSheetId="1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_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xlnm.Print_Titles" localSheetId="1">'1.1 Formato C-1'!$1:$9</definedName>
    <definedName name="_xlnm.Print_Titles" localSheetId="3">'1.2 APU'!$4:$9</definedName>
    <definedName name="_xlnm.Print_Titles" localSheetId="10">'Resumen Viajes'!$1:$8</definedName>
    <definedName name="tuut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uuti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CXNVJHKKLYJ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io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ol">Datos!$B$11</definedName>
    <definedName name="WERT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T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all.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1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1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1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1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1" localSheetId="1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1" localSheetId="1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1" localSheetId="1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COST_SHEETS." localSheetId="5" hidden="1">{#N/A,#N/A,FALSE,"WBS 1.06";#N/A,#N/A,FALSE,"WBS 1.14";#N/A,#N/A,FALSE,"WBS 1.17";#N/A,#N/A,FALSE,"WBS 1.18"}</definedName>
    <definedName name="wrn.COST_SHEETS." localSheetId="11" hidden="1">{#N/A,#N/A,FALSE,"WBS 1.06";#N/A,#N/A,FALSE,"WBS 1.14";#N/A,#N/A,FALSE,"WBS 1.17";#N/A,#N/A,FALSE,"WBS 1.18"}</definedName>
    <definedName name="wrn.COST_SHEETS." localSheetId="15" hidden="1">{#N/A,#N/A,FALSE,"WBS 1.06";#N/A,#N/A,FALSE,"WBS 1.14";#N/A,#N/A,FALSE,"WBS 1.17";#N/A,#N/A,FALSE,"WBS 1.18"}</definedName>
    <definedName name="wrn.COST_SHEETS." localSheetId="16" hidden="1">{#N/A,#N/A,FALSE,"WBS 1.06";#N/A,#N/A,FALSE,"WBS 1.14";#N/A,#N/A,FALSE,"WBS 1.17";#N/A,#N/A,FALSE,"WBS 1.18"}</definedName>
    <definedName name="wrn.COST_SHEETS." hidden="1">{#N/A,#N/A,FALSE,"WBS 1.06";#N/A,#N/A,FALSE,"WBS 1.14";#N/A,#N/A,FALSE,"WBS 1.17";#N/A,#N/A,FALSE,"WBS 1.18"}</definedName>
    <definedName name="wrn.COST_SHEETS._1" localSheetId="5" hidden="1">{#N/A,#N/A,FALSE,"WBS 1.06";#N/A,#N/A,FALSE,"WBS 1.14";#N/A,#N/A,FALSE,"WBS 1.17";#N/A,#N/A,FALSE,"WBS 1.18"}</definedName>
    <definedName name="wrn.COST_SHEETS._1" localSheetId="11" hidden="1">{#N/A,#N/A,FALSE,"WBS 1.06";#N/A,#N/A,FALSE,"WBS 1.14";#N/A,#N/A,FALSE,"WBS 1.17";#N/A,#N/A,FALSE,"WBS 1.18"}</definedName>
    <definedName name="wrn.COST_SHEETS._1" localSheetId="15" hidden="1">{#N/A,#N/A,FALSE,"WBS 1.06";#N/A,#N/A,FALSE,"WBS 1.14";#N/A,#N/A,FALSE,"WBS 1.17";#N/A,#N/A,FALSE,"WBS 1.18"}</definedName>
    <definedName name="wrn.COST_SHEETS._1" localSheetId="16" hidden="1">{#N/A,#N/A,FALSE,"WBS 1.06";#N/A,#N/A,FALSE,"WBS 1.14";#N/A,#N/A,FALSE,"WBS 1.17";#N/A,#N/A,FALSE,"WBS 1.18"}</definedName>
    <definedName name="wrn.COST_SHEETS._1" hidden="1">{#N/A,#N/A,FALSE,"WBS 1.06";#N/A,#N/A,FALSE,"WBS 1.14";#N/A,#N/A,FALSE,"WBS 1.17";#N/A,#N/A,FALSE,"WBS 1.18"}</definedName>
    <definedName name="wrn.Día._.API." localSheetId="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" localSheetId="1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" localSheetId="1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" localSheetId="16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_1" localSheetId="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_1" localSheetId="1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_1" localSheetId="1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_1" localSheetId="16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Día._.API._1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p10.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ep10.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unidades.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_1" localSheetId="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_1" localSheetId="1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_1" localSheetId="15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_1" localSheetId="16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unidades._1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ww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_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_1" localSheetId="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_1" localSheetId="11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_1" localSheetId="1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_1" localSheetId="16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xxxx_1" hidden="1">{#N/A,#N/A,FALSE,"masez (10)";#N/A,#N/A,FALSE,"masez (7)";#N/A,#N/A,FALSE,"masez (6)";#N/A,#N/A,FALSE,"masez (5)";#N/A,#N/A,FALSE,"masez (4)";#N/A,#N/A,FALSE,"masez (3)";#N/A,#N/A,FALSE,"masez (2)";#N/A,#N/A,FALSE,"GME";#N/A,#N/A,FALSE,"masez"}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" i="300" l="1"/>
  <c r="E197" i="260"/>
  <c r="E203" i="260"/>
  <c r="M77" i="259" l="1"/>
  <c r="E33" i="283"/>
  <c r="H25" i="271"/>
  <c r="H24" i="271"/>
  <c r="C10" i="265"/>
  <c r="C10" i="266" s="1"/>
  <c r="D7" i="278"/>
  <c r="B6" i="265" s="1"/>
  <c r="I94" i="278"/>
  <c r="A21" i="274"/>
  <c r="G94" i="278"/>
  <c r="U22" i="259"/>
  <c r="T22" i="259"/>
  <c r="O22" i="259"/>
  <c r="N22" i="259"/>
  <c r="M22" i="259"/>
  <c r="J22" i="259"/>
  <c r="V22" i="259" s="1"/>
  <c r="S22" i="259"/>
  <c r="J17" i="259"/>
  <c r="J21" i="259"/>
  <c r="J20" i="259"/>
  <c r="J18" i="259"/>
  <c r="P18" i="259" s="1"/>
  <c r="U20" i="259"/>
  <c r="T20" i="259"/>
  <c r="O20" i="259"/>
  <c r="N20" i="259"/>
  <c r="U21" i="259"/>
  <c r="T21" i="259"/>
  <c r="O21" i="259"/>
  <c r="N21" i="259"/>
  <c r="U16" i="259"/>
  <c r="T16" i="259"/>
  <c r="O16" i="259"/>
  <c r="N16" i="259"/>
  <c r="J16" i="259"/>
  <c r="V16" i="259" s="1"/>
  <c r="U17" i="259"/>
  <c r="T17" i="259"/>
  <c r="O17" i="259"/>
  <c r="N17" i="259"/>
  <c r="U18" i="259"/>
  <c r="T18" i="259"/>
  <c r="O18" i="259"/>
  <c r="N18" i="259"/>
  <c r="P22" i="259" l="1"/>
  <c r="V20" i="259"/>
  <c r="P20" i="259"/>
  <c r="V21" i="259"/>
  <c r="P21" i="259"/>
  <c r="V17" i="259"/>
  <c r="P17" i="259"/>
  <c r="P16" i="259"/>
  <c r="V18" i="259"/>
  <c r="U15" i="259" l="1"/>
  <c r="T15" i="259"/>
  <c r="O15" i="259"/>
  <c r="N15" i="259"/>
  <c r="J15" i="259"/>
  <c r="K14" i="259" s="1"/>
  <c r="U19" i="259"/>
  <c r="T19" i="259"/>
  <c r="O19" i="259"/>
  <c r="N19" i="259"/>
  <c r="J19" i="259"/>
  <c r="G84" i="300"/>
  <c r="G78" i="300"/>
  <c r="G70" i="300"/>
  <c r="G57" i="300"/>
  <c r="G56" i="300"/>
  <c r="G55" i="300"/>
  <c r="G54" i="300"/>
  <c r="F48" i="300"/>
  <c r="G37" i="300"/>
  <c r="G35" i="300"/>
  <c r="V15" i="259" l="1"/>
  <c r="P15" i="259"/>
  <c r="V19" i="259"/>
  <c r="P19" i="259"/>
  <c r="C25" i="267" l="1"/>
  <c r="C20" i="270"/>
  <c r="C21" i="270"/>
  <c r="C11" i="270"/>
  <c r="C12" i="270"/>
  <c r="C13" i="270"/>
  <c r="C14" i="270"/>
  <c r="C15" i="270"/>
  <c r="C16" i="270"/>
  <c r="C17" i="270"/>
  <c r="C18" i="270"/>
  <c r="C19" i="270"/>
  <c r="C8" i="270"/>
  <c r="C9" i="270"/>
  <c r="C10" i="270"/>
  <c r="C7" i="270"/>
  <c r="A7" i="270"/>
  <c r="F9" i="271"/>
  <c r="H9" i="271" s="1"/>
  <c r="E202" i="260"/>
  <c r="AI84" i="259"/>
  <c r="AH84" i="259"/>
  <c r="AG84" i="259"/>
  <c r="AF84" i="259"/>
  <c r="AE84" i="259"/>
  <c r="AD84" i="259"/>
  <c r="AC84" i="259"/>
  <c r="AB84" i="259"/>
  <c r="AA84" i="259"/>
  <c r="Z84" i="259"/>
  <c r="AK84" i="259" s="1"/>
  <c r="AN60" i="259"/>
  <c r="AM60" i="259"/>
  <c r="AL60" i="259"/>
  <c r="AK60" i="259"/>
  <c r="C9" i="271" l="1"/>
  <c r="C15" i="259"/>
  <c r="S15" i="259" l="1"/>
  <c r="M15" i="259"/>
  <c r="F91" i="300" l="1"/>
  <c r="G88" i="300"/>
  <c r="G92" i="278" s="1"/>
  <c r="F85" i="300"/>
  <c r="G83" i="300"/>
  <c r="N82" i="300"/>
  <c r="G82" i="300"/>
  <c r="F82" i="300"/>
  <c r="F78" i="300"/>
  <c r="G77" i="300"/>
  <c r="F77" i="300"/>
  <c r="F76" i="300"/>
  <c r="F73" i="300"/>
  <c r="F70" i="300"/>
  <c r="G69" i="300"/>
  <c r="F69" i="300"/>
  <c r="F68" i="300"/>
  <c r="F67" i="300"/>
  <c r="F66" i="300"/>
  <c r="F63" i="300"/>
  <c r="F62" i="300"/>
  <c r="F61" i="300"/>
  <c r="F60" i="300"/>
  <c r="F57" i="300"/>
  <c r="F56" i="300"/>
  <c r="F55" i="300"/>
  <c r="F54" i="300"/>
  <c r="F50" i="300"/>
  <c r="F49" i="300"/>
  <c r="F44" i="300"/>
  <c r="F43" i="300"/>
  <c r="F42" i="300"/>
  <c r="F41" i="300"/>
  <c r="F40" i="300"/>
  <c r="F39" i="300"/>
  <c r="F38" i="300"/>
  <c r="F37" i="300"/>
  <c r="F36" i="300"/>
  <c r="F35" i="300"/>
  <c r="F34" i="300"/>
  <c r="F33" i="300"/>
  <c r="F32" i="300"/>
  <c r="I31" i="300"/>
  <c r="F31" i="300"/>
  <c r="F21" i="300"/>
  <c r="F20" i="300"/>
  <c r="F16" i="300"/>
  <c r="K16" i="300" s="1"/>
  <c r="K15" i="300"/>
  <c r="D5" i="300"/>
  <c r="U2" i="300"/>
  <c r="V2" i="300" s="1"/>
  <c r="H72" i="259"/>
  <c r="AN67" i="259"/>
  <c r="AM67" i="259"/>
  <c r="AL67" i="259"/>
  <c r="AK67" i="259"/>
  <c r="C33" i="283"/>
  <c r="C72" i="259" s="1"/>
  <c r="B33" i="283"/>
  <c r="C76" i="259" s="1"/>
  <c r="F22" i="300" l="1"/>
  <c r="F51" i="300"/>
  <c r="F47" i="300"/>
  <c r="I62" i="300"/>
  <c r="K62" i="300" s="1"/>
  <c r="L14" i="300"/>
  <c r="I51" i="300"/>
  <c r="I44" i="300"/>
  <c r="K44" i="300" s="1"/>
  <c r="I36" i="300"/>
  <c r="K36" i="300" s="1"/>
  <c r="I69" i="300"/>
  <c r="I73" i="300"/>
  <c r="I83" i="300"/>
  <c r="K83" i="300" s="1"/>
  <c r="I70" i="300"/>
  <c r="K70" i="300" s="1"/>
  <c r="I90" i="300"/>
  <c r="I91" i="300" s="1"/>
  <c r="K91" i="300" s="1"/>
  <c r="I93" i="300"/>
  <c r="K93" i="300" s="1"/>
  <c r="I39" i="300"/>
  <c r="K39" i="300" s="1"/>
  <c r="I67" i="300"/>
  <c r="I32" i="300"/>
  <c r="K32" i="300" s="1"/>
  <c r="I40" i="300"/>
  <c r="K40" i="300" s="1"/>
  <c r="I47" i="300"/>
  <c r="I54" i="300"/>
  <c r="K54" i="300" s="1"/>
  <c r="I61" i="300"/>
  <c r="K61" i="300" s="1"/>
  <c r="I68" i="300"/>
  <c r="I82" i="300"/>
  <c r="I84" i="300"/>
  <c r="K84" i="300" s="1"/>
  <c r="I85" i="300"/>
  <c r="I92" i="300"/>
  <c r="K92" i="300" s="1"/>
  <c r="I34" i="300"/>
  <c r="K34" i="300" s="1"/>
  <c r="I42" i="300"/>
  <c r="K42" i="300" s="1"/>
  <c r="I63" i="300"/>
  <c r="K63" i="300" s="1"/>
  <c r="I35" i="300"/>
  <c r="K35" i="300" s="1"/>
  <c r="I43" i="300"/>
  <c r="K43" i="300" s="1"/>
  <c r="I50" i="300"/>
  <c r="K50" i="300" s="1"/>
  <c r="I57" i="300"/>
  <c r="K57" i="300" s="1"/>
  <c r="I76" i="300"/>
  <c r="I78" i="300"/>
  <c r="K78" i="300" s="1"/>
  <c r="I95" i="300"/>
  <c r="K95" i="300" s="1"/>
  <c r="K31" i="300"/>
  <c r="I49" i="300"/>
  <c r="K49" i="300" s="1"/>
  <c r="I56" i="300"/>
  <c r="K56" i="300" s="1"/>
  <c r="I37" i="300"/>
  <c r="K37" i="300" s="1"/>
  <c r="I38" i="300"/>
  <c r="K38" i="300" s="1"/>
  <c r="I66" i="300"/>
  <c r="I94" i="300"/>
  <c r="I60" i="300"/>
  <c r="K60" i="300" s="1"/>
  <c r="I77" i="300"/>
  <c r="K77" i="300" s="1"/>
  <c r="I33" i="300"/>
  <c r="K33" i="300" s="1"/>
  <c r="I41" i="300"/>
  <c r="K41" i="300" s="1"/>
  <c r="I48" i="300"/>
  <c r="K48" i="300" s="1"/>
  <c r="I55" i="300"/>
  <c r="K55" i="300" s="1"/>
  <c r="K47" i="300" l="1"/>
  <c r="L46" i="300" s="1"/>
  <c r="K51" i="300"/>
  <c r="K66" i="300"/>
  <c r="E24" i="271"/>
  <c r="K69" i="300"/>
  <c r="E27" i="271"/>
  <c r="K67" i="300"/>
  <c r="E25" i="271"/>
  <c r="K68" i="300"/>
  <c r="E26" i="271"/>
  <c r="L59" i="300"/>
  <c r="L53" i="300"/>
  <c r="N83" i="300"/>
  <c r="N84" i="300" s="1"/>
  <c r="K82" i="300"/>
  <c r="L30" i="300"/>
  <c r="F81" i="300" l="1"/>
  <c r="K81" i="300" s="1"/>
  <c r="L65" i="300"/>
  <c r="AJ35" i="259" l="1"/>
  <c r="AI35" i="259"/>
  <c r="AH35" i="259"/>
  <c r="AG35" i="259"/>
  <c r="A64" i="259"/>
  <c r="AN61" i="259"/>
  <c r="AM61" i="259"/>
  <c r="AL61" i="259"/>
  <c r="AK61" i="259"/>
  <c r="AN66" i="259"/>
  <c r="AM66" i="259"/>
  <c r="AL66" i="259"/>
  <c r="AK66" i="259"/>
  <c r="AN65" i="259"/>
  <c r="AM65" i="259"/>
  <c r="AL65" i="259"/>
  <c r="AK65" i="259"/>
  <c r="U69" i="259"/>
  <c r="AN68" i="259"/>
  <c r="AM68" i="259"/>
  <c r="AL68" i="259"/>
  <c r="AK68" i="259"/>
  <c r="AK35" i="259" l="1"/>
  <c r="L11" i="277" l="1"/>
  <c r="L13" i="277" l="1"/>
  <c r="K5" i="277" l="1"/>
  <c r="J5" i="277"/>
  <c r="K7" i="277"/>
  <c r="J7" i="277"/>
  <c r="L12" i="277"/>
  <c r="L9" i="277"/>
  <c r="F6" i="277" l="1"/>
  <c r="D5" i="277"/>
  <c r="K10" i="277"/>
  <c r="J10" i="277"/>
  <c r="E10" i="277"/>
  <c r="D10" i="277"/>
  <c r="C10" i="277"/>
  <c r="K9" i="277"/>
  <c r="J9" i="277"/>
  <c r="E9" i="277"/>
  <c r="D9" i="277"/>
  <c r="C9" i="277"/>
  <c r="K13" i="277"/>
  <c r="J13" i="277"/>
  <c r="F13" i="277"/>
  <c r="E13" i="277"/>
  <c r="D13" i="277"/>
  <c r="C13" i="277"/>
  <c r="K12" i="277"/>
  <c r="J12" i="277"/>
  <c r="E12" i="277"/>
  <c r="D12" i="277"/>
  <c r="C12" i="277"/>
  <c r="K11" i="277"/>
  <c r="J11" i="277"/>
  <c r="F11" i="277"/>
  <c r="E11" i="277"/>
  <c r="D11" i="277"/>
  <c r="C11" i="277"/>
  <c r="D8" i="277"/>
  <c r="C8" i="277"/>
  <c r="E6" i="277"/>
  <c r="D6" i="277"/>
  <c r="C6" i="277"/>
  <c r="F16" i="277" l="1"/>
  <c r="I13" i="277" l="1"/>
  <c r="H13" i="277" s="1"/>
  <c r="I16" i="277"/>
  <c r="H16" i="277" s="1"/>
  <c r="I17" i="277"/>
  <c r="I18" i="277" l="1"/>
  <c r="U37" i="259" l="1"/>
  <c r="AJ36" i="259"/>
  <c r="AI36" i="259"/>
  <c r="AH36" i="259"/>
  <c r="AG36" i="259"/>
  <c r="A34" i="259"/>
  <c r="AJ32" i="259"/>
  <c r="AI32" i="259"/>
  <c r="AH32" i="259"/>
  <c r="AG32" i="259"/>
  <c r="AJ31" i="259"/>
  <c r="AI31" i="259"/>
  <c r="AH31" i="259"/>
  <c r="AG31" i="259"/>
  <c r="AJ30" i="259"/>
  <c r="AI30" i="259"/>
  <c r="AH30" i="259"/>
  <c r="AG30" i="259"/>
  <c r="AJ29" i="259"/>
  <c r="AI29" i="259"/>
  <c r="AH29" i="259"/>
  <c r="AG29" i="259"/>
  <c r="A28" i="259"/>
  <c r="AJ27" i="259"/>
  <c r="AI27" i="259"/>
  <c r="AH27" i="259"/>
  <c r="AG27" i="259"/>
  <c r="V26" i="259"/>
  <c r="M26" i="259"/>
  <c r="J26" i="259"/>
  <c r="D26" i="259"/>
  <c r="D76" i="259"/>
  <c r="S76" i="259" s="1"/>
  <c r="D17" i="283"/>
  <c r="C17" i="283"/>
  <c r="D55" i="259" s="1"/>
  <c r="S55" i="259" s="1"/>
  <c r="B17" i="283"/>
  <c r="C55" i="259" s="1"/>
  <c r="D16" i="283"/>
  <c r="C16" i="283"/>
  <c r="D40" i="259" s="1"/>
  <c r="S40" i="259" s="1"/>
  <c r="B16" i="283"/>
  <c r="C40" i="259" s="1"/>
  <c r="C15" i="283"/>
  <c r="B15" i="283"/>
  <c r="D14" i="283"/>
  <c r="C14" i="283"/>
  <c r="D25" i="259" s="1"/>
  <c r="S25" i="259" s="1"/>
  <c r="B14" i="283"/>
  <c r="C25" i="259" s="1"/>
  <c r="N72" i="259"/>
  <c r="M72" i="259"/>
  <c r="A71" i="259"/>
  <c r="A58" i="259"/>
  <c r="AZ57" i="259"/>
  <c r="AY57" i="259"/>
  <c r="AX57" i="259"/>
  <c r="AW57" i="259"/>
  <c r="AV57" i="259"/>
  <c r="AU57" i="259"/>
  <c r="AT57" i="259"/>
  <c r="AS57" i="259"/>
  <c r="AR57" i="259"/>
  <c r="AQ57" i="259"/>
  <c r="AP57" i="259"/>
  <c r="AO57" i="259"/>
  <c r="AN57" i="259"/>
  <c r="AM57" i="259"/>
  <c r="AL57" i="259"/>
  <c r="AK57" i="259"/>
  <c r="AJ57" i="259"/>
  <c r="AI57" i="259"/>
  <c r="AH57" i="259"/>
  <c r="AG57" i="259"/>
  <c r="AF57" i="259"/>
  <c r="AE57" i="259"/>
  <c r="AD57" i="259"/>
  <c r="AC57" i="259"/>
  <c r="AB57" i="259"/>
  <c r="AA57" i="259"/>
  <c r="Z57" i="259"/>
  <c r="V56" i="259"/>
  <c r="J56" i="259"/>
  <c r="D56" i="259"/>
  <c r="C56" i="259"/>
  <c r="U52" i="259"/>
  <c r="A48" i="259"/>
  <c r="A43" i="259"/>
  <c r="AZ42" i="259"/>
  <c r="AY42" i="259"/>
  <c r="AX42" i="259"/>
  <c r="AW42" i="259"/>
  <c r="AV42" i="259"/>
  <c r="AU42" i="259"/>
  <c r="AT42" i="259"/>
  <c r="AS42" i="259"/>
  <c r="AR42" i="259"/>
  <c r="AQ42" i="259"/>
  <c r="AP42" i="259"/>
  <c r="AO42" i="259"/>
  <c r="AN42" i="259"/>
  <c r="AM42" i="259"/>
  <c r="AL42" i="259"/>
  <c r="AK42" i="259"/>
  <c r="AJ42" i="259"/>
  <c r="AI42" i="259"/>
  <c r="AH42" i="259"/>
  <c r="AG42" i="259"/>
  <c r="AF42" i="259"/>
  <c r="AE42" i="259"/>
  <c r="AD42" i="259"/>
  <c r="AC42" i="259"/>
  <c r="AB42" i="259"/>
  <c r="AA42" i="259"/>
  <c r="Z42" i="259"/>
  <c r="V41" i="259"/>
  <c r="M41" i="259"/>
  <c r="J41" i="259"/>
  <c r="D41" i="259"/>
  <c r="C41" i="259"/>
  <c r="H50" i="259" s="1"/>
  <c r="U91" i="259"/>
  <c r="AI88" i="259"/>
  <c r="AH88" i="259"/>
  <c r="AG88" i="259"/>
  <c r="AF88" i="259"/>
  <c r="AE88" i="259"/>
  <c r="AD88" i="259"/>
  <c r="AC88" i="259"/>
  <c r="AB88" i="259"/>
  <c r="AA88" i="259"/>
  <c r="Z88" i="259"/>
  <c r="A87" i="259"/>
  <c r="AI83" i="259"/>
  <c r="AH83" i="259"/>
  <c r="AG83" i="259"/>
  <c r="AF83" i="259"/>
  <c r="AE83" i="259"/>
  <c r="AD83" i="259"/>
  <c r="AC83" i="259"/>
  <c r="AB83" i="259"/>
  <c r="AA83" i="259"/>
  <c r="Z83" i="259"/>
  <c r="AK83" i="259" s="1"/>
  <c r="A82" i="259"/>
  <c r="U80" i="259"/>
  <c r="A79" i="259"/>
  <c r="AI77" i="259"/>
  <c r="AH77" i="259"/>
  <c r="AG77" i="259"/>
  <c r="AF77" i="259"/>
  <c r="AE77" i="259"/>
  <c r="AD77" i="259"/>
  <c r="AC77" i="259"/>
  <c r="AB77" i="259"/>
  <c r="AA77" i="259"/>
  <c r="Z77" i="259"/>
  <c r="V77" i="259"/>
  <c r="J77" i="259"/>
  <c r="D77" i="259"/>
  <c r="C77" i="259"/>
  <c r="H84" i="259" s="1"/>
  <c r="I5" i="277"/>
  <c r="A14" i="259"/>
  <c r="V12" i="259"/>
  <c r="M12" i="259"/>
  <c r="J12" i="259"/>
  <c r="D12" i="259"/>
  <c r="C12" i="259"/>
  <c r="L41" i="259" l="1"/>
  <c r="AZ50" i="259"/>
  <c r="AR50" i="259"/>
  <c r="AJ50" i="259"/>
  <c r="AB50" i="259"/>
  <c r="AI50" i="259"/>
  <c r="AA50" i="259"/>
  <c r="AV50" i="259"/>
  <c r="AF50" i="259"/>
  <c r="AY50" i="259"/>
  <c r="AQ50" i="259"/>
  <c r="AS50" i="259"/>
  <c r="AK50" i="259"/>
  <c r="AC50" i="259"/>
  <c r="AX50" i="259"/>
  <c r="AP50" i="259"/>
  <c r="AH50" i="259"/>
  <c r="Z50" i="259"/>
  <c r="BA50" i="259" s="1"/>
  <c r="AW50" i="259"/>
  <c r="AO50" i="259"/>
  <c r="AG50" i="259"/>
  <c r="AN50" i="259"/>
  <c r="U50" i="259"/>
  <c r="AU50" i="259"/>
  <c r="AM50" i="259"/>
  <c r="AE50" i="259"/>
  <c r="AT50" i="259"/>
  <c r="AL50" i="259"/>
  <c r="AD50" i="259"/>
  <c r="O50" i="259"/>
  <c r="O84" i="259"/>
  <c r="AL84" i="259" s="1"/>
  <c r="H51" i="259"/>
  <c r="AZ51" i="259" s="1"/>
  <c r="H49" i="259"/>
  <c r="O49" i="259" s="1"/>
  <c r="H46" i="259"/>
  <c r="AF46" i="259" s="1"/>
  <c r="H45" i="259"/>
  <c r="O45" i="259" s="1"/>
  <c r="H44" i="259"/>
  <c r="O44" i="259" s="1"/>
  <c r="H67" i="259"/>
  <c r="AB67" i="259" s="1"/>
  <c r="H66" i="259"/>
  <c r="H62" i="259"/>
  <c r="H65" i="259"/>
  <c r="AQ65" i="259" s="1"/>
  <c r="H59" i="259"/>
  <c r="AX59" i="259" s="1"/>
  <c r="H68" i="259"/>
  <c r="H61" i="259"/>
  <c r="AT61" i="259" s="1"/>
  <c r="H60" i="259"/>
  <c r="U84" i="259"/>
  <c r="AH45" i="259"/>
  <c r="F9" i="277"/>
  <c r="O80" i="259"/>
  <c r="AK32" i="259"/>
  <c r="AK29" i="259"/>
  <c r="AK36" i="259"/>
  <c r="AK88" i="259"/>
  <c r="AK30" i="259"/>
  <c r="AK31" i="259"/>
  <c r="M25" i="259"/>
  <c r="T72" i="259"/>
  <c r="M76" i="259"/>
  <c r="M55" i="259"/>
  <c r="S72" i="259"/>
  <c r="Q78" i="259"/>
  <c r="M40" i="259"/>
  <c r="H88" i="259"/>
  <c r="O88" i="259" s="1"/>
  <c r="H85" i="259"/>
  <c r="O85" i="259" s="1"/>
  <c r="H89" i="259"/>
  <c r="O89" i="259" s="1"/>
  <c r="H90" i="259"/>
  <c r="O90" i="259" s="1"/>
  <c r="H83" i="259"/>
  <c r="O83" i="259" s="1"/>
  <c r="J23" i="259"/>
  <c r="K11" i="259"/>
  <c r="I12" i="259" s="1"/>
  <c r="AO45" i="259" l="1"/>
  <c r="AD45" i="259"/>
  <c r="AE45" i="259"/>
  <c r="AU45" i="259"/>
  <c r="AN45" i="259"/>
  <c r="AF45" i="259"/>
  <c r="BB50" i="259"/>
  <c r="O72" i="259"/>
  <c r="AR67" i="259"/>
  <c r="AS67" i="259"/>
  <c r="AV45" i="259"/>
  <c r="AT45" i="259"/>
  <c r="AG45" i="259"/>
  <c r="AX45" i="259"/>
  <c r="U45" i="259"/>
  <c r="AB45" i="259"/>
  <c r="AI45" i="259"/>
  <c r="AJ45" i="259"/>
  <c r="AQ45" i="259"/>
  <c r="AR45" i="259"/>
  <c r="AM45" i="259"/>
  <c r="AY45" i="259"/>
  <c r="AZ45" i="259"/>
  <c r="AD67" i="259"/>
  <c r="U67" i="259"/>
  <c r="AF67" i="259"/>
  <c r="AJ67" i="259"/>
  <c r="AC45" i="259"/>
  <c r="AV67" i="259"/>
  <c r="AP67" i="259"/>
  <c r="AX67" i="259"/>
  <c r="AP45" i="259"/>
  <c r="AW45" i="259"/>
  <c r="AK45" i="259"/>
  <c r="AA67" i="259"/>
  <c r="AL45" i="259"/>
  <c r="AA45" i="259"/>
  <c r="Z45" i="259"/>
  <c r="BA45" i="259" s="1"/>
  <c r="BB45" i="259" s="1"/>
  <c r="AS45" i="259"/>
  <c r="AI67" i="259"/>
  <c r="AG67" i="259"/>
  <c r="AZ67" i="259"/>
  <c r="AH67" i="259"/>
  <c r="AC67" i="259"/>
  <c r="AT67" i="259"/>
  <c r="AO67" i="259"/>
  <c r="AQ67" i="259"/>
  <c r="AE67" i="259"/>
  <c r="AW67" i="259"/>
  <c r="AY67" i="259"/>
  <c r="AU67" i="259"/>
  <c r="Z67" i="259"/>
  <c r="BA67" i="259" s="1"/>
  <c r="AY60" i="259"/>
  <c r="AQ60" i="259"/>
  <c r="AI60" i="259"/>
  <c r="AA60" i="259"/>
  <c r="AX60" i="259"/>
  <c r="AP60" i="259"/>
  <c r="AH60" i="259"/>
  <c r="Z60" i="259"/>
  <c r="BA60" i="259" s="1"/>
  <c r="AW60" i="259"/>
  <c r="AO60" i="259"/>
  <c r="AG60" i="259"/>
  <c r="AV60" i="259"/>
  <c r="AF60" i="259"/>
  <c r="U60" i="259"/>
  <c r="AR60" i="259"/>
  <c r="AU60" i="259"/>
  <c r="AE60" i="259"/>
  <c r="AT60" i="259"/>
  <c r="AD60" i="259"/>
  <c r="AS60" i="259"/>
  <c r="AC60" i="259"/>
  <c r="AZ60" i="259"/>
  <c r="AJ60" i="259"/>
  <c r="AB60" i="259"/>
  <c r="AW51" i="259"/>
  <c r="AF51" i="259"/>
  <c r="AS51" i="259"/>
  <c r="U51" i="259"/>
  <c r="AO51" i="259"/>
  <c r="AC51" i="259"/>
  <c r="AV51" i="259"/>
  <c r="AQ51" i="259"/>
  <c r="AT51" i="259"/>
  <c r="O51" i="259"/>
  <c r="AN51" i="259"/>
  <c r="AA51" i="259"/>
  <c r="AD51" i="259"/>
  <c r="Z51" i="259"/>
  <c r="AY51" i="259"/>
  <c r="AE51" i="259"/>
  <c r="AP51" i="259"/>
  <c r="AB51" i="259"/>
  <c r="AM51" i="259"/>
  <c r="AT59" i="259"/>
  <c r="AX51" i="259"/>
  <c r="AR51" i="259"/>
  <c r="AU51" i="259"/>
  <c r="Z59" i="259"/>
  <c r="AH65" i="259"/>
  <c r="AY61" i="259"/>
  <c r="AR65" i="259"/>
  <c r="U65" i="259"/>
  <c r="AV61" i="259"/>
  <c r="Z65" i="259"/>
  <c r="BA65" i="259" s="1"/>
  <c r="AS61" i="259"/>
  <c r="AF61" i="259"/>
  <c r="AC61" i="259"/>
  <c r="AQ61" i="259"/>
  <c r="AE61" i="259"/>
  <c r="Z61" i="259"/>
  <c r="BA61" i="259" s="1"/>
  <c r="AB61" i="259"/>
  <c r="AU61" i="259"/>
  <c r="AH61" i="259"/>
  <c r="AJ61" i="259"/>
  <c r="AP61" i="259"/>
  <c r="AR61" i="259"/>
  <c r="AB65" i="259"/>
  <c r="AG61" i="259"/>
  <c r="AX61" i="259"/>
  <c r="AZ61" i="259"/>
  <c r="AO61" i="259"/>
  <c r="AA61" i="259"/>
  <c r="AD61" i="259"/>
  <c r="U61" i="259"/>
  <c r="AW61" i="259"/>
  <c r="AI61" i="259"/>
  <c r="AW59" i="259"/>
  <c r="AY59" i="259"/>
  <c r="AG65" i="259"/>
  <c r="AP59" i="259"/>
  <c r="AS59" i="259"/>
  <c r="AU59" i="259"/>
  <c r="AR59" i="259"/>
  <c r="AE65" i="259"/>
  <c r="AC65" i="259"/>
  <c r="AD59" i="259"/>
  <c r="AZ59" i="259"/>
  <c r="AU65" i="259"/>
  <c r="AS65" i="259"/>
  <c r="AJ65" i="259"/>
  <c r="AP65" i="259"/>
  <c r="AX65" i="259"/>
  <c r="AZ65" i="259"/>
  <c r="AF65" i="259"/>
  <c r="AW65" i="259"/>
  <c r="AD65" i="259"/>
  <c r="AV65" i="259"/>
  <c r="AA65" i="259"/>
  <c r="AT65" i="259"/>
  <c r="AY65" i="259"/>
  <c r="AO65" i="259"/>
  <c r="AI65" i="259"/>
  <c r="AT66" i="259"/>
  <c r="AD66" i="259"/>
  <c r="AS66" i="259"/>
  <c r="AC66" i="259"/>
  <c r="AQ66" i="259"/>
  <c r="AZ66" i="259"/>
  <c r="AR66" i="259"/>
  <c r="AJ66" i="259"/>
  <c r="AB66" i="259"/>
  <c r="AU66" i="259"/>
  <c r="AE66" i="259"/>
  <c r="AY66" i="259"/>
  <c r="AI66" i="259"/>
  <c r="AA66" i="259"/>
  <c r="AX66" i="259"/>
  <c r="AP66" i="259"/>
  <c r="AH66" i="259"/>
  <c r="Z66" i="259"/>
  <c r="BA66" i="259" s="1"/>
  <c r="AW66" i="259"/>
  <c r="AO66" i="259"/>
  <c r="AG66" i="259"/>
  <c r="AV66" i="259"/>
  <c r="AF66" i="259"/>
  <c r="U66" i="259"/>
  <c r="AF59" i="259"/>
  <c r="AA59" i="259"/>
  <c r="AC59" i="259"/>
  <c r="AV59" i="259"/>
  <c r="AQ59" i="259"/>
  <c r="AE59" i="259"/>
  <c r="AO59" i="259"/>
  <c r="AB59" i="259"/>
  <c r="U59" i="259"/>
  <c r="AX68" i="259"/>
  <c r="AW68" i="259"/>
  <c r="AO68" i="259"/>
  <c r="AG68" i="259"/>
  <c r="AV68" i="259"/>
  <c r="AF68" i="259"/>
  <c r="U68" i="259"/>
  <c r="AU68" i="259"/>
  <c r="AT68" i="259"/>
  <c r="AD68" i="259"/>
  <c r="AZ68" i="259"/>
  <c r="AR68" i="259"/>
  <c r="AJ68" i="259"/>
  <c r="AB68" i="259"/>
  <c r="AY68" i="259"/>
  <c r="AQ68" i="259"/>
  <c r="AI68" i="259"/>
  <c r="AA68" i="259"/>
  <c r="AP68" i="259"/>
  <c r="AH68" i="259"/>
  <c r="Z68" i="259"/>
  <c r="BA68" i="259" s="1"/>
  <c r="AE68" i="259"/>
  <c r="AS68" i="259"/>
  <c r="AC68" i="259"/>
  <c r="M56" i="259"/>
  <c r="L53" i="259" s="1"/>
  <c r="F10" i="277"/>
  <c r="I11" i="277"/>
  <c r="H11" i="277" s="1"/>
  <c r="O46" i="259"/>
  <c r="AZ46" i="259"/>
  <c r="AM46" i="259"/>
  <c r="AR46" i="259"/>
  <c r="AE46" i="259"/>
  <c r="AY46" i="259"/>
  <c r="AB46" i="259"/>
  <c r="AQ46" i="259"/>
  <c r="AV46" i="259"/>
  <c r="AS46" i="259"/>
  <c r="AA46" i="259"/>
  <c r="AP46" i="259"/>
  <c r="AX46" i="259"/>
  <c r="AD46" i="259"/>
  <c r="AN46" i="259"/>
  <c r="AC46" i="259"/>
  <c r="Z46" i="259"/>
  <c r="AU46" i="259"/>
  <c r="AT46" i="259"/>
  <c r="AW46" i="259"/>
  <c r="AO46" i="259"/>
  <c r="U46" i="259"/>
  <c r="AV44" i="259"/>
  <c r="AN44" i="259"/>
  <c r="AF44" i="259"/>
  <c r="U44" i="259"/>
  <c r="AU44" i="259"/>
  <c r="AM44" i="259"/>
  <c r="AE44" i="259"/>
  <c r="AT44" i="259"/>
  <c r="AD44" i="259"/>
  <c r="AS44" i="259"/>
  <c r="AC44" i="259"/>
  <c r="AZ44" i="259"/>
  <c r="AR44" i="259"/>
  <c r="AB44" i="259"/>
  <c r="AX44" i="259"/>
  <c r="AP44" i="259"/>
  <c r="Z44" i="259"/>
  <c r="AY44" i="259"/>
  <c r="AQ44" i="259"/>
  <c r="AA44" i="259"/>
  <c r="AW44" i="259"/>
  <c r="AO44" i="259"/>
  <c r="AW49" i="259"/>
  <c r="AO49" i="259"/>
  <c r="AV49" i="259"/>
  <c r="AN49" i="259"/>
  <c r="AF49" i="259"/>
  <c r="U49" i="259"/>
  <c r="AU49" i="259"/>
  <c r="AM49" i="259"/>
  <c r="AE49" i="259"/>
  <c r="AT49" i="259"/>
  <c r="AD49" i="259"/>
  <c r="AS49" i="259"/>
  <c r="AC49" i="259"/>
  <c r="AY49" i="259"/>
  <c r="AQ49" i="259"/>
  <c r="AA49" i="259"/>
  <c r="AZ49" i="259"/>
  <c r="AR49" i="259"/>
  <c r="AB49" i="259"/>
  <c r="AX49" i="259"/>
  <c r="AP49" i="259"/>
  <c r="Z49" i="259"/>
  <c r="AS72" i="259"/>
  <c r="AC72" i="259"/>
  <c r="U72" i="259"/>
  <c r="AZ72" i="259"/>
  <c r="AR72" i="259"/>
  <c r="AB72" i="259"/>
  <c r="AV72" i="259"/>
  <c r="AY72" i="259"/>
  <c r="AQ72" i="259"/>
  <c r="AA72" i="259"/>
  <c r="AX72" i="259"/>
  <c r="AP72" i="259"/>
  <c r="Z72" i="259"/>
  <c r="AW72" i="259"/>
  <c r="AO72" i="259"/>
  <c r="AU72" i="259"/>
  <c r="AE72" i="259"/>
  <c r="AF72" i="259"/>
  <c r="AT72" i="259"/>
  <c r="AD72" i="259"/>
  <c r="AX62" i="259"/>
  <c r="AP62" i="259"/>
  <c r="Z62" i="259"/>
  <c r="AW62" i="259"/>
  <c r="AO62" i="259"/>
  <c r="AS62" i="259"/>
  <c r="AV62" i="259"/>
  <c r="AF62" i="259"/>
  <c r="U62" i="259"/>
  <c r="AC62" i="259"/>
  <c r="AU62" i="259"/>
  <c r="AE62" i="259"/>
  <c r="AT62" i="259"/>
  <c r="AD62" i="259"/>
  <c r="AZ62" i="259"/>
  <c r="AR62" i="259"/>
  <c r="AB62" i="259"/>
  <c r="AY62" i="259"/>
  <c r="AQ62" i="259"/>
  <c r="AA62" i="259"/>
  <c r="U83" i="259"/>
  <c r="U88" i="259"/>
  <c r="U89" i="259"/>
  <c r="U90" i="259"/>
  <c r="U85" i="259"/>
  <c r="O67" i="259" l="1"/>
  <c r="BB67" i="259" s="1"/>
  <c r="O60" i="259"/>
  <c r="BB60" i="259" s="1"/>
  <c r="O61" i="259"/>
  <c r="BB61" i="259" s="1"/>
  <c r="O65" i="259"/>
  <c r="BB65" i="259" s="1"/>
  <c r="O66" i="259"/>
  <c r="BB66" i="259" s="1"/>
  <c r="O59" i="259"/>
  <c r="O68" i="259"/>
  <c r="BB68" i="259" s="1"/>
  <c r="O62" i="259"/>
  <c r="I9" i="277"/>
  <c r="H9" i="277" s="1"/>
  <c r="I7" i="277"/>
  <c r="I10" i="277" l="1"/>
  <c r="H10" i="277" s="1"/>
  <c r="K6" i="277" l="1"/>
  <c r="J6" i="277"/>
  <c r="M6" i="277" s="1"/>
  <c r="N6" i="277" s="1"/>
  <c r="C26" i="259"/>
  <c r="H29" i="259" l="1"/>
  <c r="H31" i="259"/>
  <c r="H36" i="259"/>
  <c r="H35" i="259"/>
  <c r="H30" i="259"/>
  <c r="H32" i="259"/>
  <c r="O35" i="259" l="1"/>
  <c r="AL35" i="259" s="1"/>
  <c r="U35" i="259"/>
  <c r="U29" i="259"/>
  <c r="O29" i="259"/>
  <c r="O30" i="259"/>
  <c r="AL30" i="259" s="1"/>
  <c r="U30" i="259"/>
  <c r="O31" i="259"/>
  <c r="AL31" i="259" s="1"/>
  <c r="U31" i="259"/>
  <c r="O32" i="259"/>
  <c r="AL32" i="259" s="1"/>
  <c r="U32" i="259"/>
  <c r="O36" i="259"/>
  <c r="AL36" i="259" s="1"/>
  <c r="U36" i="259"/>
  <c r="C10" i="274"/>
  <c r="E21" i="274" l="1"/>
  <c r="C11" i="275"/>
  <c r="C10" i="272" s="1"/>
  <c r="AL29" i="259"/>
  <c r="I6" i="277"/>
  <c r="H6" i="277" s="1"/>
  <c r="F14" i="283" l="1"/>
  <c r="K17" i="277"/>
  <c r="I22" i="283" l="1"/>
  <c r="AH59" i="259" l="1"/>
  <c r="AH72" i="259"/>
  <c r="AH62" i="259"/>
  <c r="AI59" i="259"/>
  <c r="AI72" i="259"/>
  <c r="AI62" i="259"/>
  <c r="AJ59" i="259"/>
  <c r="AJ72" i="259"/>
  <c r="AJ62" i="259"/>
  <c r="AG59" i="259"/>
  <c r="AG72" i="259"/>
  <c r="AG62" i="259"/>
  <c r="AN62" i="259"/>
  <c r="AM62" i="259"/>
  <c r="AK62" i="259"/>
  <c r="AM59" i="259" l="1"/>
  <c r="AN59" i="259"/>
  <c r="AK59" i="259"/>
  <c r="AK72" i="259"/>
  <c r="AN72" i="259"/>
  <c r="AM72" i="259"/>
  <c r="K16" i="277" l="1"/>
  <c r="J16" i="277"/>
  <c r="M16" i="277" s="1"/>
  <c r="N16" i="277" s="1"/>
  <c r="F15" i="277" l="1"/>
  <c r="F18" i="277"/>
  <c r="E15" i="277"/>
  <c r="E16" i="277"/>
  <c r="E17" i="277"/>
  <c r="E18" i="277"/>
  <c r="D14" i="277"/>
  <c r="D15" i="277"/>
  <c r="D16" i="277"/>
  <c r="D17" i="277"/>
  <c r="D18" i="277"/>
  <c r="C14" i="277"/>
  <c r="C15" i="277"/>
  <c r="C16" i="277"/>
  <c r="C17" i="277"/>
  <c r="C18" i="277"/>
  <c r="H18" i="277" l="1"/>
  <c r="F7" i="277" l="1"/>
  <c r="M7" i="277" l="1"/>
  <c r="N7" i="277" s="1"/>
  <c r="N4" i="277" s="1"/>
  <c r="H7" i="277"/>
  <c r="AI51" i="259"/>
  <c r="AI44" i="259"/>
  <c r="AI46" i="259"/>
  <c r="AI49" i="259"/>
  <c r="AH51" i="259"/>
  <c r="AH46" i="259"/>
  <c r="AH44" i="259"/>
  <c r="AH49" i="259"/>
  <c r="AJ51" i="259"/>
  <c r="AJ49" i="259"/>
  <c r="AJ44" i="259"/>
  <c r="AJ46" i="259"/>
  <c r="AG51" i="259"/>
  <c r="AG46" i="259"/>
  <c r="AG44" i="259"/>
  <c r="AG49" i="259"/>
  <c r="F17" i="277"/>
  <c r="J17" i="277"/>
  <c r="K18" i="277"/>
  <c r="J18" i="277"/>
  <c r="M18" i="277" s="1"/>
  <c r="N18" i="277" s="1"/>
  <c r="N14" i="277" s="1"/>
  <c r="M17" i="277" l="1"/>
  <c r="N17" i="277" s="1"/>
  <c r="H17" i="277"/>
  <c r="AK51" i="259"/>
  <c r="AK49" i="259"/>
  <c r="AK46" i="259"/>
  <c r="AK44" i="259"/>
  <c r="AI89" i="259"/>
  <c r="AA89" i="259"/>
  <c r="AH89" i="259"/>
  <c r="Z89" i="259"/>
  <c r="AC89" i="259"/>
  <c r="AG89" i="259"/>
  <c r="AF89" i="259"/>
  <c r="AE89" i="259"/>
  <c r="AD89" i="259"/>
  <c r="AB89" i="259"/>
  <c r="AI85" i="259"/>
  <c r="AA85" i="259"/>
  <c r="AH85" i="259"/>
  <c r="Z85" i="259"/>
  <c r="AG85" i="259"/>
  <c r="AC85" i="259"/>
  <c r="AB85" i="259"/>
  <c r="AF85" i="259"/>
  <c r="AE85" i="259"/>
  <c r="AD85" i="259"/>
  <c r="AH90" i="259"/>
  <c r="Z90" i="259"/>
  <c r="AG90" i="259"/>
  <c r="AF90" i="259"/>
  <c r="AB90" i="259"/>
  <c r="AE90" i="259"/>
  <c r="AD90" i="259"/>
  <c r="AC90" i="259"/>
  <c r="AI90" i="259"/>
  <c r="AA90" i="259"/>
  <c r="AL88" i="259"/>
  <c r="AL83" i="259"/>
  <c r="AK90" i="259" l="1"/>
  <c r="AL90" i="259" s="1"/>
  <c r="AK85" i="259"/>
  <c r="AL85" i="259" s="1"/>
  <c r="AK89" i="259"/>
  <c r="AL89" i="259" s="1"/>
  <c r="D13" i="283" l="1"/>
  <c r="C13" i="283"/>
  <c r="D11" i="259" s="1"/>
  <c r="B13" i="283"/>
  <c r="C11" i="259" s="1"/>
  <c r="C12" i="283"/>
  <c r="B12" i="283"/>
  <c r="S11" i="259" l="1"/>
  <c r="M11" i="259"/>
  <c r="P12" i="259"/>
  <c r="C6" i="259" l="1"/>
  <c r="B4" i="261" s="1"/>
  <c r="F16" i="283" l="1"/>
  <c r="AL62" i="259" l="1"/>
  <c r="BA62" i="259" s="1"/>
  <c r="BB62" i="259" s="1"/>
  <c r="AL59" i="259"/>
  <c r="AL72" i="259"/>
  <c r="BA72" i="259" s="1"/>
  <c r="BB72" i="259" s="1"/>
  <c r="BA59" i="259" l="1"/>
  <c r="BB59" i="259" s="1"/>
  <c r="AL46" i="259" l="1"/>
  <c r="BA46" i="259" s="1"/>
  <c r="BB46" i="259" s="1"/>
  <c r="AL51" i="259"/>
  <c r="BA51" i="259" s="1"/>
  <c r="BB51" i="259" s="1"/>
  <c r="AL49" i="259"/>
  <c r="BA49" i="259" s="1"/>
  <c r="BB49" i="259" s="1"/>
  <c r="AL44" i="259"/>
  <c r="BA44" i="259" s="1"/>
  <c r="BB44" i="259" s="1"/>
  <c r="E7" i="277" l="1"/>
  <c r="D7" i="277"/>
  <c r="C7" i="277"/>
  <c r="F5" i="277"/>
  <c r="E5" i="277"/>
  <c r="C5" i="277"/>
  <c r="H5" i="277" l="1"/>
  <c r="M5" i="277"/>
  <c r="N5" i="277" s="1"/>
  <c r="K15" i="277" l="1"/>
  <c r="J15" i="277"/>
  <c r="M15" i="277" s="1"/>
  <c r="N15" i="277" s="1"/>
  <c r="T7" i="293" l="1"/>
  <c r="T6" i="293"/>
  <c r="T5" i="293"/>
  <c r="E4" i="293"/>
  <c r="M3" i="293"/>
  <c r="E3" i="293"/>
  <c r="U1" i="293"/>
  <c r="U7" i="293" s="1"/>
  <c r="V7" i="293" s="1"/>
  <c r="L2225" i="293" l="1"/>
  <c r="M2225" i="293" s="1"/>
  <c r="L2217" i="293"/>
  <c r="M2217" i="293" s="1"/>
  <c r="L2209" i="293"/>
  <c r="M2209" i="293" s="1"/>
  <c r="L2004" i="293"/>
  <c r="M2004" i="293" s="1"/>
  <c r="L1979" i="293"/>
  <c r="M1979" i="293" s="1"/>
  <c r="L1971" i="293"/>
  <c r="M1971" i="293" s="1"/>
  <c r="L1648" i="293"/>
  <c r="M1648" i="293" s="1"/>
  <c r="L1640" i="293"/>
  <c r="M1640" i="293" s="1"/>
  <c r="L1584" i="293"/>
  <c r="M1584" i="293" s="1"/>
  <c r="L1568" i="293"/>
  <c r="M1568" i="293" s="1"/>
  <c r="L1513" i="293"/>
  <c r="M1513" i="293" s="1"/>
  <c r="L1497" i="293"/>
  <c r="M1497" i="293" s="1"/>
  <c r="L1407" i="293"/>
  <c r="M1407" i="293" s="1"/>
  <c r="L1399" i="293"/>
  <c r="M1399" i="293" s="1"/>
  <c r="L1391" i="293"/>
  <c r="M1391" i="293" s="1"/>
  <c r="L1383" i="293"/>
  <c r="M1383" i="293" s="1"/>
  <c r="L1375" i="293"/>
  <c r="M1375" i="293" s="1"/>
  <c r="L1342" i="293"/>
  <c r="M1342" i="293" s="1"/>
  <c r="L5070" i="293"/>
  <c r="M5070" i="293" s="1"/>
  <c r="L5062" i="293"/>
  <c r="M5062" i="293" s="1"/>
  <c r="L5038" i="293"/>
  <c r="M5038" i="293" s="1"/>
  <c r="L5030" i="293"/>
  <c r="M5030" i="293" s="1"/>
  <c r="L5022" i="293"/>
  <c r="M5022" i="293" s="1"/>
  <c r="L5006" i="293"/>
  <c r="M5006" i="293" s="1"/>
  <c r="L4982" i="293"/>
  <c r="M4982" i="293" s="1"/>
  <c r="L4966" i="293"/>
  <c r="M4966" i="293" s="1"/>
  <c r="L4950" i="293"/>
  <c r="M4950" i="293" s="1"/>
  <c r="L4942" i="293"/>
  <c r="M4942" i="293" s="1"/>
  <c r="L4934" i="293"/>
  <c r="M4934" i="293" s="1"/>
  <c r="L4926" i="293"/>
  <c r="M4926" i="293" s="1"/>
  <c r="L4910" i="293"/>
  <c r="M4910" i="293" s="1"/>
  <c r="L4902" i="293"/>
  <c r="M4902" i="293" s="1"/>
  <c r="L4894" i="293"/>
  <c r="M4894" i="293" s="1"/>
  <c r="L4886" i="293"/>
  <c r="M4886" i="293" s="1"/>
  <c r="L4870" i="293"/>
  <c r="M4870" i="293" s="1"/>
  <c r="L4854" i="293"/>
  <c r="M4854" i="293" s="1"/>
  <c r="L4846" i="293"/>
  <c r="M4846" i="293" s="1"/>
  <c r="L4838" i="293"/>
  <c r="M4838" i="293" s="1"/>
  <c r="L4822" i="293"/>
  <c r="M4822" i="293" s="1"/>
  <c r="L4806" i="293"/>
  <c r="M4806" i="293" s="1"/>
  <c r="L4790" i="293"/>
  <c r="M4790" i="293" s="1"/>
  <c r="L4782" i="293"/>
  <c r="M4782" i="293" s="1"/>
  <c r="L4766" i="293"/>
  <c r="M4766" i="293" s="1"/>
  <c r="L4750" i="293"/>
  <c r="M4750" i="293" s="1"/>
  <c r="L4734" i="293"/>
  <c r="M4734" i="293" s="1"/>
  <c r="L4726" i="293"/>
  <c r="M4726" i="293" s="1"/>
  <c r="L4710" i="293"/>
  <c r="M4710" i="293" s="1"/>
  <c r="L4702" i="293"/>
  <c r="M4702" i="293" s="1"/>
  <c r="L4678" i="293"/>
  <c r="M4678" i="293" s="1"/>
  <c r="L4670" i="293"/>
  <c r="M4670" i="293" s="1"/>
  <c r="L4662" i="293"/>
  <c r="M4662" i="293" s="1"/>
  <c r="L4654" i="293"/>
  <c r="M4654" i="293" s="1"/>
  <c r="L4646" i="293"/>
  <c r="M4646" i="293" s="1"/>
  <c r="L4630" i="293"/>
  <c r="M4630" i="293" s="1"/>
  <c r="L4614" i="293"/>
  <c r="M4614" i="293" s="1"/>
  <c r="L4598" i="293"/>
  <c r="M4598" i="293" s="1"/>
  <c r="L2224" i="293"/>
  <c r="M2224" i="293" s="1"/>
  <c r="L2216" i="293"/>
  <c r="M2216" i="293" s="1"/>
  <c r="L2208" i="293"/>
  <c r="M2208" i="293" s="1"/>
  <c r="L2003" i="293"/>
  <c r="M2003" i="293" s="1"/>
  <c r="L1978" i="293"/>
  <c r="M1978" i="293" s="1"/>
  <c r="L1970" i="293"/>
  <c r="M1970" i="293" s="1"/>
  <c r="L1639" i="293"/>
  <c r="M1639" i="293" s="1"/>
  <c r="L1583" i="293"/>
  <c r="M1583" i="293" s="1"/>
  <c r="L1567" i="293"/>
  <c r="M1567" i="293" s="1"/>
  <c r="L1512" i="293"/>
  <c r="M1512" i="293" s="1"/>
  <c r="L1496" i="293"/>
  <c r="M1496" i="293" s="1"/>
  <c r="L1406" i="293"/>
  <c r="M1406" i="293" s="1"/>
  <c r="L1398" i="293"/>
  <c r="M1398" i="293" s="1"/>
  <c r="L1390" i="293"/>
  <c r="M1390" i="293" s="1"/>
  <c r="L1382" i="293"/>
  <c r="M1382" i="293" s="1"/>
  <c r="L1357" i="293"/>
  <c r="M1357" i="293" s="1"/>
  <c r="L1349" i="293"/>
  <c r="M1349" i="293" s="1"/>
  <c r="L1341" i="293"/>
  <c r="M1341" i="293" s="1"/>
  <c r="L1333" i="293"/>
  <c r="M1333" i="293" s="1"/>
  <c r="L5069" i="293"/>
  <c r="M5069" i="293" s="1"/>
  <c r="L5061" i="293"/>
  <c r="M5061" i="293" s="1"/>
  <c r="L5053" i="293"/>
  <c r="M5053" i="293" s="1"/>
  <c r="L5037" i="293"/>
  <c r="M5037" i="293" s="1"/>
  <c r="L5029" i="293"/>
  <c r="M5029" i="293" s="1"/>
  <c r="L5021" i="293"/>
  <c r="M5021" i="293" s="1"/>
  <c r="L5005" i="293"/>
  <c r="M5005" i="293" s="1"/>
  <c r="L4989" i="293"/>
  <c r="M4989" i="293" s="1"/>
  <c r="L4981" i="293"/>
  <c r="M4981" i="293" s="1"/>
  <c r="L4965" i="293"/>
  <c r="M4965" i="293" s="1"/>
  <c r="L4941" i="293"/>
  <c r="M4941" i="293" s="1"/>
  <c r="L4925" i="293"/>
  <c r="M4925" i="293" s="1"/>
  <c r="L4909" i="293"/>
  <c r="M4909" i="293" s="1"/>
  <c r="L4901" i="293"/>
  <c r="M4901" i="293" s="1"/>
  <c r="L4885" i="293"/>
  <c r="M4885" i="293" s="1"/>
  <c r="L4869" i="293"/>
  <c r="M4869" i="293" s="1"/>
  <c r="L4853" i="293"/>
  <c r="M4853" i="293" s="1"/>
  <c r="L4845" i="293"/>
  <c r="M4845" i="293" s="1"/>
  <c r="L4837" i="293"/>
  <c r="M4837" i="293" s="1"/>
  <c r="L4829" i="293"/>
  <c r="M4829" i="293" s="1"/>
  <c r="L4821" i="293"/>
  <c r="M4821" i="293" s="1"/>
  <c r="L4805" i="293"/>
  <c r="M4805" i="293" s="1"/>
  <c r="L4797" i="293"/>
  <c r="M4797" i="293" s="1"/>
  <c r="L4789" i="293"/>
  <c r="M4789" i="293" s="1"/>
  <c r="L4781" i="293"/>
  <c r="M4781" i="293" s="1"/>
  <c r="L4765" i="293"/>
  <c r="M4765" i="293" s="1"/>
  <c r="L4749" i="293"/>
  <c r="M4749" i="293" s="1"/>
  <c r="L4741" i="293"/>
  <c r="M4741" i="293" s="1"/>
  <c r="L4733" i="293"/>
  <c r="M4733" i="293" s="1"/>
  <c r="L4725" i="293"/>
  <c r="M4725" i="293" s="1"/>
  <c r="L4709" i="293"/>
  <c r="M4709" i="293" s="1"/>
  <c r="L4701" i="293"/>
  <c r="M4701" i="293" s="1"/>
  <c r="L4677" i="293"/>
  <c r="M4677" i="293" s="1"/>
  <c r="L4669" i="293"/>
  <c r="M4669" i="293" s="1"/>
  <c r="L4653" i="293"/>
  <c r="M4653" i="293" s="1"/>
  <c r="L4645" i="293"/>
  <c r="M4645" i="293" s="1"/>
  <c r="L4629" i="293"/>
  <c r="M4629" i="293" s="1"/>
  <c r="L4613" i="293"/>
  <c r="M4613" i="293" s="1"/>
  <c r="L2231" i="293"/>
  <c r="M2231" i="293" s="1"/>
  <c r="L2223" i="293"/>
  <c r="M2223" i="293" s="1"/>
  <c r="L2215" i="293"/>
  <c r="M2215" i="293" s="1"/>
  <c r="L2207" i="293"/>
  <c r="M2207" i="293" s="1"/>
  <c r="L1985" i="293"/>
  <c r="M1985" i="293" s="1"/>
  <c r="L1977" i="293"/>
  <c r="M1977" i="293" s="1"/>
  <c r="L1820" i="293"/>
  <c r="M1820" i="293" s="1"/>
  <c r="L1812" i="293"/>
  <c r="M1812" i="293" s="1"/>
  <c r="L1638" i="293"/>
  <c r="M1638" i="293" s="1"/>
  <c r="L1582" i="293"/>
  <c r="M1582" i="293" s="1"/>
  <c r="L1519" i="293"/>
  <c r="M1519" i="293" s="1"/>
  <c r="L1511" i="293"/>
  <c r="M1511" i="293" s="1"/>
  <c r="L1495" i="293"/>
  <c r="M1495" i="293" s="1"/>
  <c r="L1397" i="293"/>
  <c r="M1397" i="293" s="1"/>
  <c r="L1389" i="293"/>
  <c r="M1389" i="293" s="1"/>
  <c r="L1381" i="293"/>
  <c r="M1381" i="293" s="1"/>
  <c r="L1356" i="293"/>
  <c r="M1356" i="293" s="1"/>
  <c r="L2230" i="293"/>
  <c r="M2230" i="293" s="1"/>
  <c r="L2222" i="293"/>
  <c r="M2222" i="293" s="1"/>
  <c r="L2214" i="293"/>
  <c r="M2214" i="293" s="1"/>
  <c r="L2009" i="293"/>
  <c r="M2009" i="293" s="1"/>
  <c r="L1984" i="293"/>
  <c r="M1984" i="293" s="1"/>
  <c r="L1976" i="293"/>
  <c r="M1976" i="293" s="1"/>
  <c r="L1819" i="293"/>
  <c r="M1819" i="293" s="1"/>
  <c r="L1811" i="293"/>
  <c r="M1811" i="293" s="1"/>
  <c r="L1637" i="293"/>
  <c r="M1637" i="293" s="1"/>
  <c r="L1589" i="293"/>
  <c r="M1589" i="293" s="1"/>
  <c r="L1581" i="293"/>
  <c r="M1581" i="293" s="1"/>
  <c r="L1518" i="293"/>
  <c r="M1518" i="293" s="1"/>
  <c r="L1510" i="293"/>
  <c r="M1510" i="293" s="1"/>
  <c r="L1494" i="293"/>
  <c r="M1494" i="293" s="1"/>
  <c r="L1396" i="293"/>
  <c r="M1396" i="293" s="1"/>
  <c r="L1380" i="293"/>
  <c r="M1380" i="293" s="1"/>
  <c r="L1355" i="293"/>
  <c r="M1355" i="293" s="1"/>
  <c r="L1347" i="293"/>
  <c r="M1347" i="293" s="1"/>
  <c r="L1331" i="293"/>
  <c r="M1331" i="293" s="1"/>
  <c r="L1307" i="293"/>
  <c r="M1307" i="293" s="1"/>
  <c r="L5067" i="293"/>
  <c r="M5067" i="293" s="1"/>
  <c r="L5059" i="293"/>
  <c r="M5059" i="293" s="1"/>
  <c r="L5035" i="293"/>
  <c r="M5035" i="293" s="1"/>
  <c r="L5027" i="293"/>
  <c r="M5027" i="293" s="1"/>
  <c r="L5011" i="293"/>
  <c r="M5011" i="293" s="1"/>
  <c r="L5003" i="293"/>
  <c r="M5003" i="293" s="1"/>
  <c r="L4995" i="293"/>
  <c r="M4995" i="293" s="1"/>
  <c r="L4987" i="293"/>
  <c r="M4987" i="293" s="1"/>
  <c r="L4979" i="293"/>
  <c r="M4979" i="293" s="1"/>
  <c r="L4971" i="293"/>
  <c r="M4971" i="293" s="1"/>
  <c r="L4963" i="293"/>
  <c r="M4963" i="293" s="1"/>
  <c r="L4923" i="293"/>
  <c r="M4923" i="293" s="1"/>
  <c r="L4915" i="293"/>
  <c r="M4915" i="293" s="1"/>
  <c r="L4899" i="293"/>
  <c r="M4899" i="293" s="1"/>
  <c r="L4883" i="293"/>
  <c r="M4883" i="293" s="1"/>
  <c r="L4867" i="293"/>
  <c r="M4867" i="293" s="1"/>
  <c r="L4859" i="293"/>
  <c r="M4859" i="293" s="1"/>
  <c r="L4835" i="293"/>
  <c r="M4835" i="293" s="1"/>
  <c r="L4827" i="293"/>
  <c r="M4827" i="293" s="1"/>
  <c r="L4819" i="293"/>
  <c r="M4819" i="293" s="1"/>
  <c r="L4803" i="293"/>
  <c r="M4803" i="293" s="1"/>
  <c r="L4795" i="293"/>
  <c r="M4795" i="293" s="1"/>
  <c r="L4771" i="293"/>
  <c r="M4771" i="293" s="1"/>
  <c r="L4763" i="293"/>
  <c r="M4763" i="293" s="1"/>
  <c r="L4747" i="293"/>
  <c r="M4747" i="293" s="1"/>
  <c r="L4739" i="293"/>
  <c r="M4739" i="293" s="1"/>
  <c r="L4731" i="293"/>
  <c r="M4731" i="293" s="1"/>
  <c r="L4723" i="293"/>
  <c r="M4723" i="293" s="1"/>
  <c r="L4707" i="293"/>
  <c r="M4707" i="293" s="1"/>
  <c r="L4699" i="293"/>
  <c r="M4699" i="293" s="1"/>
  <c r="L4691" i="293"/>
  <c r="M4691" i="293" s="1"/>
  <c r="L4683" i="293"/>
  <c r="M4683" i="293" s="1"/>
  <c r="L4675" i="293"/>
  <c r="M4675" i="293" s="1"/>
  <c r="L4651" i="293"/>
  <c r="M4651" i="293" s="1"/>
  <c r="L4635" i="293"/>
  <c r="M4635" i="293" s="1"/>
  <c r="L4627" i="293"/>
  <c r="M4627" i="293" s="1"/>
  <c r="L4611" i="293"/>
  <c r="M4611" i="293" s="1"/>
  <c r="L4603" i="293"/>
  <c r="M4603" i="293" s="1"/>
  <c r="L2221" i="293"/>
  <c r="M2221" i="293" s="1"/>
  <c r="L2213" i="293"/>
  <c r="M2213" i="293" s="1"/>
  <c r="L1983" i="293"/>
  <c r="M1983" i="293" s="1"/>
  <c r="L1975" i="293"/>
  <c r="M1975" i="293" s="1"/>
  <c r="L1810" i="293"/>
  <c r="M1810" i="293" s="1"/>
  <c r="L1636" i="293"/>
  <c r="M1636" i="293" s="1"/>
  <c r="L1588" i="293"/>
  <c r="M1588" i="293" s="1"/>
  <c r="L1517" i="293"/>
  <c r="M1517" i="293" s="1"/>
  <c r="L1509" i="293"/>
  <c r="M1509" i="293" s="1"/>
  <c r="L1493" i="293"/>
  <c r="M1493" i="293" s="1"/>
  <c r="L1395" i="293"/>
  <c r="M1395" i="293" s="1"/>
  <c r="L1379" i="293"/>
  <c r="M1379" i="293" s="1"/>
  <c r="L1354" i="293"/>
  <c r="M1354" i="293" s="1"/>
  <c r="L1346" i="293"/>
  <c r="M1346" i="293" s="1"/>
  <c r="L1330" i="293"/>
  <c r="M1330" i="293" s="1"/>
  <c r="L1306" i="293"/>
  <c r="M1306" i="293" s="1"/>
  <c r="L5066" i="293"/>
  <c r="M5066" i="293" s="1"/>
  <c r="L5034" i="293"/>
  <c r="M5034" i="293" s="1"/>
  <c r="L5018" i="293"/>
  <c r="M5018" i="293" s="1"/>
  <c r="L5010" i="293"/>
  <c r="M5010" i="293" s="1"/>
  <c r="L5002" i="293"/>
  <c r="M5002" i="293" s="1"/>
  <c r="L4994" i="293"/>
  <c r="M4994" i="293" s="1"/>
  <c r="L4986" i="293"/>
  <c r="M4986" i="293" s="1"/>
  <c r="L4978" i="293"/>
  <c r="M4978" i="293" s="1"/>
  <c r="L4970" i="293"/>
  <c r="M4970" i="293" s="1"/>
  <c r="L4954" i="293"/>
  <c r="M4954" i="293" s="1"/>
  <c r="L4946" i="293"/>
  <c r="M4946" i="293" s="1"/>
  <c r="L4922" i="293"/>
  <c r="M4922" i="293" s="1"/>
  <c r="L4914" i="293"/>
  <c r="M4914" i="293" s="1"/>
  <c r="L4906" i="293"/>
  <c r="M4906" i="293" s="1"/>
  <c r="L4898" i="293"/>
  <c r="M4898" i="293" s="1"/>
  <c r="L4882" i="293"/>
  <c r="M4882" i="293" s="1"/>
  <c r="L4874" i="293"/>
  <c r="M4874" i="293" s="1"/>
  <c r="L4866" i="293"/>
  <c r="M4866" i="293" s="1"/>
  <c r="L4858" i="293"/>
  <c r="M4858" i="293" s="1"/>
  <c r="L4842" i="293"/>
  <c r="M4842" i="293" s="1"/>
  <c r="L4826" i="293"/>
  <c r="M4826" i="293" s="1"/>
  <c r="L4818" i="293"/>
  <c r="M4818" i="293" s="1"/>
  <c r="L4810" i="293"/>
  <c r="M4810" i="293" s="1"/>
  <c r="L4802" i="293"/>
  <c r="M4802" i="293" s="1"/>
  <c r="L4794" i="293"/>
  <c r="M4794" i="293" s="1"/>
  <c r="L4770" i="293"/>
  <c r="M4770" i="293" s="1"/>
  <c r="L4762" i="293"/>
  <c r="M4762" i="293" s="1"/>
  <c r="L4754" i="293"/>
  <c r="M4754" i="293" s="1"/>
  <c r="L4746" i="293"/>
  <c r="M4746" i="293" s="1"/>
  <c r="L4738" i="293"/>
  <c r="M4738" i="293" s="1"/>
  <c r="L4730" i="293"/>
  <c r="M4730" i="293" s="1"/>
  <c r="L4706" i="293"/>
  <c r="M4706" i="293" s="1"/>
  <c r="L4698" i="293"/>
  <c r="M4698" i="293" s="1"/>
  <c r="L4682" i="293"/>
  <c r="M4682" i="293" s="1"/>
  <c r="L4650" i="293"/>
  <c r="M4650" i="293" s="1"/>
  <c r="L4642" i="293"/>
  <c r="M4642" i="293" s="1"/>
  <c r="L4634" i="293"/>
  <c r="M4634" i="293" s="1"/>
  <c r="L4626" i="293"/>
  <c r="M4626" i="293" s="1"/>
  <c r="L2220" i="293"/>
  <c r="M2220" i="293" s="1"/>
  <c r="L2212" i="293"/>
  <c r="M2212" i="293" s="1"/>
  <c r="L1982" i="293"/>
  <c r="M1982" i="293" s="1"/>
  <c r="L1974" i="293"/>
  <c r="M1974" i="293" s="1"/>
  <c r="L1809" i="293"/>
  <c r="M1809" i="293" s="1"/>
  <c r="L1635" i="293"/>
  <c r="M1635" i="293" s="1"/>
  <c r="L1587" i="293"/>
  <c r="M1587" i="293" s="1"/>
  <c r="L1571" i="293"/>
  <c r="M1571" i="293" s="1"/>
  <c r="L1508" i="293"/>
  <c r="M1508" i="293" s="1"/>
  <c r="L1394" i="293"/>
  <c r="M1394" i="293" s="1"/>
  <c r="L1378" i="293"/>
  <c r="M1378" i="293" s="1"/>
  <c r="L1345" i="293"/>
  <c r="M1345" i="293" s="1"/>
  <c r="L1313" i="293"/>
  <c r="M1313" i="293" s="1"/>
  <c r="L1305" i="293"/>
  <c r="M1305" i="293" s="1"/>
  <c r="L5065" i="293"/>
  <c r="M5065" i="293" s="1"/>
  <c r="L5041" i="293"/>
  <c r="M5041" i="293" s="1"/>
  <c r="L5033" i="293"/>
  <c r="M5033" i="293" s="1"/>
  <c r="L5025" i="293"/>
  <c r="M5025" i="293" s="1"/>
  <c r="L5017" i="293"/>
  <c r="M5017" i="293" s="1"/>
  <c r="L5009" i="293"/>
  <c r="M5009" i="293" s="1"/>
  <c r="L5001" i="293"/>
  <c r="M5001" i="293" s="1"/>
  <c r="L4985" i="293"/>
  <c r="M4985" i="293" s="1"/>
  <c r="L4969" i="293"/>
  <c r="M4969" i="293" s="1"/>
  <c r="L4961" i="293"/>
  <c r="M4961" i="293" s="1"/>
  <c r="L4953" i="293"/>
  <c r="M4953" i="293" s="1"/>
  <c r="L4937" i="293"/>
  <c r="M4937" i="293" s="1"/>
  <c r="L4913" i="293"/>
  <c r="M4913" i="293" s="1"/>
  <c r="L4897" i="293"/>
  <c r="M4897" i="293" s="1"/>
  <c r="L4881" i="293"/>
  <c r="M4881" i="293" s="1"/>
  <c r="L4873" i="293"/>
  <c r="M4873" i="293" s="1"/>
  <c r="L4865" i="293"/>
  <c r="M4865" i="293" s="1"/>
  <c r="L4857" i="293"/>
  <c r="M4857" i="293" s="1"/>
  <c r="L4849" i="293"/>
  <c r="M4849" i="293" s="1"/>
  <c r="L4841" i="293"/>
  <c r="M4841" i="293" s="1"/>
  <c r="L4825" i="293"/>
  <c r="M4825" i="293" s="1"/>
  <c r="L4817" i="293"/>
  <c r="M4817" i="293" s="1"/>
  <c r="L4809" i="293"/>
  <c r="M4809" i="293" s="1"/>
  <c r="L4793" i="293"/>
  <c r="M4793" i="293" s="1"/>
  <c r="L4777" i="293"/>
  <c r="M4777" i="293" s="1"/>
  <c r="L4769" i="293"/>
  <c r="M4769" i="293" s="1"/>
  <c r="L4761" i="293"/>
  <c r="M4761" i="293" s="1"/>
  <c r="L4753" i="293"/>
  <c r="M4753" i="293" s="1"/>
  <c r="L4745" i="293"/>
  <c r="M4745" i="293" s="1"/>
  <c r="L4737" i="293"/>
  <c r="M4737" i="293" s="1"/>
  <c r="L4729" i="293"/>
  <c r="M4729" i="293" s="1"/>
  <c r="L4705" i="293"/>
  <c r="M4705" i="293" s="1"/>
  <c r="L4681" i="293"/>
  <c r="M4681" i="293" s="1"/>
  <c r="L4673" i="293"/>
  <c r="M4673" i="293" s="1"/>
  <c r="L4657" i="293"/>
  <c r="M4657" i="293" s="1"/>
  <c r="L4633" i="293"/>
  <c r="M4633" i="293" s="1"/>
  <c r="L4625" i="293"/>
  <c r="M4625" i="293" s="1"/>
  <c r="L4617" i="293"/>
  <c r="M4617" i="293" s="1"/>
  <c r="L4609" i="293"/>
  <c r="M4609" i="293" s="1"/>
  <c r="L4601" i="293"/>
  <c r="M4601" i="293" s="1"/>
  <c r="L2227" i="293"/>
  <c r="M2227" i="293" s="1"/>
  <c r="L2219" i="293"/>
  <c r="M2219" i="293" s="1"/>
  <c r="L2211" i="293"/>
  <c r="M2211" i="293" s="1"/>
  <c r="L2006" i="293"/>
  <c r="M2006" i="293" s="1"/>
  <c r="L1981" i="293"/>
  <c r="M1981" i="293" s="1"/>
  <c r="L1973" i="293"/>
  <c r="M1973" i="293" s="1"/>
  <c r="L1808" i="293"/>
  <c r="M1808" i="293" s="1"/>
  <c r="L1634" i="293"/>
  <c r="M1634" i="293" s="1"/>
  <c r="L1586" i="293"/>
  <c r="M1586" i="293" s="1"/>
  <c r="L1570" i="293"/>
  <c r="M1570" i="293" s="1"/>
  <c r="L1507" i="293"/>
  <c r="M1507" i="293" s="1"/>
  <c r="L1499" i="293"/>
  <c r="M1499" i="293" s="1"/>
  <c r="L1466" i="293"/>
  <c r="M1466" i="293" s="1"/>
  <c r="L1401" i="293"/>
  <c r="M1401" i="293" s="1"/>
  <c r="L1393" i="293"/>
  <c r="M1393" i="293" s="1"/>
  <c r="L1377" i="293"/>
  <c r="M1377" i="293" s="1"/>
  <c r="L1344" i="293"/>
  <c r="M1344" i="293" s="1"/>
  <c r="L1312" i="293"/>
  <c r="M1312" i="293" s="1"/>
  <c r="L5064" i="293"/>
  <c r="M5064" i="293" s="1"/>
  <c r="L5040" i="293"/>
  <c r="M5040" i="293" s="1"/>
  <c r="L5032" i="293"/>
  <c r="M5032" i="293" s="1"/>
  <c r="L5024" i="293"/>
  <c r="M5024" i="293" s="1"/>
  <c r="L5008" i="293"/>
  <c r="M5008" i="293" s="1"/>
  <c r="L5000" i="293"/>
  <c r="M5000" i="293" s="1"/>
  <c r="L4984" i="293"/>
  <c r="M4984" i="293" s="1"/>
  <c r="L4976" i="293"/>
  <c r="M4976" i="293" s="1"/>
  <c r="L4968" i="293"/>
  <c r="M4968" i="293" s="1"/>
  <c r="L4960" i="293"/>
  <c r="M4960" i="293" s="1"/>
  <c r="L4952" i="293"/>
  <c r="M4952" i="293" s="1"/>
  <c r="L4944" i="293"/>
  <c r="M4944" i="293" s="1"/>
  <c r="L4936" i="293"/>
  <c r="M4936" i="293" s="1"/>
  <c r="L4928" i="293"/>
  <c r="M4928" i="293" s="1"/>
  <c r="L4920" i="293"/>
  <c r="M4920" i="293" s="1"/>
  <c r="L4912" i="293"/>
  <c r="M4912" i="293" s="1"/>
  <c r="L4896" i="293"/>
  <c r="M4896" i="293" s="1"/>
  <c r="L4888" i="293"/>
  <c r="M4888" i="293" s="1"/>
  <c r="L4880" i="293"/>
  <c r="M4880" i="293" s="1"/>
  <c r="L4872" i="293"/>
  <c r="M4872" i="293" s="1"/>
  <c r="L4856" i="293"/>
  <c r="M4856" i="293" s="1"/>
  <c r="L4848" i="293"/>
  <c r="M4848" i="293" s="1"/>
  <c r="L4840" i="293"/>
  <c r="M4840" i="293" s="1"/>
  <c r="L4824" i="293"/>
  <c r="M4824" i="293" s="1"/>
  <c r="L4808" i="293"/>
  <c r="M4808" i="293" s="1"/>
  <c r="L4792" i="293"/>
  <c r="M4792" i="293" s="1"/>
  <c r="L4776" i="293"/>
  <c r="M4776" i="293" s="1"/>
  <c r="L4768" i="293"/>
  <c r="M4768" i="293" s="1"/>
  <c r="L4752" i="293"/>
  <c r="M4752" i="293" s="1"/>
  <c r="L4736" i="293"/>
  <c r="M4736" i="293" s="1"/>
  <c r="L4728" i="293"/>
  <c r="M4728" i="293" s="1"/>
  <c r="L4704" i="293"/>
  <c r="M4704" i="293" s="1"/>
  <c r="L4688" i="293"/>
  <c r="M4688" i="293" s="1"/>
  <c r="L4680" i="293"/>
  <c r="M4680" i="293" s="1"/>
  <c r="L4672" i="293"/>
  <c r="M4672" i="293" s="1"/>
  <c r="L4656" i="293"/>
  <c r="M4656" i="293" s="1"/>
  <c r="L4648" i="293"/>
  <c r="M4648" i="293" s="1"/>
  <c r="L4632" i="293"/>
  <c r="M4632" i="293" s="1"/>
  <c r="L4624" i="293"/>
  <c r="M4624" i="293" s="1"/>
  <c r="L4616" i="293"/>
  <c r="M4616" i="293" s="1"/>
  <c r="L4600" i="293"/>
  <c r="M4600" i="293" s="1"/>
  <c r="L1348" i="293"/>
  <c r="M1348" i="293" s="1"/>
  <c r="L5068" i="293"/>
  <c r="M5068" i="293" s="1"/>
  <c r="L5036" i="293"/>
  <c r="M5036" i="293" s="1"/>
  <c r="L5004" i="293"/>
  <c r="M5004" i="293" s="1"/>
  <c r="L4908" i="293"/>
  <c r="M4908" i="293" s="1"/>
  <c r="L4844" i="293"/>
  <c r="M4844" i="293" s="1"/>
  <c r="L4780" i="293"/>
  <c r="M4780" i="293" s="1"/>
  <c r="L4748" i="293"/>
  <c r="M4748" i="293" s="1"/>
  <c r="L4652" i="293"/>
  <c r="M4652" i="293" s="1"/>
  <c r="L4599" i="293"/>
  <c r="M4599" i="293" s="1"/>
  <c r="L4573" i="293"/>
  <c r="M4573" i="293" s="1"/>
  <c r="L4565" i="293"/>
  <c r="M4565" i="293" s="1"/>
  <c r="L4549" i="293"/>
  <c r="M4549" i="293" s="1"/>
  <c r="L4533" i="293"/>
  <c r="M4533" i="293" s="1"/>
  <c r="L4525" i="293"/>
  <c r="M4525" i="293" s="1"/>
  <c r="L4502" i="293"/>
  <c r="M4502" i="293" s="1"/>
  <c r="L4494" i="293"/>
  <c r="M4494" i="293" s="1"/>
  <c r="L4486" i="293"/>
  <c r="M4486" i="293" s="1"/>
  <c r="L4478" i="293"/>
  <c r="M4478" i="293" s="1"/>
  <c r="L4462" i="293"/>
  <c r="M4462" i="293" s="1"/>
  <c r="L4454" i="293"/>
  <c r="M4454" i="293" s="1"/>
  <c r="L4438" i="293"/>
  <c r="M4438" i="293" s="1"/>
  <c r="L4430" i="293"/>
  <c r="M4430" i="293" s="1"/>
  <c r="L4422" i="293"/>
  <c r="M4422" i="293" s="1"/>
  <c r="L4406" i="293"/>
  <c r="M4406" i="293" s="1"/>
  <c r="L4398" i="293"/>
  <c r="M4398" i="293" s="1"/>
  <c r="L4383" i="293"/>
  <c r="M4383" i="293" s="1"/>
  <c r="L4375" i="293"/>
  <c r="M4375" i="293" s="1"/>
  <c r="L4367" i="293"/>
  <c r="M4367" i="293" s="1"/>
  <c r="L4352" i="293"/>
  <c r="M4352" i="293" s="1"/>
  <c r="L4344" i="293"/>
  <c r="M4344" i="293" s="1"/>
  <c r="L4336" i="293"/>
  <c r="M4336" i="293" s="1"/>
  <c r="L4328" i="293"/>
  <c r="M4328" i="293" s="1"/>
  <c r="L4312" i="293"/>
  <c r="M4312" i="293" s="1"/>
  <c r="L4296" i="293"/>
  <c r="M4296" i="293" s="1"/>
  <c r="L4280" i="293"/>
  <c r="M4280" i="293" s="1"/>
  <c r="L4264" i="293"/>
  <c r="M4264" i="293" s="1"/>
  <c r="L4248" i="293"/>
  <c r="M4248" i="293" s="1"/>
  <c r="L4232" i="293"/>
  <c r="M4232" i="293" s="1"/>
  <c r="L4224" i="293"/>
  <c r="M4224" i="293" s="1"/>
  <c r="L4216" i="293"/>
  <c r="M4216" i="293" s="1"/>
  <c r="L4208" i="293"/>
  <c r="M4208" i="293" s="1"/>
  <c r="L4200" i="293"/>
  <c r="M4200" i="293" s="1"/>
  <c r="L4184" i="293"/>
  <c r="M4184" i="293" s="1"/>
  <c r="L4176" i="293"/>
  <c r="M4176" i="293" s="1"/>
  <c r="L4168" i="293"/>
  <c r="M4168" i="293" s="1"/>
  <c r="L4152" i="293"/>
  <c r="M4152" i="293" s="1"/>
  <c r="L4136" i="293"/>
  <c r="M4136" i="293" s="1"/>
  <c r="L4128" i="293"/>
  <c r="M4128" i="293" s="1"/>
  <c r="L4120" i="293"/>
  <c r="M4120" i="293" s="1"/>
  <c r="L4104" i="293"/>
  <c r="M4104" i="293" s="1"/>
  <c r="L4096" i="293"/>
  <c r="M4096" i="293" s="1"/>
  <c r="L4088" i="293"/>
  <c r="M4088" i="293" s="1"/>
  <c r="L1649" i="293"/>
  <c r="M1649" i="293" s="1"/>
  <c r="L1498" i="293"/>
  <c r="M1498" i="293" s="1"/>
  <c r="L1343" i="293"/>
  <c r="M1343" i="293" s="1"/>
  <c r="L5063" i="293"/>
  <c r="M5063" i="293" s="1"/>
  <c r="L5031" i="293"/>
  <c r="M5031" i="293" s="1"/>
  <c r="L4999" i="293"/>
  <c r="M4999" i="293" s="1"/>
  <c r="L4967" i="293"/>
  <c r="M4967" i="293" s="1"/>
  <c r="L4935" i="293"/>
  <c r="M4935" i="293" s="1"/>
  <c r="L4903" i="293"/>
  <c r="M4903" i="293" s="1"/>
  <c r="L4871" i="293"/>
  <c r="M4871" i="293" s="1"/>
  <c r="L4839" i="293"/>
  <c r="M4839" i="293" s="1"/>
  <c r="L4807" i="293"/>
  <c r="M4807" i="293" s="1"/>
  <c r="L4711" i="293"/>
  <c r="M4711" i="293" s="1"/>
  <c r="L4679" i="293"/>
  <c r="M4679" i="293" s="1"/>
  <c r="L4647" i="293"/>
  <c r="M4647" i="293" s="1"/>
  <c r="L4618" i="293"/>
  <c r="M4618" i="293" s="1"/>
  <c r="L4596" i="293"/>
  <c r="M4596" i="293" s="1"/>
  <c r="L4588" i="293"/>
  <c r="M4588" i="293" s="1"/>
  <c r="L4572" i="293"/>
  <c r="M4572" i="293" s="1"/>
  <c r="L4564" i="293"/>
  <c r="M4564" i="293" s="1"/>
  <c r="L4556" i="293"/>
  <c r="M4556" i="293" s="1"/>
  <c r="L4548" i="293"/>
  <c r="M4548" i="293" s="1"/>
  <c r="L4532" i="293"/>
  <c r="M4532" i="293" s="1"/>
  <c r="L4524" i="293"/>
  <c r="M4524" i="293" s="1"/>
  <c r="L4501" i="293"/>
  <c r="M4501" i="293" s="1"/>
  <c r="L4493" i="293"/>
  <c r="M4493" i="293" s="1"/>
  <c r="L4477" i="293"/>
  <c r="M4477" i="293" s="1"/>
  <c r="L4461" i="293"/>
  <c r="M4461" i="293" s="1"/>
  <c r="L4453" i="293"/>
  <c r="M4453" i="293" s="1"/>
  <c r="L4437" i="293"/>
  <c r="M4437" i="293" s="1"/>
  <c r="L4429" i="293"/>
  <c r="M4429" i="293" s="1"/>
  <c r="L4421" i="293"/>
  <c r="M4421" i="293" s="1"/>
  <c r="L4405" i="293"/>
  <c r="M4405" i="293" s="1"/>
  <c r="L4397" i="293"/>
  <c r="M4397" i="293" s="1"/>
  <c r="L4382" i="293"/>
  <c r="M4382" i="293" s="1"/>
  <c r="L4374" i="293"/>
  <c r="M4374" i="293" s="1"/>
  <c r="L4366" i="293"/>
  <c r="M4366" i="293" s="1"/>
  <c r="L4351" i="293"/>
  <c r="M4351" i="293" s="1"/>
  <c r="L4343" i="293"/>
  <c r="M4343" i="293" s="1"/>
  <c r="L4335" i="293"/>
  <c r="M4335" i="293" s="1"/>
  <c r="L4327" i="293"/>
  <c r="M4327" i="293" s="1"/>
  <c r="L4319" i="293"/>
  <c r="M4319" i="293" s="1"/>
  <c r="L4311" i="293"/>
  <c r="M4311" i="293" s="1"/>
  <c r="L4295" i="293"/>
  <c r="M4295" i="293" s="1"/>
  <c r="L4279" i="293"/>
  <c r="M4279" i="293" s="1"/>
  <c r="L4263" i="293"/>
  <c r="M4263" i="293" s="1"/>
  <c r="L4255" i="293"/>
  <c r="M4255" i="293" s="1"/>
  <c r="L4247" i="293"/>
  <c r="M4247" i="293" s="1"/>
  <c r="L4231" i="293"/>
  <c r="M4231" i="293" s="1"/>
  <c r="L4223" i="293"/>
  <c r="M4223" i="293" s="1"/>
  <c r="L4215" i="293"/>
  <c r="M4215" i="293" s="1"/>
  <c r="L4207" i="293"/>
  <c r="M4207" i="293" s="1"/>
  <c r="L4199" i="293"/>
  <c r="M4199" i="293" s="1"/>
  <c r="L4191" i="293"/>
  <c r="M4191" i="293" s="1"/>
  <c r="L4183" i="293"/>
  <c r="M4183" i="293" s="1"/>
  <c r="L4175" i="293"/>
  <c r="M4175" i="293" s="1"/>
  <c r="L4167" i="293"/>
  <c r="M4167" i="293" s="1"/>
  <c r="L4151" i="293"/>
  <c r="M4151" i="293" s="1"/>
  <c r="L4143" i="293"/>
  <c r="M4143" i="293" s="1"/>
  <c r="L4135" i="293"/>
  <c r="M4135" i="293" s="1"/>
  <c r="L4127" i="293"/>
  <c r="M4127" i="293" s="1"/>
  <c r="L4103" i="293"/>
  <c r="M4103" i="293" s="1"/>
  <c r="L4095" i="293"/>
  <c r="M4095" i="293" s="1"/>
  <c r="L4087" i="293"/>
  <c r="M4087" i="293" s="1"/>
  <c r="L2226" i="293"/>
  <c r="M2226" i="293" s="1"/>
  <c r="L1408" i="293"/>
  <c r="M1408" i="293" s="1"/>
  <c r="L1340" i="293"/>
  <c r="M1340" i="293" s="1"/>
  <c r="L5060" i="293"/>
  <c r="M5060" i="293" s="1"/>
  <c r="L5028" i="293"/>
  <c r="M5028" i="293" s="1"/>
  <c r="L4964" i="293"/>
  <c r="M4964" i="293" s="1"/>
  <c r="L4932" i="293"/>
  <c r="M4932" i="293" s="1"/>
  <c r="L4900" i="293"/>
  <c r="M4900" i="293" s="1"/>
  <c r="L4868" i="293"/>
  <c r="M4868" i="293" s="1"/>
  <c r="L4804" i="293"/>
  <c r="M4804" i="293" s="1"/>
  <c r="L4740" i="293"/>
  <c r="M4740" i="293" s="1"/>
  <c r="L4708" i="293"/>
  <c r="M4708" i="293" s="1"/>
  <c r="L4676" i="293"/>
  <c r="M4676" i="293" s="1"/>
  <c r="L4615" i="293"/>
  <c r="M4615" i="293" s="1"/>
  <c r="L4595" i="293"/>
  <c r="M4595" i="293" s="1"/>
  <c r="L4587" i="293"/>
  <c r="M4587" i="293" s="1"/>
  <c r="L4563" i="293"/>
  <c r="M4563" i="293" s="1"/>
  <c r="L4555" i="293"/>
  <c r="M4555" i="293" s="1"/>
  <c r="L4547" i="293"/>
  <c r="M4547" i="293" s="1"/>
  <c r="L4539" i="293"/>
  <c r="M4539" i="293" s="1"/>
  <c r="L4531" i="293"/>
  <c r="M4531" i="293" s="1"/>
  <c r="L4523" i="293"/>
  <c r="M4523" i="293" s="1"/>
  <c r="L4500" i="293"/>
  <c r="M4500" i="293" s="1"/>
  <c r="L4492" i="293"/>
  <c r="M4492" i="293" s="1"/>
  <c r="L4476" i="293"/>
  <c r="M4476" i="293" s="1"/>
  <c r="L4460" i="293"/>
  <c r="M4460" i="293" s="1"/>
  <c r="L4452" i="293"/>
  <c r="M4452" i="293" s="1"/>
  <c r="L4436" i="293"/>
  <c r="M4436" i="293" s="1"/>
  <c r="L4420" i="293"/>
  <c r="M4420" i="293" s="1"/>
  <c r="L4404" i="293"/>
  <c r="M4404" i="293" s="1"/>
  <c r="L4396" i="293"/>
  <c r="M4396" i="293" s="1"/>
  <c r="L4381" i="293"/>
  <c r="M4381" i="293" s="1"/>
  <c r="L4373" i="293"/>
  <c r="M4373" i="293" s="1"/>
  <c r="L4350" i="293"/>
  <c r="M4350" i="293" s="1"/>
  <c r="L4342" i="293"/>
  <c r="M4342" i="293" s="1"/>
  <c r="L4326" i="293"/>
  <c r="M4326" i="293" s="1"/>
  <c r="L4318" i="293"/>
  <c r="M4318" i="293" s="1"/>
  <c r="L4310" i="293"/>
  <c r="M4310" i="293" s="1"/>
  <c r="L4278" i="293"/>
  <c r="M4278" i="293" s="1"/>
  <c r="L4262" i="293"/>
  <c r="M4262" i="293" s="1"/>
  <c r="L4254" i="293"/>
  <c r="M4254" i="293" s="1"/>
  <c r="L4246" i="293"/>
  <c r="M4246" i="293" s="1"/>
  <c r="L4230" i="293"/>
  <c r="M4230" i="293" s="1"/>
  <c r="L4222" i="293"/>
  <c r="M4222" i="293" s="1"/>
  <c r="L4214" i="293"/>
  <c r="M4214" i="293" s="1"/>
  <c r="L4198" i="293"/>
  <c r="M4198" i="293" s="1"/>
  <c r="L4182" i="293"/>
  <c r="M4182" i="293" s="1"/>
  <c r="L4174" i="293"/>
  <c r="M4174" i="293" s="1"/>
  <c r="L4166" i="293"/>
  <c r="M4166" i="293" s="1"/>
  <c r="L4150" i="293"/>
  <c r="M4150" i="293" s="1"/>
  <c r="L4142" i="293"/>
  <c r="M4142" i="293" s="1"/>
  <c r="L4134" i="293"/>
  <c r="M4134" i="293" s="1"/>
  <c r="L4126" i="293"/>
  <c r="M4126" i="293" s="1"/>
  <c r="L4102" i="293"/>
  <c r="M4102" i="293" s="1"/>
  <c r="L4094" i="293"/>
  <c r="M4094" i="293" s="1"/>
  <c r="L2218" i="293"/>
  <c r="M2218" i="293" s="1"/>
  <c r="L1593" i="293"/>
  <c r="M1593" i="293" s="1"/>
  <c r="L1400" i="293"/>
  <c r="M1400" i="293" s="1"/>
  <c r="L5023" i="293"/>
  <c r="M5023" i="293" s="1"/>
  <c r="L4927" i="293"/>
  <c r="M4927" i="293" s="1"/>
  <c r="L4895" i="293"/>
  <c r="M4895" i="293" s="1"/>
  <c r="L4767" i="293"/>
  <c r="M4767" i="293" s="1"/>
  <c r="L4671" i="293"/>
  <c r="M4671" i="293" s="1"/>
  <c r="L4612" i="293"/>
  <c r="M4612" i="293" s="1"/>
  <c r="L4562" i="293"/>
  <c r="M4562" i="293" s="1"/>
  <c r="L4554" i="293"/>
  <c r="M4554" i="293" s="1"/>
  <c r="L4546" i="293"/>
  <c r="M4546" i="293" s="1"/>
  <c r="L4538" i="293"/>
  <c r="M4538" i="293" s="1"/>
  <c r="L4530" i="293"/>
  <c r="M4530" i="293" s="1"/>
  <c r="L4522" i="293"/>
  <c r="M4522" i="293" s="1"/>
  <c r="L4499" i="293"/>
  <c r="M4499" i="293" s="1"/>
  <c r="L4491" i="293"/>
  <c r="M4491" i="293" s="1"/>
  <c r="L4475" i="293"/>
  <c r="M4475" i="293" s="1"/>
  <c r="L4467" i="293"/>
  <c r="M4467" i="293" s="1"/>
  <c r="L4459" i="293"/>
  <c r="M4459" i="293" s="1"/>
  <c r="L4451" i="293"/>
  <c r="M4451" i="293" s="1"/>
  <c r="L4435" i="293"/>
  <c r="M4435" i="293" s="1"/>
  <c r="L4427" i="293"/>
  <c r="M4427" i="293" s="1"/>
  <c r="L4419" i="293"/>
  <c r="M4419" i="293" s="1"/>
  <c r="L4403" i="293"/>
  <c r="M4403" i="293" s="1"/>
  <c r="L4395" i="293"/>
  <c r="M4395" i="293" s="1"/>
  <c r="L4372" i="293"/>
  <c r="M4372" i="293" s="1"/>
  <c r="L4364" i="293"/>
  <c r="M4364" i="293" s="1"/>
  <c r="L4341" i="293"/>
  <c r="M4341" i="293" s="1"/>
  <c r="L4333" i="293"/>
  <c r="M4333" i="293" s="1"/>
  <c r="L4325" i="293"/>
  <c r="M4325" i="293" s="1"/>
  <c r="L4317" i="293"/>
  <c r="M4317" i="293" s="1"/>
  <c r="L4309" i="293"/>
  <c r="M4309" i="293" s="1"/>
  <c r="L4293" i="293"/>
  <c r="M4293" i="293" s="1"/>
  <c r="L4285" i="293"/>
  <c r="M4285" i="293" s="1"/>
  <c r="L4277" i="293"/>
  <c r="M4277" i="293" s="1"/>
  <c r="L4261" i="293"/>
  <c r="M4261" i="293" s="1"/>
  <c r="L4253" i="293"/>
  <c r="M4253" i="293" s="1"/>
  <c r="L4245" i="293"/>
  <c r="M4245" i="293" s="1"/>
  <c r="L4237" i="293"/>
  <c r="M4237" i="293" s="1"/>
  <c r="L4229" i="293"/>
  <c r="M4229" i="293" s="1"/>
  <c r="L4213" i="293"/>
  <c r="M4213" i="293" s="1"/>
  <c r="L4197" i="293"/>
  <c r="M4197" i="293" s="1"/>
  <c r="L4181" i="293"/>
  <c r="M4181" i="293" s="1"/>
  <c r="L4173" i="293"/>
  <c r="M4173" i="293" s="1"/>
  <c r="L4165" i="293"/>
  <c r="M4165" i="293" s="1"/>
  <c r="L4149" i="293"/>
  <c r="M4149" i="293" s="1"/>
  <c r="L4141" i="293"/>
  <c r="M4141" i="293" s="1"/>
  <c r="L4133" i="293"/>
  <c r="M4133" i="293" s="1"/>
  <c r="L4125" i="293"/>
  <c r="M4125" i="293" s="1"/>
  <c r="L4117" i="293"/>
  <c r="M4117" i="293" s="1"/>
  <c r="L4101" i="293"/>
  <c r="M4101" i="293" s="1"/>
  <c r="L4093" i="293"/>
  <c r="M4093" i="293" s="1"/>
  <c r="L2210" i="293"/>
  <c r="M2210" i="293" s="1"/>
  <c r="L1585" i="293"/>
  <c r="M1585" i="293" s="1"/>
  <c r="L1392" i="293"/>
  <c r="M1392" i="293" s="1"/>
  <c r="L1332" i="293"/>
  <c r="M1332" i="293" s="1"/>
  <c r="L5052" i="293"/>
  <c r="M5052" i="293" s="1"/>
  <c r="L4988" i="293"/>
  <c r="M4988" i="293" s="1"/>
  <c r="L4924" i="293"/>
  <c r="M4924" i="293" s="1"/>
  <c r="L4860" i="293"/>
  <c r="M4860" i="293" s="1"/>
  <c r="L4828" i="293"/>
  <c r="M4828" i="293" s="1"/>
  <c r="L4796" i="293"/>
  <c r="M4796" i="293" s="1"/>
  <c r="L4764" i="293"/>
  <c r="M4764" i="293" s="1"/>
  <c r="L4700" i="293"/>
  <c r="M4700" i="293" s="1"/>
  <c r="L4610" i="293"/>
  <c r="M4610" i="293" s="1"/>
  <c r="L4585" i="293"/>
  <c r="M4585" i="293" s="1"/>
  <c r="L4569" i="293"/>
  <c r="M4569" i="293" s="1"/>
  <c r="L4561" i="293"/>
  <c r="M4561" i="293" s="1"/>
  <c r="L4553" i="293"/>
  <c r="M4553" i="293" s="1"/>
  <c r="L4537" i="293"/>
  <c r="M4537" i="293" s="1"/>
  <c r="L4529" i="293"/>
  <c r="M4529" i="293" s="1"/>
  <c r="L4521" i="293"/>
  <c r="M4521" i="293" s="1"/>
  <c r="L4498" i="293"/>
  <c r="M4498" i="293" s="1"/>
  <c r="L4490" i="293"/>
  <c r="M4490" i="293" s="1"/>
  <c r="L4482" i="293"/>
  <c r="M4482" i="293" s="1"/>
  <c r="L4466" i="293"/>
  <c r="M4466" i="293" s="1"/>
  <c r="L4458" i="293"/>
  <c r="M4458" i="293" s="1"/>
  <c r="L4450" i="293"/>
  <c r="M4450" i="293" s="1"/>
  <c r="L4434" i="293"/>
  <c r="M4434" i="293" s="1"/>
  <c r="L4418" i="293"/>
  <c r="M4418" i="293" s="1"/>
  <c r="L4394" i="293"/>
  <c r="M4394" i="293" s="1"/>
  <c r="L4371" i="293"/>
  <c r="M4371" i="293" s="1"/>
  <c r="L4356" i="293"/>
  <c r="M4356" i="293" s="1"/>
  <c r="L4340" i="293"/>
  <c r="M4340" i="293" s="1"/>
  <c r="L4324" i="293"/>
  <c r="M4324" i="293" s="1"/>
  <c r="L4316" i="293"/>
  <c r="M4316" i="293" s="1"/>
  <c r="L4308" i="293"/>
  <c r="M4308" i="293" s="1"/>
  <c r="L4300" i="293"/>
  <c r="M4300" i="293" s="1"/>
  <c r="L4292" i="293"/>
  <c r="M4292" i="293" s="1"/>
  <c r="L4284" i="293"/>
  <c r="M4284" i="293" s="1"/>
  <c r="L4276" i="293"/>
  <c r="M4276" i="293" s="1"/>
  <c r="L4268" i="293"/>
  <c r="M4268" i="293" s="1"/>
  <c r="L4260" i="293"/>
  <c r="M4260" i="293" s="1"/>
  <c r="L4252" i="293"/>
  <c r="M4252" i="293" s="1"/>
  <c r="L4236" i="293"/>
  <c r="M4236" i="293" s="1"/>
  <c r="L4228" i="293"/>
  <c r="M4228" i="293" s="1"/>
  <c r="L4220" i="293"/>
  <c r="M4220" i="293" s="1"/>
  <c r="L4212" i="293"/>
  <c r="M4212" i="293" s="1"/>
  <c r="L4196" i="293"/>
  <c r="M4196" i="293" s="1"/>
  <c r="L4180" i="293"/>
  <c r="M4180" i="293" s="1"/>
  <c r="L4172" i="293"/>
  <c r="M4172" i="293" s="1"/>
  <c r="L4164" i="293"/>
  <c r="M4164" i="293" s="1"/>
  <c r="L4156" i="293"/>
  <c r="M4156" i="293" s="1"/>
  <c r="L4148" i="293"/>
  <c r="M4148" i="293" s="1"/>
  <c r="L4140" i="293"/>
  <c r="M4140" i="293" s="1"/>
  <c r="L4132" i="293"/>
  <c r="M4132" i="293" s="1"/>
  <c r="L4124" i="293"/>
  <c r="M4124" i="293" s="1"/>
  <c r="L4100" i="293"/>
  <c r="M4100" i="293" s="1"/>
  <c r="L4092" i="293"/>
  <c r="M4092" i="293" s="1"/>
  <c r="L2005" i="293"/>
  <c r="M2005" i="293" s="1"/>
  <c r="L1384" i="293"/>
  <c r="M1384" i="293" s="1"/>
  <c r="L4983" i="293"/>
  <c r="M4983" i="293" s="1"/>
  <c r="L4951" i="293"/>
  <c r="M4951" i="293" s="1"/>
  <c r="L4887" i="293"/>
  <c r="M4887" i="293" s="1"/>
  <c r="L4855" i="293"/>
  <c r="M4855" i="293" s="1"/>
  <c r="L4823" i="293"/>
  <c r="M4823" i="293" s="1"/>
  <c r="L4791" i="293"/>
  <c r="M4791" i="293" s="1"/>
  <c r="L4759" i="293"/>
  <c r="M4759" i="293" s="1"/>
  <c r="L4727" i="293"/>
  <c r="M4727" i="293" s="1"/>
  <c r="L4663" i="293"/>
  <c r="M4663" i="293" s="1"/>
  <c r="L4631" i="293"/>
  <c r="M4631" i="293" s="1"/>
  <c r="L4607" i="293"/>
  <c r="M4607" i="293" s="1"/>
  <c r="L4584" i="293"/>
  <c r="M4584" i="293" s="1"/>
  <c r="L4568" i="293"/>
  <c r="M4568" i="293" s="1"/>
  <c r="L4560" i="293"/>
  <c r="M4560" i="293" s="1"/>
  <c r="L4552" i="293"/>
  <c r="M4552" i="293" s="1"/>
  <c r="L4536" i="293"/>
  <c r="M4536" i="293" s="1"/>
  <c r="L4528" i="293"/>
  <c r="M4528" i="293" s="1"/>
  <c r="L4520" i="293"/>
  <c r="M4520" i="293" s="1"/>
  <c r="L4505" i="293"/>
  <c r="M4505" i="293" s="1"/>
  <c r="L4497" i="293"/>
  <c r="M4497" i="293" s="1"/>
  <c r="L4489" i="293"/>
  <c r="M4489" i="293" s="1"/>
  <c r="L4481" i="293"/>
  <c r="M4481" i="293" s="1"/>
  <c r="L4465" i="293"/>
  <c r="M4465" i="293" s="1"/>
  <c r="L4457" i="293"/>
  <c r="M4457" i="293" s="1"/>
  <c r="L4449" i="293"/>
  <c r="M4449" i="293" s="1"/>
  <c r="L4433" i="293"/>
  <c r="M4433" i="293" s="1"/>
  <c r="L4417" i="293"/>
  <c r="M4417" i="293" s="1"/>
  <c r="L4409" i="293"/>
  <c r="M4409" i="293" s="1"/>
  <c r="L4393" i="293"/>
  <c r="M4393" i="293" s="1"/>
  <c r="L4370" i="293"/>
  <c r="M4370" i="293" s="1"/>
  <c r="L4355" i="293"/>
  <c r="M4355" i="293" s="1"/>
  <c r="L4339" i="293"/>
  <c r="M4339" i="293" s="1"/>
  <c r="L4323" i="293"/>
  <c r="M4323" i="293" s="1"/>
  <c r="L4315" i="293"/>
  <c r="M4315" i="293" s="1"/>
  <c r="L4307" i="293"/>
  <c r="M4307" i="293" s="1"/>
  <c r="L4299" i="293"/>
  <c r="M4299" i="293" s="1"/>
  <c r="L4291" i="293"/>
  <c r="M4291" i="293" s="1"/>
  <c r="L4283" i="293"/>
  <c r="M4283" i="293" s="1"/>
  <c r="L4275" i="293"/>
  <c r="M4275" i="293" s="1"/>
  <c r="L4267" i="293"/>
  <c r="M4267" i="293" s="1"/>
  <c r="L4259" i="293"/>
  <c r="M4259" i="293" s="1"/>
  <c r="L4251" i="293"/>
  <c r="M4251" i="293" s="1"/>
  <c r="L4227" i="293"/>
  <c r="M4227" i="293" s="1"/>
  <c r="L4211" i="293"/>
  <c r="M4211" i="293" s="1"/>
  <c r="L4203" i="293"/>
  <c r="M4203" i="293" s="1"/>
  <c r="L4195" i="293"/>
  <c r="M4195" i="293" s="1"/>
  <c r="L4187" i="293"/>
  <c r="M4187" i="293" s="1"/>
  <c r="L4171" i="293"/>
  <c r="M4171" i="293" s="1"/>
  <c r="L4155" i="293"/>
  <c r="M4155" i="293" s="1"/>
  <c r="L4147" i="293"/>
  <c r="M4147" i="293" s="1"/>
  <c r="L4139" i="293"/>
  <c r="M4139" i="293" s="1"/>
  <c r="L4131" i="293"/>
  <c r="M4131" i="293" s="1"/>
  <c r="L4123" i="293"/>
  <c r="M4123" i="293" s="1"/>
  <c r="L4107" i="293"/>
  <c r="M4107" i="293" s="1"/>
  <c r="L4099" i="293"/>
  <c r="M4099" i="293" s="1"/>
  <c r="L4091" i="293"/>
  <c r="M4091" i="293" s="1"/>
  <c r="L4083" i="293"/>
  <c r="M4083" i="293" s="1"/>
  <c r="L4075" i="293"/>
  <c r="M4075" i="293" s="1"/>
  <c r="L1980" i="293"/>
  <c r="M1980" i="293" s="1"/>
  <c r="L5071" i="293"/>
  <c r="M5071" i="293" s="1"/>
  <c r="L4943" i="293"/>
  <c r="M4943" i="293" s="1"/>
  <c r="L4558" i="293"/>
  <c r="M4558" i="293" s="1"/>
  <c r="L4526" i="293"/>
  <c r="M4526" i="293" s="1"/>
  <c r="L4495" i="293"/>
  <c r="M4495" i="293" s="1"/>
  <c r="L4463" i="293"/>
  <c r="M4463" i="293" s="1"/>
  <c r="L4431" i="293"/>
  <c r="M4431" i="293" s="1"/>
  <c r="L4399" i="293"/>
  <c r="M4399" i="293" s="1"/>
  <c r="L4368" i="293"/>
  <c r="M4368" i="293" s="1"/>
  <c r="L4337" i="293"/>
  <c r="M4337" i="293" s="1"/>
  <c r="L4305" i="293"/>
  <c r="M4305" i="293" s="1"/>
  <c r="L4273" i="293"/>
  <c r="M4273" i="293" s="1"/>
  <c r="L4209" i="293"/>
  <c r="M4209" i="293" s="1"/>
  <c r="L4073" i="293"/>
  <c r="M4073" i="293" s="1"/>
  <c r="L4057" i="293"/>
  <c r="M4057" i="293" s="1"/>
  <c r="L4049" i="293"/>
  <c r="M4049" i="293" s="1"/>
  <c r="L4041" i="293"/>
  <c r="M4041" i="293" s="1"/>
  <c r="L4025" i="293"/>
  <c r="M4025" i="293" s="1"/>
  <c r="L4017" i="293"/>
  <c r="M4017" i="293" s="1"/>
  <c r="L4009" i="293"/>
  <c r="M4009" i="293" s="1"/>
  <c r="L4001" i="293"/>
  <c r="M4001" i="293" s="1"/>
  <c r="L3993" i="293"/>
  <c r="M3993" i="293" s="1"/>
  <c r="L3985" i="293"/>
  <c r="M3985" i="293" s="1"/>
  <c r="L3970" i="293"/>
  <c r="M3970" i="293" s="1"/>
  <c r="L3954" i="293"/>
  <c r="M3954" i="293" s="1"/>
  <c r="L3946" i="293"/>
  <c r="M3946" i="293" s="1"/>
  <c r="L3930" i="293"/>
  <c r="M3930" i="293" s="1"/>
  <c r="L3914" i="293"/>
  <c r="M3914" i="293" s="1"/>
  <c r="L3906" i="293"/>
  <c r="M3906" i="293" s="1"/>
  <c r="L3898" i="293"/>
  <c r="M3898" i="293" s="1"/>
  <c r="L3883" i="293"/>
  <c r="M3883" i="293" s="1"/>
  <c r="L3875" i="293"/>
  <c r="M3875" i="293" s="1"/>
  <c r="L3867" i="293"/>
  <c r="M3867" i="293" s="1"/>
  <c r="L3859" i="293"/>
  <c r="M3859" i="293" s="1"/>
  <c r="L3843" i="293"/>
  <c r="M3843" i="293" s="1"/>
  <c r="L3835" i="293"/>
  <c r="M3835" i="293" s="1"/>
  <c r="L3819" i="293"/>
  <c r="M3819" i="293" s="1"/>
  <c r="L3811" i="293"/>
  <c r="M3811" i="293" s="1"/>
  <c r="L3795" i="293"/>
  <c r="M3795" i="293" s="1"/>
  <c r="L3787" i="293"/>
  <c r="M3787" i="293" s="1"/>
  <c r="L3779" i="293"/>
  <c r="M3779" i="293" s="1"/>
  <c r="L3771" i="293"/>
  <c r="M3771" i="293" s="1"/>
  <c r="L3763" i="293"/>
  <c r="M3763" i="293" s="1"/>
  <c r="L3756" i="293"/>
  <c r="M3756" i="293" s="1"/>
  <c r="L3740" i="293"/>
  <c r="M3740" i="293" s="1"/>
  <c r="L3732" i="293"/>
  <c r="M3732" i="293" s="1"/>
  <c r="L3716" i="293"/>
  <c r="M3716" i="293" s="1"/>
  <c r="L3708" i="293"/>
  <c r="M3708" i="293" s="1"/>
  <c r="L3700" i="293"/>
  <c r="M3700" i="293" s="1"/>
  <c r="L3684" i="293"/>
  <c r="M3684" i="293" s="1"/>
  <c r="L3676" i="293"/>
  <c r="M3676" i="293" s="1"/>
  <c r="L3668" i="293"/>
  <c r="M3668" i="293" s="1"/>
  <c r="L3660" i="293"/>
  <c r="M3660" i="293" s="1"/>
  <c r="L3653" i="293"/>
  <c r="M3653" i="293" s="1"/>
  <c r="L3637" i="293"/>
  <c r="M3637" i="293" s="1"/>
  <c r="L3630" i="293"/>
  <c r="M3630" i="293" s="1"/>
  <c r="L3607" i="293"/>
  <c r="M3607" i="293" s="1"/>
  <c r="L4788" i="293"/>
  <c r="M4788" i="293" s="1"/>
  <c r="L4551" i="293"/>
  <c r="M4551" i="293" s="1"/>
  <c r="L4456" i="293"/>
  <c r="M4456" i="293" s="1"/>
  <c r="L4392" i="293"/>
  <c r="M4392" i="293" s="1"/>
  <c r="L4330" i="293"/>
  <c r="M4330" i="293" s="1"/>
  <c r="L4298" i="293"/>
  <c r="M4298" i="293" s="1"/>
  <c r="L4266" i="293"/>
  <c r="M4266" i="293" s="1"/>
  <c r="L4202" i="293"/>
  <c r="M4202" i="293" s="1"/>
  <c r="L4170" i="293"/>
  <c r="M4170" i="293" s="1"/>
  <c r="L4138" i="293"/>
  <c r="M4138" i="293" s="1"/>
  <c r="L4106" i="293"/>
  <c r="M4106" i="293" s="1"/>
  <c r="L4082" i="293"/>
  <c r="M4082" i="293" s="1"/>
  <c r="L4072" i="293"/>
  <c r="M4072" i="293" s="1"/>
  <c r="L4056" i="293"/>
  <c r="M4056" i="293" s="1"/>
  <c r="L4048" i="293"/>
  <c r="M4048" i="293" s="1"/>
  <c r="L4024" i="293"/>
  <c r="M4024" i="293" s="1"/>
  <c r="L4016" i="293"/>
  <c r="M4016" i="293" s="1"/>
  <c r="L4008" i="293"/>
  <c r="M4008" i="293" s="1"/>
  <c r="L3992" i="293"/>
  <c r="M3992" i="293" s="1"/>
  <c r="L3984" i="293"/>
  <c r="M3984" i="293" s="1"/>
  <c r="L3969" i="293"/>
  <c r="M3969" i="293" s="1"/>
  <c r="L3929" i="293"/>
  <c r="M3929" i="293" s="1"/>
  <c r="L3913" i="293"/>
  <c r="M3913" i="293" s="1"/>
  <c r="L3905" i="293"/>
  <c r="M3905" i="293" s="1"/>
  <c r="L3897" i="293"/>
  <c r="M3897" i="293" s="1"/>
  <c r="L3890" i="293"/>
  <c r="M3890" i="293" s="1"/>
  <c r="L3882" i="293"/>
  <c r="M3882" i="293" s="1"/>
  <c r="L3866" i="293"/>
  <c r="M3866" i="293" s="1"/>
  <c r="L3858" i="293"/>
  <c r="M3858" i="293" s="1"/>
  <c r="L3842" i="293"/>
  <c r="M3842" i="293" s="1"/>
  <c r="L3834" i="293"/>
  <c r="M3834" i="293" s="1"/>
  <c r="L3818" i="293"/>
  <c r="M3818" i="293" s="1"/>
  <c r="L3810" i="293"/>
  <c r="M3810" i="293" s="1"/>
  <c r="L3802" i="293"/>
  <c r="M3802" i="293" s="1"/>
  <c r="L3778" i="293"/>
  <c r="M3778" i="293" s="1"/>
  <c r="L3762" i="293"/>
  <c r="M3762" i="293" s="1"/>
  <c r="L3755" i="293"/>
  <c r="M3755" i="293" s="1"/>
  <c r="L3739" i="293"/>
  <c r="M3739" i="293" s="1"/>
  <c r="L3731" i="293"/>
  <c r="M3731" i="293" s="1"/>
  <c r="L3707" i="293"/>
  <c r="M3707" i="293" s="1"/>
  <c r="L3683" i="293"/>
  <c r="M3683" i="293" s="1"/>
  <c r="L3675" i="293"/>
  <c r="M3675" i="293" s="1"/>
  <c r="L3659" i="293"/>
  <c r="M3659" i="293" s="1"/>
  <c r="L3652" i="293"/>
  <c r="M3652" i="293" s="1"/>
  <c r="L3636" i="293"/>
  <c r="M3636" i="293" s="1"/>
  <c r="L3629" i="293"/>
  <c r="M3629" i="293" s="1"/>
  <c r="L3613" i="293"/>
  <c r="M3613" i="293" s="1"/>
  <c r="L3606" i="293"/>
  <c r="M3606" i="293" s="1"/>
  <c r="L3591" i="293"/>
  <c r="M3591" i="293" s="1"/>
  <c r="L1972" i="293"/>
  <c r="M1972" i="293" s="1"/>
  <c r="L5039" i="293"/>
  <c r="M5039" i="293" s="1"/>
  <c r="L4911" i="293"/>
  <c r="M4911" i="293" s="1"/>
  <c r="L4783" i="293"/>
  <c r="M4783" i="293" s="1"/>
  <c r="L4655" i="293"/>
  <c r="M4655" i="293" s="1"/>
  <c r="L4550" i="293"/>
  <c r="M4550" i="293" s="1"/>
  <c r="L4518" i="293"/>
  <c r="M4518" i="293" s="1"/>
  <c r="L4487" i="293"/>
  <c r="M4487" i="293" s="1"/>
  <c r="L4455" i="293"/>
  <c r="M4455" i="293" s="1"/>
  <c r="L4391" i="293"/>
  <c r="M4391" i="293" s="1"/>
  <c r="L4329" i="293"/>
  <c r="M4329" i="293" s="1"/>
  <c r="L4297" i="293"/>
  <c r="M4297" i="293" s="1"/>
  <c r="L4265" i="293"/>
  <c r="M4265" i="293" s="1"/>
  <c r="L4233" i="293"/>
  <c r="M4233" i="293" s="1"/>
  <c r="L4201" i="293"/>
  <c r="M4201" i="293" s="1"/>
  <c r="L4169" i="293"/>
  <c r="M4169" i="293" s="1"/>
  <c r="L4137" i="293"/>
  <c r="M4137" i="293" s="1"/>
  <c r="L4105" i="293"/>
  <c r="M4105" i="293" s="1"/>
  <c r="L4081" i="293"/>
  <c r="M4081" i="293" s="1"/>
  <c r="L4071" i="293"/>
  <c r="M4071" i="293" s="1"/>
  <c r="L4063" i="293"/>
  <c r="M4063" i="293" s="1"/>
  <c r="L4055" i="293"/>
  <c r="M4055" i="293" s="1"/>
  <c r="L4047" i="293"/>
  <c r="M4047" i="293" s="1"/>
  <c r="L4023" i="293"/>
  <c r="M4023" i="293" s="1"/>
  <c r="L4015" i="293"/>
  <c r="M4015" i="293" s="1"/>
  <c r="L4007" i="293"/>
  <c r="M4007" i="293" s="1"/>
  <c r="L3991" i="293"/>
  <c r="M3991" i="293" s="1"/>
  <c r="L3983" i="293"/>
  <c r="M3983" i="293" s="1"/>
  <c r="L3968" i="293"/>
  <c r="M3968" i="293" s="1"/>
  <c r="L3960" i="293"/>
  <c r="M3960" i="293" s="1"/>
  <c r="L3936" i="293"/>
  <c r="M3936" i="293" s="1"/>
  <c r="L3928" i="293"/>
  <c r="M3928" i="293" s="1"/>
  <c r="L3912" i="293"/>
  <c r="M3912" i="293" s="1"/>
  <c r="L3904" i="293"/>
  <c r="M3904" i="293" s="1"/>
  <c r="L3896" i="293"/>
  <c r="M3896" i="293" s="1"/>
  <c r="L3881" i="293"/>
  <c r="M3881" i="293" s="1"/>
  <c r="L3873" i="293"/>
  <c r="M3873" i="293" s="1"/>
  <c r="L3857" i="293"/>
  <c r="M3857" i="293" s="1"/>
  <c r="L3841" i="293"/>
  <c r="M3841" i="293" s="1"/>
  <c r="L3833" i="293"/>
  <c r="M3833" i="293" s="1"/>
  <c r="L3825" i="293"/>
  <c r="M3825" i="293" s="1"/>
  <c r="L3817" i="293"/>
  <c r="M3817" i="293" s="1"/>
  <c r="L3809" i="293"/>
  <c r="M3809" i="293" s="1"/>
  <c r="L3801" i="293"/>
  <c r="M3801" i="293" s="1"/>
  <c r="L3793" i="293"/>
  <c r="M3793" i="293" s="1"/>
  <c r="L3777" i="293"/>
  <c r="M3777" i="293" s="1"/>
  <c r="L3761" i="293"/>
  <c r="M3761" i="293" s="1"/>
  <c r="L3754" i="293"/>
  <c r="M3754" i="293" s="1"/>
  <c r="L3738" i="293"/>
  <c r="M3738" i="293" s="1"/>
  <c r="L3730" i="293"/>
  <c r="M3730" i="293" s="1"/>
  <c r="L3706" i="293"/>
  <c r="M3706" i="293" s="1"/>
  <c r="L3682" i="293"/>
  <c r="M3682" i="293" s="1"/>
  <c r="L3674" i="293"/>
  <c r="M3674" i="293" s="1"/>
  <c r="L3658" i="293"/>
  <c r="M3658" i="293" s="1"/>
  <c r="L3651" i="293"/>
  <c r="M3651" i="293" s="1"/>
  <c r="L3635" i="293"/>
  <c r="M3635" i="293" s="1"/>
  <c r="L3605" i="293"/>
  <c r="M3605" i="293" s="1"/>
  <c r="L3597" i="293"/>
  <c r="M3597" i="293" s="1"/>
  <c r="L1569" i="293"/>
  <c r="M1569" i="293" s="1"/>
  <c r="L4884" i="293"/>
  <c r="M4884" i="293" s="1"/>
  <c r="L4628" i="293"/>
  <c r="M4628" i="293" s="1"/>
  <c r="L4480" i="293"/>
  <c r="M4480" i="293" s="1"/>
  <c r="L4385" i="293"/>
  <c r="M4385" i="293" s="1"/>
  <c r="L4354" i="293"/>
  <c r="M4354" i="293" s="1"/>
  <c r="L4290" i="293"/>
  <c r="M4290" i="293" s="1"/>
  <c r="L4226" i="293"/>
  <c r="M4226" i="293" s="1"/>
  <c r="L4194" i="293"/>
  <c r="M4194" i="293" s="1"/>
  <c r="L4162" i="293"/>
  <c r="M4162" i="293" s="1"/>
  <c r="L4130" i="293"/>
  <c r="M4130" i="293" s="1"/>
  <c r="L4098" i="293"/>
  <c r="M4098" i="293" s="1"/>
  <c r="L4080" i="293"/>
  <c r="M4080" i="293" s="1"/>
  <c r="L4070" i="293"/>
  <c r="M4070" i="293" s="1"/>
  <c r="L4062" i="293"/>
  <c r="M4062" i="293" s="1"/>
  <c r="L4054" i="293"/>
  <c r="M4054" i="293" s="1"/>
  <c r="L4046" i="293"/>
  <c r="M4046" i="293" s="1"/>
  <c r="L4038" i="293"/>
  <c r="M4038" i="293" s="1"/>
  <c r="L4022" i="293"/>
  <c r="M4022" i="293" s="1"/>
  <c r="L4014" i="293"/>
  <c r="M4014" i="293" s="1"/>
  <c r="L4006" i="293"/>
  <c r="M4006" i="293" s="1"/>
  <c r="L3998" i="293"/>
  <c r="M3998" i="293" s="1"/>
  <c r="L3990" i="293"/>
  <c r="M3990" i="293" s="1"/>
  <c r="L3982" i="293"/>
  <c r="M3982" i="293" s="1"/>
  <c r="L3967" i="293"/>
  <c r="M3967" i="293" s="1"/>
  <c r="L3959" i="293"/>
  <c r="M3959" i="293" s="1"/>
  <c r="L3943" i="293"/>
  <c r="M3943" i="293" s="1"/>
  <c r="L3935" i="293"/>
  <c r="M3935" i="293" s="1"/>
  <c r="L3927" i="293"/>
  <c r="M3927" i="293" s="1"/>
  <c r="L3911" i="293"/>
  <c r="M3911" i="293" s="1"/>
  <c r="L3903" i="293"/>
  <c r="M3903" i="293" s="1"/>
  <c r="L3895" i="293"/>
  <c r="M3895" i="293" s="1"/>
  <c r="L3880" i="293"/>
  <c r="M3880" i="293" s="1"/>
  <c r="L3864" i="293"/>
  <c r="M3864" i="293" s="1"/>
  <c r="L3840" i="293"/>
  <c r="M3840" i="293" s="1"/>
  <c r="L3832" i="293"/>
  <c r="M3832" i="293" s="1"/>
  <c r="L3824" i="293"/>
  <c r="M3824" i="293" s="1"/>
  <c r="L3808" i="293"/>
  <c r="M3808" i="293" s="1"/>
  <c r="L3800" i="293"/>
  <c r="M3800" i="293" s="1"/>
  <c r="L3792" i="293"/>
  <c r="M3792" i="293" s="1"/>
  <c r="L3776" i="293"/>
  <c r="M3776" i="293" s="1"/>
  <c r="L3753" i="293"/>
  <c r="M3753" i="293" s="1"/>
  <c r="L3737" i="293"/>
  <c r="M3737" i="293" s="1"/>
  <c r="L3729" i="293"/>
  <c r="M3729" i="293" s="1"/>
  <c r="L3721" i="293"/>
  <c r="M3721" i="293" s="1"/>
  <c r="L3713" i="293"/>
  <c r="M3713" i="293" s="1"/>
  <c r="L3705" i="293"/>
  <c r="M3705" i="293" s="1"/>
  <c r="L3697" i="293"/>
  <c r="M3697" i="293" s="1"/>
  <c r="L3681" i="293"/>
  <c r="M3681" i="293" s="1"/>
  <c r="L3673" i="293"/>
  <c r="M3673" i="293" s="1"/>
  <c r="L3665" i="293"/>
  <c r="M3665" i="293" s="1"/>
  <c r="L3657" i="293"/>
  <c r="M3657" i="293" s="1"/>
  <c r="L3650" i="293"/>
  <c r="M3650" i="293" s="1"/>
  <c r="L3634" i="293"/>
  <c r="M3634" i="293" s="1"/>
  <c r="L3619" i="293"/>
  <c r="M3619" i="293" s="1"/>
  <c r="L3604" i="293"/>
  <c r="M3604" i="293" s="1"/>
  <c r="L3596" i="293"/>
  <c r="M3596" i="293" s="1"/>
  <c r="L5007" i="293"/>
  <c r="M5007" i="293" s="1"/>
  <c r="L4751" i="293"/>
  <c r="M4751" i="293" s="1"/>
  <c r="L4479" i="293"/>
  <c r="M4479" i="293" s="1"/>
  <c r="L4415" i="293"/>
  <c r="M4415" i="293" s="1"/>
  <c r="L4384" i="293"/>
  <c r="M4384" i="293" s="1"/>
  <c r="L4353" i="293"/>
  <c r="M4353" i="293" s="1"/>
  <c r="L4225" i="293"/>
  <c r="M4225" i="293" s="1"/>
  <c r="L4193" i="293"/>
  <c r="M4193" i="293" s="1"/>
  <c r="L4129" i="293"/>
  <c r="M4129" i="293" s="1"/>
  <c r="L4097" i="293"/>
  <c r="M4097" i="293" s="1"/>
  <c r="L4079" i="293"/>
  <c r="M4079" i="293" s="1"/>
  <c r="L4069" i="293"/>
  <c r="M4069" i="293" s="1"/>
  <c r="L4061" i="293"/>
  <c r="M4061" i="293" s="1"/>
  <c r="L4053" i="293"/>
  <c r="M4053" i="293" s="1"/>
  <c r="L4045" i="293"/>
  <c r="M4045" i="293" s="1"/>
  <c r="L4037" i="293"/>
  <c r="M4037" i="293" s="1"/>
  <c r="L4021" i="293"/>
  <c r="M4021" i="293" s="1"/>
  <c r="L4005" i="293"/>
  <c r="M4005" i="293" s="1"/>
  <c r="L3997" i="293"/>
  <c r="M3997" i="293" s="1"/>
  <c r="L3989" i="293"/>
  <c r="M3989" i="293" s="1"/>
  <c r="L3966" i="293"/>
  <c r="M3966" i="293" s="1"/>
  <c r="L3958" i="293"/>
  <c r="M3958" i="293" s="1"/>
  <c r="L3950" i="293"/>
  <c r="M3950" i="293" s="1"/>
  <c r="L3942" i="293"/>
  <c r="M3942" i="293" s="1"/>
  <c r="L3934" i="293"/>
  <c r="M3934" i="293" s="1"/>
  <c r="L3910" i="293"/>
  <c r="M3910" i="293" s="1"/>
  <c r="L3879" i="293"/>
  <c r="M3879" i="293" s="1"/>
  <c r="L3863" i="293"/>
  <c r="M3863" i="293" s="1"/>
  <c r="L3855" i="293"/>
  <c r="M3855" i="293" s="1"/>
  <c r="L3847" i="293"/>
  <c r="M3847" i="293" s="1"/>
  <c r="L3823" i="293"/>
  <c r="M3823" i="293" s="1"/>
  <c r="L3807" i="293"/>
  <c r="M3807" i="293" s="1"/>
  <c r="L3799" i="293"/>
  <c r="M3799" i="293" s="1"/>
  <c r="L3791" i="293"/>
  <c r="M3791" i="293" s="1"/>
  <c r="L3775" i="293"/>
  <c r="M3775" i="293" s="1"/>
  <c r="L3767" i="293"/>
  <c r="M3767" i="293" s="1"/>
  <c r="L3759" i="293"/>
  <c r="M3759" i="293" s="1"/>
  <c r="L3744" i="293"/>
  <c r="M3744" i="293" s="1"/>
  <c r="L3728" i="293"/>
  <c r="M3728" i="293" s="1"/>
  <c r="L3720" i="293"/>
  <c r="M3720" i="293" s="1"/>
  <c r="L3712" i="293"/>
  <c r="M3712" i="293" s="1"/>
  <c r="L3704" i="293"/>
  <c r="M3704" i="293" s="1"/>
  <c r="L3680" i="293"/>
  <c r="M3680" i="293" s="1"/>
  <c r="L3672" i="293"/>
  <c r="M3672" i="293" s="1"/>
  <c r="L3664" i="293"/>
  <c r="M3664" i="293" s="1"/>
  <c r="L3656" i="293"/>
  <c r="M3656" i="293" s="1"/>
  <c r="L3633" i="293"/>
  <c r="M3633" i="293" s="1"/>
  <c r="L3626" i="293"/>
  <c r="M3626" i="293" s="1"/>
  <c r="L3618" i="293"/>
  <c r="M3618" i="293" s="1"/>
  <c r="L3603" i="293"/>
  <c r="M3603" i="293" s="1"/>
  <c r="L3595" i="293"/>
  <c r="M3595" i="293" s="1"/>
  <c r="L3588" i="293"/>
  <c r="M3588" i="293" s="1"/>
  <c r="L3572" i="293"/>
  <c r="M3572" i="293" s="1"/>
  <c r="L1376" i="293"/>
  <c r="M1376" i="293" s="1"/>
  <c r="L4980" i="293"/>
  <c r="M4980" i="293" s="1"/>
  <c r="L4852" i="293"/>
  <c r="M4852" i="293" s="1"/>
  <c r="L4724" i="293"/>
  <c r="M4724" i="293" s="1"/>
  <c r="L4604" i="293"/>
  <c r="M4604" i="293" s="1"/>
  <c r="L4567" i="293"/>
  <c r="M4567" i="293" s="1"/>
  <c r="L4535" i="293"/>
  <c r="M4535" i="293" s="1"/>
  <c r="L4504" i="293"/>
  <c r="M4504" i="293" s="1"/>
  <c r="L4440" i="293"/>
  <c r="M4440" i="293" s="1"/>
  <c r="L4408" i="293"/>
  <c r="M4408" i="293" s="1"/>
  <c r="L4377" i="293"/>
  <c r="M4377" i="293" s="1"/>
  <c r="L4346" i="293"/>
  <c r="M4346" i="293" s="1"/>
  <c r="L4314" i="293"/>
  <c r="M4314" i="293" s="1"/>
  <c r="L4282" i="293"/>
  <c r="M4282" i="293" s="1"/>
  <c r="L4250" i="293"/>
  <c r="M4250" i="293" s="1"/>
  <c r="L4186" i="293"/>
  <c r="M4186" i="293" s="1"/>
  <c r="L4154" i="293"/>
  <c r="M4154" i="293" s="1"/>
  <c r="L4122" i="293"/>
  <c r="M4122" i="293" s="1"/>
  <c r="L4090" i="293"/>
  <c r="M4090" i="293" s="1"/>
  <c r="L4078" i="293"/>
  <c r="M4078" i="293" s="1"/>
  <c r="L4068" i="293"/>
  <c r="M4068" i="293" s="1"/>
  <c r="L4060" i="293"/>
  <c r="M4060" i="293" s="1"/>
  <c r="L4052" i="293"/>
  <c r="M4052" i="293" s="1"/>
  <c r="L4044" i="293"/>
  <c r="M4044" i="293" s="1"/>
  <c r="L4020" i="293"/>
  <c r="M4020" i="293" s="1"/>
  <c r="L4004" i="293"/>
  <c r="M4004" i="293" s="1"/>
  <c r="L3996" i="293"/>
  <c r="M3996" i="293" s="1"/>
  <c r="L3988" i="293"/>
  <c r="M3988" i="293" s="1"/>
  <c r="L3965" i="293"/>
  <c r="M3965" i="293" s="1"/>
  <c r="L3957" i="293"/>
  <c r="M3957" i="293" s="1"/>
  <c r="L3949" i="293"/>
  <c r="M3949" i="293" s="1"/>
  <c r="L3941" i="293"/>
  <c r="M3941" i="293" s="1"/>
  <c r="L3933" i="293"/>
  <c r="M3933" i="293" s="1"/>
  <c r="L3909" i="293"/>
  <c r="M3909" i="293" s="1"/>
  <c r="L3901" i="293"/>
  <c r="M3901" i="293" s="1"/>
  <c r="L3893" i="293"/>
  <c r="M3893" i="293" s="1"/>
  <c r="L3878" i="293"/>
  <c r="M3878" i="293" s="1"/>
  <c r="L3870" i="293"/>
  <c r="M3870" i="293" s="1"/>
  <c r="L3862" i="293"/>
  <c r="M3862" i="293" s="1"/>
  <c r="L3846" i="293"/>
  <c r="M3846" i="293" s="1"/>
  <c r="L3830" i="293"/>
  <c r="M3830" i="293" s="1"/>
  <c r="L3822" i="293"/>
  <c r="M3822" i="293" s="1"/>
  <c r="L3798" i="293"/>
  <c r="M3798" i="293" s="1"/>
  <c r="L3790" i="293"/>
  <c r="M3790" i="293" s="1"/>
  <c r="L3774" i="293"/>
  <c r="M3774" i="293" s="1"/>
  <c r="L3766" i="293"/>
  <c r="M3766" i="293" s="1"/>
  <c r="L3743" i="293"/>
  <c r="M3743" i="293" s="1"/>
  <c r="L3735" i="293"/>
  <c r="M3735" i="293" s="1"/>
  <c r="L3727" i="293"/>
  <c r="M3727" i="293" s="1"/>
  <c r="L3719" i="293"/>
  <c r="M3719" i="293" s="1"/>
  <c r="L3711" i="293"/>
  <c r="M3711" i="293" s="1"/>
  <c r="L3703" i="293"/>
  <c r="M3703" i="293" s="1"/>
  <c r="L3687" i="293"/>
  <c r="M3687" i="293" s="1"/>
  <c r="L3679" i="293"/>
  <c r="M3679" i="293" s="1"/>
  <c r="L3671" i="293"/>
  <c r="M3671" i="293" s="1"/>
  <c r="L3663" i="293"/>
  <c r="M3663" i="293" s="1"/>
  <c r="L3648" i="293"/>
  <c r="M3648" i="293" s="1"/>
  <c r="L3632" i="293"/>
  <c r="M3632" i="293" s="1"/>
  <c r="L3617" i="293"/>
  <c r="M3617" i="293" s="1"/>
  <c r="L3602" i="293"/>
  <c r="M3602" i="293" s="1"/>
  <c r="L3594" i="293"/>
  <c r="M3594" i="293" s="1"/>
  <c r="L3587" i="293"/>
  <c r="M3587" i="293" s="1"/>
  <c r="L4975" i="293"/>
  <c r="M4975" i="293" s="1"/>
  <c r="L4847" i="293"/>
  <c r="M4847" i="293" s="1"/>
  <c r="L4602" i="293"/>
  <c r="M4602" i="293" s="1"/>
  <c r="L4566" i="293"/>
  <c r="M4566" i="293" s="1"/>
  <c r="L4534" i="293"/>
  <c r="M4534" i="293" s="1"/>
  <c r="L4503" i="293"/>
  <c r="M4503" i="293" s="1"/>
  <c r="L4439" i="293"/>
  <c r="M4439" i="293" s="1"/>
  <c r="L4407" i="293"/>
  <c r="M4407" i="293" s="1"/>
  <c r="L4376" i="293"/>
  <c r="M4376" i="293" s="1"/>
  <c r="L4345" i="293"/>
  <c r="M4345" i="293" s="1"/>
  <c r="L4313" i="293"/>
  <c r="M4313" i="293" s="1"/>
  <c r="L4281" i="293"/>
  <c r="M4281" i="293" s="1"/>
  <c r="L4249" i="293"/>
  <c r="M4249" i="293" s="1"/>
  <c r="L4185" i="293"/>
  <c r="M4185" i="293" s="1"/>
  <c r="L4153" i="293"/>
  <c r="M4153" i="293" s="1"/>
  <c r="L4121" i="293"/>
  <c r="M4121" i="293" s="1"/>
  <c r="L4089" i="293"/>
  <c r="M4089" i="293" s="1"/>
  <c r="L4077" i="293"/>
  <c r="M4077" i="293" s="1"/>
  <c r="L4067" i="293"/>
  <c r="M4067" i="293" s="1"/>
  <c r="L4059" i="293"/>
  <c r="M4059" i="293" s="1"/>
  <c r="L4051" i="293"/>
  <c r="M4051" i="293" s="1"/>
  <c r="L4043" i="293"/>
  <c r="M4043" i="293" s="1"/>
  <c r="L4027" i="293"/>
  <c r="M4027" i="293" s="1"/>
  <c r="L4019" i="293"/>
  <c r="M4019" i="293" s="1"/>
  <c r="L4011" i="293"/>
  <c r="M4011" i="293" s="1"/>
  <c r="L4003" i="293"/>
  <c r="M4003" i="293" s="1"/>
  <c r="L3995" i="293"/>
  <c r="M3995" i="293" s="1"/>
  <c r="L3987" i="293"/>
  <c r="M3987" i="293" s="1"/>
  <c r="L3972" i="293"/>
  <c r="M3972" i="293" s="1"/>
  <c r="L3964" i="293"/>
  <c r="M3964" i="293" s="1"/>
  <c r="L3956" i="293"/>
  <c r="M3956" i="293" s="1"/>
  <c r="L3948" i="293"/>
  <c r="M3948" i="293" s="1"/>
  <c r="L3940" i="293"/>
  <c r="M3940" i="293" s="1"/>
  <c r="L3932" i="293"/>
  <c r="M3932" i="293" s="1"/>
  <c r="L3924" i="293"/>
  <c r="M3924" i="293" s="1"/>
  <c r="L3916" i="293"/>
  <c r="M3916" i="293" s="1"/>
  <c r="L3892" i="293"/>
  <c r="M3892" i="293" s="1"/>
  <c r="L3877" i="293"/>
  <c r="M3877" i="293" s="1"/>
  <c r="L3869" i="293"/>
  <c r="M3869" i="293" s="1"/>
  <c r="L3861" i="293"/>
  <c r="M3861" i="293" s="1"/>
  <c r="L3845" i="293"/>
  <c r="M3845" i="293" s="1"/>
  <c r="L3821" i="293"/>
  <c r="M3821" i="293" s="1"/>
  <c r="L3805" i="293"/>
  <c r="M3805" i="293" s="1"/>
  <c r="L3797" i="293"/>
  <c r="M3797" i="293" s="1"/>
  <c r="L3789" i="293"/>
  <c r="M3789" i="293" s="1"/>
  <c r="L3781" i="293"/>
  <c r="M3781" i="293" s="1"/>
  <c r="L3773" i="293"/>
  <c r="M3773" i="293" s="1"/>
  <c r="L3765" i="293"/>
  <c r="M3765" i="293" s="1"/>
  <c r="L3758" i="293"/>
  <c r="M3758" i="293" s="1"/>
  <c r="L3742" i="293"/>
  <c r="M3742" i="293" s="1"/>
  <c r="L3734" i="293"/>
  <c r="M3734" i="293" s="1"/>
  <c r="L3726" i="293"/>
  <c r="M3726" i="293" s="1"/>
  <c r="L3718" i="293"/>
  <c r="M3718" i="293" s="1"/>
  <c r="L3710" i="293"/>
  <c r="M3710" i="293" s="1"/>
  <c r="L3702" i="293"/>
  <c r="M3702" i="293" s="1"/>
  <c r="L3686" i="293"/>
  <c r="M3686" i="293" s="1"/>
  <c r="L3670" i="293"/>
  <c r="M3670" i="293" s="1"/>
  <c r="L3662" i="293"/>
  <c r="M3662" i="293" s="1"/>
  <c r="L3655" i="293"/>
  <c r="M3655" i="293" s="1"/>
  <c r="L3647" i="293"/>
  <c r="M3647" i="293" s="1"/>
  <c r="L3624" i="293"/>
  <c r="M3624" i="293" s="1"/>
  <c r="L3616" i="293"/>
  <c r="M3616" i="293" s="1"/>
  <c r="L3593" i="293"/>
  <c r="M3593" i="293" s="1"/>
  <c r="L4527" i="293"/>
  <c r="M4527" i="293" s="1"/>
  <c r="L4002" i="293"/>
  <c r="M4002" i="293" s="1"/>
  <c r="L3876" i="293"/>
  <c r="M3876" i="293" s="1"/>
  <c r="L3685" i="293"/>
  <c r="M3685" i="293" s="1"/>
  <c r="L3623" i="293"/>
  <c r="M3623" i="293" s="1"/>
  <c r="L3585" i="293"/>
  <c r="M3585" i="293" s="1"/>
  <c r="L3573" i="293"/>
  <c r="M3573" i="293" s="1"/>
  <c r="L3565" i="293"/>
  <c r="M3565" i="293" s="1"/>
  <c r="L3557" i="293"/>
  <c r="M3557" i="293" s="1"/>
  <c r="L3549" i="293"/>
  <c r="M3549" i="293" s="1"/>
  <c r="L3526" i="293"/>
  <c r="M3526" i="293" s="1"/>
  <c r="L3518" i="293"/>
  <c r="M3518" i="293" s="1"/>
  <c r="L3511" i="293"/>
  <c r="M3511" i="293" s="1"/>
  <c r="L3472" i="293"/>
  <c r="M3472" i="293" s="1"/>
  <c r="L3448" i="293"/>
  <c r="M3448" i="293" s="1"/>
  <c r="L3440" i="293"/>
  <c r="M3440" i="293" s="1"/>
  <c r="L3432" i="293"/>
  <c r="M3432" i="293" s="1"/>
  <c r="L3424" i="293"/>
  <c r="M3424" i="293" s="1"/>
  <c r="L3416" i="293"/>
  <c r="M3416" i="293" s="1"/>
  <c r="L3408" i="293"/>
  <c r="M3408" i="293" s="1"/>
  <c r="L3400" i="293"/>
  <c r="M3400" i="293" s="1"/>
  <c r="L3384" i="293"/>
  <c r="M3384" i="293" s="1"/>
  <c r="L3376" i="293"/>
  <c r="M3376" i="293" s="1"/>
  <c r="L3360" i="293"/>
  <c r="M3360" i="293" s="1"/>
  <c r="L3352" i="293"/>
  <c r="M3352" i="293" s="1"/>
  <c r="L3344" i="293"/>
  <c r="M3344" i="293" s="1"/>
  <c r="L3328" i="293"/>
  <c r="M3328" i="293" s="1"/>
  <c r="L3320" i="293"/>
  <c r="M3320" i="293" s="1"/>
  <c r="L3312" i="293"/>
  <c r="M3312" i="293" s="1"/>
  <c r="L3282" i="293"/>
  <c r="M3282" i="293" s="1"/>
  <c r="L3274" i="293"/>
  <c r="M3274" i="293" s="1"/>
  <c r="L3251" i="293"/>
  <c r="M3251" i="293" s="1"/>
  <c r="L3235" i="293"/>
  <c r="M3235" i="293" s="1"/>
  <c r="L3212" i="293"/>
  <c r="M3212" i="293" s="1"/>
  <c r="L3204" i="293"/>
  <c r="M3204" i="293" s="1"/>
  <c r="L3197" i="293"/>
  <c r="M3197" i="293" s="1"/>
  <c r="L3190" i="293"/>
  <c r="M3190" i="293" s="1"/>
  <c r="L3166" i="293"/>
  <c r="M3166" i="293" s="1"/>
  <c r="L3151" i="293"/>
  <c r="M3151" i="293" s="1"/>
  <c r="L3143" i="293"/>
  <c r="M3143" i="293" s="1"/>
  <c r="L3135" i="293"/>
  <c r="M3135" i="293" s="1"/>
  <c r="L3119" i="293"/>
  <c r="M3119" i="293" s="1"/>
  <c r="L3111" i="293"/>
  <c r="M3111" i="293" s="1"/>
  <c r="L3103" i="293"/>
  <c r="M3103" i="293" s="1"/>
  <c r="L3095" i="293"/>
  <c r="M3095" i="293" s="1"/>
  <c r="L3087" i="293"/>
  <c r="M3087" i="293" s="1"/>
  <c r="L3079" i="293"/>
  <c r="M3079" i="293" s="1"/>
  <c r="L3071" i="293"/>
  <c r="M3071" i="293" s="1"/>
  <c r="L3055" i="293"/>
  <c r="M3055" i="293" s="1"/>
  <c r="L3047" i="293"/>
  <c r="M3047" i="293" s="1"/>
  <c r="L3039" i="293"/>
  <c r="M3039" i="293" s="1"/>
  <c r="L3031" i="293"/>
  <c r="M3031" i="293" s="1"/>
  <c r="L3015" i="293"/>
  <c r="M3015" i="293" s="1"/>
  <c r="L4496" i="293"/>
  <c r="M4496" i="293" s="1"/>
  <c r="L4242" i="293"/>
  <c r="M4242" i="293" s="1"/>
  <c r="L4058" i="293"/>
  <c r="M4058" i="293" s="1"/>
  <c r="L3994" i="293"/>
  <c r="M3994" i="293" s="1"/>
  <c r="L3931" i="293"/>
  <c r="M3931" i="293" s="1"/>
  <c r="L3868" i="293"/>
  <c r="M3868" i="293" s="1"/>
  <c r="L3741" i="293"/>
  <c r="M3741" i="293" s="1"/>
  <c r="L3615" i="293"/>
  <c r="M3615" i="293" s="1"/>
  <c r="L3571" i="293"/>
  <c r="M3571" i="293" s="1"/>
  <c r="L3564" i="293"/>
  <c r="M3564" i="293" s="1"/>
  <c r="L3556" i="293"/>
  <c r="M3556" i="293" s="1"/>
  <c r="L3548" i="293"/>
  <c r="M3548" i="293" s="1"/>
  <c r="L3533" i="293"/>
  <c r="M3533" i="293" s="1"/>
  <c r="L3525" i="293"/>
  <c r="M3525" i="293" s="1"/>
  <c r="L3517" i="293"/>
  <c r="M3517" i="293" s="1"/>
  <c r="L3510" i="293"/>
  <c r="M3510" i="293" s="1"/>
  <c r="L3495" i="293"/>
  <c r="M3495" i="293" s="1"/>
  <c r="L3471" i="293"/>
  <c r="M3471" i="293" s="1"/>
  <c r="L3463" i="293"/>
  <c r="M3463" i="293" s="1"/>
  <c r="L3447" i="293"/>
  <c r="M3447" i="293" s="1"/>
  <c r="L3439" i="293"/>
  <c r="M3439" i="293" s="1"/>
  <c r="L3431" i="293"/>
  <c r="M3431" i="293" s="1"/>
  <c r="L3415" i="293"/>
  <c r="M3415" i="293" s="1"/>
  <c r="L3407" i="293"/>
  <c r="M3407" i="293" s="1"/>
  <c r="L3399" i="293"/>
  <c r="M3399" i="293" s="1"/>
  <c r="L3383" i="293"/>
  <c r="M3383" i="293" s="1"/>
  <c r="L3375" i="293"/>
  <c r="M3375" i="293" s="1"/>
  <c r="L3367" i="293"/>
  <c r="M3367" i="293" s="1"/>
  <c r="L3327" i="293"/>
  <c r="M3327" i="293" s="1"/>
  <c r="L3311" i="293"/>
  <c r="M3311" i="293" s="1"/>
  <c r="L3304" i="293"/>
  <c r="M3304" i="293" s="1"/>
  <c r="L3281" i="293"/>
  <c r="M3281" i="293" s="1"/>
  <c r="L3242" i="293"/>
  <c r="M3242" i="293" s="1"/>
  <c r="L3234" i="293"/>
  <c r="M3234" i="293" s="1"/>
  <c r="L3226" i="293"/>
  <c r="M3226" i="293" s="1"/>
  <c r="L3196" i="293"/>
  <c r="M3196" i="293" s="1"/>
  <c r="L3189" i="293"/>
  <c r="M3189" i="293" s="1"/>
  <c r="L3181" i="293"/>
  <c r="M3181" i="293" s="1"/>
  <c r="L3173" i="293"/>
  <c r="M3173" i="293" s="1"/>
  <c r="L3165" i="293"/>
  <c r="M3165" i="293" s="1"/>
  <c r="L3157" i="293"/>
  <c r="M3157" i="293" s="1"/>
  <c r="L3150" i="293"/>
  <c r="M3150" i="293" s="1"/>
  <c r="L3134" i="293"/>
  <c r="M3134" i="293" s="1"/>
  <c r="L3126" i="293"/>
  <c r="M3126" i="293" s="1"/>
  <c r="L3118" i="293"/>
  <c r="M3118" i="293" s="1"/>
  <c r="L3110" i="293"/>
  <c r="M3110" i="293" s="1"/>
  <c r="L3102" i="293"/>
  <c r="M3102" i="293" s="1"/>
  <c r="L3094" i="293"/>
  <c r="M3094" i="293" s="1"/>
  <c r="L3086" i="293"/>
  <c r="M3086" i="293" s="1"/>
  <c r="L3070" i="293"/>
  <c r="M3070" i="293" s="1"/>
  <c r="L3062" i="293"/>
  <c r="M3062" i="293" s="1"/>
  <c r="L3054" i="293"/>
  <c r="M3054" i="293" s="1"/>
  <c r="L3046" i="293"/>
  <c r="M3046" i="293" s="1"/>
  <c r="L3030" i="293"/>
  <c r="M3030" i="293" s="1"/>
  <c r="L3014" i="293"/>
  <c r="M3014" i="293" s="1"/>
  <c r="L1308" i="293"/>
  <c r="M1308" i="293" s="1"/>
  <c r="L4464" i="293"/>
  <c r="M4464" i="293" s="1"/>
  <c r="L4210" i="293"/>
  <c r="M4210" i="293" s="1"/>
  <c r="L4050" i="293"/>
  <c r="M4050" i="293" s="1"/>
  <c r="L3986" i="293"/>
  <c r="M3986" i="293" s="1"/>
  <c r="L3860" i="293"/>
  <c r="M3860" i="293" s="1"/>
  <c r="L3796" i="293"/>
  <c r="M3796" i="293" s="1"/>
  <c r="L3733" i="293"/>
  <c r="M3733" i="293" s="1"/>
  <c r="L3669" i="293"/>
  <c r="M3669" i="293" s="1"/>
  <c r="L3570" i="293"/>
  <c r="M3570" i="293" s="1"/>
  <c r="L3563" i="293"/>
  <c r="M3563" i="293" s="1"/>
  <c r="L3555" i="293"/>
  <c r="M3555" i="293" s="1"/>
  <c r="L3547" i="293"/>
  <c r="M3547" i="293" s="1"/>
  <c r="L3540" i="293"/>
  <c r="M3540" i="293" s="1"/>
  <c r="L3532" i="293"/>
  <c r="M3532" i="293" s="1"/>
  <c r="L3516" i="293"/>
  <c r="M3516" i="293" s="1"/>
  <c r="L3494" i="293"/>
  <c r="M3494" i="293" s="1"/>
  <c r="L3486" i="293"/>
  <c r="M3486" i="293" s="1"/>
  <c r="L3470" i="293"/>
  <c r="M3470" i="293" s="1"/>
  <c r="L3462" i="293"/>
  <c r="M3462" i="293" s="1"/>
  <c r="L3454" i="293"/>
  <c r="M3454" i="293" s="1"/>
  <c r="L3446" i="293"/>
  <c r="M3446" i="293" s="1"/>
  <c r="L3438" i="293"/>
  <c r="M3438" i="293" s="1"/>
  <c r="L3430" i="293"/>
  <c r="M3430" i="293" s="1"/>
  <c r="L3414" i="293"/>
  <c r="M3414" i="293" s="1"/>
  <c r="L3398" i="293"/>
  <c r="M3398" i="293" s="1"/>
  <c r="L3390" i="293"/>
  <c r="M3390" i="293" s="1"/>
  <c r="L3382" i="293"/>
  <c r="M3382" i="293" s="1"/>
  <c r="L3374" i="293"/>
  <c r="M3374" i="293" s="1"/>
  <c r="L3358" i="293"/>
  <c r="M3358" i="293" s="1"/>
  <c r="L3342" i="293"/>
  <c r="M3342" i="293" s="1"/>
  <c r="L3326" i="293"/>
  <c r="M3326" i="293" s="1"/>
  <c r="L3310" i="293"/>
  <c r="M3310" i="293" s="1"/>
  <c r="L3303" i="293"/>
  <c r="M3303" i="293" s="1"/>
  <c r="L3295" i="293"/>
  <c r="M3295" i="293" s="1"/>
  <c r="L3280" i="293"/>
  <c r="M3280" i="293" s="1"/>
  <c r="L3257" i="293"/>
  <c r="M3257" i="293" s="1"/>
  <c r="L3241" i="293"/>
  <c r="M3241" i="293" s="1"/>
  <c r="L3225" i="293"/>
  <c r="M3225" i="293" s="1"/>
  <c r="L3210" i="293"/>
  <c r="M3210" i="293" s="1"/>
  <c r="L3188" i="293"/>
  <c r="M3188" i="293" s="1"/>
  <c r="L3180" i="293"/>
  <c r="M3180" i="293" s="1"/>
  <c r="L3172" i="293"/>
  <c r="M3172" i="293" s="1"/>
  <c r="L3164" i="293"/>
  <c r="M3164" i="293" s="1"/>
  <c r="L3156" i="293"/>
  <c r="M3156" i="293" s="1"/>
  <c r="L3149" i="293"/>
  <c r="M3149" i="293" s="1"/>
  <c r="L3133" i="293"/>
  <c r="M3133" i="293" s="1"/>
  <c r="L3125" i="293"/>
  <c r="M3125" i="293" s="1"/>
  <c r="L3109" i="293"/>
  <c r="M3109" i="293" s="1"/>
  <c r="L3101" i="293"/>
  <c r="M3101" i="293" s="1"/>
  <c r="L3093" i="293"/>
  <c r="M3093" i="293" s="1"/>
  <c r="L3077" i="293"/>
  <c r="M3077" i="293" s="1"/>
  <c r="L3069" i="293"/>
  <c r="M3069" i="293" s="1"/>
  <c r="L3061" i="293"/>
  <c r="M3061" i="293" s="1"/>
  <c r="L3045" i="293"/>
  <c r="M3045" i="293" s="1"/>
  <c r="L3037" i="293"/>
  <c r="M3037" i="293" s="1"/>
  <c r="L3029" i="293"/>
  <c r="M3029" i="293" s="1"/>
  <c r="L3021" i="293"/>
  <c r="M3021" i="293" s="1"/>
  <c r="L3013" i="293"/>
  <c r="M3013" i="293" s="1"/>
  <c r="L3006" i="293"/>
  <c r="M3006" i="293" s="1"/>
  <c r="L4432" i="293"/>
  <c r="M4432" i="293" s="1"/>
  <c r="L4042" i="293"/>
  <c r="M4042" i="293" s="1"/>
  <c r="L3915" i="293"/>
  <c r="M3915" i="293" s="1"/>
  <c r="L3788" i="293"/>
  <c r="M3788" i="293" s="1"/>
  <c r="L3661" i="293"/>
  <c r="M3661" i="293" s="1"/>
  <c r="L3569" i="293"/>
  <c r="M3569" i="293" s="1"/>
  <c r="L3562" i="293"/>
  <c r="M3562" i="293" s="1"/>
  <c r="L3554" i="293"/>
  <c r="M3554" i="293" s="1"/>
  <c r="L3539" i="293"/>
  <c r="M3539" i="293" s="1"/>
  <c r="L3531" i="293"/>
  <c r="M3531" i="293" s="1"/>
  <c r="L3515" i="293"/>
  <c r="M3515" i="293" s="1"/>
  <c r="L3500" i="293"/>
  <c r="M3500" i="293" s="1"/>
  <c r="L3493" i="293"/>
  <c r="M3493" i="293" s="1"/>
  <c r="L3485" i="293"/>
  <c r="M3485" i="293" s="1"/>
  <c r="L3469" i="293"/>
  <c r="M3469" i="293" s="1"/>
  <c r="L3453" i="293"/>
  <c r="M3453" i="293" s="1"/>
  <c r="L3437" i="293"/>
  <c r="M3437" i="293" s="1"/>
  <c r="L3429" i="293"/>
  <c r="M3429" i="293" s="1"/>
  <c r="L3413" i="293"/>
  <c r="M3413" i="293" s="1"/>
  <c r="L3405" i="293"/>
  <c r="M3405" i="293" s="1"/>
  <c r="L3397" i="293"/>
  <c r="M3397" i="293" s="1"/>
  <c r="L3389" i="293"/>
  <c r="M3389" i="293" s="1"/>
  <c r="L3381" i="293"/>
  <c r="M3381" i="293" s="1"/>
  <c r="L3373" i="293"/>
  <c r="M3373" i="293" s="1"/>
  <c r="L3357" i="293"/>
  <c r="M3357" i="293" s="1"/>
  <c r="L3349" i="293"/>
  <c r="M3349" i="293" s="1"/>
  <c r="L3341" i="293"/>
  <c r="M3341" i="293" s="1"/>
  <c r="L3333" i="293"/>
  <c r="M3333" i="293" s="1"/>
  <c r="L3325" i="293"/>
  <c r="M3325" i="293" s="1"/>
  <c r="L3309" i="293"/>
  <c r="M3309" i="293" s="1"/>
  <c r="L3302" i="293"/>
  <c r="M3302" i="293" s="1"/>
  <c r="L3294" i="293"/>
  <c r="M3294" i="293" s="1"/>
  <c r="L3279" i="293"/>
  <c r="M3279" i="293" s="1"/>
  <c r="L3256" i="293"/>
  <c r="M3256" i="293" s="1"/>
  <c r="L3240" i="293"/>
  <c r="M3240" i="293" s="1"/>
  <c r="L3232" i="293"/>
  <c r="M3232" i="293" s="1"/>
  <c r="L3224" i="293"/>
  <c r="M3224" i="293" s="1"/>
  <c r="L3217" i="293"/>
  <c r="M3217" i="293" s="1"/>
  <c r="L3209" i="293"/>
  <c r="M3209" i="293" s="1"/>
  <c r="L3195" i="293"/>
  <c r="M3195" i="293" s="1"/>
  <c r="L3187" i="293"/>
  <c r="M3187" i="293" s="1"/>
  <c r="L3171" i="293"/>
  <c r="M3171" i="293" s="1"/>
  <c r="L3163" i="293"/>
  <c r="M3163" i="293" s="1"/>
  <c r="L3148" i="293"/>
  <c r="M3148" i="293" s="1"/>
  <c r="L3124" i="293"/>
  <c r="M3124" i="293" s="1"/>
  <c r="L3116" i="293"/>
  <c r="M3116" i="293" s="1"/>
  <c r="L3108" i="293"/>
  <c r="M3108" i="293" s="1"/>
  <c r="L3100" i="293"/>
  <c r="M3100" i="293" s="1"/>
  <c r="L3092" i="293"/>
  <c r="M3092" i="293" s="1"/>
  <c r="L3068" i="293"/>
  <c r="M3068" i="293" s="1"/>
  <c r="L3060" i="293"/>
  <c r="M3060" i="293" s="1"/>
  <c r="L3044" i="293"/>
  <c r="M3044" i="293" s="1"/>
  <c r="L3028" i="293"/>
  <c r="M3028" i="293" s="1"/>
  <c r="L3020" i="293"/>
  <c r="M3020" i="293" s="1"/>
  <c r="L4820" i="293"/>
  <c r="M4820" i="293" s="1"/>
  <c r="L3971" i="293"/>
  <c r="M3971" i="293" s="1"/>
  <c r="L3907" i="293"/>
  <c r="M3907" i="293" s="1"/>
  <c r="L3844" i="293"/>
  <c r="M3844" i="293" s="1"/>
  <c r="L3780" i="293"/>
  <c r="M3780" i="293" s="1"/>
  <c r="L3717" i="293"/>
  <c r="M3717" i="293" s="1"/>
  <c r="L3654" i="293"/>
  <c r="M3654" i="293" s="1"/>
  <c r="L3592" i="293"/>
  <c r="M3592" i="293" s="1"/>
  <c r="L3568" i="293"/>
  <c r="M3568" i="293" s="1"/>
  <c r="L3553" i="293"/>
  <c r="M3553" i="293" s="1"/>
  <c r="L3545" i="293"/>
  <c r="M3545" i="293" s="1"/>
  <c r="L3538" i="293"/>
  <c r="M3538" i="293" s="1"/>
  <c r="L3530" i="293"/>
  <c r="M3530" i="293" s="1"/>
  <c r="L3514" i="293"/>
  <c r="M3514" i="293" s="1"/>
  <c r="L3507" i="293"/>
  <c r="M3507" i="293" s="1"/>
  <c r="L3499" i="293"/>
  <c r="M3499" i="293" s="1"/>
  <c r="L3492" i="293"/>
  <c r="M3492" i="293" s="1"/>
  <c r="L3484" i="293"/>
  <c r="M3484" i="293" s="1"/>
  <c r="L3468" i="293"/>
  <c r="M3468" i="293" s="1"/>
  <c r="L3452" i="293"/>
  <c r="M3452" i="293" s="1"/>
  <c r="L3444" i="293"/>
  <c r="M3444" i="293" s="1"/>
  <c r="L3436" i="293"/>
  <c r="M3436" i="293" s="1"/>
  <c r="L3428" i="293"/>
  <c r="M3428" i="293" s="1"/>
  <c r="L3412" i="293"/>
  <c r="M3412" i="293" s="1"/>
  <c r="L3404" i="293"/>
  <c r="M3404" i="293" s="1"/>
  <c r="L3396" i="293"/>
  <c r="M3396" i="293" s="1"/>
  <c r="L3380" i="293"/>
  <c r="M3380" i="293" s="1"/>
  <c r="L3364" i="293"/>
  <c r="M3364" i="293" s="1"/>
  <c r="L3356" i="293"/>
  <c r="M3356" i="293" s="1"/>
  <c r="L3348" i="293"/>
  <c r="M3348" i="293" s="1"/>
  <c r="L3340" i="293"/>
  <c r="M3340" i="293" s="1"/>
  <c r="L3332" i="293"/>
  <c r="M3332" i="293" s="1"/>
  <c r="L3324" i="293"/>
  <c r="M3324" i="293" s="1"/>
  <c r="L3308" i="293"/>
  <c r="M3308" i="293" s="1"/>
  <c r="L3301" i="293"/>
  <c r="M3301" i="293" s="1"/>
  <c r="L3293" i="293"/>
  <c r="M3293" i="293" s="1"/>
  <c r="L3286" i="293"/>
  <c r="M3286" i="293" s="1"/>
  <c r="L3278" i="293"/>
  <c r="M3278" i="293" s="1"/>
  <c r="L3270" i="293"/>
  <c r="M3270" i="293" s="1"/>
  <c r="L3255" i="293"/>
  <c r="M3255" i="293" s="1"/>
  <c r="L3247" i="293"/>
  <c r="M3247" i="293" s="1"/>
  <c r="L3239" i="293"/>
  <c r="M3239" i="293" s="1"/>
  <c r="L3223" i="293"/>
  <c r="M3223" i="293" s="1"/>
  <c r="L3216" i="293"/>
  <c r="M3216" i="293" s="1"/>
  <c r="L3208" i="293"/>
  <c r="M3208" i="293" s="1"/>
  <c r="L3194" i="293"/>
  <c r="M3194" i="293" s="1"/>
  <c r="L3186" i="293"/>
  <c r="M3186" i="293" s="1"/>
  <c r="L3170" i="293"/>
  <c r="M3170" i="293" s="1"/>
  <c r="L3155" i="293"/>
  <c r="M3155" i="293" s="1"/>
  <c r="L3147" i="293"/>
  <c r="M3147" i="293" s="1"/>
  <c r="L3131" i="293"/>
  <c r="M3131" i="293" s="1"/>
  <c r="L3123" i="293"/>
  <c r="M3123" i="293" s="1"/>
  <c r="L3099" i="293"/>
  <c r="M3099" i="293" s="1"/>
  <c r="L3083" i="293"/>
  <c r="M3083" i="293" s="1"/>
  <c r="L3075" i="293"/>
  <c r="M3075" i="293" s="1"/>
  <c r="L3067" i="293"/>
  <c r="M3067" i="293" s="1"/>
  <c r="L3059" i="293"/>
  <c r="M3059" i="293" s="1"/>
  <c r="L3051" i="293"/>
  <c r="M3051" i="293" s="1"/>
  <c r="L3043" i="293"/>
  <c r="M3043" i="293" s="1"/>
  <c r="L3027" i="293"/>
  <c r="M3027" i="293" s="1"/>
  <c r="L3019" i="293"/>
  <c r="M3019" i="293" s="1"/>
  <c r="L2988" i="293"/>
  <c r="M2988" i="293" s="1"/>
  <c r="L4692" i="293"/>
  <c r="M4692" i="293" s="1"/>
  <c r="L4369" i="293"/>
  <c r="M4369" i="293" s="1"/>
  <c r="L4026" i="293"/>
  <c r="M4026" i="293" s="1"/>
  <c r="L3836" i="293"/>
  <c r="M3836" i="293" s="1"/>
  <c r="L3709" i="293"/>
  <c r="M3709" i="293" s="1"/>
  <c r="L3590" i="293"/>
  <c r="M3590" i="293" s="1"/>
  <c r="L3576" i="293"/>
  <c r="M3576" i="293" s="1"/>
  <c r="L3552" i="293"/>
  <c r="M3552" i="293" s="1"/>
  <c r="L3544" i="293"/>
  <c r="M3544" i="293" s="1"/>
  <c r="L3537" i="293"/>
  <c r="M3537" i="293" s="1"/>
  <c r="L3529" i="293"/>
  <c r="M3529" i="293" s="1"/>
  <c r="L3513" i="293"/>
  <c r="M3513" i="293" s="1"/>
  <c r="L3506" i="293"/>
  <c r="M3506" i="293" s="1"/>
  <c r="L3498" i="293"/>
  <c r="M3498" i="293" s="1"/>
  <c r="L3491" i="293"/>
  <c r="M3491" i="293" s="1"/>
  <c r="L3483" i="293"/>
  <c r="M3483" i="293" s="1"/>
  <c r="L3467" i="293"/>
  <c r="M3467" i="293" s="1"/>
  <c r="L3451" i="293"/>
  <c r="M3451" i="293" s="1"/>
  <c r="L3427" i="293"/>
  <c r="M3427" i="293" s="1"/>
  <c r="L3411" i="293"/>
  <c r="M3411" i="293" s="1"/>
  <c r="L3403" i="293"/>
  <c r="M3403" i="293" s="1"/>
  <c r="L3395" i="293"/>
  <c r="M3395" i="293" s="1"/>
  <c r="L3379" i="293"/>
  <c r="M3379" i="293" s="1"/>
  <c r="L3371" i="293"/>
  <c r="M3371" i="293" s="1"/>
  <c r="L3363" i="293"/>
  <c r="M3363" i="293" s="1"/>
  <c r="L3355" i="293"/>
  <c r="M3355" i="293" s="1"/>
  <c r="L3347" i="293"/>
  <c r="M3347" i="293" s="1"/>
  <c r="L3307" i="293"/>
  <c r="M3307" i="293" s="1"/>
  <c r="L3292" i="293"/>
  <c r="M3292" i="293" s="1"/>
  <c r="L3285" i="293"/>
  <c r="M3285" i="293" s="1"/>
  <c r="L3277" i="293"/>
  <c r="M3277" i="293" s="1"/>
  <c r="L3254" i="293"/>
  <c r="M3254" i="293" s="1"/>
  <c r="L3246" i="293"/>
  <c r="M3246" i="293" s="1"/>
  <c r="L3238" i="293"/>
  <c r="M3238" i="293" s="1"/>
  <c r="L3215" i="293"/>
  <c r="M3215" i="293" s="1"/>
  <c r="L3207" i="293"/>
  <c r="M3207" i="293" s="1"/>
  <c r="L3193" i="293"/>
  <c r="M3193" i="293" s="1"/>
  <c r="L3185" i="293"/>
  <c r="M3185" i="293" s="1"/>
  <c r="L3169" i="293"/>
  <c r="M3169" i="293" s="1"/>
  <c r="L3161" i="293"/>
  <c r="M3161" i="293" s="1"/>
  <c r="L3154" i="293"/>
  <c r="M3154" i="293" s="1"/>
  <c r="L3146" i="293"/>
  <c r="M3146" i="293" s="1"/>
  <c r="L3122" i="293"/>
  <c r="M3122" i="293" s="1"/>
  <c r="L3106" i="293"/>
  <c r="M3106" i="293" s="1"/>
  <c r="L3098" i="293"/>
  <c r="M3098" i="293" s="1"/>
  <c r="L3090" i="293"/>
  <c r="M3090" i="293" s="1"/>
  <c r="L3082" i="293"/>
  <c r="M3082" i="293" s="1"/>
  <c r="L3074" i="293"/>
  <c r="M3074" i="293" s="1"/>
  <c r="L3058" i="293"/>
  <c r="M3058" i="293" s="1"/>
  <c r="L3050" i="293"/>
  <c r="M3050" i="293" s="1"/>
  <c r="L3042" i="293"/>
  <c r="M3042" i="293" s="1"/>
  <c r="L3026" i="293"/>
  <c r="M3026" i="293" s="1"/>
  <c r="L3018" i="293"/>
  <c r="M3018" i="293" s="1"/>
  <c r="L3011" i="293"/>
  <c r="M3011" i="293" s="1"/>
  <c r="L3003" i="293"/>
  <c r="M3003" i="293" s="1"/>
  <c r="L2995" i="293"/>
  <c r="M2995" i="293" s="1"/>
  <c r="L4338" i="293"/>
  <c r="M4338" i="293" s="1"/>
  <c r="L4018" i="293"/>
  <c r="M4018" i="293" s="1"/>
  <c r="L3955" i="293"/>
  <c r="M3955" i="293" s="1"/>
  <c r="L3764" i="293"/>
  <c r="M3764" i="293" s="1"/>
  <c r="L3701" i="293"/>
  <c r="M3701" i="293" s="1"/>
  <c r="L3589" i="293"/>
  <c r="M3589" i="293" s="1"/>
  <c r="L3575" i="293"/>
  <c r="M3575" i="293" s="1"/>
  <c r="L3567" i="293"/>
  <c r="M3567" i="293" s="1"/>
  <c r="L3559" i="293"/>
  <c r="M3559" i="293" s="1"/>
  <c r="L3551" i="293"/>
  <c r="M3551" i="293" s="1"/>
  <c r="L3536" i="293"/>
  <c r="M3536" i="293" s="1"/>
  <c r="L3528" i="293"/>
  <c r="M3528" i="293" s="1"/>
  <c r="L3497" i="293"/>
  <c r="M3497" i="293" s="1"/>
  <c r="L3482" i="293"/>
  <c r="M3482" i="293" s="1"/>
  <c r="L3474" i="293"/>
  <c r="M3474" i="293" s="1"/>
  <c r="L3466" i="293"/>
  <c r="M3466" i="293" s="1"/>
  <c r="L3450" i="293"/>
  <c r="M3450" i="293" s="1"/>
  <c r="L3410" i="293"/>
  <c r="M3410" i="293" s="1"/>
  <c r="L3394" i="293"/>
  <c r="M3394" i="293" s="1"/>
  <c r="L3378" i="293"/>
  <c r="M3378" i="293" s="1"/>
  <c r="L3370" i="293"/>
  <c r="M3370" i="293" s="1"/>
  <c r="L3354" i="293"/>
  <c r="M3354" i="293" s="1"/>
  <c r="L3346" i="293"/>
  <c r="M3346" i="293" s="1"/>
  <c r="L3330" i="293"/>
  <c r="M3330" i="293" s="1"/>
  <c r="L3306" i="293"/>
  <c r="M3306" i="293" s="1"/>
  <c r="L3299" i="293"/>
  <c r="M3299" i="293" s="1"/>
  <c r="L3291" i="293"/>
  <c r="M3291" i="293" s="1"/>
  <c r="L3284" i="293"/>
  <c r="M3284" i="293" s="1"/>
  <c r="L3276" i="293"/>
  <c r="M3276" i="293" s="1"/>
  <c r="L3253" i="293"/>
  <c r="M3253" i="293" s="1"/>
  <c r="L3245" i="293"/>
  <c r="M3245" i="293" s="1"/>
  <c r="L3237" i="293"/>
  <c r="M3237" i="293" s="1"/>
  <c r="L3221" i="293"/>
  <c r="M3221" i="293" s="1"/>
  <c r="L3214" i="293"/>
  <c r="M3214" i="293" s="1"/>
  <c r="L3206" i="293"/>
  <c r="M3206" i="293" s="1"/>
  <c r="L3184" i="293"/>
  <c r="M3184" i="293" s="1"/>
  <c r="L3168" i="293"/>
  <c r="M3168" i="293" s="1"/>
  <c r="L3153" i="293"/>
  <c r="M3153" i="293" s="1"/>
  <c r="L3145" i="293"/>
  <c r="M3145" i="293" s="1"/>
  <c r="L3137" i="293"/>
  <c r="M3137" i="293" s="1"/>
  <c r="L3113" i="293"/>
  <c r="M3113" i="293" s="1"/>
  <c r="L3105" i="293"/>
  <c r="M3105" i="293" s="1"/>
  <c r="L3097" i="293"/>
  <c r="M3097" i="293" s="1"/>
  <c r="L3089" i="293"/>
  <c r="M3089" i="293" s="1"/>
  <c r="L3081" i="293"/>
  <c r="M3081" i="293" s="1"/>
  <c r="L3073" i="293"/>
  <c r="M3073" i="293" s="1"/>
  <c r="L3065" i="293"/>
  <c r="M3065" i="293" s="1"/>
  <c r="L3057" i="293"/>
  <c r="M3057" i="293" s="1"/>
  <c r="L3049" i="293"/>
  <c r="M3049" i="293" s="1"/>
  <c r="L3041" i="293"/>
  <c r="M3041" i="293" s="1"/>
  <c r="L3017" i="293"/>
  <c r="M3017" i="293" s="1"/>
  <c r="L3550" i="293"/>
  <c r="M3550" i="293" s="1"/>
  <c r="L3489" i="293"/>
  <c r="M3489" i="293" s="1"/>
  <c r="L3425" i="293"/>
  <c r="M3425" i="293" s="1"/>
  <c r="L3236" i="293"/>
  <c r="M3236" i="293" s="1"/>
  <c r="L3112" i="293"/>
  <c r="M3112" i="293" s="1"/>
  <c r="L3048" i="293"/>
  <c r="M3048" i="293" s="1"/>
  <c r="L3000" i="293"/>
  <c r="M3000" i="293" s="1"/>
  <c r="L2973" i="293"/>
  <c r="M2973" i="293" s="1"/>
  <c r="L2965" i="293"/>
  <c r="M2965" i="293" s="1"/>
  <c r="L2957" i="293"/>
  <c r="M2957" i="293" s="1"/>
  <c r="L2949" i="293"/>
  <c r="M2949" i="293" s="1"/>
  <c r="L2933" i="293"/>
  <c r="M2933" i="293" s="1"/>
  <c r="L2917" i="293"/>
  <c r="M2917" i="293" s="1"/>
  <c r="L2909" i="293"/>
  <c r="M2909" i="293" s="1"/>
  <c r="L2885" i="293"/>
  <c r="M2885" i="293" s="1"/>
  <c r="L2871" i="293"/>
  <c r="M2871" i="293" s="1"/>
  <c r="L2863" i="293"/>
  <c r="M2863" i="293" s="1"/>
  <c r="L2847" i="293"/>
  <c r="M2847" i="293" s="1"/>
  <c r="L2832" i="293"/>
  <c r="M2832" i="293" s="1"/>
  <c r="L2825" i="293"/>
  <c r="M2825" i="293" s="1"/>
  <c r="L2817" i="293"/>
  <c r="M2817" i="293" s="1"/>
  <c r="L2809" i="293"/>
  <c r="M2809" i="293" s="1"/>
  <c r="L2785" i="293"/>
  <c r="M2785" i="293" s="1"/>
  <c r="L2778" i="293"/>
  <c r="M2778" i="293" s="1"/>
  <c r="L2764" i="293"/>
  <c r="M2764" i="293" s="1"/>
  <c r="L2756" i="293"/>
  <c r="M2756" i="293" s="1"/>
  <c r="L2749" i="293"/>
  <c r="M2749" i="293" s="1"/>
  <c r="L2743" i="293"/>
  <c r="M2743" i="293" s="1"/>
  <c r="L2728" i="293"/>
  <c r="M2728" i="293" s="1"/>
  <c r="L2720" i="293"/>
  <c r="M2720" i="293" s="1"/>
  <c r="L2706" i="293"/>
  <c r="M2706" i="293" s="1"/>
  <c r="L2691" i="293"/>
  <c r="M2691" i="293" s="1"/>
  <c r="L2675" i="293"/>
  <c r="M2675" i="293" s="1"/>
  <c r="L2667" i="293"/>
  <c r="M2667" i="293" s="1"/>
  <c r="L2651" i="293"/>
  <c r="M2651" i="293" s="1"/>
  <c r="L2627" i="293"/>
  <c r="M2627" i="293" s="1"/>
  <c r="L2619" i="293"/>
  <c r="M2619" i="293" s="1"/>
  <c r="L2611" i="293"/>
  <c r="M2611" i="293" s="1"/>
  <c r="L2603" i="293"/>
  <c r="M2603" i="293" s="1"/>
  <c r="L2572" i="293"/>
  <c r="M2572" i="293" s="1"/>
  <c r="L2564" i="293"/>
  <c r="M2564" i="293" s="1"/>
  <c r="L2556" i="293"/>
  <c r="M2556" i="293" s="1"/>
  <c r="L2548" i="293"/>
  <c r="M2548" i="293" s="1"/>
  <c r="L2540" i="293"/>
  <c r="M2540" i="293" s="1"/>
  <c r="L2533" i="293"/>
  <c r="M2533" i="293" s="1"/>
  <c r="L2525" i="293"/>
  <c r="M2525" i="293" s="1"/>
  <c r="L2517" i="293"/>
  <c r="M2517" i="293" s="1"/>
  <c r="L2509" i="293"/>
  <c r="M2509" i="293" s="1"/>
  <c r="L2501" i="293"/>
  <c r="M2501" i="293" s="1"/>
  <c r="L2493" i="293"/>
  <c r="M2493" i="293" s="1"/>
  <c r="L2486" i="293"/>
  <c r="M2486" i="293" s="1"/>
  <c r="L2478" i="293"/>
  <c r="M2478" i="293" s="1"/>
  <c r="L2470" i="293"/>
  <c r="M2470" i="293" s="1"/>
  <c r="L2454" i="293"/>
  <c r="M2454" i="293" s="1"/>
  <c r="L2446" i="293"/>
  <c r="M2446" i="293" s="1"/>
  <c r="L3757" i="293"/>
  <c r="M3757" i="293" s="1"/>
  <c r="L3481" i="293"/>
  <c r="M3481" i="293" s="1"/>
  <c r="L3417" i="293"/>
  <c r="M3417" i="293" s="1"/>
  <c r="L3290" i="293"/>
  <c r="M3290" i="293" s="1"/>
  <c r="L3167" i="293"/>
  <c r="M3167" i="293" s="1"/>
  <c r="L3104" i="293"/>
  <c r="M3104" i="293" s="1"/>
  <c r="L3040" i="293"/>
  <c r="M3040" i="293" s="1"/>
  <c r="L2999" i="293"/>
  <c r="M2999" i="293" s="1"/>
  <c r="L2989" i="293"/>
  <c r="M2989" i="293" s="1"/>
  <c r="L2980" i="293"/>
  <c r="M2980" i="293" s="1"/>
  <c r="L2972" i="293"/>
  <c r="M2972" i="293" s="1"/>
  <c r="L2964" i="293"/>
  <c r="M2964" i="293" s="1"/>
  <c r="L2956" i="293"/>
  <c r="M2956" i="293" s="1"/>
  <c r="L2948" i="293"/>
  <c r="M2948" i="293" s="1"/>
  <c r="L2940" i="293"/>
  <c r="M2940" i="293" s="1"/>
  <c r="L2932" i="293"/>
  <c r="M2932" i="293" s="1"/>
  <c r="L2924" i="293"/>
  <c r="M2924" i="293" s="1"/>
  <c r="L2916" i="293"/>
  <c r="M2916" i="293" s="1"/>
  <c r="L2908" i="293"/>
  <c r="M2908" i="293" s="1"/>
  <c r="L2892" i="293"/>
  <c r="M2892" i="293" s="1"/>
  <c r="L2884" i="293"/>
  <c r="M2884" i="293" s="1"/>
  <c r="L2862" i="293"/>
  <c r="M2862" i="293" s="1"/>
  <c r="L2846" i="293"/>
  <c r="M2846" i="293" s="1"/>
  <c r="L2839" i="293"/>
  <c r="M2839" i="293" s="1"/>
  <c r="L2831" i="293"/>
  <c r="M2831" i="293" s="1"/>
  <c r="L2816" i="293"/>
  <c r="M2816" i="293" s="1"/>
  <c r="L2808" i="293"/>
  <c r="M2808" i="293" s="1"/>
  <c r="L2800" i="293"/>
  <c r="M2800" i="293" s="1"/>
  <c r="L2792" i="293"/>
  <c r="M2792" i="293" s="1"/>
  <c r="L2784" i="293"/>
  <c r="M2784" i="293" s="1"/>
  <c r="L2763" i="293"/>
  <c r="M2763" i="293" s="1"/>
  <c r="L2755" i="293"/>
  <c r="M2755" i="293" s="1"/>
  <c r="L2748" i="293"/>
  <c r="M2748" i="293" s="1"/>
  <c r="L2742" i="293"/>
  <c r="M2742" i="293" s="1"/>
  <c r="L2735" i="293"/>
  <c r="M2735" i="293" s="1"/>
  <c r="L2719" i="293"/>
  <c r="M2719" i="293" s="1"/>
  <c r="L2705" i="293"/>
  <c r="M2705" i="293" s="1"/>
  <c r="L2690" i="293"/>
  <c r="M2690" i="293" s="1"/>
  <c r="L2682" i="293"/>
  <c r="M2682" i="293" s="1"/>
  <c r="L2674" i="293"/>
  <c r="M2674" i="293" s="1"/>
  <c r="L2658" i="293"/>
  <c r="M2658" i="293" s="1"/>
  <c r="L2650" i="293"/>
  <c r="M2650" i="293" s="1"/>
  <c r="L2634" i="293"/>
  <c r="M2634" i="293" s="1"/>
  <c r="L2626" i="293"/>
  <c r="M2626" i="293" s="1"/>
  <c r="L2602" i="293"/>
  <c r="M2602" i="293" s="1"/>
  <c r="L2587" i="293"/>
  <c r="M2587" i="293" s="1"/>
  <c r="L2547" i="293"/>
  <c r="M2547" i="293" s="1"/>
  <c r="L2532" i="293"/>
  <c r="M2532" i="293" s="1"/>
  <c r="L2524" i="293"/>
  <c r="M2524" i="293" s="1"/>
  <c r="L2516" i="293"/>
  <c r="M2516" i="293" s="1"/>
  <c r="L2500" i="293"/>
  <c r="M2500" i="293" s="1"/>
  <c r="L2469" i="293"/>
  <c r="M2469" i="293" s="1"/>
  <c r="L2445" i="293"/>
  <c r="M2445" i="293" s="1"/>
  <c r="L2429" i="293"/>
  <c r="M2429" i="293" s="1"/>
  <c r="L2421" i="293"/>
  <c r="M2421" i="293" s="1"/>
  <c r="L4559" i="293"/>
  <c r="M4559" i="293" s="1"/>
  <c r="L3535" i="293"/>
  <c r="M3535" i="293" s="1"/>
  <c r="L3473" i="293"/>
  <c r="M3473" i="293" s="1"/>
  <c r="L3409" i="293"/>
  <c r="M3409" i="293" s="1"/>
  <c r="L3345" i="293"/>
  <c r="M3345" i="293" s="1"/>
  <c r="L3283" i="293"/>
  <c r="M3283" i="293" s="1"/>
  <c r="L3032" i="293"/>
  <c r="M3032" i="293" s="1"/>
  <c r="L2998" i="293"/>
  <c r="M2998" i="293" s="1"/>
  <c r="L2987" i="293"/>
  <c r="M2987" i="293" s="1"/>
  <c r="L2979" i="293"/>
  <c r="M2979" i="293" s="1"/>
  <c r="L2963" i="293"/>
  <c r="M2963" i="293" s="1"/>
  <c r="L2955" i="293"/>
  <c r="M2955" i="293" s="1"/>
  <c r="L2947" i="293"/>
  <c r="M2947" i="293" s="1"/>
  <c r="L2939" i="293"/>
  <c r="M2939" i="293" s="1"/>
  <c r="L2931" i="293"/>
  <c r="M2931" i="293" s="1"/>
  <c r="L2923" i="293"/>
  <c r="M2923" i="293" s="1"/>
  <c r="L2915" i="293"/>
  <c r="M2915" i="293" s="1"/>
  <c r="L2907" i="293"/>
  <c r="M2907" i="293" s="1"/>
  <c r="L2891" i="293"/>
  <c r="M2891" i="293" s="1"/>
  <c r="L2876" i="293"/>
  <c r="M2876" i="293" s="1"/>
  <c r="L2869" i="293"/>
  <c r="M2869" i="293" s="1"/>
  <c r="L2861" i="293"/>
  <c r="M2861" i="293" s="1"/>
  <c r="L2853" i="293"/>
  <c r="M2853" i="293" s="1"/>
  <c r="L2845" i="293"/>
  <c r="M2845" i="293" s="1"/>
  <c r="L2838" i="293"/>
  <c r="M2838" i="293" s="1"/>
  <c r="L2807" i="293"/>
  <c r="M2807" i="293" s="1"/>
  <c r="L2791" i="293"/>
  <c r="M2791" i="293" s="1"/>
  <c r="L2783" i="293"/>
  <c r="M2783" i="293" s="1"/>
  <c r="L2770" i="293"/>
  <c r="M2770" i="293" s="1"/>
  <c r="L2762" i="293"/>
  <c r="M2762" i="293" s="1"/>
  <c r="L2754" i="293"/>
  <c r="M2754" i="293" s="1"/>
  <c r="L2704" i="293"/>
  <c r="M2704" i="293" s="1"/>
  <c r="L2697" i="293"/>
  <c r="M2697" i="293" s="1"/>
  <c r="L2689" i="293"/>
  <c r="M2689" i="293" s="1"/>
  <c r="L2681" i="293"/>
  <c r="M2681" i="293" s="1"/>
  <c r="L2665" i="293"/>
  <c r="M2665" i="293" s="1"/>
  <c r="L2657" i="293"/>
  <c r="M2657" i="293" s="1"/>
  <c r="L2641" i="293"/>
  <c r="M2641" i="293" s="1"/>
  <c r="L2633" i="293"/>
  <c r="M2633" i="293" s="1"/>
  <c r="L2625" i="293"/>
  <c r="M2625" i="293" s="1"/>
  <c r="L2609" i="293"/>
  <c r="M2609" i="293" s="1"/>
  <c r="L2601" i="293"/>
  <c r="M2601" i="293" s="1"/>
  <c r="L2586" i="293"/>
  <c r="M2586" i="293" s="1"/>
  <c r="L2570" i="293"/>
  <c r="M2570" i="293" s="1"/>
  <c r="L2554" i="293"/>
  <c r="M2554" i="293" s="1"/>
  <c r="L2546" i="293"/>
  <c r="M2546" i="293" s="1"/>
  <c r="L2539" i="293"/>
  <c r="M2539" i="293" s="1"/>
  <c r="L2531" i="293"/>
  <c r="M2531" i="293" s="1"/>
  <c r="L2523" i="293"/>
  <c r="M2523" i="293" s="1"/>
  <c r="L2515" i="293"/>
  <c r="M2515" i="293" s="1"/>
  <c r="L2499" i="293"/>
  <c r="M2499" i="293" s="1"/>
  <c r="L2484" i="293"/>
  <c r="M2484" i="293" s="1"/>
  <c r="L2476" i="293"/>
  <c r="M2476" i="293" s="1"/>
  <c r="L2468" i="293"/>
  <c r="M2468" i="293" s="1"/>
  <c r="L2460" i="293"/>
  <c r="M2460" i="293" s="1"/>
  <c r="L2444" i="293"/>
  <c r="M2444" i="293" s="1"/>
  <c r="L2436" i="293"/>
  <c r="M2436" i="293" s="1"/>
  <c r="L2428" i="293"/>
  <c r="M2428" i="293" s="1"/>
  <c r="L2420" i="293"/>
  <c r="M2420" i="293" s="1"/>
  <c r="L3631" i="293"/>
  <c r="M3631" i="293" s="1"/>
  <c r="L3527" i="293"/>
  <c r="M3527" i="293" s="1"/>
  <c r="L3465" i="293"/>
  <c r="M3465" i="293" s="1"/>
  <c r="L3275" i="293"/>
  <c r="M3275" i="293" s="1"/>
  <c r="L3213" i="293"/>
  <c r="M3213" i="293" s="1"/>
  <c r="L3088" i="293"/>
  <c r="M3088" i="293" s="1"/>
  <c r="L2997" i="293"/>
  <c r="M2997" i="293" s="1"/>
  <c r="L2986" i="293"/>
  <c r="M2986" i="293" s="1"/>
  <c r="L2978" i="293"/>
  <c r="M2978" i="293" s="1"/>
  <c r="L2962" i="293"/>
  <c r="M2962" i="293" s="1"/>
  <c r="L2946" i="293"/>
  <c r="M2946" i="293" s="1"/>
  <c r="L2938" i="293"/>
  <c r="M2938" i="293" s="1"/>
  <c r="L2930" i="293"/>
  <c r="M2930" i="293" s="1"/>
  <c r="L2914" i="293"/>
  <c r="M2914" i="293" s="1"/>
  <c r="L2898" i="293"/>
  <c r="M2898" i="293" s="1"/>
  <c r="L2890" i="293"/>
  <c r="M2890" i="293" s="1"/>
  <c r="L2883" i="293"/>
  <c r="M2883" i="293" s="1"/>
  <c r="L2875" i="293"/>
  <c r="M2875" i="293" s="1"/>
  <c r="L2868" i="293"/>
  <c r="M2868" i="293" s="1"/>
  <c r="L2852" i="293"/>
  <c r="M2852" i="293" s="1"/>
  <c r="L2837" i="293"/>
  <c r="M2837" i="293" s="1"/>
  <c r="L2829" i="293"/>
  <c r="M2829" i="293" s="1"/>
  <c r="L2822" i="293"/>
  <c r="M2822" i="293" s="1"/>
  <c r="L2806" i="293"/>
  <c r="M2806" i="293" s="1"/>
  <c r="L2798" i="293"/>
  <c r="M2798" i="293" s="1"/>
  <c r="L2782" i="293"/>
  <c r="M2782" i="293" s="1"/>
  <c r="L2769" i="293"/>
  <c r="M2769" i="293" s="1"/>
  <c r="L2753" i="293"/>
  <c r="M2753" i="293" s="1"/>
  <c r="L2733" i="293"/>
  <c r="M2733" i="293" s="1"/>
  <c r="L2711" i="293"/>
  <c r="M2711" i="293" s="1"/>
  <c r="L2703" i="293"/>
  <c r="M2703" i="293" s="1"/>
  <c r="L2696" i="293"/>
  <c r="M2696" i="293" s="1"/>
  <c r="L2688" i="293"/>
  <c r="M2688" i="293" s="1"/>
  <c r="L2680" i="293"/>
  <c r="M2680" i="293" s="1"/>
  <c r="L2664" i="293"/>
  <c r="M2664" i="293" s="1"/>
  <c r="L2656" i="293"/>
  <c r="M2656" i="293" s="1"/>
  <c r="L2648" i="293"/>
  <c r="M2648" i="293" s="1"/>
  <c r="L2640" i="293"/>
  <c r="M2640" i="293" s="1"/>
  <c r="L2624" i="293"/>
  <c r="M2624" i="293" s="1"/>
  <c r="L2608" i="293"/>
  <c r="M2608" i="293" s="1"/>
  <c r="L2600" i="293"/>
  <c r="M2600" i="293" s="1"/>
  <c r="L2592" i="293"/>
  <c r="M2592" i="293" s="1"/>
  <c r="L2577" i="293"/>
  <c r="M2577" i="293" s="1"/>
  <c r="L2569" i="293"/>
  <c r="M2569" i="293" s="1"/>
  <c r="L2553" i="293"/>
  <c r="M2553" i="293" s="1"/>
  <c r="L2545" i="293"/>
  <c r="M2545" i="293" s="1"/>
  <c r="L2530" i="293"/>
  <c r="M2530" i="293" s="1"/>
  <c r="L2522" i="293"/>
  <c r="M2522" i="293" s="1"/>
  <c r="L2514" i="293"/>
  <c r="M2514" i="293" s="1"/>
  <c r="L2498" i="293"/>
  <c r="M2498" i="293" s="1"/>
  <c r="L2491" i="293"/>
  <c r="M2491" i="293" s="1"/>
  <c r="L2483" i="293"/>
  <c r="M2483" i="293" s="1"/>
  <c r="L2475" i="293"/>
  <c r="M2475" i="293" s="1"/>
  <c r="L2467" i="293"/>
  <c r="M2467" i="293" s="1"/>
  <c r="L2459" i="293"/>
  <c r="M2459" i="293" s="1"/>
  <c r="L2443" i="293"/>
  <c r="M2443" i="293" s="1"/>
  <c r="L4074" i="293"/>
  <c r="M4074" i="293" s="1"/>
  <c r="L3586" i="293"/>
  <c r="M3586" i="293" s="1"/>
  <c r="L3519" i="293"/>
  <c r="M3519" i="293" s="1"/>
  <c r="L3393" i="293"/>
  <c r="M3393" i="293" s="1"/>
  <c r="L3329" i="293"/>
  <c r="M3329" i="293" s="1"/>
  <c r="L3080" i="293"/>
  <c r="M3080" i="293" s="1"/>
  <c r="L3016" i="293"/>
  <c r="M3016" i="293" s="1"/>
  <c r="L2994" i="293"/>
  <c r="M2994" i="293" s="1"/>
  <c r="L2985" i="293"/>
  <c r="M2985" i="293" s="1"/>
  <c r="L2977" i="293"/>
  <c r="M2977" i="293" s="1"/>
  <c r="L2961" i="293"/>
  <c r="M2961" i="293" s="1"/>
  <c r="L2945" i="293"/>
  <c r="M2945" i="293" s="1"/>
  <c r="L2937" i="293"/>
  <c r="M2937" i="293" s="1"/>
  <c r="L2929" i="293"/>
  <c r="M2929" i="293" s="1"/>
  <c r="L2905" i="293"/>
  <c r="M2905" i="293" s="1"/>
  <c r="L2897" i="293"/>
  <c r="M2897" i="293" s="1"/>
  <c r="L2889" i="293"/>
  <c r="M2889" i="293" s="1"/>
  <c r="L2882" i="293"/>
  <c r="M2882" i="293" s="1"/>
  <c r="L2874" i="293"/>
  <c r="M2874" i="293" s="1"/>
  <c r="L2867" i="293"/>
  <c r="M2867" i="293" s="1"/>
  <c r="L2859" i="293"/>
  <c r="M2859" i="293" s="1"/>
  <c r="L2851" i="293"/>
  <c r="M2851" i="293" s="1"/>
  <c r="L2828" i="293"/>
  <c r="M2828" i="293" s="1"/>
  <c r="L2821" i="293"/>
  <c r="M2821" i="293" s="1"/>
  <c r="L2805" i="293"/>
  <c r="M2805" i="293" s="1"/>
  <c r="L2797" i="293"/>
  <c r="M2797" i="293" s="1"/>
  <c r="L2789" i="293"/>
  <c r="M2789" i="293" s="1"/>
  <c r="L2774" i="293"/>
  <c r="M2774" i="293" s="1"/>
  <c r="L2768" i="293"/>
  <c r="M2768" i="293" s="1"/>
  <c r="L2740" i="293"/>
  <c r="M2740" i="293" s="1"/>
  <c r="L2732" i="293"/>
  <c r="M2732" i="293" s="1"/>
  <c r="L2717" i="293"/>
  <c r="M2717" i="293" s="1"/>
  <c r="L2710" i="293"/>
  <c r="M2710" i="293" s="1"/>
  <c r="L2702" i="293"/>
  <c r="M2702" i="293" s="1"/>
  <c r="L2695" i="293"/>
  <c r="M2695" i="293" s="1"/>
  <c r="L2687" i="293"/>
  <c r="M2687" i="293" s="1"/>
  <c r="L2663" i="293"/>
  <c r="M2663" i="293" s="1"/>
  <c r="L2655" i="293"/>
  <c r="M2655" i="293" s="1"/>
  <c r="L2647" i="293"/>
  <c r="M2647" i="293" s="1"/>
  <c r="L2639" i="293"/>
  <c r="M2639" i="293" s="1"/>
  <c r="L2599" i="293"/>
  <c r="M2599" i="293" s="1"/>
  <c r="L2591" i="293"/>
  <c r="M2591" i="293" s="1"/>
  <c r="L2584" i="293"/>
  <c r="M2584" i="293" s="1"/>
  <c r="L2576" i="293"/>
  <c r="M2576" i="293" s="1"/>
  <c r="L2529" i="293"/>
  <c r="M2529" i="293" s="1"/>
  <c r="L2505" i="293"/>
  <c r="M2505" i="293" s="1"/>
  <c r="L2497" i="293"/>
  <c r="M2497" i="293" s="1"/>
  <c r="L2482" i="293"/>
  <c r="M2482" i="293" s="1"/>
  <c r="L2474" i="293"/>
  <c r="M2474" i="293" s="1"/>
  <c r="L2466" i="293"/>
  <c r="M2466" i="293" s="1"/>
  <c r="L2458" i="293"/>
  <c r="M2458" i="293" s="1"/>
  <c r="L2450" i="293"/>
  <c r="M2450" i="293" s="1"/>
  <c r="L2442" i="293"/>
  <c r="M2442" i="293" s="1"/>
  <c r="L2434" i="293"/>
  <c r="M2434" i="293" s="1"/>
  <c r="L2426" i="293"/>
  <c r="M2426" i="293" s="1"/>
  <c r="L2419" i="293"/>
  <c r="M2419" i="293" s="1"/>
  <c r="L2411" i="293"/>
  <c r="M2411" i="293" s="1"/>
  <c r="L2403" i="293"/>
  <c r="M2403" i="293" s="1"/>
  <c r="L2395" i="293"/>
  <c r="M2395" i="293" s="1"/>
  <c r="L4010" i="293"/>
  <c r="M4010" i="293" s="1"/>
  <c r="L3574" i="293"/>
  <c r="M3574" i="293" s="1"/>
  <c r="L3512" i="293"/>
  <c r="M3512" i="293" s="1"/>
  <c r="L3449" i="293"/>
  <c r="M3449" i="293" s="1"/>
  <c r="L3321" i="293"/>
  <c r="M3321" i="293" s="1"/>
  <c r="L3198" i="293"/>
  <c r="M3198" i="293" s="1"/>
  <c r="L3136" i="293"/>
  <c r="M3136" i="293" s="1"/>
  <c r="L3072" i="293"/>
  <c r="M3072" i="293" s="1"/>
  <c r="L2993" i="293"/>
  <c r="M2993" i="293" s="1"/>
  <c r="L2984" i="293"/>
  <c r="M2984" i="293" s="1"/>
  <c r="L2976" i="293"/>
  <c r="M2976" i="293" s="1"/>
  <c r="L2960" i="293"/>
  <c r="M2960" i="293" s="1"/>
  <c r="L2952" i="293"/>
  <c r="M2952" i="293" s="1"/>
  <c r="L2944" i="293"/>
  <c r="M2944" i="293" s="1"/>
  <c r="L2936" i="293"/>
  <c r="M2936" i="293" s="1"/>
  <c r="L2920" i="293"/>
  <c r="M2920" i="293" s="1"/>
  <c r="L2912" i="293"/>
  <c r="M2912" i="293" s="1"/>
  <c r="L2896" i="293"/>
  <c r="M2896" i="293" s="1"/>
  <c r="L2888" i="293"/>
  <c r="M2888" i="293" s="1"/>
  <c r="L2881" i="293"/>
  <c r="M2881" i="293" s="1"/>
  <c r="L2873" i="293"/>
  <c r="M2873" i="293" s="1"/>
  <c r="L2866" i="293"/>
  <c r="M2866" i="293" s="1"/>
  <c r="L2858" i="293"/>
  <c r="M2858" i="293" s="1"/>
  <c r="L2850" i="293"/>
  <c r="M2850" i="293" s="1"/>
  <c r="L2820" i="293"/>
  <c r="M2820" i="293" s="1"/>
  <c r="L2812" i="293"/>
  <c r="M2812" i="293" s="1"/>
  <c r="L2804" i="293"/>
  <c r="M2804" i="293" s="1"/>
  <c r="L2796" i="293"/>
  <c r="M2796" i="293" s="1"/>
  <c r="L2788" i="293"/>
  <c r="M2788" i="293" s="1"/>
  <c r="L2781" i="293"/>
  <c r="M2781" i="293" s="1"/>
  <c r="L2751" i="293"/>
  <c r="M2751" i="293" s="1"/>
  <c r="L2739" i="293"/>
  <c r="M2739" i="293" s="1"/>
  <c r="L2731" i="293"/>
  <c r="M2731" i="293" s="1"/>
  <c r="L2723" i="293"/>
  <c r="M2723" i="293" s="1"/>
  <c r="L2709" i="293"/>
  <c r="M2709" i="293" s="1"/>
  <c r="L2694" i="293"/>
  <c r="M2694" i="293" s="1"/>
  <c r="L2678" i="293"/>
  <c r="M2678" i="293" s="1"/>
  <c r="L2662" i="293"/>
  <c r="M2662" i="293" s="1"/>
  <c r="L2654" i="293"/>
  <c r="M2654" i="293" s="1"/>
  <c r="L2646" i="293"/>
  <c r="M2646" i="293" s="1"/>
  <c r="L2638" i="293"/>
  <c r="M2638" i="293" s="1"/>
  <c r="L2622" i="293"/>
  <c r="M2622" i="293" s="1"/>
  <c r="L2598" i="293"/>
  <c r="M2598" i="293" s="1"/>
  <c r="L2590" i="293"/>
  <c r="M2590" i="293" s="1"/>
  <c r="L2583" i="293"/>
  <c r="M2583" i="293" s="1"/>
  <c r="L2575" i="293"/>
  <c r="M2575" i="293" s="1"/>
  <c r="L2567" i="293"/>
  <c r="M2567" i="293" s="1"/>
  <c r="L2559" i="293"/>
  <c r="M2559" i="293" s="1"/>
  <c r="L2543" i="293"/>
  <c r="M2543" i="293" s="1"/>
  <c r="L2528" i="293"/>
  <c r="M2528" i="293" s="1"/>
  <c r="L2504" i="293"/>
  <c r="M2504" i="293" s="1"/>
  <c r="L2496" i="293"/>
  <c r="M2496" i="293" s="1"/>
  <c r="L2465" i="293"/>
  <c r="M2465" i="293" s="1"/>
  <c r="L2457" i="293"/>
  <c r="M2457" i="293" s="1"/>
  <c r="L2449" i="293"/>
  <c r="M2449" i="293" s="1"/>
  <c r="L2441" i="293"/>
  <c r="M2441" i="293" s="1"/>
  <c r="L2433" i="293"/>
  <c r="M2433" i="293" s="1"/>
  <c r="L2425" i="293"/>
  <c r="M2425" i="293" s="1"/>
  <c r="L2418" i="293"/>
  <c r="M2418" i="293" s="1"/>
  <c r="L2402" i="293"/>
  <c r="M2402" i="293" s="1"/>
  <c r="L2394" i="293"/>
  <c r="M2394" i="293" s="1"/>
  <c r="L3947" i="293"/>
  <c r="M3947" i="293" s="1"/>
  <c r="L3566" i="293"/>
  <c r="M3566" i="293" s="1"/>
  <c r="L3441" i="293"/>
  <c r="M3441" i="293" s="1"/>
  <c r="L3377" i="293"/>
  <c r="M3377" i="293" s="1"/>
  <c r="L3191" i="293"/>
  <c r="M3191" i="293" s="1"/>
  <c r="L3002" i="293"/>
  <c r="M3002" i="293" s="1"/>
  <c r="L2983" i="293"/>
  <c r="M2983" i="293" s="1"/>
  <c r="L2975" i="293"/>
  <c r="M2975" i="293" s="1"/>
  <c r="L2959" i="293"/>
  <c r="M2959" i="293" s="1"/>
  <c r="L2943" i="293"/>
  <c r="M2943" i="293" s="1"/>
  <c r="L2927" i="293"/>
  <c r="M2927" i="293" s="1"/>
  <c r="L2919" i="293"/>
  <c r="M2919" i="293" s="1"/>
  <c r="L2911" i="293"/>
  <c r="M2911" i="293" s="1"/>
  <c r="L2895" i="293"/>
  <c r="M2895" i="293" s="1"/>
  <c r="L2872" i="293"/>
  <c r="M2872" i="293" s="1"/>
  <c r="L2865" i="293"/>
  <c r="M2865" i="293" s="1"/>
  <c r="L2857" i="293"/>
  <c r="M2857" i="293" s="1"/>
  <c r="L2849" i="293"/>
  <c r="M2849" i="293" s="1"/>
  <c r="L2842" i="293"/>
  <c r="M2842" i="293" s="1"/>
  <c r="L2834" i="293"/>
  <c r="M2834" i="293" s="1"/>
  <c r="L2826" i="293"/>
  <c r="M2826" i="293" s="1"/>
  <c r="L2819" i="293"/>
  <c r="M2819" i="293" s="1"/>
  <c r="L2811" i="293"/>
  <c r="M2811" i="293" s="1"/>
  <c r="L2803" i="293"/>
  <c r="M2803" i="293" s="1"/>
  <c r="L2795" i="293"/>
  <c r="M2795" i="293" s="1"/>
  <c r="L2780" i="293"/>
  <c r="M2780" i="293" s="1"/>
  <c r="L2773" i="293"/>
  <c r="M2773" i="293" s="1"/>
  <c r="L2766" i="293"/>
  <c r="M2766" i="293" s="1"/>
  <c r="L2750" i="293"/>
  <c r="M2750" i="293" s="1"/>
  <c r="L2744" i="293"/>
  <c r="M2744" i="293" s="1"/>
  <c r="L2730" i="293"/>
  <c r="M2730" i="293" s="1"/>
  <c r="L2722" i="293"/>
  <c r="M2722" i="293" s="1"/>
  <c r="L2716" i="293"/>
  <c r="M2716" i="293" s="1"/>
  <c r="L2693" i="293"/>
  <c r="M2693" i="293" s="1"/>
  <c r="L2677" i="293"/>
  <c r="M2677" i="293" s="1"/>
  <c r="L2669" i="293"/>
  <c r="M2669" i="293" s="1"/>
  <c r="L2653" i="293"/>
  <c r="M2653" i="293" s="1"/>
  <c r="L2645" i="293"/>
  <c r="M2645" i="293" s="1"/>
  <c r="L2637" i="293"/>
  <c r="M2637" i="293" s="1"/>
  <c r="L2621" i="293"/>
  <c r="M2621" i="293" s="1"/>
  <c r="L2613" i="293"/>
  <c r="M2613" i="293" s="1"/>
  <c r="L2597" i="293"/>
  <c r="M2597" i="293" s="1"/>
  <c r="L2589" i="293"/>
  <c r="M2589" i="293" s="1"/>
  <c r="L2582" i="293"/>
  <c r="M2582" i="293" s="1"/>
  <c r="L2574" i="293"/>
  <c r="M2574" i="293" s="1"/>
  <c r="L2566" i="293"/>
  <c r="M2566" i="293" s="1"/>
  <c r="L2558" i="293"/>
  <c r="M2558" i="293" s="1"/>
  <c r="L2542" i="293"/>
  <c r="M2542" i="293" s="1"/>
  <c r="L2527" i="293"/>
  <c r="M2527" i="293" s="1"/>
  <c r="L2511" i="293"/>
  <c r="M2511" i="293" s="1"/>
  <c r="L2503" i="293"/>
  <c r="M2503" i="293" s="1"/>
  <c r="L2495" i="293"/>
  <c r="M2495" i="293" s="1"/>
  <c r="L2480" i="293"/>
  <c r="M2480" i="293" s="1"/>
  <c r="L2464" i="293"/>
  <c r="M2464" i="293" s="1"/>
  <c r="L2456" i="293"/>
  <c r="M2456" i="293" s="1"/>
  <c r="L2448" i="293"/>
  <c r="M2448" i="293" s="1"/>
  <c r="L3244" i="293"/>
  <c r="M3244" i="293" s="1"/>
  <c r="L2841" i="293"/>
  <c r="M2841" i="293" s="1"/>
  <c r="L2779" i="293"/>
  <c r="M2779" i="293" s="1"/>
  <c r="L2721" i="293"/>
  <c r="M2721" i="293" s="1"/>
  <c r="L2596" i="293"/>
  <c r="M2596" i="293" s="1"/>
  <c r="L2427" i="293"/>
  <c r="M2427" i="293" s="1"/>
  <c r="L2390" i="293"/>
  <c r="M2390" i="293" s="1"/>
  <c r="L2382" i="293"/>
  <c r="M2382" i="293" s="1"/>
  <c r="L2374" i="293"/>
  <c r="M2374" i="293" s="1"/>
  <c r="L2366" i="293"/>
  <c r="M2366" i="293" s="1"/>
  <c r="L2358" i="293"/>
  <c r="M2358" i="293" s="1"/>
  <c r="L2350" i="293"/>
  <c r="M2350" i="293" s="1"/>
  <c r="L2344" i="293"/>
  <c r="M2344" i="293" s="1"/>
  <c r="L2331" i="293"/>
  <c r="M2331" i="293" s="1"/>
  <c r="L2323" i="293"/>
  <c r="M2323" i="293" s="1"/>
  <c r="L2315" i="293"/>
  <c r="M2315" i="293" s="1"/>
  <c r="L2307" i="293"/>
  <c r="M2307" i="293" s="1"/>
  <c r="L2299" i="293"/>
  <c r="M2299" i="293" s="1"/>
  <c r="L2292" i="293"/>
  <c r="M2292" i="293" s="1"/>
  <c r="L2270" i="293"/>
  <c r="M2270" i="293" s="1"/>
  <c r="L2262" i="293"/>
  <c r="M2262" i="293" s="1"/>
  <c r="L2246" i="293"/>
  <c r="M2246" i="293" s="1"/>
  <c r="L2239" i="293"/>
  <c r="M2239" i="293" s="1"/>
  <c r="L2206" i="293"/>
  <c r="M2206" i="293" s="1"/>
  <c r="L2198" i="293"/>
  <c r="M2198" i="293" s="1"/>
  <c r="L2190" i="293"/>
  <c r="M2190" i="293" s="1"/>
  <c r="L2182" i="293"/>
  <c r="M2182" i="293" s="1"/>
  <c r="L2174" i="293"/>
  <c r="M2174" i="293" s="1"/>
  <c r="L2150" i="293"/>
  <c r="M2150" i="293" s="1"/>
  <c r="L2142" i="293"/>
  <c r="M2142" i="293" s="1"/>
  <c r="L2134" i="293"/>
  <c r="M2134" i="293" s="1"/>
  <c r="L2103" i="293"/>
  <c r="M2103" i="293" s="1"/>
  <c r="L2095" i="293"/>
  <c r="M2095" i="293" s="1"/>
  <c r="L2087" i="293"/>
  <c r="M2087" i="293" s="1"/>
  <c r="L2071" i="293"/>
  <c r="M2071" i="293" s="1"/>
  <c r="L2063" i="293"/>
  <c r="M2063" i="293" s="1"/>
  <c r="L2048" i="293"/>
  <c r="M2048" i="293" s="1"/>
  <c r="L2040" i="293"/>
  <c r="M2040" i="293" s="1"/>
  <c r="L2024" i="293"/>
  <c r="M2024" i="293" s="1"/>
  <c r="L2016" i="293"/>
  <c r="M2016" i="293" s="1"/>
  <c r="L2001" i="293"/>
  <c r="M2001" i="293" s="1"/>
  <c r="L1969" i="293"/>
  <c r="M1969" i="293" s="1"/>
  <c r="L1953" i="293"/>
  <c r="M1953" i="293" s="1"/>
  <c r="L1945" i="293"/>
  <c r="M1945" i="293" s="1"/>
  <c r="L1929" i="293"/>
  <c r="M1929" i="293" s="1"/>
  <c r="L1921" i="293"/>
  <c r="M1921" i="293" s="1"/>
  <c r="L1881" i="293"/>
  <c r="M1881" i="293" s="1"/>
  <c r="L1873" i="293"/>
  <c r="M1873" i="293" s="1"/>
  <c r="L1865" i="293"/>
  <c r="M1865" i="293" s="1"/>
  <c r="L1842" i="293"/>
  <c r="M1842" i="293" s="1"/>
  <c r="L1827" i="293"/>
  <c r="M1827" i="293" s="1"/>
  <c r="L1806" i="293"/>
  <c r="M1806" i="293" s="1"/>
  <c r="L1799" i="293"/>
  <c r="M1799" i="293" s="1"/>
  <c r="L1775" i="293"/>
  <c r="M1775" i="293" s="1"/>
  <c r="L2958" i="293"/>
  <c r="M2958" i="293" s="1"/>
  <c r="L2894" i="293"/>
  <c r="M2894" i="293" s="1"/>
  <c r="L2833" i="293"/>
  <c r="M2833" i="293" s="1"/>
  <c r="L2772" i="293"/>
  <c r="M2772" i="293" s="1"/>
  <c r="L2715" i="293"/>
  <c r="M2715" i="293" s="1"/>
  <c r="L2588" i="293"/>
  <c r="M2588" i="293" s="1"/>
  <c r="L2463" i="293"/>
  <c r="M2463" i="293" s="1"/>
  <c r="L2389" i="293"/>
  <c r="M2389" i="293" s="1"/>
  <c r="L2373" i="293"/>
  <c r="M2373" i="293" s="1"/>
  <c r="L2365" i="293"/>
  <c r="M2365" i="293" s="1"/>
  <c r="L2357" i="293"/>
  <c r="M2357" i="293" s="1"/>
  <c r="L2343" i="293"/>
  <c r="M2343" i="293" s="1"/>
  <c r="L2330" i="293"/>
  <c r="M2330" i="293" s="1"/>
  <c r="L2322" i="293"/>
  <c r="M2322" i="293" s="1"/>
  <c r="L2314" i="293"/>
  <c r="M2314" i="293" s="1"/>
  <c r="L2306" i="293"/>
  <c r="M2306" i="293" s="1"/>
  <c r="L2291" i="293"/>
  <c r="M2291" i="293" s="1"/>
  <c r="L2277" i="293"/>
  <c r="M2277" i="293" s="1"/>
  <c r="L2261" i="293"/>
  <c r="M2261" i="293" s="1"/>
  <c r="L2245" i="293"/>
  <c r="M2245" i="293" s="1"/>
  <c r="L2238" i="293"/>
  <c r="M2238" i="293" s="1"/>
  <c r="L2205" i="293"/>
  <c r="M2205" i="293" s="1"/>
  <c r="L2197" i="293"/>
  <c r="M2197" i="293" s="1"/>
  <c r="L2189" i="293"/>
  <c r="M2189" i="293" s="1"/>
  <c r="L2181" i="293"/>
  <c r="M2181" i="293" s="1"/>
  <c r="L2173" i="293"/>
  <c r="M2173" i="293" s="1"/>
  <c r="L2149" i="293"/>
  <c r="M2149" i="293" s="1"/>
  <c r="L2141" i="293"/>
  <c r="M2141" i="293" s="1"/>
  <c r="L2133" i="293"/>
  <c r="M2133" i="293" s="1"/>
  <c r="L2126" i="293"/>
  <c r="M2126" i="293" s="1"/>
  <c r="L2102" i="293"/>
  <c r="M2102" i="293" s="1"/>
  <c r="L2094" i="293"/>
  <c r="M2094" i="293" s="1"/>
  <c r="L2086" i="293"/>
  <c r="M2086" i="293" s="1"/>
  <c r="L2070" i="293"/>
  <c r="M2070" i="293" s="1"/>
  <c r="L2062" i="293"/>
  <c r="M2062" i="293" s="1"/>
  <c r="L2047" i="293"/>
  <c r="M2047" i="293" s="1"/>
  <c r="L2039" i="293"/>
  <c r="M2039" i="293" s="1"/>
  <c r="L2023" i="293"/>
  <c r="M2023" i="293" s="1"/>
  <c r="L2015" i="293"/>
  <c r="M2015" i="293" s="1"/>
  <c r="L2000" i="293"/>
  <c r="M2000" i="293" s="1"/>
  <c r="L1992" i="293"/>
  <c r="M1992" i="293" s="1"/>
  <c r="L1944" i="293"/>
  <c r="M1944" i="293" s="1"/>
  <c r="L1928" i="293"/>
  <c r="M1928" i="293" s="1"/>
  <c r="L1912" i="293"/>
  <c r="M1912" i="293" s="1"/>
  <c r="L1904" i="293"/>
  <c r="M1904" i="293" s="1"/>
  <c r="L1880" i="293"/>
  <c r="M1880" i="293" s="1"/>
  <c r="L1872" i="293"/>
  <c r="M1872" i="293" s="1"/>
  <c r="L1864" i="293"/>
  <c r="M1864" i="293" s="1"/>
  <c r="L1856" i="293"/>
  <c r="M1856" i="293" s="1"/>
  <c r="L1826" i="293"/>
  <c r="M1826" i="293" s="1"/>
  <c r="L1805" i="293"/>
  <c r="M1805" i="293" s="1"/>
  <c r="L1798" i="293"/>
  <c r="M1798" i="293" s="1"/>
  <c r="L1774" i="293"/>
  <c r="M1774" i="293" s="1"/>
  <c r="L3884" i="293"/>
  <c r="M3884" i="293" s="1"/>
  <c r="L3120" i="293"/>
  <c r="M3120" i="293" s="1"/>
  <c r="L2886" i="293"/>
  <c r="M2886" i="293" s="1"/>
  <c r="L2765" i="293"/>
  <c r="M2765" i="293" s="1"/>
  <c r="L2707" i="293"/>
  <c r="M2707" i="293" s="1"/>
  <c r="L2518" i="293"/>
  <c r="M2518" i="293" s="1"/>
  <c r="L2455" i="293"/>
  <c r="M2455" i="293" s="1"/>
  <c r="L2408" i="293"/>
  <c r="M2408" i="293" s="1"/>
  <c r="L2388" i="293"/>
  <c r="M2388" i="293" s="1"/>
  <c r="L2372" i="293"/>
  <c r="M2372" i="293" s="1"/>
  <c r="L2364" i="293"/>
  <c r="M2364" i="293" s="1"/>
  <c r="L2356" i="293"/>
  <c r="M2356" i="293" s="1"/>
  <c r="L2349" i="293"/>
  <c r="M2349" i="293" s="1"/>
  <c r="L2342" i="293"/>
  <c r="M2342" i="293" s="1"/>
  <c r="L2335" i="293"/>
  <c r="M2335" i="293" s="1"/>
  <c r="L2329" i="293"/>
  <c r="M2329" i="293" s="1"/>
  <c r="L2321" i="293"/>
  <c r="M2321" i="293" s="1"/>
  <c r="L2313" i="293"/>
  <c r="M2313" i="293" s="1"/>
  <c r="L2290" i="293"/>
  <c r="M2290" i="293" s="1"/>
  <c r="L2276" i="293"/>
  <c r="M2276" i="293" s="1"/>
  <c r="L2260" i="293"/>
  <c r="M2260" i="293" s="1"/>
  <c r="L2244" i="293"/>
  <c r="M2244" i="293" s="1"/>
  <c r="L2204" i="293"/>
  <c r="M2204" i="293" s="1"/>
  <c r="L2196" i="293"/>
  <c r="M2196" i="293" s="1"/>
  <c r="L2180" i="293"/>
  <c r="M2180" i="293" s="1"/>
  <c r="L2172" i="293"/>
  <c r="M2172" i="293" s="1"/>
  <c r="L2164" i="293"/>
  <c r="M2164" i="293" s="1"/>
  <c r="L2148" i="293"/>
  <c r="M2148" i="293" s="1"/>
  <c r="L2140" i="293"/>
  <c r="M2140" i="293" s="1"/>
  <c r="L2132" i="293"/>
  <c r="M2132" i="293" s="1"/>
  <c r="L2125" i="293"/>
  <c r="M2125" i="293" s="1"/>
  <c r="L2101" i="293"/>
  <c r="M2101" i="293" s="1"/>
  <c r="L2093" i="293"/>
  <c r="M2093" i="293" s="1"/>
  <c r="L2085" i="293"/>
  <c r="M2085" i="293" s="1"/>
  <c r="L2069" i="293"/>
  <c r="M2069" i="293" s="1"/>
  <c r="L2046" i="293"/>
  <c r="M2046" i="293" s="1"/>
  <c r="L2038" i="293"/>
  <c r="M2038" i="293" s="1"/>
  <c r="L2022" i="293"/>
  <c r="M2022" i="293" s="1"/>
  <c r="L1999" i="293"/>
  <c r="M1999" i="293" s="1"/>
  <c r="L1967" i="293"/>
  <c r="M1967" i="293" s="1"/>
  <c r="L1943" i="293"/>
  <c r="M1943" i="293" s="1"/>
  <c r="L1927" i="293"/>
  <c r="M1927" i="293" s="1"/>
  <c r="L1911" i="293"/>
  <c r="M1911" i="293" s="1"/>
  <c r="L1903" i="293"/>
  <c r="M1903" i="293" s="1"/>
  <c r="L1879" i="293"/>
  <c r="M1879" i="293" s="1"/>
  <c r="L1871" i="293"/>
  <c r="M1871" i="293" s="1"/>
  <c r="L1863" i="293"/>
  <c r="M1863" i="293" s="1"/>
  <c r="L1855" i="293"/>
  <c r="M1855" i="293" s="1"/>
  <c r="L1841" i="293"/>
  <c r="M1841" i="293" s="1"/>
  <c r="L1825" i="293"/>
  <c r="M1825" i="293" s="1"/>
  <c r="L1804" i="293"/>
  <c r="M1804" i="293" s="1"/>
  <c r="L1797" i="293"/>
  <c r="M1797" i="293" s="1"/>
  <c r="L3558" i="293"/>
  <c r="M3558" i="293" s="1"/>
  <c r="L2942" i="293"/>
  <c r="M2942" i="293" s="1"/>
  <c r="L2818" i="293"/>
  <c r="M2818" i="293" s="1"/>
  <c r="L2757" i="293"/>
  <c r="M2757" i="293" s="1"/>
  <c r="L2636" i="293"/>
  <c r="M2636" i="293" s="1"/>
  <c r="L2573" i="293"/>
  <c r="M2573" i="293" s="1"/>
  <c r="L2510" i="293"/>
  <c r="M2510" i="293" s="1"/>
  <c r="L2447" i="293"/>
  <c r="M2447" i="293" s="1"/>
  <c r="L2407" i="293"/>
  <c r="M2407" i="293" s="1"/>
  <c r="L2397" i="293"/>
  <c r="M2397" i="293" s="1"/>
  <c r="L2387" i="293"/>
  <c r="M2387" i="293" s="1"/>
  <c r="L2379" i="293"/>
  <c r="M2379" i="293" s="1"/>
  <c r="L2363" i="293"/>
  <c r="M2363" i="293" s="1"/>
  <c r="L2348" i="293"/>
  <c r="M2348" i="293" s="1"/>
  <c r="L2341" i="293"/>
  <c r="M2341" i="293" s="1"/>
  <c r="L2334" i="293"/>
  <c r="M2334" i="293" s="1"/>
  <c r="L2328" i="293"/>
  <c r="M2328" i="293" s="1"/>
  <c r="L2312" i="293"/>
  <c r="M2312" i="293" s="1"/>
  <c r="L2297" i="293"/>
  <c r="M2297" i="293" s="1"/>
  <c r="L2289" i="293"/>
  <c r="M2289" i="293" s="1"/>
  <c r="L2282" i="293"/>
  <c r="M2282" i="293" s="1"/>
  <c r="L2275" i="293"/>
  <c r="M2275" i="293" s="1"/>
  <c r="L2267" i="293"/>
  <c r="M2267" i="293" s="1"/>
  <c r="L2259" i="293"/>
  <c r="M2259" i="293" s="1"/>
  <c r="L2243" i="293"/>
  <c r="M2243" i="293" s="1"/>
  <c r="L2236" i="293"/>
  <c r="M2236" i="293" s="1"/>
  <c r="L2203" i="293"/>
  <c r="M2203" i="293" s="1"/>
  <c r="L2195" i="293"/>
  <c r="M2195" i="293" s="1"/>
  <c r="L2187" i="293"/>
  <c r="M2187" i="293" s="1"/>
  <c r="L2179" i="293"/>
  <c r="M2179" i="293" s="1"/>
  <c r="L2171" i="293"/>
  <c r="M2171" i="293" s="1"/>
  <c r="L2163" i="293"/>
  <c r="M2163" i="293" s="1"/>
  <c r="L2155" i="293"/>
  <c r="M2155" i="293" s="1"/>
  <c r="L2147" i="293"/>
  <c r="M2147" i="293" s="1"/>
  <c r="L2139" i="293"/>
  <c r="M2139" i="293" s="1"/>
  <c r="L2124" i="293"/>
  <c r="M2124" i="293" s="1"/>
  <c r="L2116" i="293"/>
  <c r="M2116" i="293" s="1"/>
  <c r="L2100" i="293"/>
  <c r="M2100" i="293" s="1"/>
  <c r="L2092" i="293"/>
  <c r="M2092" i="293" s="1"/>
  <c r="L2084" i="293"/>
  <c r="M2084" i="293" s="1"/>
  <c r="L2068" i="293"/>
  <c r="M2068" i="293" s="1"/>
  <c r="L2060" i="293"/>
  <c r="M2060" i="293" s="1"/>
  <c r="L2045" i="293"/>
  <c r="M2045" i="293" s="1"/>
  <c r="L2037" i="293"/>
  <c r="M2037" i="293" s="1"/>
  <c r="L2029" i="293"/>
  <c r="M2029" i="293" s="1"/>
  <c r="L2021" i="293"/>
  <c r="M2021" i="293" s="1"/>
  <c r="L1998" i="293"/>
  <c r="M1998" i="293" s="1"/>
  <c r="L1942" i="293"/>
  <c r="M1942" i="293" s="1"/>
  <c r="L1926" i="293"/>
  <c r="M1926" i="293" s="1"/>
  <c r="L1910" i="293"/>
  <c r="M1910" i="293" s="1"/>
  <c r="L1902" i="293"/>
  <c r="M1902" i="293" s="1"/>
  <c r="L1886" i="293"/>
  <c r="M1886" i="293" s="1"/>
  <c r="L1878" i="293"/>
  <c r="M1878" i="293" s="1"/>
  <c r="L1870" i="293"/>
  <c r="M1870" i="293" s="1"/>
  <c r="L1862" i="293"/>
  <c r="M1862" i="293" s="1"/>
  <c r="L1854" i="293"/>
  <c r="M1854" i="293" s="1"/>
  <c r="L1840" i="293"/>
  <c r="M1840" i="293" s="1"/>
  <c r="L1824" i="293"/>
  <c r="M1824" i="293" s="1"/>
  <c r="L1803" i="293"/>
  <c r="M1803" i="293" s="1"/>
  <c r="L1796" i="293"/>
  <c r="M1796" i="293" s="1"/>
  <c r="L1772" i="293"/>
  <c r="M1772" i="293" s="1"/>
  <c r="L3496" i="293"/>
  <c r="M3496" i="293" s="1"/>
  <c r="L3001" i="293"/>
  <c r="M3001" i="293" s="1"/>
  <c r="L2934" i="293"/>
  <c r="M2934" i="293" s="1"/>
  <c r="L2810" i="293"/>
  <c r="M2810" i="293" s="1"/>
  <c r="L2565" i="293"/>
  <c r="M2565" i="293" s="1"/>
  <c r="L2502" i="293"/>
  <c r="M2502" i="293" s="1"/>
  <c r="L2417" i="293"/>
  <c r="M2417" i="293" s="1"/>
  <c r="L2406" i="293"/>
  <c r="M2406" i="293" s="1"/>
  <c r="L2396" i="293"/>
  <c r="M2396" i="293" s="1"/>
  <c r="L2386" i="293"/>
  <c r="M2386" i="293" s="1"/>
  <c r="L2378" i="293"/>
  <c r="M2378" i="293" s="1"/>
  <c r="L2362" i="293"/>
  <c r="M2362" i="293" s="1"/>
  <c r="L2340" i="293"/>
  <c r="M2340" i="293" s="1"/>
  <c r="L2327" i="293"/>
  <c r="M2327" i="293" s="1"/>
  <c r="L2319" i="293"/>
  <c r="M2319" i="293" s="1"/>
  <c r="L2311" i="293"/>
  <c r="M2311" i="293" s="1"/>
  <c r="L2303" i="293"/>
  <c r="M2303" i="293" s="1"/>
  <c r="L2296" i="293"/>
  <c r="M2296" i="293" s="1"/>
  <c r="L2281" i="293"/>
  <c r="M2281" i="293" s="1"/>
  <c r="L2274" i="293"/>
  <c r="M2274" i="293" s="1"/>
  <c r="L2266" i="293"/>
  <c r="M2266" i="293" s="1"/>
  <c r="L2258" i="293"/>
  <c r="M2258" i="293" s="1"/>
  <c r="L2242" i="293"/>
  <c r="M2242" i="293" s="1"/>
  <c r="L2235" i="293"/>
  <c r="M2235" i="293" s="1"/>
  <c r="L2202" i="293"/>
  <c r="M2202" i="293" s="1"/>
  <c r="L2194" i="293"/>
  <c r="M2194" i="293" s="1"/>
  <c r="L2186" i="293"/>
  <c r="M2186" i="293" s="1"/>
  <c r="L2178" i="293"/>
  <c r="M2178" i="293" s="1"/>
  <c r="L2170" i="293"/>
  <c r="M2170" i="293" s="1"/>
  <c r="L2162" i="293"/>
  <c r="M2162" i="293" s="1"/>
  <c r="L2154" i="293"/>
  <c r="M2154" i="293" s="1"/>
  <c r="L2146" i="293"/>
  <c r="M2146" i="293" s="1"/>
  <c r="L2138" i="293"/>
  <c r="M2138" i="293" s="1"/>
  <c r="L2123" i="293"/>
  <c r="M2123" i="293" s="1"/>
  <c r="L2115" i="293"/>
  <c r="M2115" i="293" s="1"/>
  <c r="L2099" i="293"/>
  <c r="M2099" i="293" s="1"/>
  <c r="L2091" i="293"/>
  <c r="M2091" i="293" s="1"/>
  <c r="L2083" i="293"/>
  <c r="M2083" i="293" s="1"/>
  <c r="L2067" i="293"/>
  <c r="M2067" i="293" s="1"/>
  <c r="L2059" i="293"/>
  <c r="M2059" i="293" s="1"/>
  <c r="L2044" i="293"/>
  <c r="M2044" i="293" s="1"/>
  <c r="L2036" i="293"/>
  <c r="M2036" i="293" s="1"/>
  <c r="L2028" i="293"/>
  <c r="M2028" i="293" s="1"/>
  <c r="L2020" i="293"/>
  <c r="M2020" i="293" s="1"/>
  <c r="L1997" i="293"/>
  <c r="M1997" i="293" s="1"/>
  <c r="L1941" i="293"/>
  <c r="M1941" i="293" s="1"/>
  <c r="L1925" i="293"/>
  <c r="M1925" i="293" s="1"/>
  <c r="L1909" i="293"/>
  <c r="M1909" i="293" s="1"/>
  <c r="L1901" i="293"/>
  <c r="M1901" i="293" s="1"/>
  <c r="L1885" i="293"/>
  <c r="M1885" i="293" s="1"/>
  <c r="L1877" i="293"/>
  <c r="M1877" i="293" s="1"/>
  <c r="L1869" i="293"/>
  <c r="M1869" i="293" s="1"/>
  <c r="L1853" i="293"/>
  <c r="M1853" i="293" s="1"/>
  <c r="L1839" i="293"/>
  <c r="M1839" i="293" s="1"/>
  <c r="L1823" i="293"/>
  <c r="M1823" i="293" s="1"/>
  <c r="L1795" i="293"/>
  <c r="M1795" i="293" s="1"/>
  <c r="L1771" i="293"/>
  <c r="M1771" i="293" s="1"/>
  <c r="L2926" i="293"/>
  <c r="M2926" i="293" s="1"/>
  <c r="L2864" i="293"/>
  <c r="M2864" i="293" s="1"/>
  <c r="L2620" i="293"/>
  <c r="M2620" i="293" s="1"/>
  <c r="L2557" i="293"/>
  <c r="M2557" i="293" s="1"/>
  <c r="L2435" i="293"/>
  <c r="M2435" i="293" s="1"/>
  <c r="L2416" i="293"/>
  <c r="M2416" i="293" s="1"/>
  <c r="L2405" i="293"/>
  <c r="M2405" i="293" s="1"/>
  <c r="L2393" i="293"/>
  <c r="M2393" i="293" s="1"/>
  <c r="L2385" i="293"/>
  <c r="M2385" i="293" s="1"/>
  <c r="L2377" i="293"/>
  <c r="M2377" i="293" s="1"/>
  <c r="L2369" i="293"/>
  <c r="M2369" i="293" s="1"/>
  <c r="L2361" i="293"/>
  <c r="M2361" i="293" s="1"/>
  <c r="L2347" i="293"/>
  <c r="M2347" i="293" s="1"/>
  <c r="L2339" i="293"/>
  <c r="M2339" i="293" s="1"/>
  <c r="L2333" i="293"/>
  <c r="M2333" i="293" s="1"/>
  <c r="L2326" i="293"/>
  <c r="M2326" i="293" s="1"/>
  <c r="L2318" i="293"/>
  <c r="M2318" i="293" s="1"/>
  <c r="L2310" i="293"/>
  <c r="M2310" i="293" s="1"/>
  <c r="L2302" i="293"/>
  <c r="M2302" i="293" s="1"/>
  <c r="L2295" i="293"/>
  <c r="M2295" i="293" s="1"/>
  <c r="L2280" i="293"/>
  <c r="M2280" i="293" s="1"/>
  <c r="L2273" i="293"/>
  <c r="M2273" i="293" s="1"/>
  <c r="L2265" i="293"/>
  <c r="M2265" i="293" s="1"/>
  <c r="L2257" i="293"/>
  <c r="M2257" i="293" s="1"/>
  <c r="L2249" i="293"/>
  <c r="M2249" i="293" s="1"/>
  <c r="L2234" i="293"/>
  <c r="M2234" i="293" s="1"/>
  <c r="L2201" i="293"/>
  <c r="M2201" i="293" s="1"/>
  <c r="L2193" i="293"/>
  <c r="M2193" i="293" s="1"/>
  <c r="L2185" i="293"/>
  <c r="M2185" i="293" s="1"/>
  <c r="L2177" i="293"/>
  <c r="M2177" i="293" s="1"/>
  <c r="L2169" i="293"/>
  <c r="M2169" i="293" s="1"/>
  <c r="L2161" i="293"/>
  <c r="M2161" i="293" s="1"/>
  <c r="L2153" i="293"/>
  <c r="M2153" i="293" s="1"/>
  <c r="L2145" i="293"/>
  <c r="M2145" i="293" s="1"/>
  <c r="L2137" i="293"/>
  <c r="M2137" i="293" s="1"/>
  <c r="L2122" i="293"/>
  <c r="M2122" i="293" s="1"/>
  <c r="L2114" i="293"/>
  <c r="M2114" i="293" s="1"/>
  <c r="L2106" i="293"/>
  <c r="M2106" i="293" s="1"/>
  <c r="L2098" i="293"/>
  <c r="M2098" i="293" s="1"/>
  <c r="L2090" i="293"/>
  <c r="M2090" i="293" s="1"/>
  <c r="L2066" i="293"/>
  <c r="M2066" i="293" s="1"/>
  <c r="L2043" i="293"/>
  <c r="M2043" i="293" s="1"/>
  <c r="L2035" i="293"/>
  <c r="M2035" i="293" s="1"/>
  <c r="L1996" i="293"/>
  <c r="M1996" i="293" s="1"/>
  <c r="L1940" i="293"/>
  <c r="M1940" i="293" s="1"/>
  <c r="L1924" i="293"/>
  <c r="M1924" i="293" s="1"/>
  <c r="L1908" i="293"/>
  <c r="M1908" i="293" s="1"/>
  <c r="L1884" i="293"/>
  <c r="M1884" i="293" s="1"/>
  <c r="L1876" i="293"/>
  <c r="M1876" i="293" s="1"/>
  <c r="L1868" i="293"/>
  <c r="M1868" i="293" s="1"/>
  <c r="L1852" i="293"/>
  <c r="M1852" i="293" s="1"/>
  <c r="L1838" i="293"/>
  <c r="M1838" i="293" s="1"/>
  <c r="L1822" i="293"/>
  <c r="M1822" i="293" s="1"/>
  <c r="L1794" i="293"/>
  <c r="M1794" i="293" s="1"/>
  <c r="L1770" i="293"/>
  <c r="M1770" i="293" s="1"/>
  <c r="L1755" i="293"/>
  <c r="M1755" i="293" s="1"/>
  <c r="L1733" i="293"/>
  <c r="M1733" i="293" s="1"/>
  <c r="L2856" i="293"/>
  <c r="M2856" i="293" s="1"/>
  <c r="L2612" i="293"/>
  <c r="M2612" i="293" s="1"/>
  <c r="L2415" i="293"/>
  <c r="M2415" i="293" s="1"/>
  <c r="L2376" i="293"/>
  <c r="M2376" i="293" s="1"/>
  <c r="L2317" i="293"/>
  <c r="M2317" i="293" s="1"/>
  <c r="L2256" i="293"/>
  <c r="M2256" i="293" s="1"/>
  <c r="L2200" i="293"/>
  <c r="M2200" i="293" s="1"/>
  <c r="L2168" i="293"/>
  <c r="M2168" i="293" s="1"/>
  <c r="L2136" i="293"/>
  <c r="M2136" i="293" s="1"/>
  <c r="L2105" i="293"/>
  <c r="M2105" i="293" s="1"/>
  <c r="L2073" i="293"/>
  <c r="M2073" i="293" s="1"/>
  <c r="L2042" i="293"/>
  <c r="M2042" i="293" s="1"/>
  <c r="L1923" i="293"/>
  <c r="M1923" i="293" s="1"/>
  <c r="L1829" i="293"/>
  <c r="M1829" i="293" s="1"/>
  <c r="L1756" i="293"/>
  <c r="M1756" i="293" s="1"/>
  <c r="L1730" i="293"/>
  <c r="M1730" i="293" s="1"/>
  <c r="L1722" i="293"/>
  <c r="M1722" i="293" s="1"/>
  <c r="L1706" i="293"/>
  <c r="M1706" i="293" s="1"/>
  <c r="L1690" i="293"/>
  <c r="M1690" i="293" s="1"/>
  <c r="L1682" i="293"/>
  <c r="M1682" i="293" s="1"/>
  <c r="L1659" i="293"/>
  <c r="M1659" i="293" s="1"/>
  <c r="L1651" i="293"/>
  <c r="M1651" i="293" s="1"/>
  <c r="L1628" i="293"/>
  <c r="M1628" i="293" s="1"/>
  <c r="L1612" i="293"/>
  <c r="M1612" i="293" s="1"/>
  <c r="L1596" i="293"/>
  <c r="M1596" i="293" s="1"/>
  <c r="L1561" i="293"/>
  <c r="M1561" i="293" s="1"/>
  <c r="L1553" i="293"/>
  <c r="M1553" i="293" s="1"/>
  <c r="L1529" i="293"/>
  <c r="M1529" i="293" s="1"/>
  <c r="L1522" i="293"/>
  <c r="M1522" i="293" s="1"/>
  <c r="L1487" i="293"/>
  <c r="M1487" i="293" s="1"/>
  <c r="L1471" i="293"/>
  <c r="M1471" i="293" s="1"/>
  <c r="L1445" i="293"/>
  <c r="M1445" i="293" s="1"/>
  <c r="L1437" i="293"/>
  <c r="M1437" i="293" s="1"/>
  <c r="L1413" i="293"/>
  <c r="M1413" i="293" s="1"/>
  <c r="L1363" i="293"/>
  <c r="M1363" i="293" s="1"/>
  <c r="L1327" i="293"/>
  <c r="M1327" i="293" s="1"/>
  <c r="L1294" i="293"/>
  <c r="M1294" i="293" s="1"/>
  <c r="L1278" i="293"/>
  <c r="M1278" i="293" s="1"/>
  <c r="L1256" i="293"/>
  <c r="M1256" i="293" s="1"/>
  <c r="L1240" i="293"/>
  <c r="M1240" i="293" s="1"/>
  <c r="L1224" i="293"/>
  <c r="M1224" i="293" s="1"/>
  <c r="L1216" i="293"/>
  <c r="M1216" i="293" s="1"/>
  <c r="L1200" i="293"/>
  <c r="M1200" i="293" s="1"/>
  <c r="L1184" i="293"/>
  <c r="M1184" i="293" s="1"/>
  <c r="L1176" i="293"/>
  <c r="M1176" i="293" s="1"/>
  <c r="L1152" i="293"/>
  <c r="M1152" i="293" s="1"/>
  <c r="L1144" i="293"/>
  <c r="M1144" i="293" s="1"/>
  <c r="L1136" i="293"/>
  <c r="M1136" i="293" s="1"/>
  <c r="L1113" i="293"/>
  <c r="M1113" i="293" s="1"/>
  <c r="L1082" i="293"/>
  <c r="M1082" i="293" s="1"/>
  <c r="L1074" i="293"/>
  <c r="M1074" i="293" s="1"/>
  <c r="L1058" i="293"/>
  <c r="M1058" i="293" s="1"/>
  <c r="L1050" i="293"/>
  <c r="M1050" i="293" s="1"/>
  <c r="L1034" i="293"/>
  <c r="M1034" i="293" s="1"/>
  <c r="L1026" i="293"/>
  <c r="M1026" i="293" s="1"/>
  <c r="L1018" i="293"/>
  <c r="M1018" i="293" s="1"/>
  <c r="L1010" i="293"/>
  <c r="M1010" i="293" s="1"/>
  <c r="L994" i="293"/>
  <c r="M994" i="293" s="1"/>
  <c r="L986" i="293"/>
  <c r="M986" i="293" s="1"/>
  <c r="L971" i="293"/>
  <c r="M971" i="293" s="1"/>
  <c r="L963" i="293"/>
  <c r="M963" i="293" s="1"/>
  <c r="L955" i="293"/>
  <c r="M955" i="293" s="1"/>
  <c r="L932" i="293"/>
  <c r="M932" i="293" s="1"/>
  <c r="L909" i="293"/>
  <c r="M909" i="293" s="1"/>
  <c r="L901" i="293"/>
  <c r="M901" i="293" s="1"/>
  <c r="L893" i="293"/>
  <c r="M893" i="293" s="1"/>
  <c r="L878" i="293"/>
  <c r="M878" i="293" s="1"/>
  <c r="L870" i="293"/>
  <c r="M870" i="293" s="1"/>
  <c r="L862" i="293"/>
  <c r="M862" i="293" s="1"/>
  <c r="L846" i="293"/>
  <c r="M846" i="293" s="1"/>
  <c r="L839" i="293"/>
  <c r="M839" i="293" s="1"/>
  <c r="L831" i="293"/>
  <c r="M831" i="293" s="1"/>
  <c r="L823" i="293"/>
  <c r="M823" i="293" s="1"/>
  <c r="L816" i="293"/>
  <c r="M816" i="293" s="1"/>
  <c r="L800" i="293"/>
  <c r="M800" i="293" s="1"/>
  <c r="L792" i="293"/>
  <c r="M792" i="293" s="1"/>
  <c r="L776" i="293"/>
  <c r="M776" i="293" s="1"/>
  <c r="L768" i="293"/>
  <c r="M768" i="293" s="1"/>
  <c r="L753" i="293"/>
  <c r="M753" i="293" s="1"/>
  <c r="L746" i="293"/>
  <c r="M746" i="293" s="1"/>
  <c r="L724" i="293"/>
  <c r="M724" i="293" s="1"/>
  <c r="L716" i="293"/>
  <c r="M716" i="293" s="1"/>
  <c r="L708" i="293"/>
  <c r="M708" i="293" s="1"/>
  <c r="L701" i="293"/>
  <c r="M701" i="293" s="1"/>
  <c r="L693" i="293"/>
  <c r="M693" i="293" s="1"/>
  <c r="L662" i="293"/>
  <c r="M662" i="293" s="1"/>
  <c r="L654" i="293"/>
  <c r="M654" i="293" s="1"/>
  <c r="L646" i="293"/>
  <c r="M646" i="293" s="1"/>
  <c r="L638" i="293"/>
  <c r="M638" i="293" s="1"/>
  <c r="L630" i="293"/>
  <c r="M630" i="293" s="1"/>
  <c r="L622" i="293"/>
  <c r="M622" i="293" s="1"/>
  <c r="L598" i="293"/>
  <c r="M598" i="293" s="1"/>
  <c r="L575" i="293"/>
  <c r="M575" i="293" s="1"/>
  <c r="L567" i="293"/>
  <c r="M567" i="293" s="1"/>
  <c r="L559" i="293"/>
  <c r="M559" i="293" s="1"/>
  <c r="L551" i="293"/>
  <c r="M551" i="293" s="1"/>
  <c r="L528" i="293"/>
  <c r="M528" i="293" s="1"/>
  <c r="L520" i="293"/>
  <c r="M520" i="293" s="1"/>
  <c r="L505" i="293"/>
  <c r="M505" i="293" s="1"/>
  <c r="L497" i="293"/>
  <c r="M497" i="293" s="1"/>
  <c r="L482" i="293"/>
  <c r="M482" i="293" s="1"/>
  <c r="L474" i="293"/>
  <c r="M474" i="293" s="1"/>
  <c r="L466" i="293"/>
  <c r="M466" i="293" s="1"/>
  <c r="L458" i="293"/>
  <c r="M458" i="293" s="1"/>
  <c r="L2375" i="293"/>
  <c r="M2375" i="293" s="1"/>
  <c r="L2345" i="293"/>
  <c r="M2345" i="293" s="1"/>
  <c r="L2316" i="293"/>
  <c r="M2316" i="293" s="1"/>
  <c r="L2255" i="293"/>
  <c r="M2255" i="293" s="1"/>
  <c r="L2199" i="293"/>
  <c r="M2199" i="293" s="1"/>
  <c r="L2135" i="293"/>
  <c r="M2135" i="293" s="1"/>
  <c r="L2104" i="293"/>
  <c r="M2104" i="293" s="1"/>
  <c r="L2072" i="293"/>
  <c r="M2072" i="293" s="1"/>
  <c r="L2041" i="293"/>
  <c r="M2041" i="293" s="1"/>
  <c r="L2002" i="293"/>
  <c r="M2002" i="293" s="1"/>
  <c r="L1954" i="293"/>
  <c r="M1954" i="293" s="1"/>
  <c r="L1922" i="293"/>
  <c r="M1922" i="293" s="1"/>
  <c r="L1828" i="293"/>
  <c r="M1828" i="293" s="1"/>
  <c r="L1754" i="293"/>
  <c r="M1754" i="293" s="1"/>
  <c r="L1729" i="293"/>
  <c r="M1729" i="293" s="1"/>
  <c r="L1721" i="293"/>
  <c r="M1721" i="293" s="1"/>
  <c r="L1713" i="293"/>
  <c r="M1713" i="293" s="1"/>
  <c r="L1705" i="293"/>
  <c r="M1705" i="293" s="1"/>
  <c r="L1689" i="293"/>
  <c r="M1689" i="293" s="1"/>
  <c r="L1681" i="293"/>
  <c r="M1681" i="293" s="1"/>
  <c r="L1658" i="293"/>
  <c r="M1658" i="293" s="1"/>
  <c r="L1650" i="293"/>
  <c r="M1650" i="293" s="1"/>
  <c r="L1627" i="293"/>
  <c r="M1627" i="293" s="1"/>
  <c r="L1611" i="293"/>
  <c r="M1611" i="293" s="1"/>
  <c r="L1595" i="293"/>
  <c r="M1595" i="293" s="1"/>
  <c r="L1560" i="293"/>
  <c r="M1560" i="293" s="1"/>
  <c r="L1544" i="293"/>
  <c r="M1544" i="293" s="1"/>
  <c r="L1528" i="293"/>
  <c r="M1528" i="293" s="1"/>
  <c r="L1521" i="293"/>
  <c r="M1521" i="293" s="1"/>
  <c r="L1486" i="293"/>
  <c r="M1486" i="293" s="1"/>
  <c r="L1470" i="293"/>
  <c r="M1470" i="293" s="1"/>
  <c r="L1444" i="293"/>
  <c r="M1444" i="293" s="1"/>
  <c r="L1436" i="293"/>
  <c r="M1436" i="293" s="1"/>
  <c r="L1412" i="293"/>
  <c r="M1412" i="293" s="1"/>
  <c r="L1362" i="293"/>
  <c r="M1362" i="293" s="1"/>
  <c r="L1326" i="293"/>
  <c r="M1326" i="293" s="1"/>
  <c r="L1318" i="293"/>
  <c r="M1318" i="293" s="1"/>
  <c r="L1293" i="293"/>
  <c r="M1293" i="293" s="1"/>
  <c r="L1277" i="293"/>
  <c r="M1277" i="293" s="1"/>
  <c r="L1262" i="293"/>
  <c r="M1262" i="293" s="1"/>
  <c r="L1255" i="293"/>
  <c r="M1255" i="293" s="1"/>
  <c r="L1239" i="293"/>
  <c r="M1239" i="293" s="1"/>
  <c r="L1223" i="293"/>
  <c r="M1223" i="293" s="1"/>
  <c r="L1215" i="293"/>
  <c r="M1215" i="293" s="1"/>
  <c r="L1199" i="293"/>
  <c r="M1199" i="293" s="1"/>
  <c r="L1183" i="293"/>
  <c r="M1183" i="293" s="1"/>
  <c r="L1175" i="293"/>
  <c r="M1175" i="293" s="1"/>
  <c r="L1151" i="293"/>
  <c r="M1151" i="293" s="1"/>
  <c r="L1143" i="293"/>
  <c r="M1143" i="293" s="1"/>
  <c r="L1135" i="293"/>
  <c r="M1135" i="293" s="1"/>
  <c r="L1112" i="293"/>
  <c r="M1112" i="293" s="1"/>
  <c r="L1105" i="293"/>
  <c r="M1105" i="293" s="1"/>
  <c r="L1081" i="293"/>
  <c r="M1081" i="293" s="1"/>
  <c r="L1065" i="293"/>
  <c r="M1065" i="293" s="1"/>
  <c r="L1057" i="293"/>
  <c r="M1057" i="293" s="1"/>
  <c r="L1049" i="293"/>
  <c r="M1049" i="293" s="1"/>
  <c r="L1033" i="293"/>
  <c r="M1033" i="293" s="1"/>
  <c r="L1025" i="293"/>
  <c r="M1025" i="293" s="1"/>
  <c r="L1017" i="293"/>
  <c r="M1017" i="293" s="1"/>
  <c r="L1009" i="293"/>
  <c r="M1009" i="293" s="1"/>
  <c r="L993" i="293"/>
  <c r="M993" i="293" s="1"/>
  <c r="L985" i="293"/>
  <c r="M985" i="293" s="1"/>
  <c r="L970" i="293"/>
  <c r="M970" i="293" s="1"/>
  <c r="L962" i="293"/>
  <c r="M962" i="293" s="1"/>
  <c r="L954" i="293"/>
  <c r="M954" i="293" s="1"/>
  <c r="L947" i="293"/>
  <c r="M947" i="293" s="1"/>
  <c r="L931" i="293"/>
  <c r="M931" i="293" s="1"/>
  <c r="L923" i="293"/>
  <c r="M923" i="293" s="1"/>
  <c r="L908" i="293"/>
  <c r="M908" i="293" s="1"/>
  <c r="L900" i="293"/>
  <c r="M900" i="293" s="1"/>
  <c r="L892" i="293"/>
  <c r="M892" i="293" s="1"/>
  <c r="L877" i="293"/>
  <c r="M877" i="293" s="1"/>
  <c r="L869" i="293"/>
  <c r="M869" i="293" s="1"/>
  <c r="L861" i="293"/>
  <c r="M861" i="293" s="1"/>
  <c r="L838" i="293"/>
  <c r="M838" i="293" s="1"/>
  <c r="L822" i="293"/>
  <c r="M822" i="293" s="1"/>
  <c r="L815" i="293"/>
  <c r="M815" i="293" s="1"/>
  <c r="L799" i="293"/>
  <c r="M799" i="293" s="1"/>
  <c r="L791" i="293"/>
  <c r="M791" i="293" s="1"/>
  <c r="L775" i="293"/>
  <c r="M775" i="293" s="1"/>
  <c r="L767" i="293"/>
  <c r="M767" i="293" s="1"/>
  <c r="L759" i="293"/>
  <c r="M759" i="293" s="1"/>
  <c r="L752" i="293"/>
  <c r="M752" i="293" s="1"/>
  <c r="L745" i="293"/>
  <c r="M745" i="293" s="1"/>
  <c r="L738" i="293"/>
  <c r="M738" i="293" s="1"/>
  <c r="L731" i="293"/>
  <c r="M731" i="293" s="1"/>
  <c r="L723" i="293"/>
  <c r="M723" i="293" s="1"/>
  <c r="L707" i="293"/>
  <c r="M707" i="293" s="1"/>
  <c r="L700" i="293"/>
  <c r="M700" i="293" s="1"/>
  <c r="L692" i="293"/>
  <c r="M692" i="293" s="1"/>
  <c r="L677" i="293"/>
  <c r="M677" i="293" s="1"/>
  <c r="L3369" i="293"/>
  <c r="M3369" i="293" s="1"/>
  <c r="L2549" i="293"/>
  <c r="M2549" i="293" s="1"/>
  <c r="L2404" i="293"/>
  <c r="M2404" i="293" s="1"/>
  <c r="L2368" i="293"/>
  <c r="M2368" i="293" s="1"/>
  <c r="L2338" i="293"/>
  <c r="M2338" i="293" s="1"/>
  <c r="L2309" i="293"/>
  <c r="M2309" i="293" s="1"/>
  <c r="L2279" i="293"/>
  <c r="M2279" i="293" s="1"/>
  <c r="L2248" i="293"/>
  <c r="M2248" i="293" s="1"/>
  <c r="L2192" i="293"/>
  <c r="M2192" i="293" s="1"/>
  <c r="L2097" i="293"/>
  <c r="M2097" i="293" s="1"/>
  <c r="L2065" i="293"/>
  <c r="M2065" i="293" s="1"/>
  <c r="L1995" i="293"/>
  <c r="M1995" i="293" s="1"/>
  <c r="L1947" i="293"/>
  <c r="M1947" i="293" s="1"/>
  <c r="L1883" i="293"/>
  <c r="M1883" i="293" s="1"/>
  <c r="L1851" i="293"/>
  <c r="M1851" i="293" s="1"/>
  <c r="L1821" i="293"/>
  <c r="M1821" i="293" s="1"/>
  <c r="L1777" i="293"/>
  <c r="M1777" i="293" s="1"/>
  <c r="L1753" i="293"/>
  <c r="M1753" i="293" s="1"/>
  <c r="L1728" i="293"/>
  <c r="M1728" i="293" s="1"/>
  <c r="L1720" i="293"/>
  <c r="M1720" i="293" s="1"/>
  <c r="L1712" i="293"/>
  <c r="M1712" i="293" s="1"/>
  <c r="L1704" i="293"/>
  <c r="M1704" i="293" s="1"/>
  <c r="L1688" i="293"/>
  <c r="M1688" i="293" s="1"/>
  <c r="L1680" i="293"/>
  <c r="M1680" i="293" s="1"/>
  <c r="L1657" i="293"/>
  <c r="M1657" i="293" s="1"/>
  <c r="L1633" i="293"/>
  <c r="M1633" i="293" s="1"/>
  <c r="L1626" i="293"/>
  <c r="M1626" i="293" s="1"/>
  <c r="L1618" i="293"/>
  <c r="M1618" i="293" s="1"/>
  <c r="L1610" i="293"/>
  <c r="M1610" i="293" s="1"/>
  <c r="L1594" i="293"/>
  <c r="M1594" i="293" s="1"/>
  <c r="L1559" i="293"/>
  <c r="M1559" i="293" s="1"/>
  <c r="L1543" i="293"/>
  <c r="M1543" i="293" s="1"/>
  <c r="L1527" i="293"/>
  <c r="M1527" i="293" s="1"/>
  <c r="L1520" i="293"/>
  <c r="M1520" i="293" s="1"/>
  <c r="L1485" i="293"/>
  <c r="M1485" i="293" s="1"/>
  <c r="L1469" i="293"/>
  <c r="M1469" i="293" s="1"/>
  <c r="L1443" i="293"/>
  <c r="M1443" i="293" s="1"/>
  <c r="L1435" i="293"/>
  <c r="M1435" i="293" s="1"/>
  <c r="L1411" i="293"/>
  <c r="M1411" i="293" s="1"/>
  <c r="L1361" i="293"/>
  <c r="M1361" i="293" s="1"/>
  <c r="L1317" i="293"/>
  <c r="M1317" i="293" s="1"/>
  <c r="L1292" i="293"/>
  <c r="M1292" i="293" s="1"/>
  <c r="L1276" i="293"/>
  <c r="M1276" i="293" s="1"/>
  <c r="L1261" i="293"/>
  <c r="M1261" i="293" s="1"/>
  <c r="L1254" i="293"/>
  <c r="M1254" i="293" s="1"/>
  <c r="L1238" i="293"/>
  <c r="M1238" i="293" s="1"/>
  <c r="L1222" i="293"/>
  <c r="M1222" i="293" s="1"/>
  <c r="L1214" i="293"/>
  <c r="M1214" i="293" s="1"/>
  <c r="L1198" i="293"/>
  <c r="M1198" i="293" s="1"/>
  <c r="L1182" i="293"/>
  <c r="M1182" i="293" s="1"/>
  <c r="L1174" i="293"/>
  <c r="M1174" i="293" s="1"/>
  <c r="L1150" i="293"/>
  <c r="M1150" i="293" s="1"/>
  <c r="L1142" i="293"/>
  <c r="M1142" i="293" s="1"/>
  <c r="L1134" i="293"/>
  <c r="M1134" i="293" s="1"/>
  <c r="L1119" i="293"/>
  <c r="M1119" i="293" s="1"/>
  <c r="L1111" i="293"/>
  <c r="M1111" i="293" s="1"/>
  <c r="L1104" i="293"/>
  <c r="M1104" i="293" s="1"/>
  <c r="L1080" i="293"/>
  <c r="M1080" i="293" s="1"/>
  <c r="L1064" i="293"/>
  <c r="M1064" i="293" s="1"/>
  <c r="L1056" i="293"/>
  <c r="M1056" i="293" s="1"/>
  <c r="L1048" i="293"/>
  <c r="M1048" i="293" s="1"/>
  <c r="L1032" i="293"/>
  <c r="M1032" i="293" s="1"/>
  <c r="L1024" i="293"/>
  <c r="M1024" i="293" s="1"/>
  <c r="L1016" i="293"/>
  <c r="M1016" i="293" s="1"/>
  <c r="L1008" i="293"/>
  <c r="M1008" i="293" s="1"/>
  <c r="L992" i="293"/>
  <c r="M992" i="293" s="1"/>
  <c r="L984" i="293"/>
  <c r="M984" i="293" s="1"/>
  <c r="L969" i="293"/>
  <c r="M969" i="293" s="1"/>
  <c r="L953" i="293"/>
  <c r="M953" i="293" s="1"/>
  <c r="L946" i="293"/>
  <c r="M946" i="293" s="1"/>
  <c r="L938" i="293"/>
  <c r="M938" i="293" s="1"/>
  <c r="L930" i="293"/>
  <c r="M930" i="293" s="1"/>
  <c r="L922" i="293"/>
  <c r="M922" i="293" s="1"/>
  <c r="L907" i="293"/>
  <c r="M907" i="293" s="1"/>
  <c r="L891" i="293"/>
  <c r="M891" i="293" s="1"/>
  <c r="L876" i="293"/>
  <c r="M876" i="293" s="1"/>
  <c r="L868" i="293"/>
  <c r="M868" i="293" s="1"/>
  <c r="L860" i="293"/>
  <c r="M860" i="293" s="1"/>
  <c r="L845" i="293"/>
  <c r="M845" i="293" s="1"/>
  <c r="L837" i="293"/>
  <c r="M837" i="293" s="1"/>
  <c r="L821" i="293"/>
  <c r="M821" i="293" s="1"/>
  <c r="L814" i="293"/>
  <c r="M814" i="293" s="1"/>
  <c r="L806" i="293"/>
  <c r="M806" i="293" s="1"/>
  <c r="L798" i="293"/>
  <c r="M798" i="293" s="1"/>
  <c r="L790" i="293"/>
  <c r="M790" i="293" s="1"/>
  <c r="L774" i="293"/>
  <c r="M774" i="293" s="1"/>
  <c r="L758" i="293"/>
  <c r="M758" i="293" s="1"/>
  <c r="L751" i="293"/>
  <c r="M751" i="293" s="1"/>
  <c r="L744" i="293"/>
  <c r="M744" i="293" s="1"/>
  <c r="L737" i="293"/>
  <c r="M737" i="293" s="1"/>
  <c r="L730" i="293"/>
  <c r="M730" i="293" s="1"/>
  <c r="L722" i="293"/>
  <c r="M722" i="293" s="1"/>
  <c r="L699" i="293"/>
  <c r="M699" i="293" s="1"/>
  <c r="L684" i="293"/>
  <c r="M684" i="293" s="1"/>
  <c r="L676" i="293"/>
  <c r="M676" i="293" s="1"/>
  <c r="L668" i="293"/>
  <c r="M668" i="293" s="1"/>
  <c r="L652" i="293"/>
  <c r="M652" i="293" s="1"/>
  <c r="L644" i="293"/>
  <c r="M644" i="293" s="1"/>
  <c r="L620" i="293"/>
  <c r="M620" i="293" s="1"/>
  <c r="L3305" i="293"/>
  <c r="M3305" i="293" s="1"/>
  <c r="L2541" i="293"/>
  <c r="M2541" i="293" s="1"/>
  <c r="L2367" i="293"/>
  <c r="M2367" i="293" s="1"/>
  <c r="L2308" i="293"/>
  <c r="M2308" i="293" s="1"/>
  <c r="L2247" i="293"/>
  <c r="M2247" i="293" s="1"/>
  <c r="L2191" i="293"/>
  <c r="M2191" i="293" s="1"/>
  <c r="L2096" i="293"/>
  <c r="M2096" i="293" s="1"/>
  <c r="L2064" i="293"/>
  <c r="M2064" i="293" s="1"/>
  <c r="L1994" i="293"/>
  <c r="M1994" i="293" s="1"/>
  <c r="L1946" i="293"/>
  <c r="M1946" i="293" s="1"/>
  <c r="L1882" i="293"/>
  <c r="M1882" i="293" s="1"/>
  <c r="L1776" i="293"/>
  <c r="M1776" i="293" s="1"/>
  <c r="L1727" i="293"/>
  <c r="M1727" i="293" s="1"/>
  <c r="L1719" i="293"/>
  <c r="M1719" i="293" s="1"/>
  <c r="L1703" i="293"/>
  <c r="M1703" i="293" s="1"/>
  <c r="L1687" i="293"/>
  <c r="M1687" i="293" s="1"/>
  <c r="L1679" i="293"/>
  <c r="M1679" i="293" s="1"/>
  <c r="L1656" i="293"/>
  <c r="M1656" i="293" s="1"/>
  <c r="L1625" i="293"/>
  <c r="M1625" i="293" s="1"/>
  <c r="L1617" i="293"/>
  <c r="M1617" i="293" s="1"/>
  <c r="L1609" i="293"/>
  <c r="M1609" i="293" s="1"/>
  <c r="L1566" i="293"/>
  <c r="M1566" i="293" s="1"/>
  <c r="L1558" i="293"/>
  <c r="M1558" i="293" s="1"/>
  <c r="L1542" i="293"/>
  <c r="M1542" i="293" s="1"/>
  <c r="L1492" i="293"/>
  <c r="M1492" i="293" s="1"/>
  <c r="L1484" i="293"/>
  <c r="M1484" i="293" s="1"/>
  <c r="L1468" i="293"/>
  <c r="M1468" i="293" s="1"/>
  <c r="L1442" i="293"/>
  <c r="M1442" i="293" s="1"/>
  <c r="L1434" i="293"/>
  <c r="M1434" i="293" s="1"/>
  <c r="L1410" i="293"/>
  <c r="M1410" i="293" s="1"/>
  <c r="L1360" i="293"/>
  <c r="M1360" i="293" s="1"/>
  <c r="L1316" i="293"/>
  <c r="M1316" i="293" s="1"/>
  <c r="L1291" i="293"/>
  <c r="M1291" i="293" s="1"/>
  <c r="L1275" i="293"/>
  <c r="M1275" i="293" s="1"/>
  <c r="L1260" i="293"/>
  <c r="M1260" i="293" s="1"/>
  <c r="L1253" i="293"/>
  <c r="M1253" i="293" s="1"/>
  <c r="L1237" i="293"/>
  <c r="M1237" i="293" s="1"/>
  <c r="L1221" i="293"/>
  <c r="M1221" i="293" s="1"/>
  <c r="L1213" i="293"/>
  <c r="M1213" i="293" s="1"/>
  <c r="L1197" i="293"/>
  <c r="M1197" i="293" s="1"/>
  <c r="L1181" i="293"/>
  <c r="M1181" i="293" s="1"/>
  <c r="L1173" i="293"/>
  <c r="M1173" i="293" s="1"/>
  <c r="L1157" i="293"/>
  <c r="M1157" i="293" s="1"/>
  <c r="L1149" i="293"/>
  <c r="M1149" i="293" s="1"/>
  <c r="L1133" i="293"/>
  <c r="M1133" i="293" s="1"/>
  <c r="L1118" i="293"/>
  <c r="M1118" i="293" s="1"/>
  <c r="L1103" i="293"/>
  <c r="M1103" i="293" s="1"/>
  <c r="L1087" i="293"/>
  <c r="M1087" i="293" s="1"/>
  <c r="L1079" i="293"/>
  <c r="M1079" i="293" s="1"/>
  <c r="L1063" i="293"/>
  <c r="M1063" i="293" s="1"/>
  <c r="L1055" i="293"/>
  <c r="M1055" i="293" s="1"/>
  <c r="L1047" i="293"/>
  <c r="M1047" i="293" s="1"/>
  <c r="L1031" i="293"/>
  <c r="M1031" i="293" s="1"/>
  <c r="L1015" i="293"/>
  <c r="M1015" i="293" s="1"/>
  <c r="L1007" i="293"/>
  <c r="M1007" i="293" s="1"/>
  <c r="L991" i="293"/>
  <c r="M991" i="293" s="1"/>
  <c r="L976" i="293"/>
  <c r="M976" i="293" s="1"/>
  <c r="L968" i="293"/>
  <c r="M968" i="293" s="1"/>
  <c r="L952" i="293"/>
  <c r="M952" i="293" s="1"/>
  <c r="L937" i="293"/>
  <c r="M937" i="293" s="1"/>
  <c r="L929" i="293"/>
  <c r="M929" i="293" s="1"/>
  <c r="L921" i="293"/>
  <c r="M921" i="293" s="1"/>
  <c r="L906" i="293"/>
  <c r="M906" i="293" s="1"/>
  <c r="L890" i="293"/>
  <c r="M890" i="293" s="1"/>
  <c r="L875" i="293"/>
  <c r="M875" i="293" s="1"/>
  <c r="L859" i="293"/>
  <c r="M859" i="293" s="1"/>
  <c r="L851" i="293"/>
  <c r="M851" i="293" s="1"/>
  <c r="L844" i="293"/>
  <c r="M844" i="293" s="1"/>
  <c r="L836" i="293"/>
  <c r="M836" i="293" s="1"/>
  <c r="L820" i="293"/>
  <c r="M820" i="293" s="1"/>
  <c r="L813" i="293"/>
  <c r="M813" i="293" s="1"/>
  <c r="L805" i="293"/>
  <c r="M805" i="293" s="1"/>
  <c r="L797" i="293"/>
  <c r="M797" i="293" s="1"/>
  <c r="L789" i="293"/>
  <c r="M789" i="293" s="1"/>
  <c r="L773" i="293"/>
  <c r="M773" i="293" s="1"/>
  <c r="L757" i="293"/>
  <c r="M757" i="293" s="1"/>
  <c r="L750" i="293"/>
  <c r="M750" i="293" s="1"/>
  <c r="L743" i="293"/>
  <c r="M743" i="293" s="1"/>
  <c r="L736" i="293"/>
  <c r="M736" i="293" s="1"/>
  <c r="L729" i="293"/>
  <c r="M729" i="293" s="1"/>
  <c r="L683" i="293"/>
  <c r="M683" i="293" s="1"/>
  <c r="L675" i="293"/>
  <c r="M675" i="293" s="1"/>
  <c r="L667" i="293"/>
  <c r="M667" i="293" s="1"/>
  <c r="L651" i="293"/>
  <c r="M651" i="293" s="1"/>
  <c r="L643" i="293"/>
  <c r="M643" i="293" s="1"/>
  <c r="L611" i="293"/>
  <c r="M611" i="293" s="1"/>
  <c r="L595" i="293"/>
  <c r="M595" i="293" s="1"/>
  <c r="L587" i="293"/>
  <c r="M587" i="293" s="1"/>
  <c r="L548" i="293"/>
  <c r="M548" i="293" s="1"/>
  <c r="L541" i="293"/>
  <c r="M541" i="293" s="1"/>
  <c r="L533" i="293"/>
  <c r="M533" i="293" s="1"/>
  <c r="L517" i="293"/>
  <c r="M517" i="293" s="1"/>
  <c r="L495" i="293"/>
  <c r="M495" i="293" s="1"/>
  <c r="L487" i="293"/>
  <c r="M487" i="293" s="1"/>
  <c r="L479" i="293"/>
  <c r="M479" i="293" s="1"/>
  <c r="L471" i="293"/>
  <c r="M471" i="293" s="1"/>
  <c r="L463" i="293"/>
  <c r="M463" i="293" s="1"/>
  <c r="L2982" i="293"/>
  <c r="M2982" i="293" s="1"/>
  <c r="L2487" i="293"/>
  <c r="M2487" i="293" s="1"/>
  <c r="L2392" i="293"/>
  <c r="M2392" i="293" s="1"/>
  <c r="L2360" i="293"/>
  <c r="M2360" i="293" s="1"/>
  <c r="L2332" i="293"/>
  <c r="M2332" i="293" s="1"/>
  <c r="L2301" i="293"/>
  <c r="M2301" i="293" s="1"/>
  <c r="L2272" i="293"/>
  <c r="M2272" i="293" s="1"/>
  <c r="L2241" i="293"/>
  <c r="M2241" i="293" s="1"/>
  <c r="L2184" i="293"/>
  <c r="M2184" i="293" s="1"/>
  <c r="L2152" i="293"/>
  <c r="M2152" i="293" s="1"/>
  <c r="L2121" i="293"/>
  <c r="M2121" i="293" s="1"/>
  <c r="L2089" i="293"/>
  <c r="M2089" i="293" s="1"/>
  <c r="L2026" i="293"/>
  <c r="M2026" i="293" s="1"/>
  <c r="L1907" i="293"/>
  <c r="M1907" i="293" s="1"/>
  <c r="L1773" i="293"/>
  <c r="M1773" i="293" s="1"/>
  <c r="L1752" i="293"/>
  <c r="M1752" i="293" s="1"/>
  <c r="L1726" i="293"/>
  <c r="M1726" i="293" s="1"/>
  <c r="L1710" i="293"/>
  <c r="M1710" i="293" s="1"/>
  <c r="L1702" i="293"/>
  <c r="M1702" i="293" s="1"/>
  <c r="L1686" i="293"/>
  <c r="M1686" i="293" s="1"/>
  <c r="L1678" i="293"/>
  <c r="M1678" i="293" s="1"/>
  <c r="L1663" i="293"/>
  <c r="M1663" i="293" s="1"/>
  <c r="L1655" i="293"/>
  <c r="M1655" i="293" s="1"/>
  <c r="L1631" i="293"/>
  <c r="M1631" i="293" s="1"/>
  <c r="L1624" i="293"/>
  <c r="M1624" i="293" s="1"/>
  <c r="L1616" i="293"/>
  <c r="M1616" i="293" s="1"/>
  <c r="L1608" i="293"/>
  <c r="M1608" i="293" s="1"/>
  <c r="L1557" i="293"/>
  <c r="M1557" i="293" s="1"/>
  <c r="L1541" i="293"/>
  <c r="M1541" i="293" s="1"/>
  <c r="L1526" i="293"/>
  <c r="M1526" i="293" s="1"/>
  <c r="L1491" i="293"/>
  <c r="M1491" i="293" s="1"/>
  <c r="L1483" i="293"/>
  <c r="M1483" i="293" s="1"/>
  <c r="L1465" i="293"/>
  <c r="M1465" i="293" s="1"/>
  <c r="L1441" i="293"/>
  <c r="M1441" i="293" s="1"/>
  <c r="L1433" i="293"/>
  <c r="M1433" i="293" s="1"/>
  <c r="L1417" i="293"/>
  <c r="M1417" i="293" s="1"/>
  <c r="L1409" i="293"/>
  <c r="M1409" i="293" s="1"/>
  <c r="L1359" i="293"/>
  <c r="M1359" i="293" s="1"/>
  <c r="L1315" i="293"/>
  <c r="M1315" i="293" s="1"/>
  <c r="L1290" i="293"/>
  <c r="M1290" i="293" s="1"/>
  <c r="L1282" i="293"/>
  <c r="M1282" i="293" s="1"/>
  <c r="L1274" i="293"/>
  <c r="M1274" i="293" s="1"/>
  <c r="L1266" i="293"/>
  <c r="M1266" i="293" s="1"/>
  <c r="L1259" i="293"/>
  <c r="M1259" i="293" s="1"/>
  <c r="L1244" i="293"/>
  <c r="M1244" i="293" s="1"/>
  <c r="L1236" i="293"/>
  <c r="M1236" i="293" s="1"/>
  <c r="L1228" i="293"/>
  <c r="M1228" i="293" s="1"/>
  <c r="L1212" i="293"/>
  <c r="M1212" i="293" s="1"/>
  <c r="L1196" i="293"/>
  <c r="M1196" i="293" s="1"/>
  <c r="L1180" i="293"/>
  <c r="M1180" i="293" s="1"/>
  <c r="L1172" i="293"/>
  <c r="M1172" i="293" s="1"/>
  <c r="L1156" i="293"/>
  <c r="M1156" i="293" s="1"/>
  <c r="L1148" i="293"/>
  <c r="M1148" i="293" s="1"/>
  <c r="L1140" i="293"/>
  <c r="M1140" i="293" s="1"/>
  <c r="L1117" i="293"/>
  <c r="M1117" i="293" s="1"/>
  <c r="L1110" i="293"/>
  <c r="M1110" i="293" s="1"/>
  <c r="L1102" i="293"/>
  <c r="M1102" i="293" s="1"/>
  <c r="L1086" i="293"/>
  <c r="M1086" i="293" s="1"/>
  <c r="L1078" i="293"/>
  <c r="M1078" i="293" s="1"/>
  <c r="L1062" i="293"/>
  <c r="M1062" i="293" s="1"/>
  <c r="L1054" i="293"/>
  <c r="M1054" i="293" s="1"/>
  <c r="L1046" i="293"/>
  <c r="M1046" i="293" s="1"/>
  <c r="L1030" i="293"/>
  <c r="M1030" i="293" s="1"/>
  <c r="L1014" i="293"/>
  <c r="M1014" i="293" s="1"/>
  <c r="L1006" i="293"/>
  <c r="M1006" i="293" s="1"/>
  <c r="L998" i="293"/>
  <c r="M998" i="293" s="1"/>
  <c r="L990" i="293"/>
  <c r="M990" i="293" s="1"/>
  <c r="L975" i="293"/>
  <c r="M975" i="293" s="1"/>
  <c r="L967" i="293"/>
  <c r="M967" i="293" s="1"/>
  <c r="L951" i="293"/>
  <c r="M951" i="293" s="1"/>
  <c r="L936" i="293"/>
  <c r="M936" i="293" s="1"/>
  <c r="L928" i="293"/>
  <c r="M928" i="293" s="1"/>
  <c r="L920" i="293"/>
  <c r="M920" i="293" s="1"/>
  <c r="L905" i="293"/>
  <c r="M905" i="293" s="1"/>
  <c r="L897" i="293"/>
  <c r="M897" i="293" s="1"/>
  <c r="L874" i="293"/>
  <c r="M874" i="293" s="1"/>
  <c r="L858" i="293"/>
  <c r="M858" i="293" s="1"/>
  <c r="L850" i="293"/>
  <c r="M850" i="293" s="1"/>
  <c r="L843" i="293"/>
  <c r="M843" i="293" s="1"/>
  <c r="L835" i="293"/>
  <c r="M835" i="293" s="1"/>
  <c r="L812" i="293"/>
  <c r="M812" i="293" s="1"/>
  <c r="L804" i="293"/>
  <c r="M804" i="293" s="1"/>
  <c r="L796" i="293"/>
  <c r="M796" i="293" s="1"/>
  <c r="L788" i="293"/>
  <c r="M788" i="293" s="1"/>
  <c r="L772" i="293"/>
  <c r="M772" i="293" s="1"/>
  <c r="L756" i="293"/>
  <c r="M756" i="293" s="1"/>
  <c r="L742" i="293"/>
  <c r="M742" i="293" s="1"/>
  <c r="L728" i="293"/>
  <c r="M728" i="293" s="1"/>
  <c r="L712" i="293"/>
  <c r="M712" i="293" s="1"/>
  <c r="L682" i="293"/>
  <c r="M682" i="293" s="1"/>
  <c r="L674" i="293"/>
  <c r="M674" i="293" s="1"/>
  <c r="L666" i="293"/>
  <c r="M666" i="293" s="1"/>
  <c r="L650" i="293"/>
  <c r="M650" i="293" s="1"/>
  <c r="L642" i="293"/>
  <c r="M642" i="293" s="1"/>
  <c r="L618" i="293"/>
  <c r="M618" i="293" s="1"/>
  <c r="L610" i="293"/>
  <c r="M610" i="293" s="1"/>
  <c r="L602" i="293"/>
  <c r="M602" i="293" s="1"/>
  <c r="L594" i="293"/>
  <c r="M594" i="293" s="1"/>
  <c r="L586" i="293"/>
  <c r="M586" i="293" s="1"/>
  <c r="L579" i="293"/>
  <c r="M579" i="293" s="1"/>
  <c r="L540" i="293"/>
  <c r="M540" i="293" s="1"/>
  <c r="L532" i="293"/>
  <c r="M532" i="293" s="1"/>
  <c r="L516" i="293"/>
  <c r="M516" i="293" s="1"/>
  <c r="L509" i="293"/>
  <c r="M509" i="293" s="1"/>
  <c r="L486" i="293"/>
  <c r="M486" i="293" s="1"/>
  <c r="L470" i="293"/>
  <c r="M470" i="293" s="1"/>
  <c r="L2974" i="293"/>
  <c r="M2974" i="293" s="1"/>
  <c r="L2729" i="293"/>
  <c r="M2729" i="293" s="1"/>
  <c r="L2479" i="293"/>
  <c r="M2479" i="293" s="1"/>
  <c r="L2391" i="293"/>
  <c r="M2391" i="293" s="1"/>
  <c r="L2359" i="293"/>
  <c r="M2359" i="293" s="1"/>
  <c r="L2300" i="293"/>
  <c r="M2300" i="293" s="1"/>
  <c r="L2271" i="293"/>
  <c r="M2271" i="293" s="1"/>
  <c r="L2240" i="293"/>
  <c r="M2240" i="293" s="1"/>
  <c r="L2183" i="293"/>
  <c r="M2183" i="293" s="1"/>
  <c r="L2151" i="293"/>
  <c r="M2151" i="293" s="1"/>
  <c r="L2088" i="293"/>
  <c r="M2088" i="293" s="1"/>
  <c r="L2025" i="293"/>
  <c r="M2025" i="293" s="1"/>
  <c r="L1843" i="293"/>
  <c r="M1843" i="293" s="1"/>
  <c r="L1769" i="293"/>
  <c r="M1769" i="293" s="1"/>
  <c r="L1751" i="293"/>
  <c r="M1751" i="293" s="1"/>
  <c r="L1734" i="293"/>
  <c r="M1734" i="293" s="1"/>
  <c r="L1725" i="293"/>
  <c r="M1725" i="293" s="1"/>
  <c r="L1709" i="293"/>
  <c r="M1709" i="293" s="1"/>
  <c r="L1701" i="293"/>
  <c r="M1701" i="293" s="1"/>
  <c r="L1693" i="293"/>
  <c r="M1693" i="293" s="1"/>
  <c r="L1685" i="293"/>
  <c r="M1685" i="293" s="1"/>
  <c r="L1662" i="293"/>
  <c r="M1662" i="293" s="1"/>
  <c r="L1654" i="293"/>
  <c r="M1654" i="293" s="1"/>
  <c r="L1615" i="293"/>
  <c r="M1615" i="293" s="1"/>
  <c r="L1607" i="293"/>
  <c r="M1607" i="293" s="1"/>
  <c r="L1556" i="293"/>
  <c r="M1556" i="293" s="1"/>
  <c r="L1540" i="293"/>
  <c r="M1540" i="293" s="1"/>
  <c r="L1525" i="293"/>
  <c r="M1525" i="293" s="1"/>
  <c r="L1482" i="293"/>
  <c r="M1482" i="293" s="1"/>
  <c r="L1474" i="293"/>
  <c r="M1474" i="293" s="1"/>
  <c r="L1464" i="293"/>
  <c r="M1464" i="293" s="1"/>
  <c r="L1440" i="293"/>
  <c r="M1440" i="293" s="1"/>
  <c r="L1432" i="293"/>
  <c r="M1432" i="293" s="1"/>
  <c r="L1416" i="293"/>
  <c r="M1416" i="293" s="1"/>
  <c r="L1358" i="293"/>
  <c r="M1358" i="293" s="1"/>
  <c r="L1314" i="293"/>
  <c r="M1314" i="293" s="1"/>
  <c r="L1289" i="293"/>
  <c r="M1289" i="293" s="1"/>
  <c r="L1281" i="293"/>
  <c r="M1281" i="293" s="1"/>
  <c r="L1273" i="293"/>
  <c r="M1273" i="293" s="1"/>
  <c r="L1265" i="293"/>
  <c r="M1265" i="293" s="1"/>
  <c r="L1243" i="293"/>
  <c r="M1243" i="293" s="1"/>
  <c r="L1235" i="293"/>
  <c r="M1235" i="293" s="1"/>
  <c r="L1227" i="293"/>
  <c r="M1227" i="293" s="1"/>
  <c r="L1211" i="293"/>
  <c r="M1211" i="293" s="1"/>
  <c r="L1195" i="293"/>
  <c r="M1195" i="293" s="1"/>
  <c r="L1187" i="293"/>
  <c r="M1187" i="293" s="1"/>
  <c r="L1171" i="293"/>
  <c r="M1171" i="293" s="1"/>
  <c r="L1155" i="293"/>
  <c r="M1155" i="293" s="1"/>
  <c r="L1147" i="293"/>
  <c r="M1147" i="293" s="1"/>
  <c r="L1139" i="293"/>
  <c r="M1139" i="293" s="1"/>
  <c r="L1116" i="293"/>
  <c r="M1116" i="293" s="1"/>
  <c r="L1109" i="293"/>
  <c r="M1109" i="293" s="1"/>
  <c r="L1101" i="293"/>
  <c r="M1101" i="293" s="1"/>
  <c r="L1085" i="293"/>
  <c r="M1085" i="293" s="1"/>
  <c r="L1077" i="293"/>
  <c r="M1077" i="293" s="1"/>
  <c r="L1061" i="293"/>
  <c r="M1061" i="293" s="1"/>
  <c r="L1045" i="293"/>
  <c r="M1045" i="293" s="1"/>
  <c r="L1029" i="293"/>
  <c r="M1029" i="293" s="1"/>
  <c r="L1013" i="293"/>
  <c r="M1013" i="293" s="1"/>
  <c r="L997" i="293"/>
  <c r="M997" i="293" s="1"/>
  <c r="L989" i="293"/>
  <c r="M989" i="293" s="1"/>
  <c r="L974" i="293"/>
  <c r="M974" i="293" s="1"/>
  <c r="L966" i="293"/>
  <c r="M966" i="293" s="1"/>
  <c r="L950" i="293"/>
  <c r="M950" i="293" s="1"/>
  <c r="L935" i="293"/>
  <c r="M935" i="293" s="1"/>
  <c r="L927" i="293"/>
  <c r="M927" i="293" s="1"/>
  <c r="L919" i="293"/>
  <c r="M919" i="293" s="1"/>
  <c r="L911" i="293"/>
  <c r="M911" i="293" s="1"/>
  <c r="L904" i="293"/>
  <c r="M904" i="293" s="1"/>
  <c r="L896" i="293"/>
  <c r="M896" i="293" s="1"/>
  <c r="L881" i="293"/>
  <c r="M881" i="293" s="1"/>
  <c r="L873" i="293"/>
  <c r="M873" i="293" s="1"/>
  <c r="L857" i="293"/>
  <c r="M857" i="293" s="1"/>
  <c r="L849" i="293"/>
  <c r="M849" i="293" s="1"/>
  <c r="L834" i="293"/>
  <c r="M834" i="293" s="1"/>
  <c r="L826" i="293"/>
  <c r="M826" i="293" s="1"/>
  <c r="L803" i="293"/>
  <c r="M803" i="293" s="1"/>
  <c r="L795" i="293"/>
  <c r="M795" i="293" s="1"/>
  <c r="L787" i="293"/>
  <c r="M787" i="293" s="1"/>
  <c r="L779" i="293"/>
  <c r="M779" i="293" s="1"/>
  <c r="L771" i="293"/>
  <c r="M771" i="293" s="1"/>
  <c r="L735" i="293"/>
  <c r="M735" i="293" s="1"/>
  <c r="L711" i="293"/>
  <c r="M711" i="293" s="1"/>
  <c r="L688" i="293"/>
  <c r="M688" i="293" s="1"/>
  <c r="L681" i="293"/>
  <c r="M681" i="293" s="1"/>
  <c r="L673" i="293"/>
  <c r="M673" i="293" s="1"/>
  <c r="L665" i="293"/>
  <c r="M665" i="293" s="1"/>
  <c r="L633" i="293"/>
  <c r="M633" i="293" s="1"/>
  <c r="L617" i="293"/>
  <c r="M617" i="293" s="1"/>
  <c r="L609" i="293"/>
  <c r="M609" i="293" s="1"/>
  <c r="L601" i="293"/>
  <c r="M601" i="293" s="1"/>
  <c r="L585" i="293"/>
  <c r="M585" i="293" s="1"/>
  <c r="L578" i="293"/>
  <c r="M578" i="293" s="1"/>
  <c r="L570" i="293"/>
  <c r="M570" i="293" s="1"/>
  <c r="L562" i="293"/>
  <c r="M562" i="293" s="1"/>
  <c r="L547" i="293"/>
  <c r="M547" i="293" s="1"/>
  <c r="L539" i="293"/>
  <c r="M539" i="293" s="1"/>
  <c r="L531" i="293"/>
  <c r="M531" i="293" s="1"/>
  <c r="L515" i="293"/>
  <c r="M515" i="293" s="1"/>
  <c r="L508" i="293"/>
  <c r="M508" i="293" s="1"/>
  <c r="L485" i="293"/>
  <c r="M485" i="293" s="1"/>
  <c r="L469" i="293"/>
  <c r="M469" i="293" s="1"/>
  <c r="L2384" i="293"/>
  <c r="M2384" i="293" s="1"/>
  <c r="L2264" i="293"/>
  <c r="M2264" i="293" s="1"/>
  <c r="L2113" i="293"/>
  <c r="M2113" i="293" s="1"/>
  <c r="L1837" i="293"/>
  <c r="M1837" i="293" s="1"/>
  <c r="L1750" i="293"/>
  <c r="M1750" i="293" s="1"/>
  <c r="L1684" i="293"/>
  <c r="M1684" i="293" s="1"/>
  <c r="L1653" i="293"/>
  <c r="M1653" i="293" s="1"/>
  <c r="L1606" i="293"/>
  <c r="M1606" i="293" s="1"/>
  <c r="L1329" i="293"/>
  <c r="M1329" i="293" s="1"/>
  <c r="L1258" i="293"/>
  <c r="M1258" i="293" s="1"/>
  <c r="L1226" i="293"/>
  <c r="M1226" i="293" s="1"/>
  <c r="L1194" i="293"/>
  <c r="M1194" i="293" s="1"/>
  <c r="L1100" i="293"/>
  <c r="M1100" i="293" s="1"/>
  <c r="L1036" i="293"/>
  <c r="M1036" i="293" s="1"/>
  <c r="L973" i="293"/>
  <c r="M973" i="293" s="1"/>
  <c r="L910" i="293"/>
  <c r="M910" i="293" s="1"/>
  <c r="L880" i="293"/>
  <c r="M880" i="293" s="1"/>
  <c r="L848" i="293"/>
  <c r="M848" i="293" s="1"/>
  <c r="L818" i="293"/>
  <c r="M818" i="293" s="1"/>
  <c r="L786" i="293"/>
  <c r="M786" i="293" s="1"/>
  <c r="L755" i="293"/>
  <c r="M755" i="293" s="1"/>
  <c r="L695" i="293"/>
  <c r="M695" i="293" s="1"/>
  <c r="L647" i="293"/>
  <c r="M647" i="293" s="1"/>
  <c r="L624" i="293"/>
  <c r="M624" i="293" s="1"/>
  <c r="L607" i="293"/>
  <c r="M607" i="293" s="1"/>
  <c r="L576" i="293"/>
  <c r="M576" i="293" s="1"/>
  <c r="L560" i="293"/>
  <c r="M560" i="293" s="1"/>
  <c r="L529" i="293"/>
  <c r="M529" i="293" s="1"/>
  <c r="L498" i="293"/>
  <c r="M498" i="293" s="1"/>
  <c r="L467" i="293"/>
  <c r="M467" i="293" s="1"/>
  <c r="L454" i="293"/>
  <c r="M454" i="293" s="1"/>
  <c r="L438" i="293"/>
  <c r="M438" i="293" s="1"/>
  <c r="L430" i="293"/>
  <c r="M430" i="293" s="1"/>
  <c r="L422" i="293"/>
  <c r="M422" i="293" s="1"/>
  <c r="L406" i="293"/>
  <c r="M406" i="293" s="1"/>
  <c r="L398" i="293"/>
  <c r="M398" i="293" s="1"/>
  <c r="L391" i="293"/>
  <c r="M391" i="293" s="1"/>
  <c r="L383" i="293"/>
  <c r="M383" i="293" s="1"/>
  <c r="L375" i="293"/>
  <c r="M375" i="293" s="1"/>
  <c r="L344" i="293"/>
  <c r="M344" i="293" s="1"/>
  <c r="L336" i="293"/>
  <c r="M336" i="293" s="1"/>
  <c r="L321" i="293"/>
  <c r="M321" i="293" s="1"/>
  <c r="L298" i="293"/>
  <c r="M298" i="293" s="1"/>
  <c r="L282" i="293"/>
  <c r="M282" i="293" s="1"/>
  <c r="L259" i="293"/>
  <c r="M259" i="293" s="1"/>
  <c r="L243" i="293"/>
  <c r="M243" i="293" s="1"/>
  <c r="L235" i="293"/>
  <c r="M235" i="293" s="1"/>
  <c r="L522" i="293"/>
  <c r="M522" i="293" s="1"/>
  <c r="L388" i="293"/>
  <c r="M388" i="293" s="1"/>
  <c r="L356" i="293"/>
  <c r="M356" i="293" s="1"/>
  <c r="L333" i="293"/>
  <c r="M333" i="293" s="1"/>
  <c r="L280" i="293"/>
  <c r="M280" i="293" s="1"/>
  <c r="L248" i="293"/>
  <c r="M248" i="293" s="1"/>
  <c r="L1758" i="293"/>
  <c r="M1758" i="293" s="1"/>
  <c r="L1614" i="293"/>
  <c r="M1614" i="293" s="1"/>
  <c r="L1044" i="293"/>
  <c r="M1044" i="293" s="1"/>
  <c r="L734" i="293"/>
  <c r="M734" i="293" s="1"/>
  <c r="L631" i="293"/>
  <c r="M631" i="293" s="1"/>
  <c r="L549" i="293"/>
  <c r="M549" i="293" s="1"/>
  <c r="L488" i="293"/>
  <c r="M488" i="293" s="1"/>
  <c r="L432" i="293"/>
  <c r="M432" i="293" s="1"/>
  <c r="L416" i="293"/>
  <c r="M416" i="293" s="1"/>
  <c r="L261" i="293"/>
  <c r="M261" i="293" s="1"/>
  <c r="L1757" i="293"/>
  <c r="M1757" i="293" s="1"/>
  <c r="L1554" i="293"/>
  <c r="M1554" i="293" s="1"/>
  <c r="L1201" i="293"/>
  <c r="M1201" i="293" s="1"/>
  <c r="L1011" i="293"/>
  <c r="M1011" i="293" s="1"/>
  <c r="L671" i="293"/>
  <c r="M671" i="293" s="1"/>
  <c r="L577" i="293"/>
  <c r="M577" i="293" s="1"/>
  <c r="L484" i="293"/>
  <c r="M484" i="293" s="1"/>
  <c r="L431" i="293"/>
  <c r="M431" i="293" s="1"/>
  <c r="L399" i="293"/>
  <c r="M399" i="293" s="1"/>
  <c r="L236" i="293"/>
  <c r="M236" i="293" s="1"/>
  <c r="L2383" i="293"/>
  <c r="M2383" i="293" s="1"/>
  <c r="L2263" i="293"/>
  <c r="M2263" i="293" s="1"/>
  <c r="L2112" i="293"/>
  <c r="M2112" i="293" s="1"/>
  <c r="L1836" i="293"/>
  <c r="M1836" i="293" s="1"/>
  <c r="L1749" i="293"/>
  <c r="M1749" i="293" s="1"/>
  <c r="L1683" i="293"/>
  <c r="M1683" i="293" s="1"/>
  <c r="L1652" i="293"/>
  <c r="M1652" i="293" s="1"/>
  <c r="L1605" i="293"/>
  <c r="M1605" i="293" s="1"/>
  <c r="L1328" i="293"/>
  <c r="M1328" i="293" s="1"/>
  <c r="L1257" i="293"/>
  <c r="M1257" i="293" s="1"/>
  <c r="L1225" i="293"/>
  <c r="M1225" i="293" s="1"/>
  <c r="L1035" i="293"/>
  <c r="M1035" i="293" s="1"/>
  <c r="L972" i="293"/>
  <c r="M972" i="293" s="1"/>
  <c r="L879" i="293"/>
  <c r="M879" i="293" s="1"/>
  <c r="L847" i="293"/>
  <c r="M847" i="293" s="1"/>
  <c r="L817" i="293"/>
  <c r="M817" i="293" s="1"/>
  <c r="L754" i="293"/>
  <c r="M754" i="293" s="1"/>
  <c r="L694" i="293"/>
  <c r="M694" i="293" s="1"/>
  <c r="L664" i="293"/>
  <c r="M664" i="293" s="1"/>
  <c r="L645" i="293"/>
  <c r="M645" i="293" s="1"/>
  <c r="L623" i="293"/>
  <c r="M623" i="293" s="1"/>
  <c r="L589" i="293"/>
  <c r="M589" i="293" s="1"/>
  <c r="L558" i="293"/>
  <c r="M558" i="293" s="1"/>
  <c r="L496" i="293"/>
  <c r="M496" i="293" s="1"/>
  <c r="L481" i="293"/>
  <c r="M481" i="293" s="1"/>
  <c r="L465" i="293"/>
  <c r="M465" i="293" s="1"/>
  <c r="L453" i="293"/>
  <c r="M453" i="293" s="1"/>
  <c r="L437" i="293"/>
  <c r="M437" i="293" s="1"/>
  <c r="L421" i="293"/>
  <c r="M421" i="293" s="1"/>
  <c r="L405" i="293"/>
  <c r="M405" i="293" s="1"/>
  <c r="L390" i="293"/>
  <c r="M390" i="293" s="1"/>
  <c r="L382" i="293"/>
  <c r="M382" i="293" s="1"/>
  <c r="L374" i="293"/>
  <c r="M374" i="293" s="1"/>
  <c r="L358" i="293"/>
  <c r="M358" i="293" s="1"/>
  <c r="L351" i="293"/>
  <c r="M351" i="293" s="1"/>
  <c r="L343" i="293"/>
  <c r="M343" i="293" s="1"/>
  <c r="L335" i="293"/>
  <c r="M335" i="293" s="1"/>
  <c r="L320" i="293"/>
  <c r="M320" i="293" s="1"/>
  <c r="L312" i="293"/>
  <c r="M312" i="293" s="1"/>
  <c r="L297" i="293"/>
  <c r="M297" i="293" s="1"/>
  <c r="L274" i="293"/>
  <c r="M274" i="293" s="1"/>
  <c r="L258" i="293"/>
  <c r="M258" i="293" s="1"/>
  <c r="L242" i="293"/>
  <c r="M242" i="293" s="1"/>
  <c r="L234" i="293"/>
  <c r="M234" i="293" s="1"/>
  <c r="L538" i="293"/>
  <c r="M538" i="293" s="1"/>
  <c r="L372" i="293"/>
  <c r="M372" i="293" s="1"/>
  <c r="L310" i="293"/>
  <c r="M310" i="293" s="1"/>
  <c r="L295" i="293"/>
  <c r="M295" i="293" s="1"/>
  <c r="L232" i="293"/>
  <c r="M232" i="293" s="1"/>
  <c r="L2144" i="293"/>
  <c r="M2144" i="293" s="1"/>
  <c r="L1661" i="293"/>
  <c r="M1661" i="293" s="1"/>
  <c r="L1431" i="293"/>
  <c r="M1431" i="293" s="1"/>
  <c r="L1076" i="293"/>
  <c r="M1076" i="293" s="1"/>
  <c r="L918" i="293"/>
  <c r="M918" i="293" s="1"/>
  <c r="L794" i="293"/>
  <c r="M794" i="293" s="1"/>
  <c r="L653" i="293"/>
  <c r="M653" i="293" s="1"/>
  <c r="L580" i="293"/>
  <c r="M580" i="293" s="1"/>
  <c r="L518" i="293"/>
  <c r="M518" i="293" s="1"/>
  <c r="L440" i="293"/>
  <c r="M440" i="293" s="1"/>
  <c r="L408" i="293"/>
  <c r="M408" i="293" s="1"/>
  <c r="L323" i="293"/>
  <c r="M323" i="293" s="1"/>
  <c r="L2431" i="293"/>
  <c r="M2431" i="293" s="1"/>
  <c r="L2017" i="293"/>
  <c r="M2017" i="293" s="1"/>
  <c r="L1691" i="293"/>
  <c r="M1691" i="293" s="1"/>
  <c r="L1523" i="293"/>
  <c r="M1523" i="293" s="1"/>
  <c r="L1263" i="293"/>
  <c r="M1263" i="293" s="1"/>
  <c r="L948" i="293"/>
  <c r="M948" i="293" s="1"/>
  <c r="L629" i="293"/>
  <c r="M629" i="293" s="1"/>
  <c r="L530" i="293"/>
  <c r="M530" i="293" s="1"/>
  <c r="L455" i="293"/>
  <c r="M455" i="293" s="1"/>
  <c r="L415" i="293"/>
  <c r="M415" i="293" s="1"/>
  <c r="L244" i="293"/>
  <c r="M244" i="293" s="1"/>
  <c r="L2918" i="293"/>
  <c r="M2918" i="293" s="1"/>
  <c r="L2233" i="293"/>
  <c r="M2233" i="293" s="1"/>
  <c r="L1931" i="293"/>
  <c r="M1931" i="293" s="1"/>
  <c r="L1708" i="293"/>
  <c r="M1708" i="293" s="1"/>
  <c r="L1630" i="293"/>
  <c r="M1630" i="293" s="1"/>
  <c r="L1598" i="293"/>
  <c r="M1598" i="293" s="1"/>
  <c r="L1539" i="293"/>
  <c r="M1539" i="293" s="1"/>
  <c r="L1415" i="293"/>
  <c r="M1415" i="293" s="1"/>
  <c r="L1280" i="293"/>
  <c r="M1280" i="293" s="1"/>
  <c r="L1186" i="293"/>
  <c r="M1186" i="293" s="1"/>
  <c r="L1154" i="293"/>
  <c r="M1154" i="293" s="1"/>
  <c r="L1060" i="293"/>
  <c r="M1060" i="293" s="1"/>
  <c r="L1028" i="293"/>
  <c r="M1028" i="293" s="1"/>
  <c r="L996" i="293"/>
  <c r="M996" i="293" s="1"/>
  <c r="L965" i="293"/>
  <c r="M965" i="293" s="1"/>
  <c r="L934" i="293"/>
  <c r="M934" i="293" s="1"/>
  <c r="L903" i="293"/>
  <c r="M903" i="293" s="1"/>
  <c r="L872" i="293"/>
  <c r="M872" i="293" s="1"/>
  <c r="L778" i="293"/>
  <c r="M778" i="293" s="1"/>
  <c r="L748" i="293"/>
  <c r="M748" i="293" s="1"/>
  <c r="L718" i="293"/>
  <c r="M718" i="293" s="1"/>
  <c r="L687" i="293"/>
  <c r="M687" i="293" s="1"/>
  <c r="L663" i="293"/>
  <c r="M663" i="293" s="1"/>
  <c r="L621" i="293"/>
  <c r="M621" i="293" s="1"/>
  <c r="L588" i="293"/>
  <c r="M588" i="293" s="1"/>
  <c r="L557" i="293"/>
  <c r="M557" i="293" s="1"/>
  <c r="L542" i="293"/>
  <c r="M542" i="293" s="1"/>
  <c r="L480" i="293"/>
  <c r="M480" i="293" s="1"/>
  <c r="L464" i="293"/>
  <c r="M464" i="293" s="1"/>
  <c r="L436" i="293"/>
  <c r="M436" i="293" s="1"/>
  <c r="L420" i="293"/>
  <c r="M420" i="293" s="1"/>
  <c r="L404" i="293"/>
  <c r="M404" i="293" s="1"/>
  <c r="L389" i="293"/>
  <c r="M389" i="293" s="1"/>
  <c r="L381" i="293"/>
  <c r="M381" i="293" s="1"/>
  <c r="L373" i="293"/>
  <c r="M373" i="293" s="1"/>
  <c r="L365" i="293"/>
  <c r="M365" i="293" s="1"/>
  <c r="L357" i="293"/>
  <c r="M357" i="293" s="1"/>
  <c r="L350" i="293"/>
  <c r="M350" i="293" s="1"/>
  <c r="L342" i="293"/>
  <c r="M342" i="293" s="1"/>
  <c r="L334" i="293"/>
  <c r="M334" i="293" s="1"/>
  <c r="L319" i="293"/>
  <c r="M319" i="293" s="1"/>
  <c r="L311" i="293"/>
  <c r="M311" i="293" s="1"/>
  <c r="L296" i="293"/>
  <c r="M296" i="293" s="1"/>
  <c r="L281" i="293"/>
  <c r="M281" i="293" s="1"/>
  <c r="L273" i="293"/>
  <c r="M273" i="293" s="1"/>
  <c r="L257" i="293"/>
  <c r="M257" i="293" s="1"/>
  <c r="L233" i="293"/>
  <c r="M233" i="293" s="1"/>
  <c r="L364" i="293"/>
  <c r="M364" i="293" s="1"/>
  <c r="L349" i="293"/>
  <c r="M349" i="293" s="1"/>
  <c r="L256" i="293"/>
  <c r="M256" i="293" s="1"/>
  <c r="L246" i="293"/>
  <c r="M246" i="293" s="1"/>
  <c r="L1692" i="293"/>
  <c r="M1692" i="293" s="1"/>
  <c r="L1524" i="293"/>
  <c r="M1524" i="293" s="1"/>
  <c r="L1264" i="293"/>
  <c r="M1264" i="293" s="1"/>
  <c r="L1108" i="293"/>
  <c r="M1108" i="293" s="1"/>
  <c r="L949" i="293"/>
  <c r="M949" i="293" s="1"/>
  <c r="L825" i="293"/>
  <c r="M825" i="293" s="1"/>
  <c r="L672" i="293"/>
  <c r="M672" i="293" s="1"/>
  <c r="L596" i="293"/>
  <c r="M596" i="293" s="1"/>
  <c r="L448" i="293"/>
  <c r="M448" i="293" s="1"/>
  <c r="L400" i="293"/>
  <c r="M400" i="293" s="1"/>
  <c r="L361" i="293"/>
  <c r="M361" i="293" s="1"/>
  <c r="L284" i="293"/>
  <c r="M284" i="293" s="1"/>
  <c r="L2293" i="293"/>
  <c r="M2293" i="293" s="1"/>
  <c r="L1723" i="293"/>
  <c r="M1723" i="293" s="1"/>
  <c r="L1660" i="293"/>
  <c r="M1660" i="293" s="1"/>
  <c r="L1462" i="293"/>
  <c r="M1462" i="293" s="1"/>
  <c r="L1075" i="293"/>
  <c r="M1075" i="293" s="1"/>
  <c r="L917" i="293"/>
  <c r="M917" i="293" s="1"/>
  <c r="L608" i="293"/>
  <c r="M608" i="293" s="1"/>
  <c r="L423" i="293"/>
  <c r="M423" i="293" s="1"/>
  <c r="L337" i="293"/>
  <c r="M337" i="293" s="1"/>
  <c r="L299" i="293"/>
  <c r="M299" i="293" s="1"/>
  <c r="L2910" i="293"/>
  <c r="M2910" i="293" s="1"/>
  <c r="L2232" i="293"/>
  <c r="M2232" i="293" s="1"/>
  <c r="L1930" i="293"/>
  <c r="M1930" i="293" s="1"/>
  <c r="L1707" i="293"/>
  <c r="M1707" i="293" s="1"/>
  <c r="L1629" i="293"/>
  <c r="M1629" i="293" s="1"/>
  <c r="L1597" i="293"/>
  <c r="M1597" i="293" s="1"/>
  <c r="L1446" i="293"/>
  <c r="M1446" i="293" s="1"/>
  <c r="L1414" i="293"/>
  <c r="M1414" i="293" s="1"/>
  <c r="L1279" i="293"/>
  <c r="M1279" i="293" s="1"/>
  <c r="L1217" i="293"/>
  <c r="M1217" i="293" s="1"/>
  <c r="L1185" i="293"/>
  <c r="M1185" i="293" s="1"/>
  <c r="L1153" i="293"/>
  <c r="M1153" i="293" s="1"/>
  <c r="L1059" i="293"/>
  <c r="M1059" i="293" s="1"/>
  <c r="L1027" i="293"/>
  <c r="M1027" i="293" s="1"/>
  <c r="L995" i="293"/>
  <c r="M995" i="293" s="1"/>
  <c r="L964" i="293"/>
  <c r="M964" i="293" s="1"/>
  <c r="L933" i="293"/>
  <c r="M933" i="293" s="1"/>
  <c r="L902" i="293"/>
  <c r="M902" i="293" s="1"/>
  <c r="L871" i="293"/>
  <c r="M871" i="293" s="1"/>
  <c r="L840" i="293"/>
  <c r="M840" i="293" s="1"/>
  <c r="L777" i="293"/>
  <c r="M777" i="293" s="1"/>
  <c r="L747" i="293"/>
  <c r="M747" i="293" s="1"/>
  <c r="L717" i="293"/>
  <c r="M717" i="293" s="1"/>
  <c r="L686" i="293"/>
  <c r="M686" i="293" s="1"/>
  <c r="L661" i="293"/>
  <c r="M661" i="293" s="1"/>
  <c r="L639" i="293"/>
  <c r="M639" i="293" s="1"/>
  <c r="L616" i="293"/>
  <c r="M616" i="293" s="1"/>
  <c r="L600" i="293"/>
  <c r="M600" i="293" s="1"/>
  <c r="L569" i="293"/>
  <c r="M569" i="293" s="1"/>
  <c r="L507" i="293"/>
  <c r="M507" i="293" s="1"/>
  <c r="L272" i="293"/>
  <c r="M272" i="293" s="1"/>
  <c r="L2294" i="293"/>
  <c r="M2294" i="293" s="1"/>
  <c r="L1724" i="293"/>
  <c r="M1724" i="293" s="1"/>
  <c r="L1463" i="293"/>
  <c r="M1463" i="293" s="1"/>
  <c r="L1138" i="293"/>
  <c r="M1138" i="293" s="1"/>
  <c r="L456" i="293"/>
  <c r="M456" i="293" s="1"/>
  <c r="L307" i="293"/>
  <c r="M307" i="293" s="1"/>
  <c r="L1430" i="293"/>
  <c r="M1430" i="293" s="1"/>
  <c r="L1137" i="293"/>
  <c r="M1137" i="293" s="1"/>
  <c r="L824" i="293"/>
  <c r="M824" i="293" s="1"/>
  <c r="L561" i="293"/>
  <c r="M561" i="293" s="1"/>
  <c r="L447" i="293"/>
  <c r="M447" i="293" s="1"/>
  <c r="L384" i="293"/>
  <c r="M384" i="293" s="1"/>
  <c r="L322" i="293"/>
  <c r="M322" i="293" s="1"/>
  <c r="L260" i="293"/>
  <c r="M260" i="293" s="1"/>
  <c r="L2676" i="293"/>
  <c r="M2676" i="293" s="1"/>
  <c r="L2325" i="293"/>
  <c r="M2325" i="293" s="1"/>
  <c r="L2176" i="293"/>
  <c r="M2176" i="293" s="1"/>
  <c r="L1768" i="293"/>
  <c r="M1768" i="293" s="1"/>
  <c r="L1732" i="293"/>
  <c r="M1732" i="293" s="1"/>
  <c r="L1700" i="293"/>
  <c r="M1700" i="293" s="1"/>
  <c r="L1473" i="293"/>
  <c r="M1473" i="293" s="1"/>
  <c r="L1439" i="293"/>
  <c r="M1439" i="293" s="1"/>
  <c r="L1304" i="293"/>
  <c r="M1304" i="293" s="1"/>
  <c r="L1242" i="293"/>
  <c r="M1242" i="293" s="1"/>
  <c r="L1210" i="293"/>
  <c r="M1210" i="293" s="1"/>
  <c r="L1178" i="293"/>
  <c r="M1178" i="293" s="1"/>
  <c r="L1146" i="293"/>
  <c r="M1146" i="293" s="1"/>
  <c r="L1115" i="293"/>
  <c r="M1115" i="293" s="1"/>
  <c r="L1084" i="293"/>
  <c r="M1084" i="293" s="1"/>
  <c r="L988" i="293"/>
  <c r="M988" i="293" s="1"/>
  <c r="L957" i="293"/>
  <c r="M957" i="293" s="1"/>
  <c r="L926" i="293"/>
  <c r="M926" i="293" s="1"/>
  <c r="L895" i="293"/>
  <c r="M895" i="293" s="1"/>
  <c r="L864" i="293"/>
  <c r="M864" i="293" s="1"/>
  <c r="L833" i="293"/>
  <c r="M833" i="293" s="1"/>
  <c r="L802" i="293"/>
  <c r="M802" i="293" s="1"/>
  <c r="L770" i="293"/>
  <c r="M770" i="293" s="1"/>
  <c r="L710" i="293"/>
  <c r="M710" i="293" s="1"/>
  <c r="L656" i="293"/>
  <c r="M656" i="293" s="1"/>
  <c r="L599" i="293"/>
  <c r="M599" i="293" s="1"/>
  <c r="L568" i="293"/>
  <c r="M568" i="293" s="1"/>
  <c r="L537" i="293"/>
  <c r="M537" i="293" s="1"/>
  <c r="L521" i="293"/>
  <c r="M521" i="293" s="1"/>
  <c r="L506" i="293"/>
  <c r="M506" i="293" s="1"/>
  <c r="L475" i="293"/>
  <c r="M475" i="293" s="1"/>
  <c r="L459" i="293"/>
  <c r="M459" i="293" s="1"/>
  <c r="L450" i="293"/>
  <c r="M450" i="293" s="1"/>
  <c r="L387" i="293"/>
  <c r="M387" i="293" s="1"/>
  <c r="L371" i="293"/>
  <c r="M371" i="293" s="1"/>
  <c r="L363" i="293"/>
  <c r="M363" i="293" s="1"/>
  <c r="L348" i="293"/>
  <c r="M348" i="293" s="1"/>
  <c r="L332" i="293"/>
  <c r="M332" i="293" s="1"/>
  <c r="L325" i="293"/>
  <c r="M325" i="293" s="1"/>
  <c r="L309" i="293"/>
  <c r="M309" i="293" s="1"/>
  <c r="L294" i="293"/>
  <c r="M294" i="293" s="1"/>
  <c r="L286" i="293"/>
  <c r="M286" i="293" s="1"/>
  <c r="L271" i="293"/>
  <c r="M271" i="293" s="1"/>
  <c r="L255" i="293"/>
  <c r="M255" i="293" s="1"/>
  <c r="L247" i="293"/>
  <c r="M247" i="293" s="1"/>
  <c r="L473" i="293"/>
  <c r="M473" i="293" s="1"/>
  <c r="L433" i="293"/>
  <c r="M433" i="293" s="1"/>
  <c r="L417" i="293"/>
  <c r="M417" i="293" s="1"/>
  <c r="L409" i="293"/>
  <c r="M409" i="293" s="1"/>
  <c r="L362" i="293"/>
  <c r="M362" i="293" s="1"/>
  <c r="L347" i="293"/>
  <c r="M347" i="293" s="1"/>
  <c r="L324" i="293"/>
  <c r="M324" i="293" s="1"/>
  <c r="L308" i="293"/>
  <c r="M308" i="293" s="1"/>
  <c r="L285" i="293"/>
  <c r="M285" i="293" s="1"/>
  <c r="L270" i="293"/>
  <c r="M270" i="293" s="1"/>
  <c r="L1555" i="293"/>
  <c r="M1555" i="293" s="1"/>
  <c r="L1012" i="293"/>
  <c r="M1012" i="293" s="1"/>
  <c r="L856" i="293"/>
  <c r="M856" i="293" s="1"/>
  <c r="L703" i="293"/>
  <c r="M703" i="293" s="1"/>
  <c r="L472" i="293"/>
  <c r="M472" i="293" s="1"/>
  <c r="L424" i="293"/>
  <c r="M424" i="293" s="1"/>
  <c r="L269" i="293"/>
  <c r="M269" i="293" s="1"/>
  <c r="L245" i="293"/>
  <c r="M245" i="293" s="1"/>
  <c r="L1613" i="293"/>
  <c r="M1613" i="293" s="1"/>
  <c r="L1364" i="293"/>
  <c r="M1364" i="293" s="1"/>
  <c r="L702" i="293"/>
  <c r="M702" i="293" s="1"/>
  <c r="L439" i="293"/>
  <c r="M439" i="293" s="1"/>
  <c r="L306" i="293"/>
  <c r="M306" i="293" s="1"/>
  <c r="L268" i="293"/>
  <c r="M268" i="293" s="1"/>
  <c r="L2668" i="293"/>
  <c r="M2668" i="293" s="1"/>
  <c r="L2324" i="293"/>
  <c r="M2324" i="293" s="1"/>
  <c r="L2175" i="293"/>
  <c r="M2175" i="293" s="1"/>
  <c r="L1767" i="293"/>
  <c r="M1767" i="293" s="1"/>
  <c r="L1731" i="293"/>
  <c r="M1731" i="293" s="1"/>
  <c r="L1699" i="293"/>
  <c r="M1699" i="293" s="1"/>
  <c r="L1562" i="293"/>
  <c r="M1562" i="293" s="1"/>
  <c r="L1530" i="293"/>
  <c r="M1530" i="293" s="1"/>
  <c r="L1472" i="293"/>
  <c r="M1472" i="293" s="1"/>
  <c r="L1438" i="293"/>
  <c r="M1438" i="293" s="1"/>
  <c r="L1303" i="293"/>
  <c r="M1303" i="293" s="1"/>
  <c r="L1241" i="293"/>
  <c r="M1241" i="293" s="1"/>
  <c r="L1209" i="293"/>
  <c r="M1209" i="293" s="1"/>
  <c r="L1177" i="293"/>
  <c r="M1177" i="293" s="1"/>
  <c r="L1145" i="293"/>
  <c r="M1145" i="293" s="1"/>
  <c r="L1114" i="293"/>
  <c r="M1114" i="293" s="1"/>
  <c r="L1083" i="293"/>
  <c r="M1083" i="293" s="1"/>
  <c r="L1051" i="293"/>
  <c r="M1051" i="293" s="1"/>
  <c r="L1019" i="293"/>
  <c r="M1019" i="293" s="1"/>
  <c r="L987" i="293"/>
  <c r="M987" i="293" s="1"/>
  <c r="L956" i="293"/>
  <c r="M956" i="293" s="1"/>
  <c r="L894" i="293"/>
  <c r="M894" i="293" s="1"/>
  <c r="L863" i="293"/>
  <c r="M863" i="293" s="1"/>
  <c r="L832" i="293"/>
  <c r="M832" i="293" s="1"/>
  <c r="L801" i="293"/>
  <c r="M801" i="293" s="1"/>
  <c r="L769" i="293"/>
  <c r="M769" i="293" s="1"/>
  <c r="L709" i="293"/>
  <c r="M709" i="293" s="1"/>
  <c r="L655" i="293"/>
  <c r="M655" i="293" s="1"/>
  <c r="L632" i="293"/>
  <c r="M632" i="293" s="1"/>
  <c r="L597" i="293"/>
  <c r="M597" i="293" s="1"/>
  <c r="L581" i="293"/>
  <c r="M581" i="293" s="1"/>
  <c r="L550" i="293"/>
  <c r="M550" i="293" s="1"/>
  <c r="L519" i="293"/>
  <c r="M519" i="293" s="1"/>
  <c r="L489" i="293"/>
  <c r="M489" i="293" s="1"/>
  <c r="L457" i="293"/>
  <c r="M457" i="293" s="1"/>
  <c r="L449" i="293"/>
  <c r="M449" i="293" s="1"/>
  <c r="L441" i="293"/>
  <c r="M441" i="293" s="1"/>
  <c r="L401" i="293"/>
  <c r="M401" i="293" s="1"/>
  <c r="L293" i="293"/>
  <c r="M293" i="293" s="1"/>
  <c r="L2432" i="293"/>
  <c r="M2432" i="293" s="1"/>
  <c r="L2143" i="293"/>
  <c r="M2143" i="293" s="1"/>
  <c r="L499" i="293"/>
  <c r="M499" i="293" s="1"/>
  <c r="L407" i="293"/>
  <c r="M407" i="293" s="1"/>
  <c r="L283" i="293"/>
  <c r="M283" i="293" s="1"/>
  <c r="U5" i="293"/>
  <c r="V5" i="293" s="1"/>
  <c r="L189" i="293"/>
  <c r="L73" i="293"/>
  <c r="L105" i="293"/>
  <c r="L121" i="293"/>
  <c r="L138" i="293"/>
  <c r="L215" i="293"/>
  <c r="L197" i="293"/>
  <c r="L188" i="293"/>
  <c r="L174" i="293"/>
  <c r="L224" i="293"/>
  <c r="L187" i="293"/>
  <c r="L178" i="293"/>
  <c r="L169" i="293"/>
  <c r="L160" i="293"/>
  <c r="L155" i="293"/>
  <c r="L146" i="293"/>
  <c r="L137" i="293"/>
  <c r="L128" i="293"/>
  <c r="L120" i="293"/>
  <c r="L112" i="293"/>
  <c r="L104" i="293"/>
  <c r="L92" i="293"/>
  <c r="L84" i="293"/>
  <c r="L80" i="293"/>
  <c r="L68" i="293"/>
  <c r="L64" i="293"/>
  <c r="L56" i="293"/>
  <c r="L44" i="293"/>
  <c r="L24" i="293"/>
  <c r="L20" i="293"/>
  <c r="L12" i="293"/>
  <c r="L223" i="293"/>
  <c r="L214" i="293"/>
  <c r="L205" i="293"/>
  <c r="L159" i="293"/>
  <c r="L150" i="293"/>
  <c r="L177" i="293"/>
  <c r="L168" i="293"/>
  <c r="L136" i="293"/>
  <c r="L127" i="293"/>
  <c r="L119" i="293"/>
  <c r="L111" i="293"/>
  <c r="L99" i="293"/>
  <c r="L91" i="293"/>
  <c r="L79" i="293"/>
  <c r="L75" i="293"/>
  <c r="L71" i="293"/>
  <c r="L59" i="293"/>
  <c r="L47" i="293"/>
  <c r="L31" i="293"/>
  <c r="L27" i="293"/>
  <c r="L19" i="293"/>
  <c r="L11" i="293"/>
  <c r="L231" i="293"/>
  <c r="M231" i="293" s="1"/>
  <c r="L222" i="293"/>
  <c r="L213" i="293"/>
  <c r="L204" i="293"/>
  <c r="L199" i="293"/>
  <c r="L167" i="293"/>
  <c r="L149" i="293"/>
  <c r="L226" i="293"/>
  <c r="L203" i="293"/>
  <c r="L162" i="293"/>
  <c r="L130" i="293"/>
  <c r="L118" i="293"/>
  <c r="L106" i="293"/>
  <c r="L98" i="293"/>
  <c r="L86" i="293"/>
  <c r="L66" i="293"/>
  <c r="L54" i="293"/>
  <c r="L50" i="293"/>
  <c r="L46" i="293"/>
  <c r="L34" i="293"/>
  <c r="L212" i="293"/>
  <c r="L61" i="293"/>
  <c r="L93" i="293"/>
  <c r="L161" i="293"/>
  <c r="L179" i="293"/>
  <c r="L216" i="293"/>
  <c r="L143" i="293"/>
  <c r="L180" i="293"/>
  <c r="L198" i="293"/>
  <c r="L17" i="293"/>
  <c r="L33" i="293"/>
  <c r="L81" i="293"/>
  <c r="L97" i="293"/>
  <c r="L113" i="293"/>
  <c r="L129" i="293"/>
  <c r="L147" i="293"/>
  <c r="L148" i="293"/>
  <c r="L37" i="293"/>
  <c r="L85" i="293"/>
  <c r="L225" i="293"/>
  <c r="U6" i="293"/>
  <c r="V6" i="293" s="1"/>
  <c r="L1814" i="293" l="1"/>
  <c r="M1814" i="293" s="1"/>
  <c r="L1576" i="293"/>
  <c r="M1576" i="293" s="1"/>
  <c r="L1350" i="293"/>
  <c r="M1350" i="293" s="1"/>
  <c r="L1334" i="293"/>
  <c r="M1334" i="293" s="1"/>
  <c r="L1310" i="293"/>
  <c r="M1310" i="293" s="1"/>
  <c r="L5054" i="293"/>
  <c r="M5054" i="293" s="1"/>
  <c r="L4998" i="293"/>
  <c r="M4998" i="293" s="1"/>
  <c r="L4878" i="293"/>
  <c r="M4878" i="293" s="1"/>
  <c r="L4830" i="293"/>
  <c r="M4830" i="293" s="1"/>
  <c r="L4798" i="293"/>
  <c r="M4798" i="293" s="1"/>
  <c r="L4742" i="293"/>
  <c r="M4742" i="293" s="1"/>
  <c r="L4718" i="293"/>
  <c r="M4718" i="293" s="1"/>
  <c r="L4694" i="293"/>
  <c r="M4694" i="293" s="1"/>
  <c r="L4686" i="293"/>
  <c r="M4686" i="293" s="1"/>
  <c r="L4638" i="293"/>
  <c r="M4638" i="293" s="1"/>
  <c r="L1813" i="293"/>
  <c r="M1813" i="293" s="1"/>
  <c r="L1591" i="293"/>
  <c r="M1591" i="293" s="1"/>
  <c r="L1575" i="293"/>
  <c r="M1575" i="293" s="1"/>
  <c r="L1504" i="293"/>
  <c r="M1504" i="293" s="1"/>
  <c r="L1309" i="293"/>
  <c r="M1309" i="293" s="1"/>
  <c r="L5045" i="293"/>
  <c r="M5045" i="293" s="1"/>
  <c r="L5013" i="293"/>
  <c r="M5013" i="293" s="1"/>
  <c r="L4997" i="293"/>
  <c r="M4997" i="293" s="1"/>
  <c r="L4949" i="293"/>
  <c r="M4949" i="293" s="1"/>
  <c r="L4933" i="293"/>
  <c r="M4933" i="293" s="1"/>
  <c r="L4893" i="293"/>
  <c r="M4893" i="293" s="1"/>
  <c r="L4861" i="293"/>
  <c r="M4861" i="293" s="1"/>
  <c r="L4773" i="293"/>
  <c r="M4773" i="293" s="1"/>
  <c r="L4717" i="293"/>
  <c r="M4717" i="293" s="1"/>
  <c r="L4693" i="293"/>
  <c r="M4693" i="293" s="1"/>
  <c r="L4685" i="293"/>
  <c r="M4685" i="293" s="1"/>
  <c r="L4661" i="293"/>
  <c r="M4661" i="293" s="1"/>
  <c r="L4637" i="293"/>
  <c r="M4637" i="293" s="1"/>
  <c r="L4621" i="293"/>
  <c r="M4621" i="293" s="1"/>
  <c r="L4605" i="293"/>
  <c r="M4605" i="293" s="1"/>
  <c r="L1590" i="293"/>
  <c r="M1590" i="293" s="1"/>
  <c r="L1574" i="293"/>
  <c r="M1574" i="293" s="1"/>
  <c r="L1503" i="293"/>
  <c r="M1503" i="293" s="1"/>
  <c r="L1645" i="293"/>
  <c r="M1645" i="293" s="1"/>
  <c r="L1573" i="293"/>
  <c r="M1573" i="293" s="1"/>
  <c r="L1502" i="293"/>
  <c r="M1502" i="293" s="1"/>
  <c r="L5043" i="293"/>
  <c r="M5043" i="293" s="1"/>
  <c r="L5019" i="293"/>
  <c r="M5019" i="293" s="1"/>
  <c r="L4955" i="293"/>
  <c r="M4955" i="293" s="1"/>
  <c r="L4947" i="293"/>
  <c r="M4947" i="293" s="1"/>
  <c r="L4907" i="293"/>
  <c r="M4907" i="293" s="1"/>
  <c r="L4851" i="293"/>
  <c r="M4851" i="293" s="1"/>
  <c r="L4843" i="293"/>
  <c r="M4843" i="293" s="1"/>
  <c r="L4811" i="293"/>
  <c r="M4811" i="293" s="1"/>
  <c r="L4779" i="293"/>
  <c r="M4779" i="293" s="1"/>
  <c r="L4755" i="293"/>
  <c r="M4755" i="293" s="1"/>
  <c r="L4715" i="293"/>
  <c r="M4715" i="293" s="1"/>
  <c r="L4643" i="293"/>
  <c r="M4643" i="293" s="1"/>
  <c r="L4619" i="293"/>
  <c r="M4619" i="293" s="1"/>
  <c r="L2008" i="293"/>
  <c r="M2008" i="293" s="1"/>
  <c r="L1644" i="293"/>
  <c r="M1644" i="293" s="1"/>
  <c r="L1572" i="293"/>
  <c r="M1572" i="293" s="1"/>
  <c r="L1501" i="293"/>
  <c r="M1501" i="293" s="1"/>
  <c r="L1403" i="293"/>
  <c r="M1403" i="293" s="1"/>
  <c r="L1338" i="293"/>
  <c r="M1338" i="293" s="1"/>
  <c r="L5058" i="293"/>
  <c r="M5058" i="293" s="1"/>
  <c r="L5042" i="293"/>
  <c r="M5042" i="293" s="1"/>
  <c r="L4962" i="293"/>
  <c r="M4962" i="293" s="1"/>
  <c r="L4938" i="293"/>
  <c r="M4938" i="293" s="1"/>
  <c r="L4834" i="293"/>
  <c r="M4834" i="293" s="1"/>
  <c r="L4722" i="293"/>
  <c r="M4722" i="293" s="1"/>
  <c r="L4714" i="293"/>
  <c r="M4714" i="293" s="1"/>
  <c r="L4674" i="293"/>
  <c r="M4674" i="293" s="1"/>
  <c r="L4666" i="293"/>
  <c r="M4666" i="293" s="1"/>
  <c r="L4658" i="293"/>
  <c r="M4658" i="293" s="1"/>
  <c r="L2007" i="293"/>
  <c r="M2007" i="293" s="1"/>
  <c r="L1817" i="293"/>
  <c r="M1817" i="293" s="1"/>
  <c r="L1643" i="293"/>
  <c r="M1643" i="293" s="1"/>
  <c r="L1579" i="293"/>
  <c r="M1579" i="293" s="1"/>
  <c r="L1500" i="293"/>
  <c r="M1500" i="293" s="1"/>
  <c r="L1467" i="293"/>
  <c r="M1467" i="293" s="1"/>
  <c r="L1402" i="293"/>
  <c r="M1402" i="293" s="1"/>
  <c r="L1386" i="293"/>
  <c r="M1386" i="293" s="1"/>
  <c r="L1337" i="293"/>
  <c r="M1337" i="293" s="1"/>
  <c r="L5057" i="293"/>
  <c r="M5057" i="293" s="1"/>
  <c r="L4977" i="293"/>
  <c r="M4977" i="293" s="1"/>
  <c r="L4945" i="293"/>
  <c r="M4945" i="293" s="1"/>
  <c r="L4929" i="293"/>
  <c r="M4929" i="293" s="1"/>
  <c r="L4921" i="293"/>
  <c r="M4921" i="293" s="1"/>
  <c r="L4785" i="293"/>
  <c r="M4785" i="293" s="1"/>
  <c r="L4713" i="293"/>
  <c r="M4713" i="293" s="1"/>
  <c r="L4689" i="293"/>
  <c r="M4689" i="293" s="1"/>
  <c r="L4665" i="293"/>
  <c r="M4665" i="293" s="1"/>
  <c r="L4641" i="293"/>
  <c r="M4641" i="293" s="1"/>
  <c r="L1816" i="293"/>
  <c r="M1816" i="293" s="1"/>
  <c r="L1642" i="293"/>
  <c r="M1642" i="293" s="1"/>
  <c r="L1578" i="293"/>
  <c r="M1578" i="293" s="1"/>
  <c r="L1515" i="293"/>
  <c r="M1515" i="293" s="1"/>
  <c r="L1385" i="293"/>
  <c r="M1385" i="293" s="1"/>
  <c r="L1336" i="293"/>
  <c r="M1336" i="293" s="1"/>
  <c r="L5072" i="293"/>
  <c r="M5072" i="293" s="1"/>
  <c r="L5056" i="293"/>
  <c r="M5056" i="293" s="1"/>
  <c r="L4904" i="293"/>
  <c r="M4904" i="293" s="1"/>
  <c r="L4816" i="293"/>
  <c r="M4816" i="293" s="1"/>
  <c r="L4784" i="293"/>
  <c r="M4784" i="293" s="1"/>
  <c r="L4760" i="293"/>
  <c r="M4760" i="293" s="1"/>
  <c r="L4712" i="293"/>
  <c r="M4712" i="293" s="1"/>
  <c r="L4696" i="293"/>
  <c r="M4696" i="293" s="1"/>
  <c r="L4664" i="293"/>
  <c r="M4664" i="293" s="1"/>
  <c r="L4608" i="293"/>
  <c r="M4608" i="293" s="1"/>
  <c r="L1815" i="293"/>
  <c r="M1815" i="293" s="1"/>
  <c r="L4972" i="293"/>
  <c r="M4972" i="293" s="1"/>
  <c r="L4812" i="293"/>
  <c r="M4812" i="293" s="1"/>
  <c r="L4716" i="293"/>
  <c r="M4716" i="293" s="1"/>
  <c r="L4684" i="293"/>
  <c r="M4684" i="293" s="1"/>
  <c r="L4620" i="293"/>
  <c r="M4620" i="293" s="1"/>
  <c r="L4589" i="293"/>
  <c r="M4589" i="293" s="1"/>
  <c r="L4557" i="293"/>
  <c r="M4557" i="293" s="1"/>
  <c r="L4541" i="293"/>
  <c r="M4541" i="293" s="1"/>
  <c r="L4510" i="293"/>
  <c r="M4510" i="293" s="1"/>
  <c r="L4470" i="293"/>
  <c r="M4470" i="293" s="1"/>
  <c r="L4390" i="293"/>
  <c r="M4390" i="293" s="1"/>
  <c r="L4256" i="293"/>
  <c r="M4256" i="293" s="1"/>
  <c r="L4192" i="293"/>
  <c r="M4192" i="293" s="1"/>
  <c r="L4540" i="293"/>
  <c r="M4540" i="293" s="1"/>
  <c r="L4509" i="293"/>
  <c r="M4509" i="293" s="1"/>
  <c r="L4469" i="293"/>
  <c r="M4469" i="293" s="1"/>
  <c r="L4389" i="293"/>
  <c r="M4389" i="293" s="1"/>
  <c r="L4359" i="293"/>
  <c r="M4359" i="293" s="1"/>
  <c r="L4303" i="293"/>
  <c r="M4303" i="293" s="1"/>
  <c r="L4239" i="293"/>
  <c r="M4239" i="293" s="1"/>
  <c r="L4159" i="293"/>
  <c r="M4159" i="293" s="1"/>
  <c r="L4119" i="293"/>
  <c r="M4119" i="293" s="1"/>
  <c r="L1641" i="293"/>
  <c r="M1641" i="293" s="1"/>
  <c r="L4996" i="293"/>
  <c r="M4996" i="293" s="1"/>
  <c r="L4836" i="293"/>
  <c r="M4836" i="293" s="1"/>
  <c r="L4772" i="293"/>
  <c r="M4772" i="293" s="1"/>
  <c r="L4571" i="293"/>
  <c r="M4571" i="293" s="1"/>
  <c r="L4508" i="293"/>
  <c r="M4508" i="293" s="1"/>
  <c r="L4484" i="293"/>
  <c r="M4484" i="293" s="1"/>
  <c r="L4468" i="293"/>
  <c r="M4468" i="293" s="1"/>
  <c r="L4444" i="293"/>
  <c r="M4444" i="293" s="1"/>
  <c r="L4428" i="293"/>
  <c r="M4428" i="293" s="1"/>
  <c r="L4412" i="293"/>
  <c r="M4412" i="293" s="1"/>
  <c r="L4388" i="293"/>
  <c r="M4388" i="293" s="1"/>
  <c r="L4365" i="293"/>
  <c r="M4365" i="293" s="1"/>
  <c r="L4358" i="293"/>
  <c r="M4358" i="293" s="1"/>
  <c r="L4334" i="293"/>
  <c r="M4334" i="293" s="1"/>
  <c r="L4302" i="293"/>
  <c r="M4302" i="293" s="1"/>
  <c r="L4286" i="293"/>
  <c r="M4286" i="293" s="1"/>
  <c r="L4270" i="293"/>
  <c r="M4270" i="293" s="1"/>
  <c r="L4238" i="293"/>
  <c r="M4238" i="293" s="1"/>
  <c r="L4206" i="293"/>
  <c r="M4206" i="293" s="1"/>
  <c r="L4158" i="293"/>
  <c r="M4158" i="293" s="1"/>
  <c r="L4118" i="293"/>
  <c r="M4118" i="293" s="1"/>
  <c r="L4110" i="293"/>
  <c r="M4110" i="293" s="1"/>
  <c r="L1335" i="293"/>
  <c r="M1335" i="293" s="1"/>
  <c r="L5055" i="293"/>
  <c r="M5055" i="293" s="1"/>
  <c r="L4831" i="293"/>
  <c r="M4831" i="293" s="1"/>
  <c r="L4799" i="293"/>
  <c r="M4799" i="293" s="1"/>
  <c r="L4735" i="293"/>
  <c r="M4735" i="293" s="1"/>
  <c r="L4594" i="293"/>
  <c r="M4594" i="293" s="1"/>
  <c r="L4578" i="293"/>
  <c r="M4578" i="293" s="1"/>
  <c r="L4570" i="293"/>
  <c r="M4570" i="293" s="1"/>
  <c r="L4507" i="293"/>
  <c r="M4507" i="293" s="1"/>
  <c r="L4483" i="293"/>
  <c r="M4483" i="293" s="1"/>
  <c r="L4443" i="293"/>
  <c r="M4443" i="293" s="1"/>
  <c r="L4411" i="293"/>
  <c r="M4411" i="293" s="1"/>
  <c r="L4380" i="293"/>
  <c r="M4380" i="293" s="1"/>
  <c r="L4357" i="293"/>
  <c r="M4357" i="293" s="1"/>
  <c r="L4349" i="293"/>
  <c r="M4349" i="293" s="1"/>
  <c r="L4301" i="293"/>
  <c r="M4301" i="293" s="1"/>
  <c r="L4269" i="293"/>
  <c r="M4269" i="293" s="1"/>
  <c r="L4221" i="293"/>
  <c r="M4221" i="293" s="1"/>
  <c r="L4157" i="293"/>
  <c r="M4157" i="293" s="1"/>
  <c r="L4109" i="293"/>
  <c r="M4109" i="293" s="1"/>
  <c r="L5020" i="293"/>
  <c r="M5020" i="293" s="1"/>
  <c r="L4956" i="293"/>
  <c r="M4956" i="293" s="1"/>
  <c r="L4892" i="293"/>
  <c r="M4892" i="293" s="1"/>
  <c r="L4732" i="293"/>
  <c r="M4732" i="293" s="1"/>
  <c r="L4668" i="293"/>
  <c r="M4668" i="293" s="1"/>
  <c r="L4636" i="293"/>
  <c r="M4636" i="293" s="1"/>
  <c r="L4577" i="293"/>
  <c r="M4577" i="293" s="1"/>
  <c r="L4506" i="293"/>
  <c r="M4506" i="293" s="1"/>
  <c r="L4474" i="293"/>
  <c r="M4474" i="293" s="1"/>
  <c r="L4442" i="293"/>
  <c r="M4442" i="293" s="1"/>
  <c r="L4410" i="293"/>
  <c r="M4410" i="293" s="1"/>
  <c r="L4402" i="293"/>
  <c r="M4402" i="293" s="1"/>
  <c r="L4387" i="293"/>
  <c r="M4387" i="293" s="1"/>
  <c r="L4332" i="293"/>
  <c r="M4332" i="293" s="1"/>
  <c r="L4244" i="293"/>
  <c r="M4244" i="293" s="1"/>
  <c r="L4188" i="293"/>
  <c r="M4188" i="293" s="1"/>
  <c r="L4108" i="293"/>
  <c r="M4108" i="293" s="1"/>
  <c r="L4084" i="293"/>
  <c r="M4084" i="293" s="1"/>
  <c r="L4076" i="293"/>
  <c r="M4076" i="293" s="1"/>
  <c r="L1577" i="293"/>
  <c r="M1577" i="293" s="1"/>
  <c r="L4695" i="293"/>
  <c r="M4695" i="293" s="1"/>
  <c r="L4576" i="293"/>
  <c r="M4576" i="293" s="1"/>
  <c r="L4441" i="293"/>
  <c r="M4441" i="293" s="1"/>
  <c r="L4425" i="293"/>
  <c r="M4425" i="293" s="1"/>
  <c r="L4386" i="293"/>
  <c r="M4386" i="293" s="1"/>
  <c r="L4331" i="293"/>
  <c r="M4331" i="293" s="1"/>
  <c r="L4243" i="293"/>
  <c r="M4243" i="293" s="1"/>
  <c r="L4179" i="293"/>
  <c r="M4179" i="293" s="1"/>
  <c r="L4163" i="293"/>
  <c r="M4163" i="293" s="1"/>
  <c r="L4590" i="293"/>
  <c r="M4590" i="293" s="1"/>
  <c r="L3962" i="293"/>
  <c r="M3962" i="293" s="1"/>
  <c r="L3891" i="293"/>
  <c r="M3891" i="293" s="1"/>
  <c r="L3851" i="293"/>
  <c r="M3851" i="293" s="1"/>
  <c r="L3827" i="293"/>
  <c r="M3827" i="293" s="1"/>
  <c r="L3748" i="293"/>
  <c r="M3748" i="293" s="1"/>
  <c r="L3692" i="293"/>
  <c r="M3692" i="293" s="1"/>
  <c r="L3614" i="293"/>
  <c r="M3614" i="293" s="1"/>
  <c r="L5044" i="293"/>
  <c r="M5044" i="293" s="1"/>
  <c r="L4916" i="293"/>
  <c r="M4916" i="293" s="1"/>
  <c r="L4583" i="293"/>
  <c r="M4583" i="293" s="1"/>
  <c r="L4519" i="293"/>
  <c r="M4519" i="293" s="1"/>
  <c r="L4488" i="293"/>
  <c r="M4488" i="293" s="1"/>
  <c r="L4424" i="293"/>
  <c r="M4424" i="293" s="1"/>
  <c r="L4361" i="293"/>
  <c r="M4361" i="293" s="1"/>
  <c r="L4064" i="293"/>
  <c r="M4064" i="293" s="1"/>
  <c r="L4040" i="293"/>
  <c r="M4040" i="293" s="1"/>
  <c r="L4032" i="293"/>
  <c r="M4032" i="293" s="1"/>
  <c r="L4000" i="293"/>
  <c r="M4000" i="293" s="1"/>
  <c r="L3976" i="293"/>
  <c r="M3976" i="293" s="1"/>
  <c r="L3961" i="293"/>
  <c r="M3961" i="293" s="1"/>
  <c r="L3953" i="293"/>
  <c r="M3953" i="293" s="1"/>
  <c r="L3945" i="293"/>
  <c r="M3945" i="293" s="1"/>
  <c r="L3937" i="293"/>
  <c r="M3937" i="293" s="1"/>
  <c r="L3874" i="293"/>
  <c r="M3874" i="293" s="1"/>
  <c r="L3850" i="293"/>
  <c r="M3850" i="293" s="1"/>
  <c r="L3826" i="293"/>
  <c r="M3826" i="293" s="1"/>
  <c r="L3770" i="293"/>
  <c r="M3770" i="293" s="1"/>
  <c r="L3747" i="293"/>
  <c r="M3747" i="293" s="1"/>
  <c r="L3715" i="293"/>
  <c r="M3715" i="293" s="1"/>
  <c r="L3699" i="293"/>
  <c r="M3699" i="293" s="1"/>
  <c r="L3691" i="293"/>
  <c r="M3691" i="293" s="1"/>
  <c r="L3667" i="293"/>
  <c r="M3667" i="293" s="1"/>
  <c r="L3621" i="293"/>
  <c r="M3621" i="293" s="1"/>
  <c r="L3598" i="293"/>
  <c r="M3598" i="293" s="1"/>
  <c r="L4582" i="293"/>
  <c r="M4582" i="293" s="1"/>
  <c r="L4423" i="293"/>
  <c r="M4423" i="293" s="1"/>
  <c r="L4360" i="293"/>
  <c r="M4360" i="293" s="1"/>
  <c r="L4039" i="293"/>
  <c r="M4039" i="293" s="1"/>
  <c r="L4031" i="293"/>
  <c r="M4031" i="293" s="1"/>
  <c r="L3944" i="293"/>
  <c r="M3944" i="293" s="1"/>
  <c r="L3849" i="293"/>
  <c r="M3849" i="293" s="1"/>
  <c r="L3769" i="293"/>
  <c r="M3769" i="293" s="1"/>
  <c r="L3746" i="293"/>
  <c r="M3746" i="293" s="1"/>
  <c r="L3722" i="293"/>
  <c r="M3722" i="293" s="1"/>
  <c r="L3698" i="293"/>
  <c r="M3698" i="293" s="1"/>
  <c r="L3690" i="293"/>
  <c r="M3690" i="293" s="1"/>
  <c r="L3643" i="293"/>
  <c r="M3643" i="293" s="1"/>
  <c r="L3628" i="293"/>
  <c r="M3628" i="293" s="1"/>
  <c r="L3620" i="293"/>
  <c r="M3620" i="293" s="1"/>
  <c r="L5012" i="293"/>
  <c r="M5012" i="293" s="1"/>
  <c r="L4756" i="293"/>
  <c r="M4756" i="293" s="1"/>
  <c r="L4575" i="293"/>
  <c r="M4575" i="293" s="1"/>
  <c r="L4512" i="293"/>
  <c r="M4512" i="293" s="1"/>
  <c r="L4416" i="293"/>
  <c r="M4416" i="293" s="1"/>
  <c r="L4322" i="293"/>
  <c r="M4322" i="293" s="1"/>
  <c r="L4030" i="293"/>
  <c r="M4030" i="293" s="1"/>
  <c r="L3975" i="293"/>
  <c r="M3975" i="293" s="1"/>
  <c r="L3951" i="293"/>
  <c r="M3951" i="293" s="1"/>
  <c r="L3919" i="293"/>
  <c r="M3919" i="293" s="1"/>
  <c r="L3856" i="293"/>
  <c r="M3856" i="293" s="1"/>
  <c r="L3848" i="293"/>
  <c r="M3848" i="293" s="1"/>
  <c r="L3816" i="293"/>
  <c r="M3816" i="293" s="1"/>
  <c r="L3745" i="293"/>
  <c r="M3745" i="293" s="1"/>
  <c r="L3689" i="293"/>
  <c r="M3689" i="293" s="1"/>
  <c r="L3642" i="293"/>
  <c r="M3642" i="293" s="1"/>
  <c r="L3627" i="293"/>
  <c r="M3627" i="293" s="1"/>
  <c r="L1514" i="293"/>
  <c r="M1514" i="293" s="1"/>
  <c r="L4879" i="293"/>
  <c r="M4879" i="293" s="1"/>
  <c r="L4574" i="293"/>
  <c r="M4574" i="293" s="1"/>
  <c r="L4542" i="293"/>
  <c r="M4542" i="293" s="1"/>
  <c r="L4511" i="293"/>
  <c r="M4511" i="293" s="1"/>
  <c r="L4289" i="293"/>
  <c r="M4289" i="293" s="1"/>
  <c r="L4029" i="293"/>
  <c r="M4029" i="293" s="1"/>
  <c r="L4013" i="293"/>
  <c r="M4013" i="293" s="1"/>
  <c r="L3981" i="293"/>
  <c r="M3981" i="293" s="1"/>
  <c r="L3974" i="293"/>
  <c r="M3974" i="293" s="1"/>
  <c r="L3926" i="293"/>
  <c r="M3926" i="293" s="1"/>
  <c r="L3918" i="293"/>
  <c r="M3918" i="293" s="1"/>
  <c r="L3902" i="293"/>
  <c r="M3902" i="293" s="1"/>
  <c r="L3887" i="293"/>
  <c r="M3887" i="293" s="1"/>
  <c r="L3871" i="293"/>
  <c r="M3871" i="293" s="1"/>
  <c r="L3839" i="293"/>
  <c r="M3839" i="293" s="1"/>
  <c r="L3831" i="293"/>
  <c r="M3831" i="293" s="1"/>
  <c r="L3783" i="293"/>
  <c r="M3783" i="293" s="1"/>
  <c r="L3688" i="293"/>
  <c r="M3688" i="293" s="1"/>
  <c r="L3649" i="293"/>
  <c r="M3649" i="293" s="1"/>
  <c r="L3641" i="293"/>
  <c r="M3641" i="293" s="1"/>
  <c r="L3580" i="293"/>
  <c r="M3580" i="293" s="1"/>
  <c r="L4028" i="293"/>
  <c r="M4028" i="293" s="1"/>
  <c r="L3980" i="293"/>
  <c r="M3980" i="293" s="1"/>
  <c r="L3973" i="293"/>
  <c r="M3973" i="293" s="1"/>
  <c r="L3925" i="293"/>
  <c r="M3925" i="293" s="1"/>
  <c r="L3917" i="293"/>
  <c r="M3917" i="293" s="1"/>
  <c r="L3886" i="293"/>
  <c r="M3886" i="293" s="1"/>
  <c r="L3782" i="293"/>
  <c r="M3782" i="293" s="1"/>
  <c r="L3640" i="293"/>
  <c r="M3640" i="293" s="1"/>
  <c r="L3579" i="293"/>
  <c r="M3579" i="293" s="1"/>
  <c r="L1351" i="293"/>
  <c r="M1351" i="293" s="1"/>
  <c r="L4719" i="293"/>
  <c r="M4719" i="293" s="1"/>
  <c r="L4217" i="293"/>
  <c r="M4217" i="293" s="1"/>
  <c r="L3885" i="293"/>
  <c r="M3885" i="293" s="1"/>
  <c r="L3837" i="293"/>
  <c r="M3837" i="293" s="1"/>
  <c r="L3813" i="293"/>
  <c r="M3813" i="293" s="1"/>
  <c r="L3678" i="293"/>
  <c r="M3678" i="293" s="1"/>
  <c r="L3639" i="293"/>
  <c r="M3639" i="293" s="1"/>
  <c r="L3609" i="293"/>
  <c r="M3609" i="293" s="1"/>
  <c r="L3601" i="293"/>
  <c r="M3601" i="293" s="1"/>
  <c r="L4274" i="293"/>
  <c r="M4274" i="293" s="1"/>
  <c r="L4066" i="293"/>
  <c r="M4066" i="293" s="1"/>
  <c r="L3939" i="293"/>
  <c r="M3939" i="293" s="1"/>
  <c r="L3812" i="293"/>
  <c r="M3812" i="293" s="1"/>
  <c r="L3749" i="293"/>
  <c r="M3749" i="293" s="1"/>
  <c r="L3541" i="293"/>
  <c r="M3541" i="293" s="1"/>
  <c r="L3503" i="293"/>
  <c r="M3503" i="293" s="1"/>
  <c r="L3488" i="293"/>
  <c r="M3488" i="293" s="1"/>
  <c r="L3480" i="293"/>
  <c r="M3480" i="293" s="1"/>
  <c r="L3464" i="293"/>
  <c r="M3464" i="293" s="1"/>
  <c r="L3456" i="293"/>
  <c r="M3456" i="293" s="1"/>
  <c r="L3368" i="293"/>
  <c r="M3368" i="293" s="1"/>
  <c r="L3336" i="293"/>
  <c r="M3336" i="293" s="1"/>
  <c r="L3266" i="293"/>
  <c r="M3266" i="293" s="1"/>
  <c r="L3259" i="293"/>
  <c r="M3259" i="293" s="1"/>
  <c r="L3227" i="293"/>
  <c r="M3227" i="293" s="1"/>
  <c r="L3182" i="293"/>
  <c r="M3182" i="293" s="1"/>
  <c r="L3174" i="293"/>
  <c r="M3174" i="293" s="1"/>
  <c r="L3063" i="293"/>
  <c r="M3063" i="293" s="1"/>
  <c r="L3008" i="293"/>
  <c r="M3008" i="293" s="1"/>
  <c r="L3804" i="293"/>
  <c r="M3804" i="293" s="1"/>
  <c r="L3502" i="293"/>
  <c r="M3502" i="293" s="1"/>
  <c r="L3455" i="293"/>
  <c r="M3455" i="293" s="1"/>
  <c r="L3335" i="293"/>
  <c r="M3335" i="293" s="1"/>
  <c r="L3273" i="293"/>
  <c r="M3273" i="293" s="1"/>
  <c r="L3265" i="293"/>
  <c r="M3265" i="293" s="1"/>
  <c r="L3258" i="293"/>
  <c r="M3258" i="293" s="1"/>
  <c r="L3250" i="293"/>
  <c r="M3250" i="293" s="1"/>
  <c r="L3038" i="293"/>
  <c r="M3038" i="293" s="1"/>
  <c r="L3608" i="293"/>
  <c r="M3608" i="293" s="1"/>
  <c r="L3581" i="293"/>
  <c r="M3581" i="293" s="1"/>
  <c r="L3524" i="293"/>
  <c r="M3524" i="293" s="1"/>
  <c r="L3509" i="293"/>
  <c r="M3509" i="293" s="1"/>
  <c r="L3501" i="293"/>
  <c r="M3501" i="293" s="1"/>
  <c r="L3350" i="293"/>
  <c r="M3350" i="293" s="1"/>
  <c r="L3334" i="293"/>
  <c r="M3334" i="293" s="1"/>
  <c r="L3272" i="293"/>
  <c r="M3272" i="293" s="1"/>
  <c r="L3264" i="293"/>
  <c r="M3264" i="293" s="1"/>
  <c r="L3233" i="293"/>
  <c r="M3233" i="293" s="1"/>
  <c r="L3117" i="293"/>
  <c r="M3117" i="293" s="1"/>
  <c r="L3085" i="293"/>
  <c r="M3085" i="293" s="1"/>
  <c r="L3725" i="293"/>
  <c r="M3725" i="293" s="1"/>
  <c r="L3578" i="293"/>
  <c r="M3578" i="293" s="1"/>
  <c r="L3546" i="293"/>
  <c r="M3546" i="293" s="1"/>
  <c r="L3508" i="293"/>
  <c r="M3508" i="293" s="1"/>
  <c r="L3477" i="293"/>
  <c r="M3477" i="293" s="1"/>
  <c r="L3365" i="293"/>
  <c r="M3365" i="293" s="1"/>
  <c r="L3317" i="293"/>
  <c r="M3317" i="293" s="1"/>
  <c r="L3271" i="293"/>
  <c r="M3271" i="293" s="1"/>
  <c r="L3201" i="293"/>
  <c r="M3201" i="293" s="1"/>
  <c r="L3084" i="293"/>
  <c r="M3084" i="293" s="1"/>
  <c r="L3005" i="293"/>
  <c r="M3005" i="293" s="1"/>
  <c r="L4146" i="293"/>
  <c r="M4146" i="293" s="1"/>
  <c r="L3577" i="293"/>
  <c r="M3577" i="293" s="1"/>
  <c r="L3476" i="293"/>
  <c r="M3476" i="293" s="1"/>
  <c r="L3388" i="293"/>
  <c r="M3388" i="293" s="1"/>
  <c r="L3316" i="293"/>
  <c r="M3316" i="293" s="1"/>
  <c r="L3263" i="293"/>
  <c r="M3263" i="293" s="1"/>
  <c r="L3200" i="293"/>
  <c r="M3200" i="293" s="1"/>
  <c r="L3139" i="293"/>
  <c r="M3139" i="293" s="1"/>
  <c r="L2996" i="293"/>
  <c r="M2996" i="293" s="1"/>
  <c r="L3899" i="293"/>
  <c r="M3899" i="293" s="1"/>
  <c r="L3560" i="293"/>
  <c r="M3560" i="293" s="1"/>
  <c r="L3521" i="293"/>
  <c r="M3521" i="293" s="1"/>
  <c r="L3475" i="293"/>
  <c r="M3475" i="293" s="1"/>
  <c r="L3459" i="293"/>
  <c r="M3459" i="293" s="1"/>
  <c r="L3443" i="293"/>
  <c r="M3443" i="293" s="1"/>
  <c r="L3419" i="293"/>
  <c r="M3419" i="293" s="1"/>
  <c r="L3387" i="293"/>
  <c r="M3387" i="293" s="1"/>
  <c r="L3339" i="293"/>
  <c r="M3339" i="293" s="1"/>
  <c r="L3323" i="293"/>
  <c r="M3323" i="293" s="1"/>
  <c r="L3315" i="293"/>
  <c r="M3315" i="293" s="1"/>
  <c r="L3262" i="293"/>
  <c r="M3262" i="293" s="1"/>
  <c r="L3177" i="293"/>
  <c r="M3177" i="293" s="1"/>
  <c r="L3138" i="293"/>
  <c r="M3138" i="293" s="1"/>
  <c r="L3130" i="293"/>
  <c r="M3130" i="293" s="1"/>
  <c r="L3114" i="293"/>
  <c r="M3114" i="293" s="1"/>
  <c r="L3066" i="293"/>
  <c r="M3066" i="293" s="1"/>
  <c r="L3034" i="293"/>
  <c r="M3034" i="293" s="1"/>
  <c r="L4086" i="293"/>
  <c r="M4086" i="293" s="1"/>
  <c r="L3638" i="293"/>
  <c r="M3638" i="293" s="1"/>
  <c r="L3520" i="293"/>
  <c r="M3520" i="293" s="1"/>
  <c r="L3458" i="293"/>
  <c r="M3458" i="293" s="1"/>
  <c r="L3426" i="293"/>
  <c r="M3426" i="293" s="1"/>
  <c r="L3418" i="293"/>
  <c r="M3418" i="293" s="1"/>
  <c r="L3402" i="293"/>
  <c r="M3402" i="293" s="1"/>
  <c r="L3322" i="293"/>
  <c r="M3322" i="293" s="1"/>
  <c r="L3314" i="293"/>
  <c r="M3314" i="293" s="1"/>
  <c r="L3261" i="293"/>
  <c r="M3261" i="293" s="1"/>
  <c r="L3229" i="293"/>
  <c r="M3229" i="293" s="1"/>
  <c r="L3199" i="293"/>
  <c r="M3199" i="293" s="1"/>
  <c r="L3176" i="293"/>
  <c r="M3176" i="293" s="1"/>
  <c r="L3160" i="293"/>
  <c r="M3160" i="293" s="1"/>
  <c r="L3033" i="293"/>
  <c r="M3033" i="293" s="1"/>
  <c r="L3025" i="293"/>
  <c r="M3025" i="293" s="1"/>
  <c r="L3010" i="293"/>
  <c r="M3010" i="293" s="1"/>
  <c r="L3361" i="293"/>
  <c r="M3361" i="293" s="1"/>
  <c r="L3298" i="293"/>
  <c r="M3298" i="293" s="1"/>
  <c r="L3175" i="293"/>
  <c r="M3175" i="293" s="1"/>
  <c r="L2901" i="293"/>
  <c r="M2901" i="293" s="1"/>
  <c r="L2878" i="293"/>
  <c r="M2878" i="293" s="1"/>
  <c r="L2801" i="293"/>
  <c r="M2801" i="293" s="1"/>
  <c r="L2793" i="293"/>
  <c r="M2793" i="293" s="1"/>
  <c r="L2736" i="293"/>
  <c r="M2736" i="293" s="1"/>
  <c r="L2699" i="293"/>
  <c r="M2699" i="293" s="1"/>
  <c r="L2683" i="293"/>
  <c r="M2683" i="293" s="1"/>
  <c r="L2659" i="293"/>
  <c r="M2659" i="293" s="1"/>
  <c r="L2643" i="293"/>
  <c r="M2643" i="293" s="1"/>
  <c r="L2438" i="293"/>
  <c r="M2438" i="293" s="1"/>
  <c r="L2430" i="293"/>
  <c r="M2430" i="293" s="1"/>
  <c r="L2422" i="293"/>
  <c r="M2422" i="293" s="1"/>
  <c r="L3542" i="293"/>
  <c r="M3542" i="293" s="1"/>
  <c r="L3353" i="293"/>
  <c r="M3353" i="293" s="1"/>
  <c r="L3228" i="293"/>
  <c r="M3228" i="293" s="1"/>
  <c r="L2900" i="293"/>
  <c r="M2900" i="293" s="1"/>
  <c r="L2877" i="293"/>
  <c r="M2877" i="293" s="1"/>
  <c r="L2854" i="293"/>
  <c r="M2854" i="293" s="1"/>
  <c r="L2713" i="293"/>
  <c r="M2713" i="293" s="1"/>
  <c r="L2698" i="293"/>
  <c r="M2698" i="293" s="1"/>
  <c r="L2642" i="293"/>
  <c r="M2642" i="293" s="1"/>
  <c r="L2579" i="293"/>
  <c r="M2579" i="293" s="1"/>
  <c r="L2571" i="293"/>
  <c r="M2571" i="293" s="1"/>
  <c r="L2477" i="293"/>
  <c r="M2477" i="293" s="1"/>
  <c r="L2461" i="293"/>
  <c r="M2461" i="293" s="1"/>
  <c r="L2437" i="293"/>
  <c r="M2437" i="293" s="1"/>
  <c r="L3220" i="293"/>
  <c r="M3220" i="293" s="1"/>
  <c r="L2899" i="293"/>
  <c r="M2899" i="293" s="1"/>
  <c r="L2776" i="293"/>
  <c r="M2776" i="293" s="1"/>
  <c r="L2712" i="293"/>
  <c r="M2712" i="293" s="1"/>
  <c r="L2593" i="293"/>
  <c r="M2593" i="293" s="1"/>
  <c r="L2578" i="293"/>
  <c r="M2578" i="293" s="1"/>
  <c r="L2452" i="293"/>
  <c r="M2452" i="293" s="1"/>
  <c r="L2413" i="293"/>
  <c r="M2413" i="293" s="1"/>
  <c r="L4306" i="293"/>
  <c r="M4306" i="293" s="1"/>
  <c r="L3401" i="293"/>
  <c r="M3401" i="293" s="1"/>
  <c r="L2922" i="293"/>
  <c r="M2922" i="293" s="1"/>
  <c r="L2906" i="293"/>
  <c r="M2906" i="293" s="1"/>
  <c r="L2775" i="293"/>
  <c r="M2775" i="293" s="1"/>
  <c r="L2725" i="293"/>
  <c r="M2725" i="293" s="1"/>
  <c r="L2616" i="293"/>
  <c r="M2616" i="293" s="1"/>
  <c r="L2561" i="293"/>
  <c r="M2561" i="293" s="1"/>
  <c r="L2451" i="293"/>
  <c r="M2451" i="293" s="1"/>
  <c r="L3457" i="293"/>
  <c r="M3457" i="293" s="1"/>
  <c r="L3205" i="293"/>
  <c r="M3205" i="293" s="1"/>
  <c r="L3144" i="293"/>
  <c r="M3144" i="293" s="1"/>
  <c r="L2813" i="293"/>
  <c r="M2813" i="293" s="1"/>
  <c r="L2746" i="293"/>
  <c r="M2746" i="293" s="1"/>
  <c r="L2724" i="293"/>
  <c r="M2724" i="293" s="1"/>
  <c r="L2671" i="293"/>
  <c r="M2671" i="293" s="1"/>
  <c r="L2615" i="293"/>
  <c r="M2615" i="293" s="1"/>
  <c r="L2560" i="293"/>
  <c r="M2560" i="293" s="1"/>
  <c r="L3260" i="293"/>
  <c r="M3260" i="293" s="1"/>
  <c r="L3009" i="293"/>
  <c r="M3009" i="293" s="1"/>
  <c r="L2968" i="293"/>
  <c r="M2968" i="293" s="1"/>
  <c r="L2928" i="293"/>
  <c r="M2928" i="293" s="1"/>
  <c r="L2843" i="293"/>
  <c r="M2843" i="293" s="1"/>
  <c r="L2835" i="293"/>
  <c r="M2835" i="293" s="1"/>
  <c r="L2759" i="293"/>
  <c r="M2759" i="293" s="1"/>
  <c r="L2745" i="293"/>
  <c r="M2745" i="293" s="1"/>
  <c r="L2670" i="293"/>
  <c r="M2670" i="293" s="1"/>
  <c r="L2630" i="293"/>
  <c r="M2630" i="293" s="1"/>
  <c r="L2614" i="293"/>
  <c r="M2614" i="293" s="1"/>
  <c r="L2536" i="293"/>
  <c r="M2536" i="293" s="1"/>
  <c r="L2520" i="293"/>
  <c r="M2520" i="293" s="1"/>
  <c r="L2481" i="293"/>
  <c r="M2481" i="293" s="1"/>
  <c r="L2410" i="293"/>
  <c r="M2410" i="293" s="1"/>
  <c r="L3313" i="293"/>
  <c r="M3313" i="293" s="1"/>
  <c r="L2992" i="293"/>
  <c r="M2992" i="293" s="1"/>
  <c r="L2967" i="293"/>
  <c r="M2967" i="293" s="1"/>
  <c r="L2951" i="293"/>
  <c r="M2951" i="293" s="1"/>
  <c r="L2758" i="293"/>
  <c r="M2758" i="293" s="1"/>
  <c r="L2685" i="293"/>
  <c r="M2685" i="293" s="1"/>
  <c r="L2629" i="293"/>
  <c r="M2629" i="293" s="1"/>
  <c r="L2605" i="293"/>
  <c r="M2605" i="293" s="1"/>
  <c r="L2550" i="293"/>
  <c r="M2550" i="293" s="1"/>
  <c r="L2535" i="293"/>
  <c r="M2535" i="293" s="1"/>
  <c r="L2519" i="293"/>
  <c r="M2519" i="293" s="1"/>
  <c r="L2488" i="293"/>
  <c r="M2488" i="293" s="1"/>
  <c r="L2966" i="293"/>
  <c r="M2966" i="293" s="1"/>
  <c r="L2902" i="293"/>
  <c r="M2902" i="293" s="1"/>
  <c r="L2660" i="293"/>
  <c r="M2660" i="293" s="1"/>
  <c r="L2534" i="293"/>
  <c r="M2534" i="293" s="1"/>
  <c r="L2471" i="293"/>
  <c r="M2471" i="293" s="1"/>
  <c r="L2412" i="293"/>
  <c r="M2412" i="293" s="1"/>
  <c r="L2400" i="293"/>
  <c r="M2400" i="293" s="1"/>
  <c r="L2336" i="293"/>
  <c r="M2336" i="293" s="1"/>
  <c r="L2285" i="293"/>
  <c r="M2285" i="293" s="1"/>
  <c r="L2166" i="293"/>
  <c r="M2166" i="293" s="1"/>
  <c r="L2158" i="293"/>
  <c r="M2158" i="293" s="1"/>
  <c r="L2127" i="293"/>
  <c r="M2127" i="293" s="1"/>
  <c r="L2119" i="293"/>
  <c r="M2119" i="293" s="1"/>
  <c r="L2079" i="293"/>
  <c r="M2079" i="293" s="1"/>
  <c r="L2032" i="293"/>
  <c r="M2032" i="293" s="1"/>
  <c r="L1993" i="293"/>
  <c r="M1993" i="293" s="1"/>
  <c r="L1961" i="293"/>
  <c r="M1961" i="293" s="1"/>
  <c r="L1913" i="293"/>
  <c r="M1913" i="293" s="1"/>
  <c r="L1905" i="293"/>
  <c r="M1905" i="293" s="1"/>
  <c r="L1897" i="293"/>
  <c r="M1897" i="293" s="1"/>
  <c r="L1889" i="293"/>
  <c r="M1889" i="293" s="1"/>
  <c r="L1857" i="293"/>
  <c r="M1857" i="293" s="1"/>
  <c r="L1783" i="293"/>
  <c r="M1783" i="293" s="1"/>
  <c r="L3183" i="293"/>
  <c r="M3183" i="293" s="1"/>
  <c r="L2409" i="293"/>
  <c r="M2409" i="293" s="1"/>
  <c r="L2399" i="293"/>
  <c r="M2399" i="293" s="1"/>
  <c r="L2381" i="293"/>
  <c r="M2381" i="293" s="1"/>
  <c r="L2298" i="293"/>
  <c r="M2298" i="293" s="1"/>
  <c r="L2284" i="293"/>
  <c r="M2284" i="293" s="1"/>
  <c r="L2269" i="293"/>
  <c r="M2269" i="293" s="1"/>
  <c r="L2253" i="293"/>
  <c r="M2253" i="293" s="1"/>
  <c r="L2165" i="293"/>
  <c r="M2165" i="293" s="1"/>
  <c r="L2157" i="293"/>
  <c r="M2157" i="293" s="1"/>
  <c r="L2118" i="293"/>
  <c r="M2118" i="293" s="1"/>
  <c r="L2078" i="293"/>
  <c r="M2078" i="293" s="1"/>
  <c r="L2055" i="293"/>
  <c r="M2055" i="293" s="1"/>
  <c r="L2031" i="293"/>
  <c r="M2031" i="293" s="1"/>
  <c r="L1968" i="293"/>
  <c r="M1968" i="293" s="1"/>
  <c r="L1960" i="293"/>
  <c r="M1960" i="293" s="1"/>
  <c r="L1936" i="293"/>
  <c r="M1936" i="293" s="1"/>
  <c r="L1896" i="293"/>
  <c r="M1896" i="293" s="1"/>
  <c r="L1888" i="293"/>
  <c r="M1888" i="293" s="1"/>
  <c r="L1782" i="293"/>
  <c r="M1782" i="293" s="1"/>
  <c r="L2423" i="293"/>
  <c r="M2423" i="293" s="1"/>
  <c r="L2398" i="293"/>
  <c r="M2398" i="293" s="1"/>
  <c r="L2380" i="293"/>
  <c r="M2380" i="293" s="1"/>
  <c r="L2305" i="293"/>
  <c r="M2305" i="293" s="1"/>
  <c r="L2283" i="293"/>
  <c r="M2283" i="293" s="1"/>
  <c r="L2268" i="293"/>
  <c r="M2268" i="293" s="1"/>
  <c r="L2252" i="293"/>
  <c r="M2252" i="293" s="1"/>
  <c r="L2237" i="293"/>
  <c r="M2237" i="293" s="1"/>
  <c r="L2188" i="293"/>
  <c r="M2188" i="293" s="1"/>
  <c r="L2156" i="293"/>
  <c r="M2156" i="293" s="1"/>
  <c r="L2117" i="293"/>
  <c r="M2117" i="293" s="1"/>
  <c r="L2109" i="293"/>
  <c r="M2109" i="293" s="1"/>
  <c r="L2077" i="293"/>
  <c r="M2077" i="293" s="1"/>
  <c r="L2061" i="293"/>
  <c r="M2061" i="293" s="1"/>
  <c r="L2054" i="293"/>
  <c r="M2054" i="293" s="1"/>
  <c r="L2030" i="293"/>
  <c r="M2030" i="293" s="1"/>
  <c r="L1959" i="293"/>
  <c r="M1959" i="293" s="1"/>
  <c r="L1935" i="293"/>
  <c r="M1935" i="293" s="1"/>
  <c r="L1895" i="293"/>
  <c r="M1895" i="293" s="1"/>
  <c r="L1887" i="293"/>
  <c r="M1887" i="293" s="1"/>
  <c r="L1847" i="293"/>
  <c r="M1847" i="293" s="1"/>
  <c r="L1833" i="293"/>
  <c r="M1833" i="293" s="1"/>
  <c r="L1781" i="293"/>
  <c r="M1781" i="293" s="1"/>
  <c r="L2371" i="293"/>
  <c r="M2371" i="293" s="1"/>
  <c r="L2320" i="293"/>
  <c r="M2320" i="293" s="1"/>
  <c r="L2304" i="293"/>
  <c r="M2304" i="293" s="1"/>
  <c r="L2251" i="293"/>
  <c r="M2251" i="293" s="1"/>
  <c r="L2108" i="293"/>
  <c r="M2108" i="293" s="1"/>
  <c r="L2076" i="293"/>
  <c r="M2076" i="293" s="1"/>
  <c r="L2053" i="293"/>
  <c r="M2053" i="293" s="1"/>
  <c r="L1958" i="293"/>
  <c r="M1958" i="293" s="1"/>
  <c r="L1950" i="293"/>
  <c r="M1950" i="293" s="1"/>
  <c r="L1934" i="293"/>
  <c r="M1934" i="293" s="1"/>
  <c r="L1894" i="293"/>
  <c r="M1894" i="293" s="1"/>
  <c r="L1846" i="293"/>
  <c r="M1846" i="293" s="1"/>
  <c r="L1832" i="293"/>
  <c r="M1832" i="293" s="1"/>
  <c r="L1788" i="293"/>
  <c r="M1788" i="293" s="1"/>
  <c r="L1780" i="293"/>
  <c r="M1780" i="293" s="1"/>
  <c r="L2628" i="293"/>
  <c r="M2628" i="293" s="1"/>
  <c r="L2370" i="293"/>
  <c r="M2370" i="293" s="1"/>
  <c r="L2250" i="293"/>
  <c r="M2250" i="293" s="1"/>
  <c r="L2107" i="293"/>
  <c r="M2107" i="293" s="1"/>
  <c r="L2075" i="293"/>
  <c r="M2075" i="293" s="1"/>
  <c r="L2052" i="293"/>
  <c r="M2052" i="293" s="1"/>
  <c r="L2012" i="293"/>
  <c r="M2012" i="293" s="1"/>
  <c r="L1989" i="293"/>
  <c r="M1989" i="293" s="1"/>
  <c r="L1957" i="293"/>
  <c r="M1957" i="293" s="1"/>
  <c r="L1949" i="293"/>
  <c r="M1949" i="293" s="1"/>
  <c r="L1933" i="293"/>
  <c r="M1933" i="293" s="1"/>
  <c r="L1917" i="293"/>
  <c r="M1917" i="293" s="1"/>
  <c r="L1893" i="293"/>
  <c r="M1893" i="293" s="1"/>
  <c r="L1831" i="293"/>
  <c r="M1831" i="293" s="1"/>
  <c r="L1787" i="293"/>
  <c r="M1787" i="293" s="1"/>
  <c r="L1779" i="293"/>
  <c r="M1779" i="293" s="1"/>
  <c r="L1764" i="293"/>
  <c r="M1764" i="293" s="1"/>
  <c r="L2684" i="293"/>
  <c r="M2684" i="293" s="1"/>
  <c r="L2353" i="293"/>
  <c r="M2353" i="293" s="1"/>
  <c r="L2074" i="293"/>
  <c r="M2074" i="293" s="1"/>
  <c r="L2051" i="293"/>
  <c r="M2051" i="293" s="1"/>
  <c r="L2027" i="293"/>
  <c r="M2027" i="293" s="1"/>
  <c r="L2019" i="293"/>
  <c r="M2019" i="293" s="1"/>
  <c r="L2011" i="293"/>
  <c r="M2011" i="293" s="1"/>
  <c r="L1988" i="293"/>
  <c r="M1988" i="293" s="1"/>
  <c r="L1948" i="293"/>
  <c r="M1948" i="293" s="1"/>
  <c r="L1932" i="293"/>
  <c r="M1932" i="293" s="1"/>
  <c r="L1916" i="293"/>
  <c r="M1916" i="293" s="1"/>
  <c r="L1892" i="293"/>
  <c r="M1892" i="293" s="1"/>
  <c r="L1860" i="293"/>
  <c r="M1860" i="293" s="1"/>
  <c r="L1845" i="293"/>
  <c r="M1845" i="293" s="1"/>
  <c r="L1830" i="293"/>
  <c r="M1830" i="293" s="1"/>
  <c r="L1786" i="293"/>
  <c r="M1786" i="293" s="1"/>
  <c r="L1778" i="293"/>
  <c r="M1778" i="293" s="1"/>
  <c r="L1763" i="293"/>
  <c r="M1763" i="293" s="1"/>
  <c r="L1741" i="293"/>
  <c r="M1741" i="293" s="1"/>
  <c r="L2346" i="293"/>
  <c r="M2346" i="293" s="1"/>
  <c r="L2010" i="293"/>
  <c r="M2010" i="293" s="1"/>
  <c r="L1955" i="293"/>
  <c r="M1955" i="293" s="1"/>
  <c r="L1891" i="293"/>
  <c r="M1891" i="293" s="1"/>
  <c r="L1859" i="293"/>
  <c r="M1859" i="293" s="1"/>
  <c r="L1785" i="293"/>
  <c r="M1785" i="293" s="1"/>
  <c r="L1739" i="293"/>
  <c r="M1739" i="293" s="1"/>
  <c r="L1714" i="293"/>
  <c r="M1714" i="293" s="1"/>
  <c r="L1667" i="293"/>
  <c r="M1667" i="293" s="1"/>
  <c r="L1545" i="293"/>
  <c r="M1545" i="293" s="1"/>
  <c r="L1479" i="293"/>
  <c r="M1479" i="293" s="1"/>
  <c r="L1453" i="293"/>
  <c r="M1453" i="293" s="1"/>
  <c r="L1421" i="293"/>
  <c r="M1421" i="293" s="1"/>
  <c r="L1371" i="293"/>
  <c r="M1371" i="293" s="1"/>
  <c r="L1319" i="293"/>
  <c r="M1319" i="293" s="1"/>
  <c r="L1286" i="293"/>
  <c r="M1286" i="293" s="1"/>
  <c r="L1270" i="293"/>
  <c r="M1270" i="293" s="1"/>
  <c r="L1248" i="293"/>
  <c r="M1248" i="293" s="1"/>
  <c r="L1232" i="293"/>
  <c r="M1232" i="293" s="1"/>
  <c r="L1192" i="293"/>
  <c r="M1192" i="293" s="1"/>
  <c r="L1160" i="293"/>
  <c r="M1160" i="293" s="1"/>
  <c r="L1128" i="293"/>
  <c r="M1128" i="293" s="1"/>
  <c r="L1121" i="293"/>
  <c r="M1121" i="293" s="1"/>
  <c r="L1090" i="293"/>
  <c r="M1090" i="293" s="1"/>
  <c r="L1066" i="293"/>
  <c r="M1066" i="293" s="1"/>
  <c r="L1002" i="293"/>
  <c r="M1002" i="293" s="1"/>
  <c r="L978" i="293"/>
  <c r="M978" i="293" s="1"/>
  <c r="L940" i="293"/>
  <c r="M940" i="293" s="1"/>
  <c r="L885" i="293"/>
  <c r="M885" i="293" s="1"/>
  <c r="L808" i="293"/>
  <c r="M808" i="293" s="1"/>
  <c r="L760" i="293"/>
  <c r="M760" i="293" s="1"/>
  <c r="L739" i="293"/>
  <c r="M739" i="293" s="1"/>
  <c r="L732" i="293"/>
  <c r="M732" i="293" s="1"/>
  <c r="L678" i="293"/>
  <c r="M678" i="293" s="1"/>
  <c r="L590" i="293"/>
  <c r="M590" i="293" s="1"/>
  <c r="L582" i="293"/>
  <c r="M582" i="293" s="1"/>
  <c r="L544" i="293"/>
  <c r="M544" i="293" s="1"/>
  <c r="L490" i="293"/>
  <c r="M490" i="293" s="1"/>
  <c r="L2604" i="293"/>
  <c r="M2604" i="293" s="1"/>
  <c r="L2286" i="293"/>
  <c r="M2286" i="293" s="1"/>
  <c r="L2167" i="293"/>
  <c r="M2167" i="293" s="1"/>
  <c r="L1890" i="293"/>
  <c r="M1890" i="293" s="1"/>
  <c r="L1858" i="293"/>
  <c r="M1858" i="293" s="1"/>
  <c r="L1784" i="293"/>
  <c r="M1784" i="293" s="1"/>
  <c r="L1738" i="293"/>
  <c r="M1738" i="293" s="1"/>
  <c r="L1673" i="293"/>
  <c r="M1673" i="293" s="1"/>
  <c r="L1666" i="293"/>
  <c r="M1666" i="293" s="1"/>
  <c r="L1619" i="293"/>
  <c r="M1619" i="293" s="1"/>
  <c r="L1478" i="293"/>
  <c r="M1478" i="293" s="1"/>
  <c r="L1452" i="293"/>
  <c r="M1452" i="293" s="1"/>
  <c r="L1420" i="293"/>
  <c r="M1420" i="293" s="1"/>
  <c r="L1370" i="293"/>
  <c r="M1370" i="293" s="1"/>
  <c r="L1285" i="293"/>
  <c r="M1285" i="293" s="1"/>
  <c r="L1269" i="293"/>
  <c r="M1269" i="293" s="1"/>
  <c r="L1247" i="293"/>
  <c r="M1247" i="293" s="1"/>
  <c r="L1231" i="293"/>
  <c r="M1231" i="293" s="1"/>
  <c r="L1191" i="293"/>
  <c r="M1191" i="293" s="1"/>
  <c r="L1159" i="293"/>
  <c r="M1159" i="293" s="1"/>
  <c r="L1127" i="293"/>
  <c r="M1127" i="293" s="1"/>
  <c r="L1120" i="293"/>
  <c r="M1120" i="293" s="1"/>
  <c r="L1089" i="293"/>
  <c r="M1089" i="293" s="1"/>
  <c r="L1001" i="293"/>
  <c r="M1001" i="293" s="1"/>
  <c r="L939" i="293"/>
  <c r="M939" i="293" s="1"/>
  <c r="L884" i="293"/>
  <c r="M884" i="293" s="1"/>
  <c r="L853" i="293"/>
  <c r="M853" i="293" s="1"/>
  <c r="L807" i="293"/>
  <c r="M807" i="293" s="1"/>
  <c r="L783" i="293"/>
  <c r="M783" i="293" s="1"/>
  <c r="L685" i="293"/>
  <c r="M685" i="293" s="1"/>
  <c r="L2794" i="293"/>
  <c r="M2794" i="293" s="1"/>
  <c r="L2129" i="293"/>
  <c r="M2129" i="293" s="1"/>
  <c r="L1915" i="293"/>
  <c r="M1915" i="293" s="1"/>
  <c r="L1762" i="293"/>
  <c r="M1762" i="293" s="1"/>
  <c r="L1737" i="293"/>
  <c r="M1737" i="293" s="1"/>
  <c r="L1696" i="293"/>
  <c r="M1696" i="293" s="1"/>
  <c r="L1672" i="293"/>
  <c r="M1672" i="293" s="1"/>
  <c r="L1665" i="293"/>
  <c r="M1665" i="293" s="1"/>
  <c r="L1602" i="293"/>
  <c r="M1602" i="293" s="1"/>
  <c r="L1535" i="293"/>
  <c r="M1535" i="293" s="1"/>
  <c r="L1477" i="293"/>
  <c r="M1477" i="293" s="1"/>
  <c r="L1451" i="293"/>
  <c r="M1451" i="293" s="1"/>
  <c r="L1419" i="293"/>
  <c r="M1419" i="293" s="1"/>
  <c r="L1369" i="293"/>
  <c r="M1369" i="293" s="1"/>
  <c r="L1284" i="293"/>
  <c r="M1284" i="293" s="1"/>
  <c r="L1268" i="293"/>
  <c r="M1268" i="293" s="1"/>
  <c r="L1246" i="293"/>
  <c r="M1246" i="293" s="1"/>
  <c r="L1230" i="293"/>
  <c r="M1230" i="293" s="1"/>
  <c r="L1190" i="293"/>
  <c r="M1190" i="293" s="1"/>
  <c r="L1166" i="293"/>
  <c r="M1166" i="293" s="1"/>
  <c r="L1158" i="293"/>
  <c r="M1158" i="293" s="1"/>
  <c r="L1126" i="293"/>
  <c r="M1126" i="293" s="1"/>
  <c r="L1088" i="293"/>
  <c r="M1088" i="293" s="1"/>
  <c r="L1000" i="293"/>
  <c r="M1000" i="293" s="1"/>
  <c r="L977" i="293"/>
  <c r="M977" i="293" s="1"/>
  <c r="L852" i="293"/>
  <c r="M852" i="293" s="1"/>
  <c r="L782" i="293"/>
  <c r="M782" i="293" s="1"/>
  <c r="L2786" i="293"/>
  <c r="M2786" i="293" s="1"/>
  <c r="L2337" i="293"/>
  <c r="M2337" i="293" s="1"/>
  <c r="L2278" i="293"/>
  <c r="M2278" i="293" s="1"/>
  <c r="L2128" i="293"/>
  <c r="M2128" i="293" s="1"/>
  <c r="L1914" i="293"/>
  <c r="M1914" i="293" s="1"/>
  <c r="L1807" i="293"/>
  <c r="M1807" i="293" s="1"/>
  <c r="L1761" i="293"/>
  <c r="M1761" i="293" s="1"/>
  <c r="L1745" i="293"/>
  <c r="M1745" i="293" s="1"/>
  <c r="L1736" i="293"/>
  <c r="M1736" i="293" s="1"/>
  <c r="L1711" i="293"/>
  <c r="M1711" i="293" s="1"/>
  <c r="L1695" i="293"/>
  <c r="M1695" i="293" s="1"/>
  <c r="L1671" i="293"/>
  <c r="M1671" i="293" s="1"/>
  <c r="L1664" i="293"/>
  <c r="M1664" i="293" s="1"/>
  <c r="L1601" i="293"/>
  <c r="M1601" i="293" s="1"/>
  <c r="L1534" i="293"/>
  <c r="M1534" i="293" s="1"/>
  <c r="L1476" i="293"/>
  <c r="M1476" i="293" s="1"/>
  <c r="L1450" i="293"/>
  <c r="M1450" i="293" s="1"/>
  <c r="L1418" i="293"/>
  <c r="M1418" i="293" s="1"/>
  <c r="L1368" i="293"/>
  <c r="M1368" i="293" s="1"/>
  <c r="L1283" i="293"/>
  <c r="M1283" i="293" s="1"/>
  <c r="L1267" i="293"/>
  <c r="M1267" i="293" s="1"/>
  <c r="L1245" i="293"/>
  <c r="M1245" i="293" s="1"/>
  <c r="L1229" i="293"/>
  <c r="M1229" i="293" s="1"/>
  <c r="L1189" i="293"/>
  <c r="M1189" i="293" s="1"/>
  <c r="L1165" i="293"/>
  <c r="M1165" i="293" s="1"/>
  <c r="L1125" i="293"/>
  <c r="M1125" i="293" s="1"/>
  <c r="L1095" i="293"/>
  <c r="M1095" i="293" s="1"/>
  <c r="L1039" i="293"/>
  <c r="M1039" i="293" s="1"/>
  <c r="L999" i="293"/>
  <c r="M999" i="293" s="1"/>
  <c r="L913" i="293"/>
  <c r="M913" i="293" s="1"/>
  <c r="L883" i="293"/>
  <c r="M883" i="293" s="1"/>
  <c r="L828" i="293"/>
  <c r="M828" i="293" s="1"/>
  <c r="L781" i="293"/>
  <c r="M781" i="293" s="1"/>
  <c r="L713" i="293"/>
  <c r="M713" i="293" s="1"/>
  <c r="L705" i="293"/>
  <c r="M705" i="293" s="1"/>
  <c r="L635" i="293"/>
  <c r="M635" i="293" s="1"/>
  <c r="L619" i="293"/>
  <c r="M619" i="293" s="1"/>
  <c r="L603" i="293"/>
  <c r="M603" i="293" s="1"/>
  <c r="L572" i="293"/>
  <c r="M572" i="293" s="1"/>
  <c r="L564" i="293"/>
  <c r="M564" i="293" s="1"/>
  <c r="L525" i="293"/>
  <c r="M525" i="293" s="1"/>
  <c r="L510" i="293"/>
  <c r="M510" i="293" s="1"/>
  <c r="L2737" i="293"/>
  <c r="M2737" i="293" s="1"/>
  <c r="L1987" i="293"/>
  <c r="M1987" i="293" s="1"/>
  <c r="L1844" i="293"/>
  <c r="M1844" i="293" s="1"/>
  <c r="L1760" i="293"/>
  <c r="M1760" i="293" s="1"/>
  <c r="L1744" i="293"/>
  <c r="M1744" i="293" s="1"/>
  <c r="L1735" i="293"/>
  <c r="M1735" i="293" s="1"/>
  <c r="L1694" i="293"/>
  <c r="M1694" i="293" s="1"/>
  <c r="L1670" i="293"/>
  <c r="M1670" i="293" s="1"/>
  <c r="L1600" i="293"/>
  <c r="M1600" i="293" s="1"/>
  <c r="L1549" i="293"/>
  <c r="M1549" i="293" s="1"/>
  <c r="L1533" i="293"/>
  <c r="M1533" i="293" s="1"/>
  <c r="L1475" i="293"/>
  <c r="M1475" i="293" s="1"/>
  <c r="L1457" i="293"/>
  <c r="M1457" i="293" s="1"/>
  <c r="L1449" i="293"/>
  <c r="M1449" i="293" s="1"/>
  <c r="L1425" i="293"/>
  <c r="M1425" i="293" s="1"/>
  <c r="L1367" i="293"/>
  <c r="M1367" i="293" s="1"/>
  <c r="L1298" i="293"/>
  <c r="M1298" i="293" s="1"/>
  <c r="L1204" i="293"/>
  <c r="M1204" i="293" s="1"/>
  <c r="L1188" i="293"/>
  <c r="M1188" i="293" s="1"/>
  <c r="L1164" i="293"/>
  <c r="M1164" i="293" s="1"/>
  <c r="L1124" i="293"/>
  <c r="M1124" i="293" s="1"/>
  <c r="L1094" i="293"/>
  <c r="M1094" i="293" s="1"/>
  <c r="L1038" i="293"/>
  <c r="M1038" i="293" s="1"/>
  <c r="L912" i="293"/>
  <c r="M912" i="293" s="1"/>
  <c r="L882" i="293"/>
  <c r="M882" i="293" s="1"/>
  <c r="L827" i="293"/>
  <c r="M827" i="293" s="1"/>
  <c r="L780" i="293"/>
  <c r="M780" i="293" s="1"/>
  <c r="L764" i="293"/>
  <c r="M764" i="293" s="1"/>
  <c r="L720" i="293"/>
  <c r="M720" i="293" s="1"/>
  <c r="L704" i="293"/>
  <c r="M704" i="293" s="1"/>
  <c r="L689" i="293"/>
  <c r="M689" i="293" s="1"/>
  <c r="L658" i="293"/>
  <c r="M658" i="293" s="1"/>
  <c r="L634" i="293"/>
  <c r="M634" i="293" s="1"/>
  <c r="L626" i="293"/>
  <c r="M626" i="293" s="1"/>
  <c r="L571" i="293"/>
  <c r="M571" i="293" s="1"/>
  <c r="L563" i="293"/>
  <c r="M563" i="293" s="1"/>
  <c r="L524" i="293"/>
  <c r="M524" i="293" s="1"/>
  <c r="L501" i="293"/>
  <c r="M501" i="293" s="1"/>
  <c r="L494" i="293"/>
  <c r="M494" i="293" s="1"/>
  <c r="L478" i="293"/>
  <c r="M478" i="293" s="1"/>
  <c r="L462" i="293"/>
  <c r="M462" i="293" s="1"/>
  <c r="L1986" i="293"/>
  <c r="M1986" i="293" s="1"/>
  <c r="L1874" i="293"/>
  <c r="M1874" i="293" s="1"/>
  <c r="L1800" i="293"/>
  <c r="M1800" i="293" s="1"/>
  <c r="L1759" i="293"/>
  <c r="M1759" i="293" s="1"/>
  <c r="L1743" i="293"/>
  <c r="M1743" i="293" s="1"/>
  <c r="L1669" i="293"/>
  <c r="M1669" i="293" s="1"/>
  <c r="L1599" i="293"/>
  <c r="M1599" i="293" s="1"/>
  <c r="L1548" i="293"/>
  <c r="M1548" i="293" s="1"/>
  <c r="L1532" i="293"/>
  <c r="M1532" i="293" s="1"/>
  <c r="L1456" i="293"/>
  <c r="M1456" i="293" s="1"/>
  <c r="L1448" i="293"/>
  <c r="M1448" i="293" s="1"/>
  <c r="L1424" i="293"/>
  <c r="M1424" i="293" s="1"/>
  <c r="L1366" i="293"/>
  <c r="M1366" i="293" s="1"/>
  <c r="L1322" i="293"/>
  <c r="M1322" i="293" s="1"/>
  <c r="L1297" i="293"/>
  <c r="M1297" i="293" s="1"/>
  <c r="L1219" i="293"/>
  <c r="M1219" i="293" s="1"/>
  <c r="L1203" i="293"/>
  <c r="M1203" i="293" s="1"/>
  <c r="L1163" i="293"/>
  <c r="M1163" i="293" s="1"/>
  <c r="L1123" i="293"/>
  <c r="M1123" i="293" s="1"/>
  <c r="L1093" i="293"/>
  <c r="M1093" i="293" s="1"/>
  <c r="L1069" i="293"/>
  <c r="M1069" i="293" s="1"/>
  <c r="L1037" i="293"/>
  <c r="M1037" i="293" s="1"/>
  <c r="L763" i="293"/>
  <c r="M763" i="293" s="1"/>
  <c r="L719" i="293"/>
  <c r="M719" i="293" s="1"/>
  <c r="L696" i="293"/>
  <c r="M696" i="293" s="1"/>
  <c r="L657" i="293"/>
  <c r="M657" i="293" s="1"/>
  <c r="L625" i="293"/>
  <c r="M625" i="293" s="1"/>
  <c r="L554" i="293"/>
  <c r="M554" i="293" s="1"/>
  <c r="L523" i="293"/>
  <c r="M523" i="293" s="1"/>
  <c r="L500" i="293"/>
  <c r="M500" i="293" s="1"/>
  <c r="L477" i="293"/>
  <c r="M477" i="293" s="1"/>
  <c r="L461" i="293"/>
  <c r="M461" i="293" s="1"/>
  <c r="L1547" i="293"/>
  <c r="M1547" i="293" s="1"/>
  <c r="L1455" i="293"/>
  <c r="M1455" i="293" s="1"/>
  <c r="L1423" i="293"/>
  <c r="M1423" i="293" s="1"/>
  <c r="L1288" i="293"/>
  <c r="M1288" i="293" s="1"/>
  <c r="L1162" i="293"/>
  <c r="M1162" i="293" s="1"/>
  <c r="L1068" i="293"/>
  <c r="M1068" i="293" s="1"/>
  <c r="L942" i="293"/>
  <c r="M942" i="293" s="1"/>
  <c r="L726" i="293"/>
  <c r="M726" i="293" s="1"/>
  <c r="L591" i="293"/>
  <c r="M591" i="293" s="1"/>
  <c r="L483" i="293"/>
  <c r="M483" i="293" s="1"/>
  <c r="L446" i="293"/>
  <c r="M446" i="293" s="1"/>
  <c r="L414" i="293"/>
  <c r="M414" i="293" s="1"/>
  <c r="L367" i="293"/>
  <c r="M367" i="293" s="1"/>
  <c r="L352" i="293"/>
  <c r="M352" i="293" s="1"/>
  <c r="L329" i="293"/>
  <c r="M329" i="293" s="1"/>
  <c r="L313" i="293"/>
  <c r="M313" i="293" s="1"/>
  <c r="L290" i="293"/>
  <c r="M290" i="293" s="1"/>
  <c r="L275" i="293"/>
  <c r="M275" i="293" s="1"/>
  <c r="L267" i="293"/>
  <c r="M267" i="293" s="1"/>
  <c r="L251" i="293"/>
  <c r="M251" i="293" s="1"/>
  <c r="L476" i="293"/>
  <c r="M476" i="293" s="1"/>
  <c r="L451" i="293"/>
  <c r="M451" i="293" s="1"/>
  <c r="L302" i="293"/>
  <c r="M302" i="293" s="1"/>
  <c r="L254" i="293"/>
  <c r="M254" i="293" s="1"/>
  <c r="L1296" i="293"/>
  <c r="M1296" i="293" s="1"/>
  <c r="L1202" i="293"/>
  <c r="M1202" i="293" s="1"/>
  <c r="L377" i="293"/>
  <c r="M377" i="293" s="1"/>
  <c r="L1295" i="293"/>
  <c r="M1295" i="293" s="1"/>
  <c r="L353" i="293"/>
  <c r="M353" i="293" s="1"/>
  <c r="L314" i="293"/>
  <c r="M314" i="293" s="1"/>
  <c r="L276" i="293"/>
  <c r="M276" i="293" s="1"/>
  <c r="L1962" i="293"/>
  <c r="M1962" i="293" s="1"/>
  <c r="L1546" i="293"/>
  <c r="M1546" i="293" s="1"/>
  <c r="L1488" i="293"/>
  <c r="M1488" i="293" s="1"/>
  <c r="L1454" i="293"/>
  <c r="M1454" i="293" s="1"/>
  <c r="L1422" i="293"/>
  <c r="M1422" i="293" s="1"/>
  <c r="L1287" i="293"/>
  <c r="M1287" i="293" s="1"/>
  <c r="L1193" i="293"/>
  <c r="M1193" i="293" s="1"/>
  <c r="L1161" i="293"/>
  <c r="M1161" i="293" s="1"/>
  <c r="L1067" i="293"/>
  <c r="M1067" i="293" s="1"/>
  <c r="L941" i="293"/>
  <c r="M941" i="293" s="1"/>
  <c r="L725" i="293"/>
  <c r="M725" i="293" s="1"/>
  <c r="L543" i="293"/>
  <c r="M543" i="293" s="1"/>
  <c r="L429" i="293"/>
  <c r="M429" i="293" s="1"/>
  <c r="L397" i="293"/>
  <c r="M397" i="293" s="1"/>
  <c r="L366" i="293"/>
  <c r="M366" i="293" s="1"/>
  <c r="L328" i="293"/>
  <c r="M328" i="293" s="1"/>
  <c r="L289" i="293"/>
  <c r="M289" i="293" s="1"/>
  <c r="L250" i="293"/>
  <c r="M250" i="293" s="1"/>
  <c r="L264" i="293"/>
  <c r="M264" i="293" s="1"/>
  <c r="L238" i="293"/>
  <c r="M238" i="293" s="1"/>
  <c r="L1234" i="293"/>
  <c r="M1234" i="293" s="1"/>
  <c r="L277" i="293"/>
  <c r="M277" i="293" s="1"/>
  <c r="L237" i="293"/>
  <c r="M237" i="293" s="1"/>
  <c r="L368" i="293"/>
  <c r="M368" i="293" s="1"/>
  <c r="L2352" i="293"/>
  <c r="M2352" i="293" s="1"/>
  <c r="L1742" i="293"/>
  <c r="M1742" i="293" s="1"/>
  <c r="L1447" i="293"/>
  <c r="M1447" i="293" s="1"/>
  <c r="L1321" i="293"/>
  <c r="M1321" i="293" s="1"/>
  <c r="L1218" i="293"/>
  <c r="M1218" i="293" s="1"/>
  <c r="L1092" i="293"/>
  <c r="M1092" i="293" s="1"/>
  <c r="L640" i="293"/>
  <c r="M640" i="293" s="1"/>
  <c r="L604" i="293"/>
  <c r="M604" i="293" s="1"/>
  <c r="L511" i="293"/>
  <c r="M511" i="293" s="1"/>
  <c r="L327" i="293"/>
  <c r="M327" i="293" s="1"/>
  <c r="L303" i="293"/>
  <c r="M303" i="293" s="1"/>
  <c r="L288" i="293"/>
  <c r="M288" i="293" s="1"/>
  <c r="L249" i="293"/>
  <c r="M249" i="293" s="1"/>
  <c r="L241" i="293"/>
  <c r="M241" i="293" s="1"/>
  <c r="L553" i="293"/>
  <c r="M553" i="293" s="1"/>
  <c r="L287" i="293"/>
  <c r="M287" i="293" s="1"/>
  <c r="L2018" i="293"/>
  <c r="M2018" i="293" s="1"/>
  <c r="L315" i="293"/>
  <c r="M315" i="293" s="1"/>
  <c r="L1233" i="293"/>
  <c r="M1233" i="293" s="1"/>
  <c r="L761" i="293"/>
  <c r="M761" i="293" s="1"/>
  <c r="L468" i="293"/>
  <c r="M468" i="293" s="1"/>
  <c r="L376" i="293"/>
  <c r="M376" i="293" s="1"/>
  <c r="L2351" i="293"/>
  <c r="M2351" i="293" s="1"/>
  <c r="L1740" i="293"/>
  <c r="M1740" i="293" s="1"/>
  <c r="L1320" i="293"/>
  <c r="M1320" i="293" s="1"/>
  <c r="L1122" i="293"/>
  <c r="M1122" i="293" s="1"/>
  <c r="L1091" i="293"/>
  <c r="M1091" i="293" s="1"/>
  <c r="L809" i="293"/>
  <c r="M809" i="293" s="1"/>
  <c r="L492" i="293"/>
  <c r="M492" i="293" s="1"/>
  <c r="L460" i="293"/>
  <c r="M460" i="293" s="1"/>
  <c r="L443" i="293"/>
  <c r="M443" i="293" s="1"/>
  <c r="L411" i="293"/>
  <c r="M411" i="293" s="1"/>
  <c r="L326" i="293"/>
  <c r="M326" i="293" s="1"/>
  <c r="L262" i="293"/>
  <c r="M262" i="293" s="1"/>
  <c r="L980" i="293"/>
  <c r="M980" i="293" s="1"/>
  <c r="L762" i="293"/>
  <c r="M762" i="293" s="1"/>
  <c r="L979" i="293"/>
  <c r="M979" i="293" s="1"/>
  <c r="L2050" i="293"/>
  <c r="M2050" i="293" s="1"/>
  <c r="L1668" i="293"/>
  <c r="M1668" i="293" s="1"/>
  <c r="L1563" i="293"/>
  <c r="M1563" i="293" s="1"/>
  <c r="L1531" i="293"/>
  <c r="M1531" i="293" s="1"/>
  <c r="L1373" i="293"/>
  <c r="M1373" i="293" s="1"/>
  <c r="L1052" i="293"/>
  <c r="M1052" i="293" s="1"/>
  <c r="L552" i="293"/>
  <c r="M552" i="293" s="1"/>
  <c r="L491" i="293"/>
  <c r="M491" i="293" s="1"/>
  <c r="L442" i="293"/>
  <c r="M442" i="293" s="1"/>
  <c r="L426" i="293"/>
  <c r="M426" i="293" s="1"/>
  <c r="L418" i="293"/>
  <c r="M418" i="293" s="1"/>
  <c r="L410" i="293"/>
  <c r="M410" i="293" s="1"/>
  <c r="L301" i="293"/>
  <c r="M301" i="293" s="1"/>
  <c r="L263" i="293"/>
  <c r="M263" i="293" s="1"/>
  <c r="L394" i="293"/>
  <c r="M394" i="293" s="1"/>
  <c r="L378" i="293"/>
  <c r="M378" i="293" s="1"/>
  <c r="L339" i="293"/>
  <c r="M339" i="293" s="1"/>
  <c r="L1365" i="293"/>
  <c r="M1365" i="293" s="1"/>
  <c r="L612" i="293"/>
  <c r="M612" i="293" s="1"/>
  <c r="L534" i="293"/>
  <c r="M534" i="293" s="1"/>
  <c r="L393" i="293"/>
  <c r="M393" i="293" s="1"/>
  <c r="L338" i="293"/>
  <c r="M338" i="293" s="1"/>
  <c r="L300" i="293"/>
  <c r="M300" i="293" s="1"/>
  <c r="L1866" i="293"/>
  <c r="M1866" i="293" s="1"/>
  <c r="L514" i="293"/>
  <c r="M514" i="293" s="1"/>
  <c r="L392" i="293"/>
  <c r="M392" i="293" s="1"/>
  <c r="L2049" i="293"/>
  <c r="M2049" i="293" s="1"/>
  <c r="L1372" i="293"/>
  <c r="M1372" i="293" s="1"/>
  <c r="L740" i="293"/>
  <c r="M740" i="293" s="1"/>
  <c r="L613" i="293"/>
  <c r="M613" i="293" s="1"/>
  <c r="L504" i="293"/>
  <c r="M504" i="293" s="1"/>
  <c r="L425" i="293"/>
  <c r="M425" i="293" s="1"/>
  <c r="L316" i="293"/>
  <c r="M316" i="293" s="1"/>
  <c r="L1592" i="293"/>
  <c r="M1592" i="293" s="1"/>
  <c r="L1505" i="293"/>
  <c r="M1505" i="293" s="1"/>
  <c r="L5046" i="293"/>
  <c r="M5046" i="293" s="1"/>
  <c r="L5014" i="293"/>
  <c r="M5014" i="293" s="1"/>
  <c r="L4990" i="293"/>
  <c r="M4990" i="293" s="1"/>
  <c r="L4974" i="293"/>
  <c r="M4974" i="293" s="1"/>
  <c r="L4958" i="293"/>
  <c r="M4958" i="293" s="1"/>
  <c r="L4918" i="293"/>
  <c r="M4918" i="293" s="1"/>
  <c r="L4862" i="293"/>
  <c r="M4862" i="293" s="1"/>
  <c r="L4814" i="293"/>
  <c r="M4814" i="293" s="1"/>
  <c r="L4774" i="293"/>
  <c r="M4774" i="293" s="1"/>
  <c r="L4758" i="293"/>
  <c r="M4758" i="293" s="1"/>
  <c r="L4622" i="293"/>
  <c r="M4622" i="293" s="1"/>
  <c r="L4606" i="293"/>
  <c r="M4606" i="293" s="1"/>
  <c r="L1647" i="293"/>
  <c r="M1647" i="293" s="1"/>
  <c r="L4973" i="293"/>
  <c r="M4973" i="293" s="1"/>
  <c r="L4957" i="293"/>
  <c r="M4957" i="293" s="1"/>
  <c r="L4917" i="293"/>
  <c r="M4917" i="293" s="1"/>
  <c r="L4877" i="293"/>
  <c r="M4877" i="293" s="1"/>
  <c r="L4813" i="293"/>
  <c r="M4813" i="293" s="1"/>
  <c r="L4757" i="293"/>
  <c r="M4757" i="293" s="1"/>
  <c r="L4597" i="293"/>
  <c r="M4597" i="293" s="1"/>
  <c r="L1646" i="293"/>
  <c r="M1646" i="293" s="1"/>
  <c r="L1405" i="293"/>
  <c r="M1405" i="293" s="1"/>
  <c r="L1404" i="293"/>
  <c r="M1404" i="293" s="1"/>
  <c r="L1388" i="293"/>
  <c r="M1388" i="293" s="1"/>
  <c r="L1339" i="293"/>
  <c r="M1339" i="293" s="1"/>
  <c r="L5051" i="293"/>
  <c r="M5051" i="293" s="1"/>
  <c r="L4939" i="293"/>
  <c r="M4939" i="293" s="1"/>
  <c r="L4931" i="293"/>
  <c r="M4931" i="293" s="1"/>
  <c r="L4891" i="293"/>
  <c r="M4891" i="293" s="1"/>
  <c r="L4875" i="293"/>
  <c r="M4875" i="293" s="1"/>
  <c r="L4787" i="293"/>
  <c r="M4787" i="293" s="1"/>
  <c r="L4667" i="293"/>
  <c r="M4667" i="293" s="1"/>
  <c r="L4659" i="293"/>
  <c r="M4659" i="293" s="1"/>
  <c r="L2229" i="293"/>
  <c r="M2229" i="293" s="1"/>
  <c r="L1818" i="293"/>
  <c r="M1818" i="293" s="1"/>
  <c r="L1580" i="293"/>
  <c r="M1580" i="293" s="1"/>
  <c r="L1387" i="293"/>
  <c r="M1387" i="293" s="1"/>
  <c r="L5050" i="293"/>
  <c r="M5050" i="293" s="1"/>
  <c r="L5026" i="293"/>
  <c r="M5026" i="293" s="1"/>
  <c r="L4930" i="293"/>
  <c r="M4930" i="293" s="1"/>
  <c r="L4890" i="293"/>
  <c r="M4890" i="293" s="1"/>
  <c r="L4850" i="293"/>
  <c r="M4850" i="293" s="1"/>
  <c r="L4786" i="293"/>
  <c r="M4786" i="293" s="1"/>
  <c r="L4778" i="293"/>
  <c r="M4778" i="293" s="1"/>
  <c r="L4690" i="293"/>
  <c r="M4690" i="293" s="1"/>
  <c r="L2228" i="293"/>
  <c r="M2228" i="293" s="1"/>
  <c r="L1516" i="293"/>
  <c r="M1516" i="293" s="1"/>
  <c r="L1353" i="293"/>
  <c r="M1353" i="293" s="1"/>
  <c r="L5049" i="293"/>
  <c r="M5049" i="293" s="1"/>
  <c r="L4993" i="293"/>
  <c r="M4993" i="293" s="1"/>
  <c r="L4905" i="293"/>
  <c r="M4905" i="293" s="1"/>
  <c r="L4889" i="293"/>
  <c r="M4889" i="293" s="1"/>
  <c r="L4833" i="293"/>
  <c r="M4833" i="293" s="1"/>
  <c r="L4801" i="293"/>
  <c r="M4801" i="293" s="1"/>
  <c r="L4721" i="293"/>
  <c r="M4721" i="293" s="1"/>
  <c r="L4697" i="293"/>
  <c r="M4697" i="293" s="1"/>
  <c r="L4649" i="293"/>
  <c r="M4649" i="293" s="1"/>
  <c r="L1352" i="293"/>
  <c r="M1352" i="293" s="1"/>
  <c r="L5048" i="293"/>
  <c r="M5048" i="293" s="1"/>
  <c r="L5016" i="293"/>
  <c r="M5016" i="293" s="1"/>
  <c r="L4992" i="293"/>
  <c r="M4992" i="293" s="1"/>
  <c r="L4864" i="293"/>
  <c r="M4864" i="293" s="1"/>
  <c r="L4832" i="293"/>
  <c r="M4832" i="293" s="1"/>
  <c r="L4800" i="293"/>
  <c r="M4800" i="293" s="1"/>
  <c r="L4744" i="293"/>
  <c r="M4744" i="293" s="1"/>
  <c r="L4720" i="293"/>
  <c r="M4720" i="293" s="1"/>
  <c r="L4640" i="293"/>
  <c r="M4640" i="293" s="1"/>
  <c r="L1506" i="293"/>
  <c r="M1506" i="293" s="1"/>
  <c r="L4940" i="293"/>
  <c r="M4940" i="293" s="1"/>
  <c r="L4876" i="293"/>
  <c r="M4876" i="293" s="1"/>
  <c r="L4581" i="293"/>
  <c r="M4581" i="293" s="1"/>
  <c r="L4517" i="293"/>
  <c r="M4517" i="293" s="1"/>
  <c r="L4446" i="293"/>
  <c r="M4446" i="293" s="1"/>
  <c r="L4414" i="293"/>
  <c r="M4414" i="293" s="1"/>
  <c r="L4320" i="293"/>
  <c r="M4320" i="293" s="1"/>
  <c r="L4304" i="293"/>
  <c r="M4304" i="293" s="1"/>
  <c r="L4288" i="293"/>
  <c r="M4288" i="293" s="1"/>
  <c r="L4272" i="293"/>
  <c r="M4272" i="293" s="1"/>
  <c r="L4240" i="293"/>
  <c r="M4240" i="293" s="1"/>
  <c r="L4160" i="293"/>
  <c r="M4160" i="293" s="1"/>
  <c r="L4144" i="293"/>
  <c r="M4144" i="293" s="1"/>
  <c r="L4112" i="293"/>
  <c r="M4112" i="293" s="1"/>
  <c r="L4775" i="293"/>
  <c r="M4775" i="293" s="1"/>
  <c r="L4743" i="293"/>
  <c r="M4743" i="293" s="1"/>
  <c r="L4580" i="293"/>
  <c r="M4580" i="293" s="1"/>
  <c r="L4485" i="293"/>
  <c r="M4485" i="293" s="1"/>
  <c r="L4445" i="293"/>
  <c r="M4445" i="293" s="1"/>
  <c r="L4413" i="293"/>
  <c r="M4413" i="293" s="1"/>
  <c r="L4287" i="293"/>
  <c r="M4287" i="293" s="1"/>
  <c r="L4271" i="293"/>
  <c r="M4271" i="293" s="1"/>
  <c r="L4111" i="293"/>
  <c r="M4111" i="293" s="1"/>
  <c r="L4644" i="293"/>
  <c r="M4644" i="293" s="1"/>
  <c r="L4579" i="293"/>
  <c r="M4579" i="293" s="1"/>
  <c r="L4516" i="293"/>
  <c r="M4516" i="293" s="1"/>
  <c r="L4294" i="293"/>
  <c r="M4294" i="293" s="1"/>
  <c r="L4190" i="293"/>
  <c r="M4190" i="293" s="1"/>
  <c r="L4991" i="293"/>
  <c r="M4991" i="293" s="1"/>
  <c r="L4959" i="293"/>
  <c r="M4959" i="293" s="1"/>
  <c r="L4863" i="293"/>
  <c r="M4863" i="293" s="1"/>
  <c r="L4703" i="293"/>
  <c r="M4703" i="293" s="1"/>
  <c r="L4639" i="293"/>
  <c r="M4639" i="293" s="1"/>
  <c r="L4586" i="293"/>
  <c r="M4586" i="293" s="1"/>
  <c r="L4515" i="293"/>
  <c r="M4515" i="293" s="1"/>
  <c r="L4205" i="293"/>
  <c r="M4205" i="293" s="1"/>
  <c r="L4189" i="293"/>
  <c r="M4189" i="293" s="1"/>
  <c r="L4593" i="293"/>
  <c r="M4593" i="293" s="1"/>
  <c r="L4545" i="293"/>
  <c r="M4545" i="293" s="1"/>
  <c r="L4514" i="293"/>
  <c r="M4514" i="293" s="1"/>
  <c r="L4426" i="293"/>
  <c r="M4426" i="293" s="1"/>
  <c r="L4379" i="293"/>
  <c r="M4379" i="293" s="1"/>
  <c r="L4363" i="293"/>
  <c r="M4363" i="293" s="1"/>
  <c r="L4348" i="293"/>
  <c r="M4348" i="293" s="1"/>
  <c r="L4204" i="293"/>
  <c r="M4204" i="293" s="1"/>
  <c r="L4116" i="293"/>
  <c r="M4116" i="293" s="1"/>
  <c r="L1311" i="293"/>
  <c r="M1311" i="293" s="1"/>
  <c r="L5047" i="293"/>
  <c r="M5047" i="293" s="1"/>
  <c r="L5015" i="293"/>
  <c r="M5015" i="293" s="1"/>
  <c r="L4919" i="293"/>
  <c r="M4919" i="293" s="1"/>
  <c r="L4592" i="293"/>
  <c r="M4592" i="293" s="1"/>
  <c r="L4544" i="293"/>
  <c r="M4544" i="293" s="1"/>
  <c r="L4513" i="293"/>
  <c r="M4513" i="293" s="1"/>
  <c r="L4473" i="293"/>
  <c r="M4473" i="293" s="1"/>
  <c r="L4401" i="293"/>
  <c r="M4401" i="293" s="1"/>
  <c r="L4378" i="293"/>
  <c r="M4378" i="293" s="1"/>
  <c r="L4362" i="293"/>
  <c r="M4362" i="293" s="1"/>
  <c r="L4347" i="293"/>
  <c r="M4347" i="293" s="1"/>
  <c r="L4235" i="293"/>
  <c r="M4235" i="293" s="1"/>
  <c r="L4219" i="293"/>
  <c r="M4219" i="293" s="1"/>
  <c r="L4115" i="293"/>
  <c r="M4115" i="293" s="1"/>
  <c r="L4815" i="293"/>
  <c r="M4815" i="293" s="1"/>
  <c r="L4687" i="293"/>
  <c r="M4687" i="293" s="1"/>
  <c r="L4241" i="293"/>
  <c r="M4241" i="293" s="1"/>
  <c r="L4177" i="293"/>
  <c r="M4177" i="293" s="1"/>
  <c r="L4145" i="293"/>
  <c r="M4145" i="293" s="1"/>
  <c r="L4113" i="293"/>
  <c r="M4113" i="293" s="1"/>
  <c r="L4085" i="293"/>
  <c r="M4085" i="293" s="1"/>
  <c r="L4065" i="293"/>
  <c r="M4065" i="293" s="1"/>
  <c r="L4033" i="293"/>
  <c r="M4033" i="293" s="1"/>
  <c r="L3977" i="293"/>
  <c r="M3977" i="293" s="1"/>
  <c r="L3938" i="293"/>
  <c r="M3938" i="293" s="1"/>
  <c r="L3922" i="293"/>
  <c r="M3922" i="293" s="1"/>
  <c r="L3803" i="293"/>
  <c r="M3803" i="293" s="1"/>
  <c r="L3724" i="293"/>
  <c r="M3724" i="293" s="1"/>
  <c r="L3645" i="293"/>
  <c r="M3645" i="293" s="1"/>
  <c r="L3622" i="293"/>
  <c r="M3622" i="293" s="1"/>
  <c r="L3599" i="293"/>
  <c r="M3599" i="293" s="1"/>
  <c r="L3584" i="293"/>
  <c r="M3584" i="293" s="1"/>
  <c r="L4660" i="293"/>
  <c r="M4660" i="293" s="1"/>
  <c r="L4234" i="293"/>
  <c r="M4234" i="293" s="1"/>
  <c r="L3921" i="293"/>
  <c r="M3921" i="293" s="1"/>
  <c r="L3794" i="293"/>
  <c r="M3794" i="293" s="1"/>
  <c r="L3786" i="293"/>
  <c r="M3786" i="293" s="1"/>
  <c r="L3723" i="293"/>
  <c r="M3723" i="293" s="1"/>
  <c r="L3644" i="293"/>
  <c r="M3644" i="293" s="1"/>
  <c r="L3583" i="293"/>
  <c r="M3583" i="293" s="1"/>
  <c r="L3999" i="293"/>
  <c r="M3999" i="293" s="1"/>
  <c r="L3952" i="293"/>
  <c r="M3952" i="293" s="1"/>
  <c r="L3920" i="293"/>
  <c r="M3920" i="293" s="1"/>
  <c r="L3889" i="293"/>
  <c r="M3889" i="293" s="1"/>
  <c r="L3865" i="293"/>
  <c r="M3865" i="293" s="1"/>
  <c r="L3785" i="293"/>
  <c r="M3785" i="293" s="1"/>
  <c r="L3714" i="293"/>
  <c r="M3714" i="293" s="1"/>
  <c r="L3666" i="293"/>
  <c r="M3666" i="293" s="1"/>
  <c r="L4543" i="293"/>
  <c r="M4543" i="293" s="1"/>
  <c r="L4448" i="293"/>
  <c r="M4448" i="293" s="1"/>
  <c r="L4258" i="293"/>
  <c r="M4258" i="293" s="1"/>
  <c r="L3888" i="293"/>
  <c r="M3888" i="293" s="1"/>
  <c r="L3872" i="293"/>
  <c r="M3872" i="293" s="1"/>
  <c r="L3784" i="293"/>
  <c r="M3784" i="293" s="1"/>
  <c r="L3768" i="293"/>
  <c r="M3768" i="293" s="1"/>
  <c r="L3760" i="293"/>
  <c r="M3760" i="293" s="1"/>
  <c r="L3612" i="293"/>
  <c r="M3612" i="293" s="1"/>
  <c r="L4623" i="293"/>
  <c r="M4623" i="293" s="1"/>
  <c r="L4447" i="293"/>
  <c r="M4447" i="293" s="1"/>
  <c r="L4321" i="293"/>
  <c r="M4321" i="293" s="1"/>
  <c r="L4257" i="293"/>
  <c r="M4257" i="293" s="1"/>
  <c r="L4161" i="293"/>
  <c r="M4161" i="293" s="1"/>
  <c r="L3894" i="293"/>
  <c r="M3894" i="293" s="1"/>
  <c r="L3815" i="293"/>
  <c r="M3815" i="293" s="1"/>
  <c r="L3752" i="293"/>
  <c r="M3752" i="293" s="1"/>
  <c r="L3736" i="293"/>
  <c r="M3736" i="293" s="1"/>
  <c r="L3696" i="293"/>
  <c r="M3696" i="293" s="1"/>
  <c r="L3611" i="293"/>
  <c r="M3611" i="293" s="1"/>
  <c r="L4472" i="293"/>
  <c r="M4472" i="293" s="1"/>
  <c r="L4218" i="293"/>
  <c r="M4218" i="293" s="1"/>
  <c r="L4036" i="293"/>
  <c r="M4036" i="293" s="1"/>
  <c r="L4012" i="293"/>
  <c r="M4012" i="293" s="1"/>
  <c r="L3854" i="293"/>
  <c r="M3854" i="293" s="1"/>
  <c r="L3838" i="293"/>
  <c r="M3838" i="293" s="1"/>
  <c r="L3814" i="293"/>
  <c r="M3814" i="293" s="1"/>
  <c r="L3806" i="293"/>
  <c r="M3806" i="293" s="1"/>
  <c r="L3751" i="293"/>
  <c r="M3751" i="293" s="1"/>
  <c r="L3695" i="293"/>
  <c r="M3695" i="293" s="1"/>
  <c r="L3625" i="293"/>
  <c r="M3625" i="293" s="1"/>
  <c r="L3610" i="293"/>
  <c r="M3610" i="293" s="1"/>
  <c r="L4471" i="293"/>
  <c r="M4471" i="293" s="1"/>
  <c r="L4035" i="293"/>
  <c r="M4035" i="293" s="1"/>
  <c r="L3979" i="293"/>
  <c r="M3979" i="293" s="1"/>
  <c r="L3908" i="293"/>
  <c r="M3908" i="293" s="1"/>
  <c r="L3900" i="293"/>
  <c r="M3900" i="293" s="1"/>
  <c r="L3853" i="293"/>
  <c r="M3853" i="293" s="1"/>
  <c r="L3829" i="293"/>
  <c r="M3829" i="293" s="1"/>
  <c r="L3750" i="293"/>
  <c r="M3750" i="293" s="1"/>
  <c r="L3694" i="293"/>
  <c r="M3694" i="293" s="1"/>
  <c r="L3534" i="293"/>
  <c r="M3534" i="293" s="1"/>
  <c r="L3392" i="293"/>
  <c r="M3392" i="293" s="1"/>
  <c r="L3297" i="293"/>
  <c r="M3297" i="293" s="1"/>
  <c r="L3289" i="293"/>
  <c r="M3289" i="293" s="1"/>
  <c r="L3243" i="293"/>
  <c r="M3243" i="293" s="1"/>
  <c r="L3219" i="293"/>
  <c r="M3219" i="293" s="1"/>
  <c r="L3158" i="293"/>
  <c r="M3158" i="293" s="1"/>
  <c r="L3127" i="293"/>
  <c r="M3127" i="293" s="1"/>
  <c r="L3023" i="293"/>
  <c r="M3023" i="293" s="1"/>
  <c r="L3677" i="293"/>
  <c r="M3677" i="293" s="1"/>
  <c r="L3582" i="293"/>
  <c r="M3582" i="293" s="1"/>
  <c r="L3487" i="293"/>
  <c r="M3487" i="293" s="1"/>
  <c r="L3479" i="293"/>
  <c r="M3479" i="293" s="1"/>
  <c r="L3423" i="293"/>
  <c r="M3423" i="293" s="1"/>
  <c r="L3391" i="293"/>
  <c r="M3391" i="293" s="1"/>
  <c r="L3359" i="293"/>
  <c r="M3359" i="293" s="1"/>
  <c r="L3351" i="293"/>
  <c r="M3351" i="293" s="1"/>
  <c r="L3343" i="293"/>
  <c r="M3343" i="293" s="1"/>
  <c r="L3319" i="293"/>
  <c r="M3319" i="293" s="1"/>
  <c r="L3296" i="293"/>
  <c r="M3296" i="293" s="1"/>
  <c r="L3218" i="293"/>
  <c r="M3218" i="293" s="1"/>
  <c r="L3211" i="293"/>
  <c r="M3211" i="293" s="1"/>
  <c r="L3203" i="293"/>
  <c r="M3203" i="293" s="1"/>
  <c r="L3142" i="293"/>
  <c r="M3142" i="293" s="1"/>
  <c r="L3078" i="293"/>
  <c r="M3078" i="293" s="1"/>
  <c r="L3022" i="293"/>
  <c r="M3022" i="293" s="1"/>
  <c r="L3007" i="293"/>
  <c r="M3007" i="293" s="1"/>
  <c r="L3923" i="293"/>
  <c r="M3923" i="293" s="1"/>
  <c r="L3478" i="293"/>
  <c r="M3478" i="293" s="1"/>
  <c r="L3422" i="293"/>
  <c r="M3422" i="293" s="1"/>
  <c r="L3406" i="293"/>
  <c r="M3406" i="293" s="1"/>
  <c r="L3366" i="293"/>
  <c r="M3366" i="293" s="1"/>
  <c r="L3318" i="293"/>
  <c r="M3318" i="293" s="1"/>
  <c r="L3288" i="293"/>
  <c r="M3288" i="293" s="1"/>
  <c r="L3249" i="293"/>
  <c r="M3249" i="293" s="1"/>
  <c r="L3202" i="293"/>
  <c r="M3202" i="293" s="1"/>
  <c r="L3141" i="293"/>
  <c r="M3141" i="293" s="1"/>
  <c r="L3053" i="293"/>
  <c r="M3053" i="293" s="1"/>
  <c r="L4948" i="293"/>
  <c r="M4948" i="293" s="1"/>
  <c r="L4178" i="293"/>
  <c r="M4178" i="293" s="1"/>
  <c r="L3978" i="293"/>
  <c r="M3978" i="293" s="1"/>
  <c r="L3852" i="293"/>
  <c r="M3852" i="293" s="1"/>
  <c r="L3600" i="293"/>
  <c r="M3600" i="293" s="1"/>
  <c r="L3523" i="293"/>
  <c r="M3523" i="293" s="1"/>
  <c r="L3461" i="293"/>
  <c r="M3461" i="293" s="1"/>
  <c r="L3445" i="293"/>
  <c r="M3445" i="293" s="1"/>
  <c r="L3421" i="293"/>
  <c r="M3421" i="293" s="1"/>
  <c r="L3287" i="293"/>
  <c r="M3287" i="293" s="1"/>
  <c r="L3248" i="293"/>
  <c r="M3248" i="293" s="1"/>
  <c r="L3179" i="293"/>
  <c r="M3179" i="293" s="1"/>
  <c r="L3140" i="293"/>
  <c r="M3140" i="293" s="1"/>
  <c r="L3132" i="293"/>
  <c r="M3132" i="293" s="1"/>
  <c r="L3076" i="293"/>
  <c r="M3076" i="293" s="1"/>
  <c r="L3052" i="293"/>
  <c r="M3052" i="293" s="1"/>
  <c r="L3036" i="293"/>
  <c r="M3036" i="293" s="1"/>
  <c r="L3012" i="293"/>
  <c r="M3012" i="293" s="1"/>
  <c r="L4400" i="293"/>
  <c r="M4400" i="293" s="1"/>
  <c r="L4034" i="293"/>
  <c r="M4034" i="293" s="1"/>
  <c r="L3561" i="293"/>
  <c r="M3561" i="293" s="1"/>
  <c r="L3522" i="293"/>
  <c r="M3522" i="293" s="1"/>
  <c r="L3460" i="293"/>
  <c r="M3460" i="293" s="1"/>
  <c r="L3420" i="293"/>
  <c r="M3420" i="293" s="1"/>
  <c r="L3372" i="293"/>
  <c r="M3372" i="293" s="1"/>
  <c r="L3231" i="293"/>
  <c r="M3231" i="293" s="1"/>
  <c r="L3178" i="293"/>
  <c r="M3178" i="293" s="1"/>
  <c r="L3162" i="293"/>
  <c r="M3162" i="293" s="1"/>
  <c r="L3115" i="293"/>
  <c r="M3115" i="293" s="1"/>
  <c r="L3107" i="293"/>
  <c r="M3107" i="293" s="1"/>
  <c r="L3091" i="293"/>
  <c r="M3091" i="293" s="1"/>
  <c r="L3035" i="293"/>
  <c r="M3035" i="293" s="1"/>
  <c r="L3004" i="293"/>
  <c r="M3004" i="293" s="1"/>
  <c r="L4114" i="293"/>
  <c r="M4114" i="293" s="1"/>
  <c r="L3963" i="293"/>
  <c r="M3963" i="293" s="1"/>
  <c r="L3772" i="293"/>
  <c r="M3772" i="293" s="1"/>
  <c r="L3646" i="293"/>
  <c r="M3646" i="293" s="1"/>
  <c r="L3435" i="293"/>
  <c r="M3435" i="293" s="1"/>
  <c r="L3331" i="293"/>
  <c r="M3331" i="293" s="1"/>
  <c r="L3300" i="293"/>
  <c r="M3300" i="293" s="1"/>
  <c r="L3269" i="293"/>
  <c r="M3269" i="293" s="1"/>
  <c r="L3230" i="293"/>
  <c r="M3230" i="293" s="1"/>
  <c r="L3222" i="293"/>
  <c r="M3222" i="293" s="1"/>
  <c r="L4591" i="293"/>
  <c r="M4591" i="293" s="1"/>
  <c r="L3828" i="293"/>
  <c r="M3828" i="293" s="1"/>
  <c r="L3543" i="293"/>
  <c r="M3543" i="293" s="1"/>
  <c r="L3505" i="293"/>
  <c r="M3505" i="293" s="1"/>
  <c r="L3490" i="293"/>
  <c r="M3490" i="293" s="1"/>
  <c r="L3442" i="293"/>
  <c r="M3442" i="293" s="1"/>
  <c r="L3434" i="293"/>
  <c r="M3434" i="293" s="1"/>
  <c r="L3386" i="293"/>
  <c r="M3386" i="293" s="1"/>
  <c r="L3362" i="293"/>
  <c r="M3362" i="293" s="1"/>
  <c r="L3338" i="293"/>
  <c r="M3338" i="293" s="1"/>
  <c r="L3268" i="293"/>
  <c r="M3268" i="293" s="1"/>
  <c r="L3192" i="293"/>
  <c r="M3192" i="293" s="1"/>
  <c r="L3129" i="293"/>
  <c r="M3129" i="293" s="1"/>
  <c r="L3121" i="293"/>
  <c r="M3121" i="293" s="1"/>
  <c r="L3820" i="293"/>
  <c r="M3820" i="293" s="1"/>
  <c r="L2990" i="293"/>
  <c r="M2990" i="293" s="1"/>
  <c r="L2981" i="293"/>
  <c r="M2981" i="293" s="1"/>
  <c r="L2941" i="293"/>
  <c r="M2941" i="293" s="1"/>
  <c r="L2925" i="293"/>
  <c r="M2925" i="293" s="1"/>
  <c r="L2893" i="293"/>
  <c r="M2893" i="293" s="1"/>
  <c r="L2855" i="293"/>
  <c r="M2855" i="293" s="1"/>
  <c r="L2840" i="293"/>
  <c r="M2840" i="293" s="1"/>
  <c r="L2714" i="293"/>
  <c r="M2714" i="293" s="1"/>
  <c r="L2635" i="293"/>
  <c r="M2635" i="293" s="1"/>
  <c r="L2595" i="293"/>
  <c r="M2595" i="293" s="1"/>
  <c r="L2580" i="293"/>
  <c r="M2580" i="293" s="1"/>
  <c r="L2462" i="293"/>
  <c r="M2462" i="293" s="1"/>
  <c r="L2870" i="293"/>
  <c r="M2870" i="293" s="1"/>
  <c r="L2824" i="293"/>
  <c r="M2824" i="293" s="1"/>
  <c r="L2777" i="293"/>
  <c r="M2777" i="293" s="1"/>
  <c r="L2771" i="293"/>
  <c r="M2771" i="293" s="1"/>
  <c r="L2727" i="293"/>
  <c r="M2727" i="293" s="1"/>
  <c r="L2666" i="293"/>
  <c r="M2666" i="293" s="1"/>
  <c r="L2618" i="293"/>
  <c r="M2618" i="293" s="1"/>
  <c r="L2610" i="293"/>
  <c r="M2610" i="293" s="1"/>
  <c r="L2594" i="293"/>
  <c r="M2594" i="293" s="1"/>
  <c r="L2563" i="293"/>
  <c r="M2563" i="293" s="1"/>
  <c r="L2555" i="293"/>
  <c r="M2555" i="293" s="1"/>
  <c r="L2508" i="293"/>
  <c r="M2508" i="293" s="1"/>
  <c r="L2492" i="293"/>
  <c r="M2492" i="293" s="1"/>
  <c r="L2485" i="293"/>
  <c r="M2485" i="293" s="1"/>
  <c r="L2453" i="293"/>
  <c r="M2453" i="293" s="1"/>
  <c r="L3693" i="293"/>
  <c r="M3693" i="293" s="1"/>
  <c r="L3159" i="293"/>
  <c r="M3159" i="293" s="1"/>
  <c r="L3096" i="293"/>
  <c r="M3096" i="293" s="1"/>
  <c r="L2971" i="293"/>
  <c r="M2971" i="293" s="1"/>
  <c r="L2830" i="293"/>
  <c r="M2830" i="293" s="1"/>
  <c r="L2823" i="293"/>
  <c r="M2823" i="293" s="1"/>
  <c r="L2815" i="293"/>
  <c r="M2815" i="293" s="1"/>
  <c r="L2799" i="293"/>
  <c r="M2799" i="293" s="1"/>
  <c r="L2734" i="293"/>
  <c r="M2734" i="293" s="1"/>
  <c r="L2726" i="293"/>
  <c r="M2726" i="293" s="1"/>
  <c r="L2673" i="293"/>
  <c r="M2673" i="293" s="1"/>
  <c r="L2649" i="293"/>
  <c r="M2649" i="293" s="1"/>
  <c r="L2617" i="293"/>
  <c r="M2617" i="293" s="1"/>
  <c r="L2562" i="293"/>
  <c r="M2562" i="293" s="1"/>
  <c r="L2507" i="293"/>
  <c r="M2507" i="293" s="1"/>
  <c r="L3337" i="293"/>
  <c r="M3337" i="293" s="1"/>
  <c r="L3152" i="293"/>
  <c r="M3152" i="293" s="1"/>
  <c r="L3024" i="293"/>
  <c r="M3024" i="293" s="1"/>
  <c r="L2970" i="293"/>
  <c r="M2970" i="293" s="1"/>
  <c r="L2954" i="293"/>
  <c r="M2954" i="293" s="1"/>
  <c r="L2860" i="293"/>
  <c r="M2860" i="293" s="1"/>
  <c r="L2814" i="293"/>
  <c r="M2814" i="293" s="1"/>
  <c r="L2790" i="293"/>
  <c r="M2790" i="293" s="1"/>
  <c r="L2761" i="293"/>
  <c r="M2761" i="293" s="1"/>
  <c r="L2747" i="293"/>
  <c r="M2747" i="293" s="1"/>
  <c r="L2741" i="293"/>
  <c r="M2741" i="293" s="1"/>
  <c r="L2718" i="293"/>
  <c r="M2718" i="293" s="1"/>
  <c r="L2672" i="293"/>
  <c r="M2672" i="293" s="1"/>
  <c r="L2632" i="293"/>
  <c r="M2632" i="293" s="1"/>
  <c r="L2585" i="293"/>
  <c r="M2585" i="293" s="1"/>
  <c r="L2538" i="293"/>
  <c r="M2538" i="293" s="1"/>
  <c r="L2506" i="293"/>
  <c r="M2506" i="293" s="1"/>
  <c r="L3267" i="293"/>
  <c r="M3267" i="293" s="1"/>
  <c r="L2969" i="293"/>
  <c r="M2969" i="293" s="1"/>
  <c r="L2953" i="293"/>
  <c r="M2953" i="293" s="1"/>
  <c r="L2921" i="293"/>
  <c r="M2921" i="293" s="1"/>
  <c r="L2913" i="293"/>
  <c r="M2913" i="293" s="1"/>
  <c r="L2844" i="293"/>
  <c r="M2844" i="293" s="1"/>
  <c r="L2836" i="293"/>
  <c r="M2836" i="293" s="1"/>
  <c r="L2760" i="293"/>
  <c r="M2760" i="293" s="1"/>
  <c r="L2752" i="293"/>
  <c r="M2752" i="293" s="1"/>
  <c r="L2679" i="293"/>
  <c r="M2679" i="293" s="1"/>
  <c r="L2631" i="293"/>
  <c r="M2631" i="293" s="1"/>
  <c r="L2623" i="293"/>
  <c r="M2623" i="293" s="1"/>
  <c r="L2607" i="293"/>
  <c r="M2607" i="293" s="1"/>
  <c r="L2568" i="293"/>
  <c r="M2568" i="293" s="1"/>
  <c r="L2552" i="293"/>
  <c r="M2552" i="293" s="1"/>
  <c r="L2544" i="293"/>
  <c r="M2544" i="293" s="1"/>
  <c r="L2537" i="293"/>
  <c r="M2537" i="293" s="1"/>
  <c r="L2521" i="293"/>
  <c r="M2521" i="293" s="1"/>
  <c r="L2513" i="293"/>
  <c r="M2513" i="293" s="1"/>
  <c r="L2490" i="293"/>
  <c r="M2490" i="293" s="1"/>
  <c r="L3385" i="293"/>
  <c r="M3385" i="293" s="1"/>
  <c r="L2904" i="293"/>
  <c r="M2904" i="293" s="1"/>
  <c r="L2827" i="293"/>
  <c r="M2827" i="293" s="1"/>
  <c r="L2767" i="293"/>
  <c r="M2767" i="293" s="1"/>
  <c r="L2701" i="293"/>
  <c r="M2701" i="293" s="1"/>
  <c r="L2686" i="293"/>
  <c r="M2686" i="293" s="1"/>
  <c r="L2606" i="293"/>
  <c r="M2606" i="293" s="1"/>
  <c r="L2551" i="293"/>
  <c r="M2551" i="293" s="1"/>
  <c r="L2512" i="293"/>
  <c r="M2512" i="293" s="1"/>
  <c r="L2489" i="293"/>
  <c r="M2489" i="293" s="1"/>
  <c r="L2473" i="293"/>
  <c r="M2473" i="293" s="1"/>
  <c r="L3504" i="293"/>
  <c r="M3504" i="293" s="1"/>
  <c r="L3252" i="293"/>
  <c r="M3252" i="293" s="1"/>
  <c r="L3128" i="293"/>
  <c r="M3128" i="293" s="1"/>
  <c r="L3064" i="293"/>
  <c r="M3064" i="293" s="1"/>
  <c r="L2935" i="293"/>
  <c r="M2935" i="293" s="1"/>
  <c r="L2903" i="293"/>
  <c r="M2903" i="293" s="1"/>
  <c r="L2887" i="293"/>
  <c r="M2887" i="293" s="1"/>
  <c r="L2880" i="293"/>
  <c r="M2880" i="293" s="1"/>
  <c r="L2787" i="293"/>
  <c r="M2787" i="293" s="1"/>
  <c r="L2738" i="293"/>
  <c r="M2738" i="293" s="1"/>
  <c r="L2708" i="293"/>
  <c r="M2708" i="293" s="1"/>
  <c r="L2661" i="293"/>
  <c r="M2661" i="293" s="1"/>
  <c r="L2472" i="293"/>
  <c r="M2472" i="293" s="1"/>
  <c r="L2440" i="293"/>
  <c r="M2440" i="293" s="1"/>
  <c r="L2254" i="293"/>
  <c r="M2254" i="293" s="1"/>
  <c r="L2111" i="293"/>
  <c r="M2111" i="293" s="1"/>
  <c r="L2056" i="293"/>
  <c r="M2056" i="293" s="1"/>
  <c r="L1937" i="293"/>
  <c r="M1937" i="293" s="1"/>
  <c r="L1849" i="293"/>
  <c r="M1849" i="293" s="1"/>
  <c r="L1835" i="293"/>
  <c r="M1835" i="293" s="1"/>
  <c r="L1791" i="293"/>
  <c r="M1791" i="293" s="1"/>
  <c r="L2652" i="293"/>
  <c r="M2652" i="293" s="1"/>
  <c r="L2526" i="293"/>
  <c r="M2526" i="293" s="1"/>
  <c r="L2424" i="293"/>
  <c r="M2424" i="293" s="1"/>
  <c r="L2110" i="293"/>
  <c r="M2110" i="293" s="1"/>
  <c r="L1952" i="293"/>
  <c r="M1952" i="293" s="1"/>
  <c r="L1920" i="293"/>
  <c r="M1920" i="293" s="1"/>
  <c r="L1848" i="293"/>
  <c r="M1848" i="293" s="1"/>
  <c r="L1834" i="293"/>
  <c r="M1834" i="293" s="1"/>
  <c r="L1790" i="293"/>
  <c r="M1790" i="293" s="1"/>
  <c r="L2950" i="293"/>
  <c r="M2950" i="293" s="1"/>
  <c r="L2644" i="293"/>
  <c r="M2644" i="293" s="1"/>
  <c r="L2581" i="293"/>
  <c r="M2581" i="293" s="1"/>
  <c r="L2014" i="293"/>
  <c r="M2014" i="293" s="1"/>
  <c r="L1991" i="293"/>
  <c r="M1991" i="293" s="1"/>
  <c r="L1951" i="293"/>
  <c r="M1951" i="293" s="1"/>
  <c r="L1919" i="293"/>
  <c r="M1919" i="293" s="1"/>
  <c r="L1789" i="293"/>
  <c r="M1789" i="293" s="1"/>
  <c r="L3056" i="293"/>
  <c r="M3056" i="293" s="1"/>
  <c r="L2879" i="293"/>
  <c r="M2879" i="293" s="1"/>
  <c r="L2700" i="293"/>
  <c r="M2700" i="293" s="1"/>
  <c r="L2355" i="293"/>
  <c r="M2355" i="293" s="1"/>
  <c r="L2013" i="293"/>
  <c r="M2013" i="293" s="1"/>
  <c r="L1990" i="293"/>
  <c r="M1990" i="293" s="1"/>
  <c r="L1966" i="293"/>
  <c r="M1966" i="293" s="1"/>
  <c r="L1918" i="293"/>
  <c r="M1918" i="293" s="1"/>
  <c r="L2692" i="293"/>
  <c r="M2692" i="293" s="1"/>
  <c r="L2439" i="293"/>
  <c r="M2439" i="293" s="1"/>
  <c r="L2354" i="293"/>
  <c r="M2354" i="293" s="1"/>
  <c r="L2288" i="293"/>
  <c r="M2288" i="293" s="1"/>
  <c r="L2131" i="293"/>
  <c r="M2131" i="293" s="1"/>
  <c r="L1965" i="293"/>
  <c r="M1965" i="293" s="1"/>
  <c r="L1861" i="293"/>
  <c r="M1861" i="293" s="1"/>
  <c r="L1802" i="293"/>
  <c r="M1802" i="293" s="1"/>
  <c r="L3433" i="293"/>
  <c r="M3433" i="293" s="1"/>
  <c r="L2991" i="293"/>
  <c r="M2991" i="293" s="1"/>
  <c r="L2802" i="293"/>
  <c r="M2802" i="293" s="1"/>
  <c r="L2494" i="293"/>
  <c r="M2494" i="293" s="1"/>
  <c r="L2130" i="293"/>
  <c r="M2130" i="293" s="1"/>
  <c r="L2082" i="293"/>
  <c r="M2082" i="293" s="1"/>
  <c r="L2058" i="293"/>
  <c r="M2058" i="293" s="1"/>
  <c r="L1964" i="293"/>
  <c r="M1964" i="293" s="1"/>
  <c r="L1956" i="293"/>
  <c r="M1956" i="293" s="1"/>
  <c r="L1900" i="293"/>
  <c r="M1900" i="293" s="1"/>
  <c r="L1801" i="293"/>
  <c r="M1801" i="293" s="1"/>
  <c r="L2287" i="293"/>
  <c r="M2287" i="293" s="1"/>
  <c r="L1766" i="293"/>
  <c r="M1766" i="293" s="1"/>
  <c r="L1748" i="293"/>
  <c r="M1748" i="293" s="1"/>
  <c r="L1698" i="293"/>
  <c r="M1698" i="293" s="1"/>
  <c r="L1674" i="293"/>
  <c r="M1674" i="293" s="1"/>
  <c r="L1620" i="293"/>
  <c r="M1620" i="293" s="1"/>
  <c r="L1604" i="293"/>
  <c r="M1604" i="293" s="1"/>
  <c r="L1537" i="293"/>
  <c r="M1537" i="293" s="1"/>
  <c r="L1461" i="293"/>
  <c r="M1461" i="293" s="1"/>
  <c r="L1429" i="293"/>
  <c r="M1429" i="293" s="1"/>
  <c r="L1302" i="293"/>
  <c r="M1302" i="293" s="1"/>
  <c r="L1208" i="293"/>
  <c r="M1208" i="293" s="1"/>
  <c r="L1168" i="293"/>
  <c r="M1168" i="293" s="1"/>
  <c r="L1106" i="293"/>
  <c r="M1106" i="293" s="1"/>
  <c r="L1098" i="293"/>
  <c r="M1098" i="293" s="1"/>
  <c r="L1042" i="293"/>
  <c r="M1042" i="293" s="1"/>
  <c r="L924" i="293"/>
  <c r="M924" i="293" s="1"/>
  <c r="L916" i="293"/>
  <c r="M916" i="293" s="1"/>
  <c r="L854" i="293"/>
  <c r="M854" i="293" s="1"/>
  <c r="L784" i="293"/>
  <c r="M784" i="293" s="1"/>
  <c r="L670" i="293"/>
  <c r="M670" i="293" s="1"/>
  <c r="L614" i="293"/>
  <c r="M614" i="293" s="1"/>
  <c r="L606" i="293"/>
  <c r="M606" i="293" s="1"/>
  <c r="L536" i="293"/>
  <c r="M536" i="293" s="1"/>
  <c r="L512" i="293"/>
  <c r="M512" i="293" s="1"/>
  <c r="L2848" i="293"/>
  <c r="M2848" i="293" s="1"/>
  <c r="L2414" i="293"/>
  <c r="M2414" i="293" s="1"/>
  <c r="L1765" i="293"/>
  <c r="M1765" i="293" s="1"/>
  <c r="L1747" i="293"/>
  <c r="M1747" i="293" s="1"/>
  <c r="L1697" i="293"/>
  <c r="M1697" i="293" s="1"/>
  <c r="L1603" i="293"/>
  <c r="M1603" i="293" s="1"/>
  <c r="L1552" i="293"/>
  <c r="M1552" i="293" s="1"/>
  <c r="L1536" i="293"/>
  <c r="M1536" i="293" s="1"/>
  <c r="L1460" i="293"/>
  <c r="M1460" i="293" s="1"/>
  <c r="L1428" i="293"/>
  <c r="M1428" i="293" s="1"/>
  <c r="L1301" i="293"/>
  <c r="M1301" i="293" s="1"/>
  <c r="L1207" i="293"/>
  <c r="M1207" i="293" s="1"/>
  <c r="L1167" i="293"/>
  <c r="M1167" i="293" s="1"/>
  <c r="L1097" i="293"/>
  <c r="M1097" i="293" s="1"/>
  <c r="L1073" i="293"/>
  <c r="M1073" i="293" s="1"/>
  <c r="L1041" i="293"/>
  <c r="M1041" i="293" s="1"/>
  <c r="L915" i="293"/>
  <c r="M915" i="293" s="1"/>
  <c r="L830" i="293"/>
  <c r="M830" i="293" s="1"/>
  <c r="L715" i="293"/>
  <c r="M715" i="293" s="1"/>
  <c r="L2160" i="293"/>
  <c r="M2160" i="293" s="1"/>
  <c r="L2034" i="293"/>
  <c r="M2034" i="293" s="1"/>
  <c r="L1746" i="293"/>
  <c r="M1746" i="293" s="1"/>
  <c r="L1551" i="293"/>
  <c r="M1551" i="293" s="1"/>
  <c r="L1459" i="293"/>
  <c r="M1459" i="293" s="1"/>
  <c r="L1427" i="293"/>
  <c r="M1427" i="293" s="1"/>
  <c r="L1325" i="293"/>
  <c r="M1325" i="293" s="1"/>
  <c r="L1300" i="293"/>
  <c r="M1300" i="293" s="1"/>
  <c r="L1206" i="293"/>
  <c r="M1206" i="293" s="1"/>
  <c r="L1096" i="293"/>
  <c r="M1096" i="293" s="1"/>
  <c r="L1072" i="293"/>
  <c r="M1072" i="293" s="1"/>
  <c r="L1040" i="293"/>
  <c r="M1040" i="293" s="1"/>
  <c r="L961" i="293"/>
  <c r="M961" i="293" s="1"/>
  <c r="L914" i="293"/>
  <c r="M914" i="293" s="1"/>
  <c r="L899" i="293"/>
  <c r="M899" i="293" s="1"/>
  <c r="L829" i="293"/>
  <c r="M829" i="293" s="1"/>
  <c r="L766" i="293"/>
  <c r="M766" i="293" s="1"/>
  <c r="L714" i="293"/>
  <c r="M714" i="293" s="1"/>
  <c r="L706" i="293"/>
  <c r="M706" i="293" s="1"/>
  <c r="L691" i="293"/>
  <c r="M691" i="293" s="1"/>
  <c r="L660" i="293"/>
  <c r="M660" i="293" s="1"/>
  <c r="L636" i="293"/>
  <c r="M636" i="293" s="1"/>
  <c r="L628" i="293"/>
  <c r="M628" i="293" s="1"/>
  <c r="L2401" i="293"/>
  <c r="M2401" i="293" s="1"/>
  <c r="L2159" i="293"/>
  <c r="M2159" i="293" s="1"/>
  <c r="L2033" i="293"/>
  <c r="M2033" i="293" s="1"/>
  <c r="L1850" i="293"/>
  <c r="M1850" i="293" s="1"/>
  <c r="L1632" i="293"/>
  <c r="M1632" i="293" s="1"/>
  <c r="L1550" i="293"/>
  <c r="M1550" i="293" s="1"/>
  <c r="L1458" i="293"/>
  <c r="M1458" i="293" s="1"/>
  <c r="L1426" i="293"/>
  <c r="M1426" i="293" s="1"/>
  <c r="L1324" i="293"/>
  <c r="M1324" i="293" s="1"/>
  <c r="L1299" i="293"/>
  <c r="M1299" i="293" s="1"/>
  <c r="L1205" i="293"/>
  <c r="M1205" i="293" s="1"/>
  <c r="L1141" i="293"/>
  <c r="M1141" i="293" s="1"/>
  <c r="L1071" i="293"/>
  <c r="M1071" i="293" s="1"/>
  <c r="L1023" i="293"/>
  <c r="M1023" i="293" s="1"/>
  <c r="L983" i="293"/>
  <c r="M983" i="293" s="1"/>
  <c r="L960" i="293"/>
  <c r="M960" i="293" s="1"/>
  <c r="L945" i="293"/>
  <c r="M945" i="293" s="1"/>
  <c r="L898" i="293"/>
  <c r="M898" i="293" s="1"/>
  <c r="L867" i="293"/>
  <c r="M867" i="293" s="1"/>
  <c r="L765" i="293"/>
  <c r="M765" i="293" s="1"/>
  <c r="L721" i="293"/>
  <c r="M721" i="293" s="1"/>
  <c r="L698" i="293"/>
  <c r="M698" i="293" s="1"/>
  <c r="L690" i="293"/>
  <c r="M690" i="293" s="1"/>
  <c r="L659" i="293"/>
  <c r="M659" i="293" s="1"/>
  <c r="L627" i="293"/>
  <c r="M627" i="293" s="1"/>
  <c r="L556" i="293"/>
  <c r="M556" i="293" s="1"/>
  <c r="L502" i="293"/>
  <c r="M502" i="293" s="1"/>
  <c r="L2057" i="293"/>
  <c r="M2057" i="293" s="1"/>
  <c r="L1939" i="293"/>
  <c r="M1939" i="293" s="1"/>
  <c r="L1875" i="293"/>
  <c r="M1875" i="293" s="1"/>
  <c r="L1718" i="293"/>
  <c r="M1718" i="293" s="1"/>
  <c r="L1565" i="293"/>
  <c r="M1565" i="293" s="1"/>
  <c r="L1323" i="293"/>
  <c r="M1323" i="293" s="1"/>
  <c r="L1252" i="293"/>
  <c r="M1252" i="293" s="1"/>
  <c r="L1220" i="293"/>
  <c r="M1220" i="293" s="1"/>
  <c r="L1132" i="293"/>
  <c r="M1132" i="293" s="1"/>
  <c r="L1070" i="293"/>
  <c r="M1070" i="293" s="1"/>
  <c r="L1022" i="293"/>
  <c r="M1022" i="293" s="1"/>
  <c r="L982" i="293"/>
  <c r="M982" i="293" s="1"/>
  <c r="L959" i="293"/>
  <c r="M959" i="293" s="1"/>
  <c r="L944" i="293"/>
  <c r="M944" i="293" s="1"/>
  <c r="L889" i="293"/>
  <c r="M889" i="293" s="1"/>
  <c r="L866" i="293"/>
  <c r="M866" i="293" s="1"/>
  <c r="L697" i="293"/>
  <c r="M697" i="293" s="1"/>
  <c r="L555" i="293"/>
  <c r="M555" i="293" s="1"/>
  <c r="L2120" i="293"/>
  <c r="M2120" i="293" s="1"/>
  <c r="L1938" i="293"/>
  <c r="M1938" i="293" s="1"/>
  <c r="L1906" i="293"/>
  <c r="M1906" i="293" s="1"/>
  <c r="L1717" i="293"/>
  <c r="M1717" i="293" s="1"/>
  <c r="L1677" i="293"/>
  <c r="M1677" i="293" s="1"/>
  <c r="L1623" i="293"/>
  <c r="M1623" i="293" s="1"/>
  <c r="L1564" i="293"/>
  <c r="M1564" i="293" s="1"/>
  <c r="L1490" i="293"/>
  <c r="M1490" i="293" s="1"/>
  <c r="L1374" i="293"/>
  <c r="M1374" i="293" s="1"/>
  <c r="L1251" i="293"/>
  <c r="M1251" i="293" s="1"/>
  <c r="L1179" i="293"/>
  <c r="M1179" i="293" s="1"/>
  <c r="L1131" i="293"/>
  <c r="M1131" i="293" s="1"/>
  <c r="L1053" i="293"/>
  <c r="M1053" i="293" s="1"/>
  <c r="L1021" i="293"/>
  <c r="M1021" i="293" s="1"/>
  <c r="L1005" i="293"/>
  <c r="M1005" i="293" s="1"/>
  <c r="L981" i="293"/>
  <c r="M981" i="293" s="1"/>
  <c r="L958" i="293"/>
  <c r="M958" i="293" s="1"/>
  <c r="L943" i="293"/>
  <c r="M943" i="293" s="1"/>
  <c r="L888" i="293"/>
  <c r="M888" i="293" s="1"/>
  <c r="L865" i="293"/>
  <c r="M865" i="293" s="1"/>
  <c r="L842" i="293"/>
  <c r="M842" i="293" s="1"/>
  <c r="L819" i="293"/>
  <c r="M819" i="293" s="1"/>
  <c r="L811" i="293"/>
  <c r="M811" i="293" s="1"/>
  <c r="L749" i="293"/>
  <c r="M749" i="293" s="1"/>
  <c r="L727" i="293"/>
  <c r="M727" i="293" s="1"/>
  <c r="L649" i="293"/>
  <c r="M649" i="293" s="1"/>
  <c r="L641" i="293"/>
  <c r="M641" i="293" s="1"/>
  <c r="L593" i="293"/>
  <c r="M593" i="293" s="1"/>
  <c r="L493" i="293"/>
  <c r="M493" i="293" s="1"/>
  <c r="L1963" i="293"/>
  <c r="M1963" i="293" s="1"/>
  <c r="L1716" i="293"/>
  <c r="M1716" i="293" s="1"/>
  <c r="L1489" i="293"/>
  <c r="M1489" i="293" s="1"/>
  <c r="L1130" i="293"/>
  <c r="M1130" i="293" s="1"/>
  <c r="L1004" i="293"/>
  <c r="M1004" i="293" s="1"/>
  <c r="L669" i="293"/>
  <c r="M669" i="293" s="1"/>
  <c r="L545" i="293"/>
  <c r="M545" i="293" s="1"/>
  <c r="L513" i="293"/>
  <c r="M513" i="293" s="1"/>
  <c r="L359" i="293"/>
  <c r="M359" i="293" s="1"/>
  <c r="L305" i="293"/>
  <c r="M305" i="293" s="1"/>
  <c r="L419" i="293"/>
  <c r="M419" i="293" s="1"/>
  <c r="L887" i="293"/>
  <c r="M887" i="293" s="1"/>
  <c r="L331" i="293"/>
  <c r="M331" i="293" s="1"/>
  <c r="L292" i="293"/>
  <c r="M292" i="293" s="1"/>
  <c r="L855" i="293"/>
  <c r="M855" i="293" s="1"/>
  <c r="L1715" i="293"/>
  <c r="M1715" i="293" s="1"/>
  <c r="L1129" i="293"/>
  <c r="M1129" i="293" s="1"/>
  <c r="L1099" i="293"/>
  <c r="M1099" i="293" s="1"/>
  <c r="L1003" i="293"/>
  <c r="M1003" i="293" s="1"/>
  <c r="L785" i="293"/>
  <c r="M785" i="293" s="1"/>
  <c r="L605" i="293"/>
  <c r="M605" i="293" s="1"/>
  <c r="L574" i="293"/>
  <c r="M574" i="293" s="1"/>
  <c r="L527" i="293"/>
  <c r="M527" i="293" s="1"/>
  <c r="L445" i="293"/>
  <c r="M445" i="293" s="1"/>
  <c r="L413" i="293"/>
  <c r="M413" i="293" s="1"/>
  <c r="L304" i="293"/>
  <c r="M304" i="293" s="1"/>
  <c r="L266" i="293"/>
  <c r="M266" i="293" s="1"/>
  <c r="L435" i="293"/>
  <c r="M435" i="293" s="1"/>
  <c r="L396" i="293"/>
  <c r="M396" i="293" s="1"/>
  <c r="L341" i="293"/>
  <c r="M341" i="293" s="1"/>
  <c r="L369" i="293"/>
  <c r="M369" i="293" s="1"/>
  <c r="L1107" i="293"/>
  <c r="M1107" i="293" s="1"/>
  <c r="L793" i="293"/>
  <c r="M793" i="293" s="1"/>
  <c r="L330" i="293"/>
  <c r="M330" i="293" s="1"/>
  <c r="L291" i="293"/>
  <c r="M291" i="293" s="1"/>
  <c r="L2081" i="293"/>
  <c r="M2081" i="293" s="1"/>
  <c r="L1793" i="293"/>
  <c r="M1793" i="293" s="1"/>
  <c r="L1676" i="293"/>
  <c r="M1676" i="293" s="1"/>
  <c r="L1481" i="293"/>
  <c r="M1481" i="293" s="1"/>
  <c r="L1250" i="293"/>
  <c r="M1250" i="293" s="1"/>
  <c r="L841" i="293"/>
  <c r="M841" i="293" s="1"/>
  <c r="L810" i="293"/>
  <c r="M810" i="293" s="1"/>
  <c r="L573" i="293"/>
  <c r="M573" i="293" s="1"/>
  <c r="L526" i="293"/>
  <c r="M526" i="293" s="1"/>
  <c r="L452" i="293"/>
  <c r="M452" i="293" s="1"/>
  <c r="L444" i="293"/>
  <c r="M444" i="293" s="1"/>
  <c r="L428" i="293"/>
  <c r="M428" i="293" s="1"/>
  <c r="L412" i="293"/>
  <c r="M412" i="293" s="1"/>
  <c r="L265" i="293"/>
  <c r="M265" i="293" s="1"/>
  <c r="L427" i="293"/>
  <c r="M427" i="293" s="1"/>
  <c r="L403" i="293"/>
  <c r="M403" i="293" s="1"/>
  <c r="L318" i="293"/>
  <c r="M318" i="293" s="1"/>
  <c r="L240" i="293"/>
  <c r="M240" i="293" s="1"/>
  <c r="L503" i="293"/>
  <c r="M503" i="293" s="1"/>
  <c r="L546" i="293"/>
  <c r="M546" i="293" s="1"/>
  <c r="L252" i="293"/>
  <c r="M252" i="293" s="1"/>
  <c r="L2080" i="293"/>
  <c r="M2080" i="293" s="1"/>
  <c r="L1792" i="293"/>
  <c r="M1792" i="293" s="1"/>
  <c r="L1675" i="293"/>
  <c r="M1675" i="293" s="1"/>
  <c r="L1538" i="293"/>
  <c r="M1538" i="293" s="1"/>
  <c r="L1480" i="293"/>
  <c r="M1480" i="293" s="1"/>
  <c r="L1249" i="293"/>
  <c r="M1249" i="293" s="1"/>
  <c r="L584" i="293"/>
  <c r="M584" i="293" s="1"/>
  <c r="L380" i="293"/>
  <c r="M380" i="293" s="1"/>
  <c r="L565" i="293"/>
  <c r="M565" i="293" s="1"/>
  <c r="L385" i="293"/>
  <c r="M385" i="293" s="1"/>
  <c r="L253" i="293"/>
  <c r="M253" i="293" s="1"/>
  <c r="L648" i="293"/>
  <c r="M648" i="293" s="1"/>
  <c r="L1899" i="293"/>
  <c r="M1899" i="293" s="1"/>
  <c r="L1622" i="293"/>
  <c r="M1622" i="293" s="1"/>
  <c r="L1272" i="293"/>
  <c r="M1272" i="293" s="1"/>
  <c r="L1020" i="293"/>
  <c r="M1020" i="293" s="1"/>
  <c r="L741" i="293"/>
  <c r="M741" i="293" s="1"/>
  <c r="L680" i="293"/>
  <c r="M680" i="293" s="1"/>
  <c r="L637" i="293"/>
  <c r="M637" i="293" s="1"/>
  <c r="L615" i="293"/>
  <c r="M615" i="293" s="1"/>
  <c r="L583" i="293"/>
  <c r="M583" i="293" s="1"/>
  <c r="L434" i="293"/>
  <c r="M434" i="293" s="1"/>
  <c r="L402" i="293"/>
  <c r="M402" i="293" s="1"/>
  <c r="L395" i="293"/>
  <c r="M395" i="293" s="1"/>
  <c r="L379" i="293"/>
  <c r="M379" i="293" s="1"/>
  <c r="L355" i="293"/>
  <c r="M355" i="293" s="1"/>
  <c r="L340" i="293"/>
  <c r="M340" i="293" s="1"/>
  <c r="L317" i="293"/>
  <c r="M317" i="293" s="1"/>
  <c r="L279" i="293"/>
  <c r="M279" i="293" s="1"/>
  <c r="L239" i="293"/>
  <c r="M239" i="293" s="1"/>
  <c r="L1867" i="293"/>
  <c r="M1867" i="293" s="1"/>
  <c r="L1170" i="293"/>
  <c r="M1170" i="293" s="1"/>
  <c r="L1169" i="293"/>
  <c r="M1169" i="293" s="1"/>
  <c r="L1043" i="293"/>
  <c r="M1043" i="293" s="1"/>
  <c r="L886" i="293"/>
  <c r="M886" i="293" s="1"/>
  <c r="L592" i="293"/>
  <c r="M592" i="293" s="1"/>
  <c r="L360" i="293"/>
  <c r="M360" i="293" s="1"/>
  <c r="L1898" i="293"/>
  <c r="M1898" i="293" s="1"/>
  <c r="L1621" i="293"/>
  <c r="M1621" i="293" s="1"/>
  <c r="L1271" i="293"/>
  <c r="M1271" i="293" s="1"/>
  <c r="L925" i="293"/>
  <c r="M925" i="293" s="1"/>
  <c r="L679" i="293"/>
  <c r="M679" i="293" s="1"/>
  <c r="L566" i="293"/>
  <c r="M566" i="293" s="1"/>
  <c r="L535" i="293"/>
  <c r="M535" i="293" s="1"/>
  <c r="L386" i="293"/>
  <c r="M386" i="293" s="1"/>
  <c r="L370" i="293"/>
  <c r="M370" i="293" s="1"/>
  <c r="L354" i="293"/>
  <c r="M354" i="293" s="1"/>
  <c r="L278" i="293"/>
  <c r="M278" i="293" s="1"/>
  <c r="L346" i="293"/>
  <c r="M346" i="293" s="1"/>
  <c r="L733" i="293"/>
  <c r="M733" i="293" s="1"/>
  <c r="L345" i="293"/>
  <c r="M345" i="293" s="1"/>
  <c r="L28" i="293"/>
  <c r="L154" i="293"/>
  <c r="L21" i="293"/>
  <c r="L77" i="293"/>
  <c r="L14" i="293"/>
  <c r="L62" i="293"/>
  <c r="L83" i="293"/>
  <c r="L141" i="293"/>
  <c r="L76" i="293"/>
  <c r="L110" i="293"/>
  <c r="L217" i="293"/>
  <c r="L23" i="293"/>
  <c r="L25" i="293"/>
  <c r="L57" i="293"/>
  <c r="L125" i="293"/>
  <c r="L69" i="293"/>
  <c r="L22" i="293"/>
  <c r="L74" i="293"/>
  <c r="L122" i="293"/>
  <c r="L140" i="293"/>
  <c r="L39" i="293"/>
  <c r="L95" i="293"/>
  <c r="L186" i="293"/>
  <c r="L173" i="293"/>
  <c r="L36" i="293"/>
  <c r="L96" i="293"/>
  <c r="L133" i="293"/>
  <c r="L89" i="293"/>
  <c r="L49" i="293"/>
  <c r="L101" i="293"/>
  <c r="L26" i="293"/>
  <c r="L78" i="293"/>
  <c r="L126" i="293"/>
  <c r="L158" i="293"/>
  <c r="L43" i="293"/>
  <c r="L103" i="293"/>
  <c r="L200" i="293"/>
  <c r="L182" i="293"/>
  <c r="L40" i="293"/>
  <c r="L100" i="293"/>
  <c r="L142" i="293"/>
  <c r="L193" i="293"/>
  <c r="L65" i="293"/>
  <c r="L117" i="293"/>
  <c r="L30" i="293"/>
  <c r="L82" i="293"/>
  <c r="L139" i="293"/>
  <c r="L172" i="293"/>
  <c r="L51" i="293"/>
  <c r="L107" i="293"/>
  <c r="L209" i="293"/>
  <c r="L191" i="293"/>
  <c r="L48" i="293"/>
  <c r="L108" i="293"/>
  <c r="L151" i="293"/>
  <c r="L134" i="293"/>
  <c r="L13" i="293"/>
  <c r="L184" i="293"/>
  <c r="L152" i="293"/>
  <c r="L38" i="293"/>
  <c r="L90" i="293"/>
  <c r="L153" i="293"/>
  <c r="L181" i="293"/>
  <c r="L55" i="293"/>
  <c r="L115" i="293"/>
  <c r="L218" i="293"/>
  <c r="L196" i="293"/>
  <c r="L52" i="293"/>
  <c r="L116" i="293"/>
  <c r="L165" i="293"/>
  <c r="L201" i="293"/>
  <c r="L41" i="293"/>
  <c r="L109" i="293"/>
  <c r="L53" i="293"/>
  <c r="L18" i="293"/>
  <c r="L70" i="293"/>
  <c r="L114" i="293"/>
  <c r="L135" i="293"/>
  <c r="L35" i="293"/>
  <c r="L87" i="293"/>
  <c r="L163" i="293"/>
  <c r="L164" i="293"/>
  <c r="L32" i="293"/>
  <c r="L88" i="293"/>
  <c r="L219" i="293"/>
  <c r="L207" i="293"/>
  <c r="L29" i="293"/>
  <c r="L202" i="293"/>
  <c r="L170" i="293"/>
  <c r="L42" i="293"/>
  <c r="L94" i="293"/>
  <c r="L171" i="293"/>
  <c r="L190" i="293"/>
  <c r="L63" i="293"/>
  <c r="L123" i="293"/>
  <c r="L227" i="293"/>
  <c r="L228" i="293"/>
  <c r="L60" i="293"/>
  <c r="L124" i="293"/>
  <c r="L183" i="293"/>
  <c r="L9" i="293"/>
  <c r="L45" i="293"/>
  <c r="L166" i="293"/>
  <c r="L10" i="293"/>
  <c r="L58" i="293"/>
  <c r="L102" i="293"/>
  <c r="L208" i="293"/>
  <c r="L15" i="293"/>
  <c r="L67" i="293"/>
  <c r="L131" i="293"/>
  <c r="L132" i="293"/>
  <c r="L16" i="293"/>
  <c r="L72" i="293"/>
  <c r="L192" i="293"/>
  <c r="L206" i="293"/>
  <c r="L229" i="293"/>
  <c r="L220" i="293"/>
  <c r="L156" i="293"/>
  <c r="L210" i="293"/>
  <c r="L195" i="293"/>
  <c r="L145" i="293"/>
  <c r="L194" i="293"/>
  <c r="L185" i="293"/>
  <c r="L176" i="293"/>
  <c r="L144" i="293"/>
  <c r="L221" i="293"/>
  <c r="L230" i="293"/>
  <c r="L175" i="293"/>
  <c r="L157" i="293"/>
  <c r="L211" i="293"/>
  <c r="M5076" i="293" l="1"/>
  <c r="O8" i="293" s="1"/>
  <c r="D4" i="277" l="1"/>
  <c r="C4" i="277"/>
  <c r="A37" i="270" l="1"/>
  <c r="A36" i="270"/>
  <c r="G9" i="284" l="1"/>
  <c r="C5" i="284" s="1"/>
  <c r="H13" i="283" l="1"/>
  <c r="F13" i="283"/>
  <c r="G13" i="283"/>
  <c r="I13" i="283" l="1"/>
  <c r="J13" i="283" s="1"/>
  <c r="Q12" i="259" s="1"/>
  <c r="R12" i="259" s="1"/>
  <c r="G22" i="270" l="1"/>
  <c r="W2" i="277" l="1"/>
  <c r="M10" i="277" l="1"/>
  <c r="N10" i="277" s="1"/>
  <c r="M9" i="277"/>
  <c r="N9" i="277" s="1"/>
  <c r="M11" i="277"/>
  <c r="N11" i="277" s="1"/>
  <c r="M13" i="277"/>
  <c r="N13" i="277" s="1"/>
  <c r="C6" i="271"/>
  <c r="C5" i="271"/>
  <c r="C4" i="271"/>
  <c r="C8" i="259"/>
  <c r="C7" i="259"/>
  <c r="B5" i="261" s="1"/>
  <c r="B8" i="259"/>
  <c r="A6" i="261" s="1"/>
  <c r="B7" i="259"/>
  <c r="A5" i="261" s="1"/>
  <c r="B6" i="259"/>
  <c r="A4" i="261" s="1"/>
  <c r="D8" i="300" l="1"/>
  <c r="B6" i="261"/>
  <c r="I50" i="259"/>
  <c r="J50" i="259" s="1"/>
  <c r="F50" i="259"/>
  <c r="C50" i="259"/>
  <c r="C88" i="259"/>
  <c r="C84" i="259"/>
  <c r="I45" i="259"/>
  <c r="J45" i="259" s="1"/>
  <c r="F45" i="259"/>
  <c r="F84" i="259"/>
  <c r="C45" i="259"/>
  <c r="I84" i="259"/>
  <c r="J84" i="259" s="1"/>
  <c r="I60" i="259"/>
  <c r="J60" i="259" s="1"/>
  <c r="F60" i="259"/>
  <c r="C60" i="259"/>
  <c r="F67" i="259"/>
  <c r="C67" i="259"/>
  <c r="I67" i="259"/>
  <c r="J67" i="259" s="1"/>
  <c r="I65" i="259"/>
  <c r="J65" i="259" s="1"/>
  <c r="C65" i="259"/>
  <c r="F61" i="259"/>
  <c r="C61" i="259"/>
  <c r="I66" i="259"/>
  <c r="J66" i="259" s="1"/>
  <c r="F66" i="259"/>
  <c r="C66" i="259"/>
  <c r="F65" i="259"/>
  <c r="F68" i="259"/>
  <c r="C68" i="259"/>
  <c r="I35" i="259"/>
  <c r="J35" i="259" s="1"/>
  <c r="I61" i="259"/>
  <c r="J61" i="259" s="1"/>
  <c r="I68" i="259"/>
  <c r="J68" i="259" s="1"/>
  <c r="F69" i="259"/>
  <c r="F35" i="259"/>
  <c r="C35" i="259"/>
  <c r="C69" i="259"/>
  <c r="F36" i="259"/>
  <c r="F32" i="259"/>
  <c r="C31" i="259"/>
  <c r="F62" i="259"/>
  <c r="I51" i="259"/>
  <c r="J51" i="259" s="1"/>
  <c r="F46" i="259"/>
  <c r="C91" i="259"/>
  <c r="F80" i="259"/>
  <c r="C46" i="259"/>
  <c r="I88" i="259"/>
  <c r="J88" i="259" s="1"/>
  <c r="I83" i="259"/>
  <c r="J83" i="259" s="1"/>
  <c r="I80" i="259"/>
  <c r="J80" i="259" s="1"/>
  <c r="F37" i="259"/>
  <c r="C36" i="259"/>
  <c r="C32" i="259"/>
  <c r="C62" i="259"/>
  <c r="F51" i="259"/>
  <c r="I90" i="259"/>
  <c r="J90" i="259" s="1"/>
  <c r="C80" i="259"/>
  <c r="I44" i="259"/>
  <c r="J44" i="259" s="1"/>
  <c r="F88" i="259"/>
  <c r="F91" i="259"/>
  <c r="C37" i="259"/>
  <c r="I59" i="259"/>
  <c r="J59" i="259" s="1"/>
  <c r="C51" i="259"/>
  <c r="F90" i="259"/>
  <c r="F59" i="259"/>
  <c r="I49" i="259"/>
  <c r="J49" i="259" s="1"/>
  <c r="F44" i="259"/>
  <c r="C90" i="259"/>
  <c r="F83" i="259"/>
  <c r="F89" i="259"/>
  <c r="C52" i="259"/>
  <c r="I29" i="259"/>
  <c r="J29" i="259" s="1"/>
  <c r="C59" i="259"/>
  <c r="F49" i="259"/>
  <c r="C44" i="259"/>
  <c r="I89" i="259"/>
  <c r="J89" i="259" s="1"/>
  <c r="C83" i="259"/>
  <c r="F31" i="259"/>
  <c r="I46" i="259"/>
  <c r="J46" i="259" s="1"/>
  <c r="I30" i="259"/>
  <c r="J30" i="259" s="1"/>
  <c r="F29" i="259"/>
  <c r="C49" i="259"/>
  <c r="I85" i="259"/>
  <c r="J85" i="259" s="1"/>
  <c r="I62" i="259"/>
  <c r="J62" i="259" s="1"/>
  <c r="I31" i="259"/>
  <c r="J31" i="259" s="1"/>
  <c r="F30" i="259"/>
  <c r="C29" i="259"/>
  <c r="F52" i="259"/>
  <c r="C89" i="259"/>
  <c r="F85" i="259"/>
  <c r="I36" i="259"/>
  <c r="J36" i="259" s="1"/>
  <c r="I32" i="259"/>
  <c r="J32" i="259" s="1"/>
  <c r="C30" i="259"/>
  <c r="C85" i="259"/>
  <c r="N8" i="277"/>
  <c r="G25" i="284"/>
  <c r="C25" i="284"/>
  <c r="W9" i="284"/>
  <c r="T31" i="259" l="1"/>
  <c r="N31" i="259"/>
  <c r="V89" i="259"/>
  <c r="P89" i="259"/>
  <c r="N88" i="259"/>
  <c r="T88" i="259"/>
  <c r="T37" i="259"/>
  <c r="N37" i="259"/>
  <c r="P51" i="259"/>
  <c r="V51" i="259"/>
  <c r="T69" i="259"/>
  <c r="N69" i="259"/>
  <c r="N66" i="259"/>
  <c r="T66" i="259"/>
  <c r="N67" i="259"/>
  <c r="T67" i="259"/>
  <c r="V45" i="259"/>
  <c r="P45" i="259"/>
  <c r="M85" i="259"/>
  <c r="S85" i="259"/>
  <c r="V36" i="259"/>
  <c r="P36" i="259"/>
  <c r="N85" i="259"/>
  <c r="T85" i="259"/>
  <c r="T49" i="259"/>
  <c r="N49" i="259"/>
  <c r="V49" i="259"/>
  <c r="P49" i="259"/>
  <c r="J47" i="259"/>
  <c r="P44" i="259"/>
  <c r="V44" i="259"/>
  <c r="V80" i="259"/>
  <c r="J81" i="259"/>
  <c r="K79" i="259" s="1"/>
  <c r="P80" i="259"/>
  <c r="P77" i="259" s="1"/>
  <c r="T62" i="259"/>
  <c r="N62" i="259"/>
  <c r="P68" i="259"/>
  <c r="V68" i="259"/>
  <c r="P66" i="259"/>
  <c r="V66" i="259"/>
  <c r="M60" i="259"/>
  <c r="S60" i="259"/>
  <c r="M84" i="259"/>
  <c r="S84" i="259"/>
  <c r="M29" i="259"/>
  <c r="S29" i="259"/>
  <c r="P32" i="259"/>
  <c r="V32" i="259"/>
  <c r="V62" i="259"/>
  <c r="P62" i="259"/>
  <c r="V85" i="259"/>
  <c r="P85" i="259"/>
  <c r="S44" i="259"/>
  <c r="M44" i="259"/>
  <c r="T44" i="259"/>
  <c r="N44" i="259"/>
  <c r="S49" i="259"/>
  <c r="M49" i="259"/>
  <c r="M89" i="259"/>
  <c r="S89" i="259"/>
  <c r="T29" i="259"/>
  <c r="N29" i="259"/>
  <c r="M59" i="259"/>
  <c r="S59" i="259"/>
  <c r="N59" i="259"/>
  <c r="T59" i="259"/>
  <c r="S80" i="259"/>
  <c r="M80" i="259"/>
  <c r="V83" i="259"/>
  <c r="J86" i="259"/>
  <c r="P83" i="259"/>
  <c r="S31" i="259"/>
  <c r="M31" i="259"/>
  <c r="P61" i="259"/>
  <c r="V61" i="259"/>
  <c r="M61" i="259"/>
  <c r="S61" i="259"/>
  <c r="N60" i="259"/>
  <c r="T60" i="259"/>
  <c r="S88" i="259"/>
  <c r="M88" i="259"/>
  <c r="N52" i="259"/>
  <c r="T52" i="259"/>
  <c r="P30" i="259"/>
  <c r="V30" i="259"/>
  <c r="P29" i="259"/>
  <c r="P26" i="259" s="1"/>
  <c r="J33" i="259"/>
  <c r="V29" i="259"/>
  <c r="T90" i="259"/>
  <c r="N90" i="259"/>
  <c r="V90" i="259"/>
  <c r="P90" i="259"/>
  <c r="V88" i="259"/>
  <c r="P88" i="259"/>
  <c r="T32" i="259"/>
  <c r="N32" i="259"/>
  <c r="P35" i="259"/>
  <c r="V35" i="259"/>
  <c r="N61" i="259"/>
  <c r="T61" i="259"/>
  <c r="P60" i="259"/>
  <c r="V60" i="259"/>
  <c r="M50" i="259"/>
  <c r="S50" i="259"/>
  <c r="M52" i="259"/>
  <c r="S52" i="259"/>
  <c r="S51" i="259"/>
  <c r="M51" i="259"/>
  <c r="N51" i="259"/>
  <c r="T51" i="259"/>
  <c r="S46" i="259"/>
  <c r="M46" i="259"/>
  <c r="T36" i="259"/>
  <c r="N36" i="259"/>
  <c r="S68" i="259"/>
  <c r="M68" i="259"/>
  <c r="M65" i="259"/>
  <c r="S65" i="259"/>
  <c r="V84" i="259"/>
  <c r="P84" i="259"/>
  <c r="N50" i="259"/>
  <c r="T50" i="259"/>
  <c r="N89" i="259"/>
  <c r="T89" i="259"/>
  <c r="V59" i="259"/>
  <c r="J63" i="259"/>
  <c r="P59" i="259"/>
  <c r="P56" i="259" s="1"/>
  <c r="M62" i="259"/>
  <c r="S62" i="259"/>
  <c r="T80" i="259"/>
  <c r="N80" i="259"/>
  <c r="S69" i="259"/>
  <c r="M69" i="259"/>
  <c r="N68" i="259"/>
  <c r="T68" i="259"/>
  <c r="P65" i="259"/>
  <c r="V65" i="259"/>
  <c r="M45" i="259"/>
  <c r="S45" i="259"/>
  <c r="P50" i="259"/>
  <c r="V50" i="259"/>
  <c r="T30" i="259"/>
  <c r="N30" i="259"/>
  <c r="V31" i="259"/>
  <c r="P31" i="259"/>
  <c r="S83" i="259"/>
  <c r="M83" i="259"/>
  <c r="T83" i="259"/>
  <c r="N83" i="259"/>
  <c r="S37" i="259"/>
  <c r="M37" i="259"/>
  <c r="M32" i="259"/>
  <c r="S32" i="259"/>
  <c r="S91" i="259"/>
  <c r="M91" i="259"/>
  <c r="S35" i="259"/>
  <c r="M35" i="259"/>
  <c r="N65" i="259"/>
  <c r="T65" i="259"/>
  <c r="V67" i="259"/>
  <c r="P67" i="259"/>
  <c r="N84" i="259"/>
  <c r="T84" i="259"/>
  <c r="P46" i="259"/>
  <c r="V46" i="259"/>
  <c r="M30" i="259"/>
  <c r="S30" i="259"/>
  <c r="M90" i="259"/>
  <c r="S90" i="259"/>
  <c r="T91" i="259"/>
  <c r="N91" i="259"/>
  <c r="S36" i="259"/>
  <c r="M36" i="259"/>
  <c r="N46" i="259"/>
  <c r="T46" i="259"/>
  <c r="T35" i="259"/>
  <c r="N35" i="259"/>
  <c r="M66" i="259"/>
  <c r="S66" i="259"/>
  <c r="M67" i="259"/>
  <c r="S67" i="259"/>
  <c r="N45" i="259"/>
  <c r="T45" i="259"/>
  <c r="C18" i="284"/>
  <c r="C16" i="284"/>
  <c r="D25" i="284"/>
  <c r="E25" i="284" s="1"/>
  <c r="C19" i="284" l="1"/>
  <c r="I91" i="259"/>
  <c r="J91" i="259" s="1"/>
  <c r="K82" i="259"/>
  <c r="G33" i="283" s="1"/>
  <c r="I52" i="259"/>
  <c r="J52" i="259" s="1"/>
  <c r="K43" i="259"/>
  <c r="F33" i="283"/>
  <c r="I69" i="259"/>
  <c r="J69" i="259" s="1"/>
  <c r="K58" i="259"/>
  <c r="I37" i="259"/>
  <c r="J37" i="259" s="1"/>
  <c r="K28" i="259"/>
  <c r="F25" i="284"/>
  <c r="H25" i="284" s="1"/>
  <c r="F141" i="261"/>
  <c r="F139" i="261"/>
  <c r="F138" i="261"/>
  <c r="F137" i="261"/>
  <c r="F136" i="261"/>
  <c r="F135" i="261"/>
  <c r="F134" i="261"/>
  <c r="F133" i="261"/>
  <c r="F132" i="261"/>
  <c r="F131" i="261"/>
  <c r="F130" i="261"/>
  <c r="F129" i="261"/>
  <c r="F128" i="261"/>
  <c r="F127" i="261"/>
  <c r="F126" i="261"/>
  <c r="F125" i="261"/>
  <c r="F124" i="261"/>
  <c r="F123" i="261"/>
  <c r="F122" i="261"/>
  <c r="F121" i="261"/>
  <c r="F120" i="261"/>
  <c r="F119" i="261"/>
  <c r="F118" i="261"/>
  <c r="F117" i="261"/>
  <c r="F116" i="261"/>
  <c r="F115" i="261"/>
  <c r="F114" i="261"/>
  <c r="F113" i="261"/>
  <c r="F112" i="261"/>
  <c r="F111" i="261"/>
  <c r="F110" i="261"/>
  <c r="F109" i="261"/>
  <c r="F108" i="261"/>
  <c r="F106" i="261"/>
  <c r="F105" i="261"/>
  <c r="F104" i="261"/>
  <c r="F102" i="261"/>
  <c r="F101" i="261"/>
  <c r="F100" i="261"/>
  <c r="F99" i="261"/>
  <c r="F98" i="261"/>
  <c r="F97" i="261"/>
  <c r="F96" i="261"/>
  <c r="F95" i="261"/>
  <c r="F94" i="261"/>
  <c r="F93" i="261"/>
  <c r="F92" i="261"/>
  <c r="F91" i="261"/>
  <c r="F89" i="261"/>
  <c r="F88" i="261"/>
  <c r="F87" i="261"/>
  <c r="F86" i="261"/>
  <c r="F85" i="261"/>
  <c r="F80" i="261"/>
  <c r="F72" i="261"/>
  <c r="F71" i="261"/>
  <c r="F70" i="261"/>
  <c r="F64" i="261"/>
  <c r="F62" i="261"/>
  <c r="F61" i="261"/>
  <c r="F57" i="261"/>
  <c r="F56" i="261"/>
  <c r="F46" i="261"/>
  <c r="F45" i="261"/>
  <c r="F44" i="261"/>
  <c r="F37" i="261"/>
  <c r="F28" i="261"/>
  <c r="F27" i="261"/>
  <c r="F26" i="261"/>
  <c r="F25" i="261"/>
  <c r="F19" i="261"/>
  <c r="G17" i="283" l="1"/>
  <c r="V69" i="259"/>
  <c r="P69" i="259"/>
  <c r="K64" i="259"/>
  <c r="F17" i="283"/>
  <c r="G16" i="283"/>
  <c r="K40" i="259"/>
  <c r="I41" i="259" s="1"/>
  <c r="G14" i="283"/>
  <c r="P52" i="259"/>
  <c r="P41" i="259" s="1"/>
  <c r="V52" i="259"/>
  <c r="K48" i="259"/>
  <c r="V37" i="259"/>
  <c r="P37" i="259"/>
  <c r="K34" i="259"/>
  <c r="V91" i="259"/>
  <c r="P91" i="259"/>
  <c r="K87" i="259"/>
  <c r="F144" i="261"/>
  <c r="F147" i="261"/>
  <c r="F146" i="261"/>
  <c r="F149" i="261"/>
  <c r="F145" i="261"/>
  <c r="F148" i="261"/>
  <c r="J38" i="259" l="1"/>
  <c r="H14" i="283"/>
  <c r="I14" i="283" s="1"/>
  <c r="J14" i="283" s="1"/>
  <c r="J70" i="259"/>
  <c r="J53" i="259"/>
  <c r="H16" i="283"/>
  <c r="I16" i="283" s="1"/>
  <c r="J16" i="283" s="1"/>
  <c r="Q41" i="259" s="1"/>
  <c r="R41" i="259" s="1"/>
  <c r="H33" i="283"/>
  <c r="I33" i="283" s="1"/>
  <c r="J33" i="283" s="1"/>
  <c r="Q77" i="259" s="1"/>
  <c r="R77" i="259" s="1"/>
  <c r="J92" i="259"/>
  <c r="K76" i="259"/>
  <c r="I77" i="259" s="1"/>
  <c r="I72" i="259" s="1"/>
  <c r="J72" i="259" s="1"/>
  <c r="K25" i="259"/>
  <c r="I26" i="259" s="1"/>
  <c r="G89" i="278"/>
  <c r="F95" i="278"/>
  <c r="J98" i="278"/>
  <c r="I32" i="278"/>
  <c r="I98" i="278" s="1"/>
  <c r="F67" i="278"/>
  <c r="F68" i="278"/>
  <c r="F69" i="278"/>
  <c r="F70" i="278"/>
  <c r="F71" i="278"/>
  <c r="F77" i="278"/>
  <c r="G78" i="278"/>
  <c r="G79" i="278"/>
  <c r="G83" i="278"/>
  <c r="N83" i="278"/>
  <c r="G84" i="278"/>
  <c r="G85" i="278"/>
  <c r="J85" i="278"/>
  <c r="G86" i="278"/>
  <c r="G16" i="278"/>
  <c r="K16" i="278" s="1"/>
  <c r="F17" i="278"/>
  <c r="G17" i="278"/>
  <c r="AC4" i="278"/>
  <c r="AC5" i="278" s="1"/>
  <c r="AB4" i="278"/>
  <c r="AB5" i="278" s="1"/>
  <c r="U2" i="278"/>
  <c r="V2" i="278" s="1"/>
  <c r="F52" i="278" s="1"/>
  <c r="F24" i="269"/>
  <c r="G24" i="269" s="1"/>
  <c r="H24" i="269" s="1"/>
  <c r="F25" i="269"/>
  <c r="G25" i="269" s="1"/>
  <c r="H25" i="269" s="1"/>
  <c r="H17" i="283" l="1"/>
  <c r="I17" i="283" s="1"/>
  <c r="J17" i="283" s="1"/>
  <c r="Q56" i="259" s="1"/>
  <c r="R56" i="259" s="1"/>
  <c r="Q26" i="259"/>
  <c r="R26" i="259" s="1"/>
  <c r="J12" i="283"/>
  <c r="V72" i="259"/>
  <c r="K71" i="259"/>
  <c r="P72" i="259"/>
  <c r="K17" i="278"/>
  <c r="L15" i="278" s="1"/>
  <c r="I91" i="278"/>
  <c r="I58" i="278"/>
  <c r="I48" i="278"/>
  <c r="I42" i="278"/>
  <c r="I77" i="278"/>
  <c r="I70" i="278"/>
  <c r="K70" i="278" s="1"/>
  <c r="I64" i="278"/>
  <c r="I55" i="278"/>
  <c r="I39" i="278"/>
  <c r="I36" i="278"/>
  <c r="I85" i="278"/>
  <c r="K85" i="278" s="1"/>
  <c r="I79" i="278"/>
  <c r="I69" i="278"/>
  <c r="K69" i="278" s="1"/>
  <c r="I63" i="278"/>
  <c r="I52" i="278"/>
  <c r="K52" i="278" s="1"/>
  <c r="I35" i="278"/>
  <c r="I97" i="278"/>
  <c r="K97" i="278" s="1"/>
  <c r="I74" i="278"/>
  <c r="I57" i="278"/>
  <c r="I51" i="278"/>
  <c r="I45" i="278"/>
  <c r="I38" i="278"/>
  <c r="I84" i="278"/>
  <c r="K84" i="278" s="1"/>
  <c r="I68" i="278"/>
  <c r="K68" i="278" s="1"/>
  <c r="I41" i="278"/>
  <c r="I34" i="278"/>
  <c r="I99" i="278"/>
  <c r="K99" i="278" s="1"/>
  <c r="I96" i="278"/>
  <c r="K96" i="278" s="1"/>
  <c r="I78" i="278"/>
  <c r="I62" i="278"/>
  <c r="I56" i="278"/>
  <c r="I50" i="278"/>
  <c r="I44" i="278"/>
  <c r="I86" i="278"/>
  <c r="I71" i="278"/>
  <c r="K71" i="278" s="1"/>
  <c r="I67" i="278"/>
  <c r="K67" i="278" s="1"/>
  <c r="I40" i="278"/>
  <c r="I37" i="278"/>
  <c r="I83" i="278"/>
  <c r="N84" i="278" s="1"/>
  <c r="N85" i="278" s="1"/>
  <c r="F82" i="278" s="1"/>
  <c r="K82" i="278" s="1"/>
  <c r="I61" i="278"/>
  <c r="I49" i="278"/>
  <c r="I43" i="278"/>
  <c r="I33" i="278"/>
  <c r="F48" i="278"/>
  <c r="F23" i="278"/>
  <c r="AC6" i="278"/>
  <c r="AB6" i="278"/>
  <c r="D13" i="270"/>
  <c r="F22" i="271"/>
  <c r="H22" i="271" s="1"/>
  <c r="J73" i="259" l="1"/>
  <c r="K55" i="259"/>
  <c r="I56" i="259" s="1"/>
  <c r="K48" i="278"/>
  <c r="L66" i="278"/>
  <c r="AB7" i="278"/>
  <c r="AC7" i="278" s="1"/>
  <c r="F13" i="271"/>
  <c r="H13" i="271" s="1"/>
  <c r="F143" i="261" l="1"/>
  <c r="A11" i="270" l="1"/>
  <c r="C13" i="271" s="1"/>
  <c r="D11" i="270"/>
  <c r="I21" i="273" l="1"/>
  <c r="C30" i="273"/>
  <c r="B30" i="270" l="1"/>
  <c r="A21" i="270"/>
  <c r="C22" i="271" s="1"/>
  <c r="C23" i="273" l="1"/>
  <c r="D23" i="273"/>
  <c r="H23" i="273"/>
  <c r="I23" i="273"/>
  <c r="D30" i="273"/>
  <c r="E30" i="273"/>
  <c r="G30" i="273" s="1"/>
  <c r="L30" i="273" s="1"/>
  <c r="M30" i="273" s="1"/>
  <c r="O30" i="273" s="1"/>
  <c r="H30" i="273"/>
  <c r="I30" i="273"/>
  <c r="C35" i="273"/>
  <c r="D35" i="273"/>
  <c r="E35" i="273"/>
  <c r="G35" i="273" s="1"/>
  <c r="L35" i="273" s="1"/>
  <c r="M35" i="273" s="1"/>
  <c r="O35" i="273" s="1"/>
  <c r="H35" i="273"/>
  <c r="I35" i="273"/>
  <c r="C42" i="273"/>
  <c r="D42" i="273"/>
  <c r="E42" i="273"/>
  <c r="G42" i="273" s="1"/>
  <c r="L42" i="273" s="1"/>
  <c r="M42" i="273" s="1"/>
  <c r="O42" i="273" s="1"/>
  <c r="H42" i="273"/>
  <c r="I42" i="273"/>
  <c r="F107" i="261" l="1"/>
  <c r="F10" i="271" l="1"/>
  <c r="F11" i="271"/>
  <c r="F12" i="271"/>
  <c r="H12" i="271" s="1"/>
  <c r="F14" i="271"/>
  <c r="H14" i="271" s="1"/>
  <c r="F15" i="271"/>
  <c r="H15" i="271" s="1"/>
  <c r="F16" i="271"/>
  <c r="H16" i="271" s="1"/>
  <c r="F17" i="271"/>
  <c r="H17" i="271" s="1"/>
  <c r="F18" i="271"/>
  <c r="H18" i="271" s="1"/>
  <c r="F19" i="271"/>
  <c r="H19" i="271" s="1"/>
  <c r="F20" i="271"/>
  <c r="H20" i="271" s="1"/>
  <c r="F21" i="271"/>
  <c r="H21" i="271" s="1"/>
  <c r="F23" i="271"/>
  <c r="H23" i="271" s="1"/>
  <c r="H16" i="272"/>
  <c r="H17" i="272"/>
  <c r="H19" i="272"/>
  <c r="F32" i="278" l="1"/>
  <c r="K32" i="278" s="1"/>
  <c r="F39" i="278"/>
  <c r="K39" i="278" s="1"/>
  <c r="F50" i="278"/>
  <c r="K50" i="278" s="1"/>
  <c r="F63" i="278"/>
  <c r="K63" i="278" s="1"/>
  <c r="F40" i="278"/>
  <c r="K40" i="278" s="1"/>
  <c r="F51" i="278"/>
  <c r="K51" i="278" s="1"/>
  <c r="F64" i="278"/>
  <c r="K64" i="278" s="1"/>
  <c r="F78" i="278"/>
  <c r="K78" i="278" s="1"/>
  <c r="F22" i="278"/>
  <c r="F36" i="278"/>
  <c r="K36" i="278" s="1"/>
  <c r="F44" i="278"/>
  <c r="K44" i="278" s="1"/>
  <c r="F58" i="278"/>
  <c r="K58" i="278" s="1"/>
  <c r="F83" i="278"/>
  <c r="K83" i="278" s="1"/>
  <c r="F37" i="278"/>
  <c r="K37" i="278" s="1"/>
  <c r="F45" i="278"/>
  <c r="K45" i="278" s="1"/>
  <c r="F33" i="278"/>
  <c r="K33" i="278" s="1"/>
  <c r="F41" i="278"/>
  <c r="K41" i="278" s="1"/>
  <c r="F55" i="278"/>
  <c r="K55" i="278" s="1"/>
  <c r="F34" i="278"/>
  <c r="K34" i="278" s="1"/>
  <c r="F42" i="278"/>
  <c r="K42" i="278" s="1"/>
  <c r="F56" i="278"/>
  <c r="K56" i="278" s="1"/>
  <c r="F79" i="278"/>
  <c r="K79" i="278" s="1"/>
  <c r="F86" i="278"/>
  <c r="K86" i="278" s="1"/>
  <c r="F35" i="278"/>
  <c r="K35" i="278" s="1"/>
  <c r="F43" i="278"/>
  <c r="K43" i="278" s="1"/>
  <c r="F57" i="278"/>
  <c r="K57" i="278" s="1"/>
  <c r="F61" i="278"/>
  <c r="K61" i="278" s="1"/>
  <c r="F38" i="278"/>
  <c r="K38" i="278" s="1"/>
  <c r="F49" i="278"/>
  <c r="K49" i="278" s="1"/>
  <c r="F62" i="278"/>
  <c r="K62" i="278" s="1"/>
  <c r="F74" i="278"/>
  <c r="F21" i="278"/>
  <c r="L47" i="278" l="1"/>
  <c r="L31" i="278"/>
  <c r="L81" i="278"/>
  <c r="L60" i="278"/>
  <c r="L54" i="278"/>
  <c r="A31" i="270"/>
  <c r="A30" i="270"/>
  <c r="A41" i="270"/>
  <c r="A42" i="270"/>
  <c r="A40" i="270"/>
  <c r="A39" i="270"/>
  <c r="A38" i="270"/>
  <c r="A35" i="270"/>
  <c r="A34" i="270"/>
  <c r="A33" i="270"/>
  <c r="A32" i="270"/>
  <c r="A20" i="270"/>
  <c r="C23" i="271" s="1"/>
  <c r="D20" i="270"/>
  <c r="D21" i="270"/>
  <c r="D19" i="270"/>
  <c r="D18" i="270"/>
  <c r="D17" i="270"/>
  <c r="D16" i="270"/>
  <c r="D15" i="270"/>
  <c r="D14" i="270"/>
  <c r="D12" i="270"/>
  <c r="D10" i="270"/>
  <c r="D9" i="270"/>
  <c r="D8" i="270"/>
  <c r="D7" i="270"/>
  <c r="A19" i="270" l="1"/>
  <c r="C21" i="271" s="1"/>
  <c r="A18" i="270"/>
  <c r="C20" i="271" s="1"/>
  <c r="A17" i="270"/>
  <c r="A16" i="270"/>
  <c r="A15" i="270"/>
  <c r="C17" i="271" s="1"/>
  <c r="A14" i="270"/>
  <c r="A13" i="270"/>
  <c r="A12" i="270"/>
  <c r="A10" i="270"/>
  <c r="A9" i="270"/>
  <c r="C11" i="271" s="1"/>
  <c r="A8" i="270"/>
  <c r="C10" i="271" s="1"/>
  <c r="C14" i="271" l="1"/>
  <c r="C17" i="259"/>
  <c r="C15" i="271"/>
  <c r="C18" i="259"/>
  <c r="C19" i="271"/>
  <c r="C21" i="259"/>
  <c r="C16" i="271"/>
  <c r="C19" i="259"/>
  <c r="C12" i="271"/>
  <c r="C16" i="259"/>
  <c r="C18" i="271"/>
  <c r="C20" i="259"/>
  <c r="F55" i="261"/>
  <c r="F65" i="261"/>
  <c r="F66" i="261"/>
  <c r="F77" i="261"/>
  <c r="F78" i="261"/>
  <c r="F79" i="261"/>
  <c r="F73" i="261"/>
  <c r="F81" i="261"/>
  <c r="F74" i="261"/>
  <c r="F82" i="261"/>
  <c r="F75" i="261"/>
  <c r="F83" i="261"/>
  <c r="F76" i="261"/>
  <c r="F84" i="261"/>
  <c r="F67" i="261"/>
  <c r="F68" i="261"/>
  <c r="F69" i="261"/>
  <c r="F54" i="261"/>
  <c r="F53" i="261"/>
  <c r="S19" i="259" l="1"/>
  <c r="M19" i="259"/>
  <c r="S21" i="259"/>
  <c r="M21" i="259"/>
  <c r="S18" i="259"/>
  <c r="M18" i="259"/>
  <c r="M16" i="259"/>
  <c r="S16" i="259"/>
  <c r="S17" i="259"/>
  <c r="M17" i="259"/>
  <c r="M20" i="259"/>
  <c r="S20" i="259"/>
  <c r="F40" i="261"/>
  <c r="F14" i="261"/>
  <c r="B33" i="270" s="1"/>
  <c r="F15" i="261"/>
  <c r="B34" i="270" s="1"/>
  <c r="F16" i="261"/>
  <c r="B35" i="270" s="1"/>
  <c r="E18" i="274" l="1"/>
  <c r="N18" i="274" l="1"/>
  <c r="C13" i="275" l="1"/>
  <c r="M17" i="275"/>
  <c r="A18" i="275"/>
  <c r="A19" i="275" s="1"/>
  <c r="A20" i="275" s="1"/>
  <c r="A21" i="275" s="1"/>
  <c r="A22" i="275" s="1"/>
  <c r="D20" i="275"/>
  <c r="D29" i="275"/>
  <c r="E17" i="274"/>
  <c r="E16" i="274"/>
  <c r="A17" i="274"/>
  <c r="D19" i="274"/>
  <c r="E19" i="274" s="1"/>
  <c r="E20" i="274"/>
  <c r="A18" i="274" l="1"/>
  <c r="E35" i="275"/>
  <c r="H35" i="275" s="1"/>
  <c r="E22" i="275"/>
  <c r="H22" i="275" s="1"/>
  <c r="E20" i="275"/>
  <c r="H20" i="275" s="1"/>
  <c r="E18" i="275"/>
  <c r="H18" i="275" s="1"/>
  <c r="E21" i="275"/>
  <c r="E34" i="275"/>
  <c r="H34" i="275" s="1"/>
  <c r="C12" i="274"/>
  <c r="H21" i="274" s="1"/>
  <c r="E33" i="275"/>
  <c r="H33" i="275" s="1"/>
  <c r="E19" i="275"/>
  <c r="E17" i="275"/>
  <c r="H19" i="274" l="1"/>
  <c r="H18" i="274"/>
  <c r="H20" i="274"/>
  <c r="H21" i="275"/>
  <c r="H16" i="274"/>
  <c r="H17" i="274"/>
  <c r="H19" i="275"/>
  <c r="H17" i="275"/>
  <c r="H22" i="274" l="1"/>
  <c r="H24" i="274" s="1"/>
  <c r="F92" i="278" s="1"/>
  <c r="H23" i="275"/>
  <c r="H25" i="275" s="1"/>
  <c r="F93" i="278" s="1"/>
  <c r="H48" i="275" l="1"/>
  <c r="H25" i="274"/>
  <c r="H26" i="275"/>
  <c r="G25" i="271" l="1"/>
  <c r="G24" i="271"/>
  <c r="G26" i="271" l="1"/>
  <c r="G27" i="271"/>
  <c r="F12" i="261"/>
  <c r="B42" i="273" l="1"/>
  <c r="F32" i="261" l="1"/>
  <c r="B23" i="273" l="1"/>
  <c r="E23" i="273"/>
  <c r="G23" i="273" s="1"/>
  <c r="L23" i="273" s="1"/>
  <c r="M23" i="273" s="1"/>
  <c r="O23" i="273" s="1"/>
  <c r="B35" i="273"/>
  <c r="B30" i="273"/>
  <c r="D9" i="278" l="1"/>
  <c r="B8" i="265" s="1"/>
  <c r="D8" i="278"/>
  <c r="B7" i="265" s="1"/>
  <c r="D5" i="278"/>
  <c r="B4" i="265" s="1"/>
  <c r="F34" i="261" l="1"/>
  <c r="F31" i="261"/>
  <c r="F48" i="261" l="1"/>
  <c r="F142" i="261" l="1"/>
  <c r="F90" i="261"/>
  <c r="F50" i="261" l="1"/>
  <c r="F49" i="261"/>
  <c r="F20" i="261"/>
  <c r="B38" i="270" s="1"/>
  <c r="F52" i="261"/>
  <c r="F43" i="261"/>
  <c r="F41" i="261"/>
  <c r="F13" i="261" l="1"/>
  <c r="B32" i="270" s="1"/>
  <c r="C16" i="273"/>
  <c r="D16" i="273"/>
  <c r="E16" i="273"/>
  <c r="G16" i="273" s="1"/>
  <c r="I16" i="273"/>
  <c r="C17" i="273"/>
  <c r="D17" i="273"/>
  <c r="E17" i="273"/>
  <c r="G17" i="273" s="1"/>
  <c r="I17" i="273"/>
  <c r="C18" i="273"/>
  <c r="D18" i="273"/>
  <c r="E18" i="273"/>
  <c r="G18" i="273" s="1"/>
  <c r="I18" i="273"/>
  <c r="C19" i="273"/>
  <c r="D19" i="273"/>
  <c r="E19" i="273"/>
  <c r="L19" i="273" s="1"/>
  <c r="M19" i="273" s="1"/>
  <c r="O19" i="273" s="1"/>
  <c r="I19" i="273"/>
  <c r="C20" i="273"/>
  <c r="D20" i="273"/>
  <c r="E20" i="273"/>
  <c r="L20" i="273" s="1"/>
  <c r="M20" i="273" s="1"/>
  <c r="O20" i="273" s="1"/>
  <c r="I20" i="273"/>
  <c r="C14" i="273"/>
  <c r="D14" i="273"/>
  <c r="E14" i="273"/>
  <c r="G14" i="273" s="1"/>
  <c r="L14" i="273" s="1"/>
  <c r="M14" i="273" s="1"/>
  <c r="O14" i="273" s="1"/>
  <c r="I14" i="273"/>
  <c r="G20" i="273" l="1"/>
  <c r="G19" i="273"/>
  <c r="L18" i="273"/>
  <c r="M18" i="273" s="1"/>
  <c r="O18" i="273" s="1"/>
  <c r="L17" i="273"/>
  <c r="M17" i="273" s="1"/>
  <c r="O17" i="273" s="1"/>
  <c r="L16" i="273"/>
  <c r="M16" i="273" s="1"/>
  <c r="O16" i="273" s="1"/>
  <c r="F63" i="261" l="1"/>
  <c r="F35" i="261"/>
  <c r="F42" i="261"/>
  <c r="F38" i="261"/>
  <c r="F30" i="261" l="1"/>
  <c r="B7" i="270" s="1"/>
  <c r="E9" i="271" s="1"/>
  <c r="G9" i="271" s="1"/>
  <c r="I15" i="273"/>
  <c r="E15" i="273"/>
  <c r="G15" i="273" s="1"/>
  <c r="I12" i="273"/>
  <c r="E12" i="273"/>
  <c r="G12" i="273" s="1"/>
  <c r="L12" i="273" s="1"/>
  <c r="M12" i="273" s="1"/>
  <c r="O12" i="273" s="1"/>
  <c r="E45" i="273"/>
  <c r="G45" i="273" s="1"/>
  <c r="L45" i="273" s="1"/>
  <c r="M45" i="273" s="1"/>
  <c r="O45" i="273" s="1"/>
  <c r="I45" i="273"/>
  <c r="L15" i="273" l="1"/>
  <c r="M15" i="273" s="1"/>
  <c r="O15" i="273" s="1"/>
  <c r="I32" i="273"/>
  <c r="E32" i="273"/>
  <c r="G32" i="273" s="1"/>
  <c r="L32" i="273" s="1"/>
  <c r="M32" i="273" s="1"/>
  <c r="O32" i="273" s="1"/>
  <c r="D32" i="273"/>
  <c r="I31" i="273"/>
  <c r="E31" i="273"/>
  <c r="G31" i="273" s="1"/>
  <c r="L31" i="273" s="1"/>
  <c r="M31" i="273" s="1"/>
  <c r="O31" i="273" s="1"/>
  <c r="D31" i="273"/>
  <c r="E33" i="273"/>
  <c r="D33" i="273"/>
  <c r="E46" i="273"/>
  <c r="E47" i="273"/>
  <c r="L47" i="273" s="1"/>
  <c r="M47" i="273" s="1"/>
  <c r="O47" i="273" s="1"/>
  <c r="E44" i="273"/>
  <c r="E43" i="273"/>
  <c r="I41" i="273"/>
  <c r="E41" i="273"/>
  <c r="G41" i="273" s="1"/>
  <c r="L41" i="273" s="1"/>
  <c r="M41" i="273" s="1"/>
  <c r="O41" i="273" s="1"/>
  <c r="E40" i="273"/>
  <c r="L40" i="273" s="1"/>
  <c r="M40" i="273" s="1"/>
  <c r="O40" i="273" s="1"/>
  <c r="E39" i="273"/>
  <c r="I38" i="273"/>
  <c r="E38" i="273"/>
  <c r="G38" i="273" s="1"/>
  <c r="L38" i="273" s="1"/>
  <c r="M38" i="273" s="1"/>
  <c r="O38" i="273" s="1"/>
  <c r="E37" i="273"/>
  <c r="E36" i="273"/>
  <c r="I29" i="273"/>
  <c r="E29" i="273"/>
  <c r="G29" i="273" s="1"/>
  <c r="L29" i="273" s="1"/>
  <c r="M29" i="273" s="1"/>
  <c r="O29" i="273" s="1"/>
  <c r="E28" i="273"/>
  <c r="E27" i="273"/>
  <c r="I26" i="273"/>
  <c r="E26" i="273"/>
  <c r="G26" i="273" s="1"/>
  <c r="L26" i="273" s="1"/>
  <c r="M26" i="273" s="1"/>
  <c r="O26" i="273" s="1"/>
  <c r="E25" i="273"/>
  <c r="E24" i="273"/>
  <c r="I22" i="273"/>
  <c r="E22" i="273"/>
  <c r="G22" i="273" s="1"/>
  <c r="L22" i="273" s="1"/>
  <c r="M22" i="273" s="1"/>
  <c r="O22" i="273" s="1"/>
  <c r="E21" i="273"/>
  <c r="I13" i="273"/>
  <c r="L33" i="273" l="1"/>
  <c r="M33" i="273" s="1"/>
  <c r="O33" i="273" s="1"/>
  <c r="L28" i="273"/>
  <c r="M28" i="273" s="1"/>
  <c r="O28" i="273" s="1"/>
  <c r="L21" i="273"/>
  <c r="M21" i="273" s="1"/>
  <c r="O21" i="273" s="1"/>
  <c r="H41" i="273" l="1"/>
  <c r="H29" i="273"/>
  <c r="H22" i="273"/>
  <c r="D47" i="273"/>
  <c r="C47" i="273"/>
  <c r="D46" i="273"/>
  <c r="C46" i="273"/>
  <c r="D45" i="273"/>
  <c r="C45" i="273"/>
  <c r="D44" i="273"/>
  <c r="C44" i="273"/>
  <c r="D43" i="273"/>
  <c r="C43" i="273"/>
  <c r="D41" i="273"/>
  <c r="C41" i="273"/>
  <c r="D40" i="273"/>
  <c r="C40" i="273"/>
  <c r="D39" i="273"/>
  <c r="C39" i="273"/>
  <c r="D38" i="273"/>
  <c r="C38" i="273"/>
  <c r="D37" i="273"/>
  <c r="C37" i="273"/>
  <c r="D36" i="273"/>
  <c r="C36" i="273"/>
  <c r="D29" i="273"/>
  <c r="C29" i="273"/>
  <c r="D28" i="273"/>
  <c r="C28" i="273"/>
  <c r="D27" i="273"/>
  <c r="C27" i="273"/>
  <c r="D26" i="273"/>
  <c r="C26" i="273"/>
  <c r="D25" i="273"/>
  <c r="C25" i="273"/>
  <c r="D24" i="273"/>
  <c r="C24" i="273"/>
  <c r="D15" i="273"/>
  <c r="C15" i="273"/>
  <c r="C8" i="273"/>
  <c r="I34" i="273"/>
  <c r="H34" i="273"/>
  <c r="E34" i="273"/>
  <c r="G34" i="273" s="1"/>
  <c r="L34" i="273" s="1"/>
  <c r="M34" i="273" s="1"/>
  <c r="O34" i="273" s="1"/>
  <c r="D34" i="273"/>
  <c r="C34" i="273"/>
  <c r="C33" i="273"/>
  <c r="C32" i="273"/>
  <c r="C31" i="273"/>
  <c r="D22" i="273"/>
  <c r="C22" i="273"/>
  <c r="D21" i="273"/>
  <c r="C21" i="273"/>
  <c r="D13" i="273"/>
  <c r="C13" i="273"/>
  <c r="D12" i="273"/>
  <c r="C12" i="273"/>
  <c r="I11" i="273"/>
  <c r="E11" i="273"/>
  <c r="G11" i="273" s="1"/>
  <c r="L11" i="273" s="1"/>
  <c r="M11" i="273" s="1"/>
  <c r="O11" i="273" s="1"/>
  <c r="D11" i="273"/>
  <c r="C11" i="273"/>
  <c r="I10" i="273"/>
  <c r="E10" i="273"/>
  <c r="G10" i="273" s="1"/>
  <c r="L10" i="273" s="1"/>
  <c r="M10" i="273" s="1"/>
  <c r="O10" i="273" s="1"/>
  <c r="D10" i="273"/>
  <c r="C10" i="273"/>
  <c r="I9" i="273"/>
  <c r="E9" i="273"/>
  <c r="G9" i="273" s="1"/>
  <c r="D9" i="273"/>
  <c r="C9" i="273"/>
  <c r="C7" i="273"/>
  <c r="L9" i="273" l="1"/>
  <c r="M9" i="273" s="1"/>
  <c r="O9" i="273" s="1"/>
  <c r="I44" i="273" l="1"/>
  <c r="G44" i="273"/>
  <c r="L44" i="273" s="1"/>
  <c r="M44" i="273" s="1"/>
  <c r="O44" i="273" s="1"/>
  <c r="I37" i="273"/>
  <c r="G37" i="273"/>
  <c r="L37" i="273" s="1"/>
  <c r="M37" i="273" s="1"/>
  <c r="O37" i="273" s="1"/>
  <c r="H32" i="273"/>
  <c r="H31" i="273"/>
  <c r="H9" i="273"/>
  <c r="H44" i="273" l="1"/>
  <c r="H37" i="273"/>
  <c r="E13" i="273" l="1"/>
  <c r="G13" i="273" s="1"/>
  <c r="L13" i="273" s="1"/>
  <c r="M13" i="273" s="1"/>
  <c r="O13" i="273" s="1"/>
  <c r="I25" i="273" l="1"/>
  <c r="G25" i="273"/>
  <c r="L25" i="273" s="1"/>
  <c r="M25" i="273" s="1"/>
  <c r="O25" i="273" s="1"/>
  <c r="H10" i="273" l="1"/>
  <c r="H17" i="273" l="1"/>
  <c r="H26" i="273"/>
  <c r="H45" i="273"/>
  <c r="H25" i="273"/>
  <c r="H38" i="273"/>
  <c r="I27" i="273" l="1"/>
  <c r="G27" i="273"/>
  <c r="I39" i="273"/>
  <c r="G39" i="273"/>
  <c r="L39" i="273" s="1"/>
  <c r="M39" i="273" s="1"/>
  <c r="O39" i="273" s="1"/>
  <c r="I46" i="273"/>
  <c r="G46" i="273"/>
  <c r="L46" i="273" s="1"/>
  <c r="M46" i="273" s="1"/>
  <c r="O46" i="273" s="1"/>
  <c r="L27" i="273" l="1"/>
  <c r="M27" i="273" s="1"/>
  <c r="O27" i="273" s="1"/>
  <c r="H39" i="273"/>
  <c r="H19" i="273"/>
  <c r="H27" i="273" l="1"/>
  <c r="H46" i="273"/>
  <c r="I24" i="273" l="1"/>
  <c r="G24" i="273"/>
  <c r="L24" i="273" s="1"/>
  <c r="M24" i="273" s="1"/>
  <c r="O24" i="273" s="1"/>
  <c r="I36" i="273"/>
  <c r="G36" i="273"/>
  <c r="L36" i="273" s="1"/>
  <c r="M36" i="273" s="1"/>
  <c r="O36" i="273" s="1"/>
  <c r="I43" i="273"/>
  <c r="G43" i="273"/>
  <c r="L43" i="273" s="1"/>
  <c r="M43" i="273" s="1"/>
  <c r="O43" i="273" s="1"/>
  <c r="H36" i="273" l="1"/>
  <c r="H24" i="273"/>
  <c r="G21" i="273" l="1"/>
  <c r="I28" i="273"/>
  <c r="G28" i="273"/>
  <c r="I33" i="273"/>
  <c r="G33" i="273"/>
  <c r="I47" i="273"/>
  <c r="G47" i="273"/>
  <c r="I40" i="273"/>
  <c r="G40" i="273"/>
  <c r="B17" i="273" l="1"/>
  <c r="B14" i="273"/>
  <c r="B18" i="273"/>
  <c r="B20" i="273"/>
  <c r="B19" i="273"/>
  <c r="H28" i="273"/>
  <c r="B39" i="273"/>
  <c r="B31" i="273"/>
  <c r="B32" i="273"/>
  <c r="B27" i="273"/>
  <c r="B45" i="273"/>
  <c r="B38" i="273"/>
  <c r="B26" i="273"/>
  <c r="B46" i="273"/>
  <c r="B22" i="273"/>
  <c r="B36" i="273"/>
  <c r="B37" i="273"/>
  <c r="B41" i="273"/>
  <c r="B34" i="273"/>
  <c r="B24" i="273"/>
  <c r="B25" i="273"/>
  <c r="B29" i="273"/>
  <c r="B47" i="273"/>
  <c r="B21" i="273"/>
  <c r="B15" i="273"/>
  <c r="B40" i="273"/>
  <c r="B33" i="273"/>
  <c r="B28" i="273"/>
  <c r="B43" i="273"/>
  <c r="B44" i="273"/>
  <c r="B10" i="273"/>
  <c r="B11" i="273"/>
  <c r="H21" i="273" l="1"/>
  <c r="H20" i="273"/>
  <c r="H40" i="273"/>
  <c r="H33" i="273"/>
  <c r="H43" i="273"/>
  <c r="H47" i="273"/>
  <c r="H14" i="273" l="1"/>
  <c r="G87" i="270" l="1"/>
  <c r="G95" i="278" l="1"/>
  <c r="K95" i="278" s="1"/>
  <c r="B6" i="266" l="1"/>
  <c r="B5" i="265"/>
  <c r="B5" i="266" s="1"/>
  <c r="B5" i="272" l="1"/>
  <c r="B5" i="274"/>
  <c r="B5" i="275"/>
  <c r="B6" i="272"/>
  <c r="B6" i="274"/>
  <c r="B6" i="275"/>
  <c r="E20" i="272" l="1"/>
  <c r="H20" i="272" s="1"/>
  <c r="E21" i="272" l="1"/>
  <c r="H21" i="272" s="1"/>
  <c r="A8" i="272"/>
  <c r="A7" i="272"/>
  <c r="A6" i="272"/>
  <c r="A5" i="272"/>
  <c r="A4" i="272"/>
  <c r="E14" i="272" l="1"/>
  <c r="H14" i="272" s="1"/>
  <c r="E18" i="272"/>
  <c r="H18" i="272" s="1"/>
  <c r="E15" i="272"/>
  <c r="H15" i="272" s="1"/>
  <c r="H22" i="272" l="1"/>
  <c r="H24" i="272" l="1"/>
  <c r="F94" i="278" s="1"/>
  <c r="K94" i="278" s="1"/>
  <c r="L22" i="270"/>
  <c r="K22" i="270"/>
  <c r="E30" i="270" l="1"/>
  <c r="G94" i="300" s="1"/>
  <c r="K94" i="300" s="1"/>
  <c r="G98" i="278" l="1"/>
  <c r="K98" i="278" s="1"/>
  <c r="H18" i="273"/>
  <c r="H16" i="273" l="1"/>
  <c r="E6" i="268" l="1"/>
  <c r="D6" i="268" s="1"/>
  <c r="J31" i="268"/>
  <c r="I31" i="268"/>
  <c r="H31" i="268"/>
  <c r="G31" i="268"/>
  <c r="F31" i="268"/>
  <c r="E31" i="268"/>
  <c r="D31" i="268"/>
  <c r="G18" i="268"/>
  <c r="F18" i="268"/>
  <c r="E18" i="268"/>
  <c r="D18" i="268"/>
  <c r="D8" i="268" l="1"/>
  <c r="D10" i="268" s="1"/>
  <c r="E7" i="268"/>
  <c r="F7" i="268" s="1"/>
  <c r="E8" i="268" l="1"/>
  <c r="E10" i="268" s="1"/>
  <c r="E16" i="268" s="1"/>
  <c r="G7" i="268"/>
  <c r="F8" i="268"/>
  <c r="F10" i="268" s="1"/>
  <c r="F11" i="268" s="1"/>
  <c r="F19" i="268" s="1"/>
  <c r="D11" i="268"/>
  <c r="D16" i="268"/>
  <c r="C23" i="267"/>
  <c r="C24" i="268" s="1"/>
  <c r="C20" i="267"/>
  <c r="C16" i="267" s="1"/>
  <c r="C25" i="268" s="1"/>
  <c r="C12" i="267"/>
  <c r="C23" i="268" s="1"/>
  <c r="C7" i="267"/>
  <c r="C20" i="268" s="1"/>
  <c r="C3" i="267"/>
  <c r="C17" i="268" s="1"/>
  <c r="E11" i="268" l="1"/>
  <c r="E19" i="268" s="1"/>
  <c r="F16" i="268"/>
  <c r="H7" i="268"/>
  <c r="G8" i="268"/>
  <c r="G10" i="268" s="1"/>
  <c r="E17" i="268"/>
  <c r="E13" i="268"/>
  <c r="E25" i="268"/>
  <c r="E24" i="268"/>
  <c r="E23" i="268"/>
  <c r="E22" i="268"/>
  <c r="E21" i="268"/>
  <c r="E20" i="268"/>
  <c r="D17" i="268"/>
  <c r="D19" i="268"/>
  <c r="D25" i="268"/>
  <c r="D24" i="268"/>
  <c r="D23" i="268"/>
  <c r="D22" i="268"/>
  <c r="D21" i="268"/>
  <c r="D20" i="268"/>
  <c r="D13" i="268"/>
  <c r="F25" i="268"/>
  <c r="F24" i="268"/>
  <c r="F23" i="268"/>
  <c r="F22" i="268"/>
  <c r="F21" i="268"/>
  <c r="F20" i="268"/>
  <c r="F13" i="268"/>
  <c r="F17" i="268"/>
  <c r="A4" i="266"/>
  <c r="A5" i="266"/>
  <c r="A6" i="266"/>
  <c r="A7" i="266"/>
  <c r="A8" i="266"/>
  <c r="A4" i="275" l="1"/>
  <c r="A4" i="274"/>
  <c r="A8" i="275"/>
  <c r="A8" i="274"/>
  <c r="A7" i="275"/>
  <c r="A7" i="274"/>
  <c r="A5" i="275"/>
  <c r="A5" i="274"/>
  <c r="A6" i="275"/>
  <c r="A6" i="274"/>
  <c r="G16" i="268"/>
  <c r="G11" i="268"/>
  <c r="D30" i="268"/>
  <c r="I7" i="268"/>
  <c r="H8" i="268"/>
  <c r="H10" i="268" s="1"/>
  <c r="F28" i="268"/>
  <c r="E29" i="268"/>
  <c r="F27" i="268"/>
  <c r="D29" i="268"/>
  <c r="D27" i="268"/>
  <c r="D26" i="268"/>
  <c r="E27" i="268"/>
  <c r="E28" i="268"/>
  <c r="F29" i="268"/>
  <c r="F30" i="268"/>
  <c r="E30" i="268"/>
  <c r="E26" i="268"/>
  <c r="F26" i="268"/>
  <c r="D28" i="268"/>
  <c r="H16" i="268" l="1"/>
  <c r="H11" i="268"/>
  <c r="J7" i="268"/>
  <c r="J8" i="268" s="1"/>
  <c r="J10" i="268" s="1"/>
  <c r="I8" i="268"/>
  <c r="I10" i="268" s="1"/>
  <c r="G19" i="268"/>
  <c r="G22" i="268"/>
  <c r="G21" i="268"/>
  <c r="G24" i="268"/>
  <c r="G20" i="268"/>
  <c r="G13" i="268"/>
  <c r="G17" i="268"/>
  <c r="G25" i="268"/>
  <c r="G23" i="268"/>
  <c r="F32" i="268"/>
  <c r="F34" i="268" s="1"/>
  <c r="F35" i="268" s="1"/>
  <c r="F37" i="268" s="1"/>
  <c r="F39" i="268" s="1"/>
  <c r="D32" i="268"/>
  <c r="D34" i="268" s="1"/>
  <c r="D35" i="268" s="1"/>
  <c r="D37" i="268" s="1"/>
  <c r="E32" i="268"/>
  <c r="E34" i="268" s="1"/>
  <c r="E35" i="268" s="1"/>
  <c r="E37" i="268" s="1"/>
  <c r="E39" i="268" s="1"/>
  <c r="D39" i="268" l="1"/>
  <c r="I11" i="268"/>
  <c r="I16" i="268"/>
  <c r="J16" i="268"/>
  <c r="J11" i="268"/>
  <c r="G30" i="268"/>
  <c r="G28" i="268"/>
  <c r="G27" i="268"/>
  <c r="G29" i="268"/>
  <c r="H19" i="268"/>
  <c r="H25" i="268"/>
  <c r="H24" i="268"/>
  <c r="H22" i="268"/>
  <c r="H13" i="268"/>
  <c r="H21" i="268"/>
  <c r="H17" i="268"/>
  <c r="H23" i="268"/>
  <c r="H20" i="268"/>
  <c r="G26" i="268"/>
  <c r="E38" i="265"/>
  <c r="H27" i="268" l="1"/>
  <c r="H29" i="268"/>
  <c r="H28" i="268"/>
  <c r="H26" i="268"/>
  <c r="G32" i="268"/>
  <c r="G34" i="268" s="1"/>
  <c r="G35" i="268" s="1"/>
  <c r="G37" i="268" s="1"/>
  <c r="G39" i="268" s="1"/>
  <c r="J25" i="268"/>
  <c r="J24" i="268"/>
  <c r="J23" i="268"/>
  <c r="J22" i="268"/>
  <c r="J21" i="268"/>
  <c r="J13" i="268"/>
  <c r="J20" i="268"/>
  <c r="J19" i="268"/>
  <c r="J17" i="268"/>
  <c r="H30" i="268"/>
  <c r="I23" i="268"/>
  <c r="I22" i="268"/>
  <c r="I25" i="268"/>
  <c r="I21" i="268"/>
  <c r="I13" i="268"/>
  <c r="I20" i="268"/>
  <c r="I17" i="268"/>
  <c r="I19" i="268"/>
  <c r="I24" i="268"/>
  <c r="I29" i="268" l="1"/>
  <c r="H32" i="268"/>
  <c r="H34" i="268" s="1"/>
  <c r="H35" i="268" s="1"/>
  <c r="H37" i="268" s="1"/>
  <c r="I28" i="268"/>
  <c r="J30" i="268"/>
  <c r="I30" i="268"/>
  <c r="J29" i="268"/>
  <c r="I27" i="268"/>
  <c r="J28" i="268"/>
  <c r="J27" i="268"/>
  <c r="I26" i="268"/>
  <c r="J26" i="268"/>
  <c r="C11" i="266"/>
  <c r="C12" i="266" s="1"/>
  <c r="C11" i="265"/>
  <c r="E33" i="265"/>
  <c r="E36" i="265"/>
  <c r="E34" i="265"/>
  <c r="E29" i="265"/>
  <c r="E28" i="265"/>
  <c r="E24" i="265"/>
  <c r="E23" i="265"/>
  <c r="E20" i="265"/>
  <c r="E18" i="265"/>
  <c r="H39" i="268" l="1"/>
  <c r="I32" i="268"/>
  <c r="I34" i="268" s="1"/>
  <c r="I35" i="268" s="1"/>
  <c r="I37" i="268" s="1"/>
  <c r="J32" i="268"/>
  <c r="J34" i="268" s="1"/>
  <c r="J35" i="268" s="1"/>
  <c r="J37" i="268" s="1"/>
  <c r="E29" i="266"/>
  <c r="E20" i="266"/>
  <c r="E28" i="266"/>
  <c r="E22" i="266"/>
  <c r="E30" i="266"/>
  <c r="E23" i="266"/>
  <c r="E31" i="266"/>
  <c r="E16" i="266"/>
  <c r="E24" i="266"/>
  <c r="E32" i="266"/>
  <c r="E17" i="266"/>
  <c r="E25" i="266"/>
  <c r="E33" i="266"/>
  <c r="E18" i="266"/>
  <c r="E26" i="266"/>
  <c r="E34" i="266"/>
  <c r="E19" i="266"/>
  <c r="E27" i="266"/>
  <c r="E21" i="266"/>
  <c r="E19" i="265"/>
  <c r="E25" i="265"/>
  <c r="E30" i="265"/>
  <c r="E35" i="265"/>
  <c r="C12" i="265"/>
  <c r="E21" i="265"/>
  <c r="E26" i="265"/>
  <c r="E31" i="265"/>
  <c r="E37" i="265"/>
  <c r="E16" i="265"/>
  <c r="E32" i="265"/>
  <c r="E17" i="265"/>
  <c r="E22" i="265"/>
  <c r="E27" i="265"/>
  <c r="I39" i="268" l="1"/>
  <c r="J39" i="268"/>
  <c r="H29" i="266"/>
  <c r="H18" i="266"/>
  <c r="H23" i="266"/>
  <c r="H25" i="266"/>
  <c r="H33" i="266"/>
  <c r="H34" i="266"/>
  <c r="H16" i="266"/>
  <c r="H17" i="266"/>
  <c r="H26" i="266"/>
  <c r="H31" i="266"/>
  <c r="H38" i="265"/>
  <c r="H33" i="265"/>
  <c r="H27" i="265"/>
  <c r="H34" i="265"/>
  <c r="H17" i="265"/>
  <c r="H21" i="266"/>
  <c r="H30" i="266"/>
  <c r="H22" i="266"/>
  <c r="H27" i="266"/>
  <c r="H19" i="266"/>
  <c r="H32" i="266"/>
  <c r="H28" i="266"/>
  <c r="H24" i="266"/>
  <c r="H20" i="266"/>
  <c r="H22" i="265"/>
  <c r="H31" i="265"/>
  <c r="H24" i="265"/>
  <c r="H26" i="265"/>
  <c r="H21" i="265"/>
  <c r="H30" i="265"/>
  <c r="H23" i="265"/>
  <c r="H28" i="265"/>
  <c r="H20" i="265"/>
  <c r="H25" i="265"/>
  <c r="H19" i="265"/>
  <c r="H18" i="265"/>
  <c r="H32" i="265"/>
  <c r="H36" i="265"/>
  <c r="H37" i="265"/>
  <c r="H16" i="265"/>
  <c r="H35" i="265"/>
  <c r="H29" i="265"/>
  <c r="H35" i="266" l="1"/>
  <c r="H38" i="266" s="1"/>
  <c r="F88" i="300" s="1"/>
  <c r="K88" i="300" s="1"/>
  <c r="H39" i="265"/>
  <c r="H42" i="265" s="1"/>
  <c r="F89" i="300" s="1"/>
  <c r="F90" i="300" l="1"/>
  <c r="K90" i="300" s="1"/>
  <c r="F90" i="278"/>
  <c r="F89" i="278"/>
  <c r="F91" i="278" s="1"/>
  <c r="K91" i="278" s="1"/>
  <c r="H43" i="265"/>
  <c r="H39" i="266"/>
  <c r="K89" i="278" l="1"/>
  <c r="K92" i="278"/>
  <c r="B8" i="273" l="1"/>
  <c r="B16" i="273" l="1"/>
  <c r="B12" i="273"/>
  <c r="B13" i="273"/>
  <c r="B9" i="273"/>
  <c r="B8" i="266" l="1"/>
  <c r="B7" i="266"/>
  <c r="B4" i="266"/>
  <c r="B7" i="272" l="1"/>
  <c r="B7" i="274"/>
  <c r="B7" i="275"/>
  <c r="B8" i="272"/>
  <c r="B8" i="275"/>
  <c r="B8" i="274"/>
  <c r="B4" i="272"/>
  <c r="B4" i="274"/>
  <c r="B4" i="275"/>
  <c r="H13" i="273" l="1"/>
  <c r="H15" i="273"/>
  <c r="H12" i="273"/>
  <c r="H11" i="273"/>
  <c r="B19" i="270" l="1"/>
  <c r="I19" i="270" s="1"/>
  <c r="B12" i="270"/>
  <c r="F12" i="270" s="1"/>
  <c r="B11" i="270"/>
  <c r="I11" i="270" s="1"/>
  <c r="I7" i="270"/>
  <c r="B14" i="270"/>
  <c r="E16" i="271" s="1"/>
  <c r="G16" i="271" s="1"/>
  <c r="B21" i="270"/>
  <c r="E22" i="271" s="1"/>
  <c r="G22" i="271" s="1"/>
  <c r="B18" i="270"/>
  <c r="E20" i="271" s="1"/>
  <c r="G20" i="271" s="1"/>
  <c r="E35" i="270"/>
  <c r="B16" i="270"/>
  <c r="I16" i="270" s="1"/>
  <c r="B8" i="270"/>
  <c r="F8" i="270" s="1"/>
  <c r="B10" i="270"/>
  <c r="I10" i="270" s="1"/>
  <c r="B17" i="270"/>
  <c r="F17" i="270" s="1"/>
  <c r="F19" i="270" l="1"/>
  <c r="E21" i="271"/>
  <c r="G21" i="271" s="1"/>
  <c r="E13" i="271"/>
  <c r="G13" i="271" s="1"/>
  <c r="E14" i="271"/>
  <c r="G14" i="271" s="1"/>
  <c r="E19" i="271"/>
  <c r="G19" i="271" s="1"/>
  <c r="I12" i="270"/>
  <c r="F14" i="270"/>
  <c r="E18" i="271"/>
  <c r="G18" i="271" s="1"/>
  <c r="F7" i="270"/>
  <c r="I21" i="270"/>
  <c r="I17" i="270"/>
  <c r="I14" i="270"/>
  <c r="F16" i="270"/>
  <c r="F11" i="270"/>
  <c r="F21" i="270"/>
  <c r="E10" i="271"/>
  <c r="G10" i="271" s="1"/>
  <c r="E34" i="270"/>
  <c r="F10" i="270"/>
  <c r="C43" i="270"/>
  <c r="E32" i="270"/>
  <c r="E12" i="271"/>
  <c r="G12" i="271" s="1"/>
  <c r="F18" i="270"/>
  <c r="I18" i="270"/>
  <c r="I8" i="270"/>
  <c r="E33" i="270"/>
  <c r="E38" i="270"/>
  <c r="D43" i="270" l="1"/>
  <c r="J22" i="270" l="1"/>
  <c r="F58" i="261" l="1"/>
  <c r="F103" i="261" l="1"/>
  <c r="F39" i="261"/>
  <c r="B15" i="270" s="1"/>
  <c r="F18" i="261"/>
  <c r="B37" i="270" s="1"/>
  <c r="E37" i="270" s="1"/>
  <c r="F140" i="261"/>
  <c r="F59" i="261"/>
  <c r="F17" i="261"/>
  <c r="B36" i="270" s="1"/>
  <c r="E36" i="270" s="1"/>
  <c r="F24" i="261" l="1"/>
  <c r="B42" i="270" s="1"/>
  <c r="E42" i="270" s="1"/>
  <c r="F21" i="261"/>
  <c r="B39" i="270" s="1"/>
  <c r="E39" i="270" s="1"/>
  <c r="E17" i="271"/>
  <c r="G17" i="271" s="1"/>
  <c r="I15" i="270"/>
  <c r="F15" i="270"/>
  <c r="F12" i="277" l="1"/>
  <c r="M12" i="277" s="1"/>
  <c r="N12" i="277" s="1"/>
  <c r="N134" i="259"/>
  <c r="N151" i="259"/>
  <c r="N136" i="259" l="1"/>
  <c r="N123" i="259"/>
  <c r="N118" i="259"/>
  <c r="N139" i="259"/>
  <c r="N131" i="259"/>
  <c r="N142" i="259"/>
  <c r="N120" i="259"/>
  <c r="N145" i="259"/>
  <c r="N150" i="259"/>
  <c r="N130" i="259"/>
  <c r="N115" i="259"/>
  <c r="N144" i="259"/>
  <c r="N122" i="259"/>
  <c r="N121" i="259"/>
  <c r="N140" i="259"/>
  <c r="N133" i="259"/>
  <c r="N153" i="259"/>
  <c r="N148" i="259"/>
  <c r="N119" i="259"/>
  <c r="N117" i="259"/>
  <c r="N152" i="259"/>
  <c r="N127" i="259"/>
  <c r="N149" i="259"/>
  <c r="N124" i="259"/>
  <c r="N129" i="259"/>
  <c r="N137" i="259"/>
  <c r="N141" i="259"/>
  <c r="N138" i="259"/>
  <c r="N116" i="259"/>
  <c r="N132" i="259"/>
  <c r="F36" i="261"/>
  <c r="B13" i="270" s="1"/>
  <c r="F13" i="270" s="1"/>
  <c r="N147" i="259"/>
  <c r="N146" i="259"/>
  <c r="J15" i="283"/>
  <c r="F33" i="261" l="1"/>
  <c r="B9" i="270" s="1"/>
  <c r="B22" i="270" s="1"/>
  <c r="I15" i="277"/>
  <c r="H15" i="277" s="1"/>
  <c r="F51" i="261"/>
  <c r="B20" i="270" s="1"/>
  <c r="E23" i="271" s="1"/>
  <c r="G23" i="271" s="1"/>
  <c r="F22" i="261"/>
  <c r="B40" i="270" s="1"/>
  <c r="E40" i="270" s="1"/>
  <c r="F23" i="261"/>
  <c r="B41" i="270" s="1"/>
  <c r="N125" i="259"/>
  <c r="N126" i="259"/>
  <c r="F11" i="261"/>
  <c r="N114" i="259"/>
  <c r="N135" i="259"/>
  <c r="E15" i="271"/>
  <c r="G15" i="271" s="1"/>
  <c r="I13" i="270"/>
  <c r="E41" i="270" l="1"/>
  <c r="G73" i="300"/>
  <c r="K73" i="300" s="1"/>
  <c r="L72" i="300" s="1"/>
  <c r="B31" i="270"/>
  <c r="F9" i="270"/>
  <c r="I9" i="270"/>
  <c r="I22" i="270" s="1"/>
  <c r="E11" i="271"/>
  <c r="G11" i="271" s="1"/>
  <c r="G29" i="271" s="1"/>
  <c r="L19" i="283"/>
  <c r="I12" i="277"/>
  <c r="I20" i="270"/>
  <c r="F20" i="270"/>
  <c r="G30" i="271" l="1"/>
  <c r="E31" i="270"/>
  <c r="E43" i="270" s="1"/>
  <c r="G22" i="300" s="1"/>
  <c r="K22" i="300" s="1"/>
  <c r="G76" i="300"/>
  <c r="K76" i="300" s="1"/>
  <c r="L75" i="300" s="1"/>
  <c r="B43" i="270"/>
  <c r="G74" i="278" s="1"/>
  <c r="K74" i="278" s="1"/>
  <c r="L73" i="278" s="1"/>
  <c r="G77" i="278"/>
  <c r="K77" i="278" s="1"/>
  <c r="L76" i="278" s="1"/>
  <c r="H12" i="277"/>
  <c r="I19" i="277"/>
  <c r="G20" i="300" l="1"/>
  <c r="K20" i="300" s="1"/>
  <c r="G22" i="278"/>
  <c r="K22" i="278" s="1"/>
  <c r="G21" i="278"/>
  <c r="G90" i="278" s="1"/>
  <c r="K90" i="278" s="1"/>
  <c r="G21" i="300"/>
  <c r="K21" i="300" s="1"/>
  <c r="G23" i="278"/>
  <c r="K23" i="278" s="1"/>
  <c r="K21" i="278" l="1"/>
  <c r="L20" i="278" s="1"/>
  <c r="L25" i="278" s="1"/>
  <c r="K106" i="278" s="1"/>
  <c r="L19" i="300"/>
  <c r="L24" i="300" s="1"/>
  <c r="K103" i="300" s="1"/>
  <c r="G89" i="300"/>
  <c r="G93" i="278" s="1"/>
  <c r="K93" i="278" s="1"/>
  <c r="L88" i="278" s="1"/>
  <c r="L101" i="278" s="1"/>
  <c r="G85" i="300"/>
  <c r="K85" i="300" s="1"/>
  <c r="L80" i="300" s="1"/>
  <c r="J19" i="283"/>
  <c r="F96" i="300" l="1"/>
  <c r="K96" i="300" s="1"/>
  <c r="K105" i="278"/>
  <c r="J105" i="278" s="1"/>
  <c r="J106" i="278"/>
  <c r="K89" i="300"/>
  <c r="J22" i="283"/>
  <c r="J21" i="283"/>
  <c r="L106" i="278" l="1"/>
  <c r="L87" i="300"/>
  <c r="L98" i="300" s="1"/>
  <c r="K102" i="300" l="1"/>
  <c r="J103" i="300"/>
  <c r="J102" i="300" l="1"/>
  <c r="L103" i="300"/>
  <c r="J20" i="283" s="1"/>
  <c r="J23" i="283" s="1"/>
  <c r="I20" i="283" l="1"/>
</calcChain>
</file>

<file path=xl/sharedStrings.xml><?xml version="1.0" encoding="utf-8"?>
<sst xmlns="http://schemas.openxmlformats.org/spreadsheetml/2006/main" count="32579" uniqueCount="977">
  <si>
    <t>Mano de Obra</t>
  </si>
  <si>
    <t>DESCRIPCION</t>
  </si>
  <si>
    <t>SUBTOTAL</t>
  </si>
  <si>
    <t>Cantidad</t>
  </si>
  <si>
    <t>und</t>
  </si>
  <si>
    <t>Und</t>
  </si>
  <si>
    <t>Descripción</t>
  </si>
  <si>
    <t>Tiempo</t>
  </si>
  <si>
    <t>%</t>
  </si>
  <si>
    <t>m3</t>
  </si>
  <si>
    <t>UNID.</t>
  </si>
  <si>
    <t>ÍTEM </t>
  </si>
  <si>
    <t>DESCRIPCIÓN </t>
  </si>
  <si>
    <t>ÍTEM</t>
  </si>
  <si>
    <t>DESCRIPCIÓN</t>
  </si>
  <si>
    <t>UND</t>
  </si>
  <si>
    <t>Capataz</t>
  </si>
  <si>
    <t>Operario</t>
  </si>
  <si>
    <t>Oficial</t>
  </si>
  <si>
    <t>Camioneta</t>
  </si>
  <si>
    <t>(B)</t>
  </si>
  <si>
    <t>Fecha:</t>
  </si>
  <si>
    <t>Partida</t>
  </si>
  <si>
    <t>Rendimiento:</t>
  </si>
  <si>
    <t>C.U. Total:</t>
  </si>
  <si>
    <t>Recurso</t>
  </si>
  <si>
    <t>Cuadrilla</t>
  </si>
  <si>
    <t>TOTAL PARTIDA:</t>
  </si>
  <si>
    <t>Codigo</t>
  </si>
  <si>
    <t>C.U.</t>
  </si>
  <si>
    <t>C.Parcial</t>
  </si>
  <si>
    <t>CANTIDAD</t>
  </si>
  <si>
    <t>COSTOx PART.</t>
  </si>
  <si>
    <t>(C)</t>
  </si>
  <si>
    <t>Herramientas y Equipos</t>
  </si>
  <si>
    <t>(D)</t>
  </si>
  <si>
    <t>ANALISIS DE PRECIOS UNITARIOS</t>
  </si>
  <si>
    <t>CANTIDAD Y COSTO DE INSUMOS DEL PRESUPUESTO REFERENCIAL</t>
  </si>
  <si>
    <t>CANTIDAD Y COSTO DE INSUMOS DEL METRADO EJECUTADO</t>
  </si>
  <si>
    <t xml:space="preserve">VALORIZACION No </t>
  </si>
  <si>
    <t>Rendimiento</t>
  </si>
  <si>
    <t>PERSONAL STAFF</t>
  </si>
  <si>
    <t>Vigía</t>
  </si>
  <si>
    <t>Cuadrador</t>
  </si>
  <si>
    <t>Tractor sobre Orugas CAT D8T</t>
  </si>
  <si>
    <t>Rodillo Liso Vibratorio Autopropulsado HAMM 11 Tn.</t>
  </si>
  <si>
    <t>Cisterna de agua 5,000 gln.</t>
  </si>
  <si>
    <t>Luminaria 4K</t>
  </si>
  <si>
    <t>Excavadora EC 380D</t>
  </si>
  <si>
    <t>Volquete de 17 m3</t>
  </si>
  <si>
    <t>Peón</t>
  </si>
  <si>
    <t>Tractor sobre Orugas CAT D6T</t>
  </si>
  <si>
    <t>glb</t>
  </si>
  <si>
    <t>GASTOS GENERALES</t>
  </si>
  <si>
    <t>DETALLE DE GASTOS GENERALES FIJOS</t>
  </si>
  <si>
    <t>COSTO</t>
  </si>
  <si>
    <t>CONCEPTO</t>
  </si>
  <si>
    <t>P.U. US$</t>
  </si>
  <si>
    <t>Cant</t>
  </si>
  <si>
    <t>Turnos</t>
  </si>
  <si>
    <t>Aporte</t>
  </si>
  <si>
    <t>Parcial  US$</t>
  </si>
  <si>
    <t>Subtotal US$</t>
  </si>
  <si>
    <t>SERVICIOS Y ALQUILERES EN OBRA</t>
  </si>
  <si>
    <t>GASTOS GENERALES FIJOS TOTALES</t>
  </si>
  <si>
    <t>US$</t>
  </si>
  <si>
    <t>DETALLE DE GASTOS GENERALES VARIABLES</t>
  </si>
  <si>
    <t>V</t>
  </si>
  <si>
    <t>.</t>
  </si>
  <si>
    <t>Jefe de proyecto</t>
  </si>
  <si>
    <t>mes</t>
  </si>
  <si>
    <t>Jefe de Oficina Técnica</t>
  </si>
  <si>
    <t>Administrador</t>
  </si>
  <si>
    <t>PERSONAL TECNICO Y AUXILIAR</t>
  </si>
  <si>
    <t>Enfermero ocupacional</t>
  </si>
  <si>
    <t>PERSONAL DE MANTENIMIENTO</t>
  </si>
  <si>
    <t>Mecánico</t>
  </si>
  <si>
    <t>Soldador</t>
  </si>
  <si>
    <t>Llantero</t>
  </si>
  <si>
    <t>CONDUCTORES DE VEHICULOS</t>
  </si>
  <si>
    <t>VEHICULOS</t>
  </si>
  <si>
    <t>Caja</t>
  </si>
  <si>
    <t>COMUNICACION</t>
  </si>
  <si>
    <t>Radio Frecuencia</t>
  </si>
  <si>
    <t>Celular</t>
  </si>
  <si>
    <t>Modem de Internet</t>
  </si>
  <si>
    <t>SCTR</t>
  </si>
  <si>
    <t>Seguro medico</t>
  </si>
  <si>
    <t>TREC y Responsabilidad Civil</t>
  </si>
  <si>
    <t>Carta Fianza de Fiel Cumplimiento</t>
  </si>
  <si>
    <t>OTROS GASTOS</t>
  </si>
  <si>
    <t>Equipos de Protección Personal Empleados</t>
  </si>
  <si>
    <t>Equipos de Protección Personal Obreros</t>
  </si>
  <si>
    <t>Certificación a operadores</t>
  </si>
  <si>
    <t>GASTOS GENERALES VARIABLES TOTALES</t>
  </si>
  <si>
    <t>RESUMEN DE GASTOS GENERALES</t>
  </si>
  <si>
    <t>Total US$</t>
  </si>
  <si>
    <t>GASTOS GENERALES VARIABLES</t>
  </si>
  <si>
    <t>F</t>
  </si>
  <si>
    <t>GASTOS GENERALES FIJOS</t>
  </si>
  <si>
    <t>M3</t>
  </si>
  <si>
    <t>hm</t>
  </si>
  <si>
    <t>Excavadora John Deere 290</t>
  </si>
  <si>
    <t>Cargador Frontal John Deere 744 K</t>
  </si>
  <si>
    <t>Retroexcavadora Cat 420e</t>
  </si>
  <si>
    <t>Volquetes de 15 m3</t>
  </si>
  <si>
    <t>Camión Furgon</t>
  </si>
  <si>
    <t>Motoniveladora de 140 HP</t>
  </si>
  <si>
    <t>Rodillo Liso Vibratorio Autopropulsado HAMM 20 Tn.</t>
  </si>
  <si>
    <t>Perforadora</t>
  </si>
  <si>
    <t>Minicargador  Cat 246, 74 HP</t>
  </si>
  <si>
    <t>Grupo electrogeno</t>
  </si>
  <si>
    <t>Plancha compactadora</t>
  </si>
  <si>
    <t>Estación total</t>
  </si>
  <si>
    <t>Extrusora</t>
  </si>
  <si>
    <t>EQUIPOS MENORES</t>
  </si>
  <si>
    <t>EQUIPOS PESADOS</t>
  </si>
  <si>
    <t>Manta plastica</t>
  </si>
  <si>
    <t>Zaranda estática con malla de 6"</t>
  </si>
  <si>
    <t>Materiales varios</t>
  </si>
  <si>
    <t>MATERIALES</t>
  </si>
  <si>
    <t>Operador</t>
  </si>
  <si>
    <t>Topógrafo</t>
  </si>
  <si>
    <t>Auxiliar de Topógrafo</t>
  </si>
  <si>
    <t>Cadista</t>
  </si>
  <si>
    <t>Técnico de wedge</t>
  </si>
  <si>
    <t>Técnico de extrusión</t>
  </si>
  <si>
    <t>Técnico QC de geosinteticos</t>
  </si>
  <si>
    <t>Rigger</t>
  </si>
  <si>
    <t>Técnico de suelos</t>
  </si>
  <si>
    <t>Auxiliar Técnico de suelos</t>
  </si>
  <si>
    <t>Controlador</t>
  </si>
  <si>
    <t>MANO DE OBRA</t>
  </si>
  <si>
    <t>hh</t>
  </si>
  <si>
    <t>Modulos</t>
  </si>
  <si>
    <t>Camión Cisterna de Combustible de 3,000GL</t>
  </si>
  <si>
    <t>Materiales de campo</t>
  </si>
  <si>
    <t>Herramientas (% Mano Obra)</t>
  </si>
  <si>
    <t>Muebles de oficina</t>
  </si>
  <si>
    <t>Utiles de oficina</t>
  </si>
  <si>
    <t>Materiales de laboratorio en obra</t>
  </si>
  <si>
    <t>Taller en obra</t>
  </si>
  <si>
    <t>Multicamp para almacen de campo</t>
  </si>
  <si>
    <t>Multicamp para laboratorio</t>
  </si>
  <si>
    <t>Equipos de laboratorio en obra</t>
  </si>
  <si>
    <t>Ensayos de laboratorio externos</t>
  </si>
  <si>
    <t>Densimetro nuclear</t>
  </si>
  <si>
    <t>Bunker para densimetro nuclear</t>
  </si>
  <si>
    <t>Equipo de computo</t>
  </si>
  <si>
    <t>Impresora A3</t>
  </si>
  <si>
    <t>Impresora A4</t>
  </si>
  <si>
    <t>Fotocopiadora</t>
  </si>
  <si>
    <t>Accesorios</t>
  </si>
  <si>
    <t>m</t>
  </si>
  <si>
    <t>Jaula Faraday</t>
  </si>
  <si>
    <t>Materiales a cargo de antamina</t>
  </si>
  <si>
    <t>Supervisor</t>
  </si>
  <si>
    <t>TF00001</t>
  </si>
  <si>
    <t>TF00002</t>
  </si>
  <si>
    <t>TF00003</t>
  </si>
  <si>
    <t>TF00004</t>
  </si>
  <si>
    <t>TF00005</t>
  </si>
  <si>
    <t>TF00006</t>
  </si>
  <si>
    <t>TF00007</t>
  </si>
  <si>
    <t>TF00008</t>
  </si>
  <si>
    <t>TF00009</t>
  </si>
  <si>
    <t>TF00010</t>
  </si>
  <si>
    <t>TF00011</t>
  </si>
  <si>
    <t>TF00012</t>
  </si>
  <si>
    <t>TF00013</t>
  </si>
  <si>
    <t>TF00014</t>
  </si>
  <si>
    <t>TF00015</t>
  </si>
  <si>
    <t>TF00016</t>
  </si>
  <si>
    <t>TF00017</t>
  </si>
  <si>
    <t>TF00018</t>
  </si>
  <si>
    <t>TF00019</t>
  </si>
  <si>
    <t>TF00020</t>
  </si>
  <si>
    <t>TF00021</t>
  </si>
  <si>
    <t>TF00022</t>
  </si>
  <si>
    <t>TF00023</t>
  </si>
  <si>
    <t>TF00024</t>
  </si>
  <si>
    <t>TF00025</t>
  </si>
  <si>
    <t>TF00026</t>
  </si>
  <si>
    <t>TF00027</t>
  </si>
  <si>
    <t>TF00028</t>
  </si>
  <si>
    <t>TF00029</t>
  </si>
  <si>
    <t>TF00030</t>
  </si>
  <si>
    <t>TF00031</t>
  </si>
  <si>
    <t>TF00032</t>
  </si>
  <si>
    <t>TF00033</t>
  </si>
  <si>
    <t>TF00034</t>
  </si>
  <si>
    <t>TF00035</t>
  </si>
  <si>
    <t>TF00036</t>
  </si>
  <si>
    <t>TF00037</t>
  </si>
  <si>
    <t>TF00038</t>
  </si>
  <si>
    <t>TF00039</t>
  </si>
  <si>
    <t>TF00040</t>
  </si>
  <si>
    <t>TF00041</t>
  </si>
  <si>
    <t>TF00042</t>
  </si>
  <si>
    <t>TF00043</t>
  </si>
  <si>
    <t>TF00044</t>
  </si>
  <si>
    <t>TF00045</t>
  </si>
  <si>
    <t>TF00046</t>
  </si>
  <si>
    <t>TF00047</t>
  </si>
  <si>
    <t>TF00048</t>
  </si>
  <si>
    <t>TF00049</t>
  </si>
  <si>
    <t>TF00050</t>
  </si>
  <si>
    <t>TF00051</t>
  </si>
  <si>
    <t>TF00052</t>
  </si>
  <si>
    <t>TF00053</t>
  </si>
  <si>
    <t>TF00054</t>
  </si>
  <si>
    <t>TF00055</t>
  </si>
  <si>
    <t>TF00056</t>
  </si>
  <si>
    <t>TF00057</t>
  </si>
  <si>
    <t>TF00058</t>
  </si>
  <si>
    <t>TF00059</t>
  </si>
  <si>
    <t>TF00060</t>
  </si>
  <si>
    <t>TF00061</t>
  </si>
  <si>
    <t>TF00062</t>
  </si>
  <si>
    <t>TF00063</t>
  </si>
  <si>
    <t>TF00064</t>
  </si>
  <si>
    <t>TF00065</t>
  </si>
  <si>
    <t>TF00066</t>
  </si>
  <si>
    <t>TF00067</t>
  </si>
  <si>
    <t>TF00068</t>
  </si>
  <si>
    <t>TF00069</t>
  </si>
  <si>
    <t>TF00070</t>
  </si>
  <si>
    <t>TF00071</t>
  </si>
  <si>
    <t>TF00072</t>
  </si>
  <si>
    <t>TF00073</t>
  </si>
  <si>
    <t>TF00074</t>
  </si>
  <si>
    <t>TF00075</t>
  </si>
  <si>
    <t>TF00076</t>
  </si>
  <si>
    <t>TF00077</t>
  </si>
  <si>
    <t>TF00078</t>
  </si>
  <si>
    <t>TF00079</t>
  </si>
  <si>
    <t>TF00080</t>
  </si>
  <si>
    <t>TF00081</t>
  </si>
  <si>
    <t>TF00082</t>
  </si>
  <si>
    <t>TF00083</t>
  </si>
  <si>
    <t>TF00084</t>
  </si>
  <si>
    <t>TF00085</t>
  </si>
  <si>
    <t>TF00086</t>
  </si>
  <si>
    <t>TF00087</t>
  </si>
  <si>
    <t>TF00088</t>
  </si>
  <si>
    <t>TF00089</t>
  </si>
  <si>
    <t>TF00090</t>
  </si>
  <si>
    <t>TF00091</t>
  </si>
  <si>
    <t>Datos:</t>
  </si>
  <si>
    <t>Jornada</t>
  </si>
  <si>
    <t>Volumen del Volquete</t>
  </si>
  <si>
    <t>% de Herramientas Manuales</t>
  </si>
  <si>
    <t>Tipo de cambio</t>
  </si>
  <si>
    <t>Costo del Petroleo</t>
  </si>
  <si>
    <t>http://www.sunat.gob.pe/cl-at-ittipcam/tcS01Alias</t>
  </si>
  <si>
    <t>al</t>
  </si>
  <si>
    <t>Hr</t>
  </si>
  <si>
    <t>mo</t>
  </si>
  <si>
    <t>Inst. Sistema de control de combustible en EQ</t>
  </si>
  <si>
    <t>Examen pre y pos - ocupacional</t>
  </si>
  <si>
    <t>Examen de inducción</t>
  </si>
  <si>
    <t>Inducción general</t>
  </si>
  <si>
    <t>Ing. Residente</t>
  </si>
  <si>
    <t>Ing. de Planeamiento</t>
  </si>
  <si>
    <t>Ing. de Costos</t>
  </si>
  <si>
    <t>Supervisor de campo</t>
  </si>
  <si>
    <t>Jefe de SSOMA</t>
  </si>
  <si>
    <t>Ing. Supervisor de SSO</t>
  </si>
  <si>
    <t>Supervisor MA</t>
  </si>
  <si>
    <t>Jefe de Control de Calidad</t>
  </si>
  <si>
    <t>Supervisor de QC</t>
  </si>
  <si>
    <t>Técnico de Campo y Laboratorio</t>
  </si>
  <si>
    <t>Regimen</t>
  </si>
  <si>
    <t>Laborado</t>
  </si>
  <si>
    <t>DL</t>
  </si>
  <si>
    <t>Total</t>
  </si>
  <si>
    <t>Sin COVID</t>
  </si>
  <si>
    <t>CON COVID</t>
  </si>
  <si>
    <t>DT</t>
  </si>
  <si>
    <t>%DT</t>
  </si>
  <si>
    <t>%DL</t>
  </si>
  <si>
    <t>Asistente de Oficina Técnica</t>
  </si>
  <si>
    <t>Control Documentario</t>
  </si>
  <si>
    <t>Agua en caja de 20lt</t>
  </si>
  <si>
    <t>FIANZAS Y SEGUROS</t>
  </si>
  <si>
    <t>Seguro Covid-19</t>
  </si>
  <si>
    <t xml:space="preserve">Plazo: (a) = </t>
  </si>
  <si>
    <t>meses</t>
  </si>
  <si>
    <t xml:space="preserve">Jornada: (b) = </t>
  </si>
  <si>
    <t>horas</t>
  </si>
  <si>
    <t xml:space="preserve">Horas x Persona (en todo el proyecto): (c) = (a)x(b)x365/12 = </t>
  </si>
  <si>
    <t>Ítem</t>
  </si>
  <si>
    <t>Duracion x Item      [meses]</t>
  </si>
  <si>
    <t>Cantidad Ítem x Hombre</t>
  </si>
  <si>
    <t>% de Ítems Requeridos</t>
  </si>
  <si>
    <t>P.Unitário          x Ítem         [US$]</t>
  </si>
  <si>
    <t xml:space="preserve">COSTO                 [US$ / hora-hombre] </t>
  </si>
  <si>
    <t>(d)</t>
  </si>
  <si>
    <t>(e)=(a)/(d)</t>
  </si>
  <si>
    <t>(f)</t>
  </si>
  <si>
    <t>(g)</t>
  </si>
  <si>
    <t>(h)=(c)x(d)x(e)/(c)</t>
  </si>
  <si>
    <t xml:space="preserve">Arnés 3 anillas 3 hebillas Modelo I3A3H  Marca : Hauk </t>
  </si>
  <si>
    <t>Línea conexión, 1.8m, de  2 ganchos de 3/4" sin amortiguador  
Modelo :XN1P Marca: Hauk</t>
  </si>
  <si>
    <t xml:space="preserve">Barbiquejo con mentonera Nacional </t>
  </si>
  <si>
    <t xml:space="preserve">Botines punta de acero  con forro interior de badana  planta de chaucho Talla:41 Fabricacion Nacional </t>
  </si>
  <si>
    <t>par</t>
  </si>
  <si>
    <t>Capotin de pvc color Anaranjado para la lluvia ligeroTalla : L-6</t>
  </si>
  <si>
    <t xml:space="preserve">Cascos de seguridad Modelo Americano de 4 puntas con sitesma rachet Color Blancomarca: 3M </t>
  </si>
  <si>
    <t xml:space="preserve">Cortaviento Material Dril Color Azul /Naranja </t>
  </si>
  <si>
    <t xml:space="preserve">Chaleco de seguridad  con pegapega  Material polyester  Fabricacion  Nacional Con cintas reflectivas chinas de 1"   </t>
  </si>
  <si>
    <t xml:space="preserve">Respirador de media cara Modelo6200 Talla:(Medium) Marca: 3M </t>
  </si>
  <si>
    <t>Filtro  Modelo:7093, P 100 para polvos y particulas  Marca:3M</t>
  </si>
  <si>
    <t xml:space="preserve">Guantes de hilo con palma de latex anticorte Color Rojo con palma negra Modelo:Superflex Marca:Clute  
</t>
  </si>
  <si>
    <t>Guantes de badana  Color Blanco con ribete Azul Modelo Driver 
Marca: Steelpro</t>
  </si>
  <si>
    <t>Guante de jebe de Color Negro de 13" Calibre 35 Talla:9 Marca: Protex</t>
  </si>
  <si>
    <t xml:space="preserve">Lentes de seguridad Marco Negro Modelo Astrolite Tratamiento retardante empañamiento y rayadura Marca: Clute </t>
  </si>
  <si>
    <t>Protector auditivo tipo tapón en estuche Marca :Steelpro</t>
  </si>
  <si>
    <t xml:space="preserve">Bloqueadores bahia en sachet de 10gr. Factor 90  con proteccion UV
Caja x 20 sachet  Marca: Portugal </t>
  </si>
  <si>
    <t>Buzo Tyvek (Mameluco descartable Color Blanco Con capucha sin cubre botas )</t>
  </si>
  <si>
    <t>Mameluco térmico con cintas reflectivas chinas de 1" en piernas , brazos y pecho con forro interior polar Talla:Estándar</t>
  </si>
  <si>
    <t xml:space="preserve">Pantalon jean   en crudo de 14 onz  con cintas reflectivas chinas de 1" en la altura de la pierna Talla : 32 </t>
  </si>
  <si>
    <t>Polo manga larga algodón delgado</t>
  </si>
  <si>
    <t>Casa termica con cinta reflectiva</t>
  </si>
  <si>
    <t xml:space="preserve">Chompa cuello  Jorge Chavez Talla:Estándar </t>
  </si>
  <si>
    <t xml:space="preserve">Total de Costo: (i) = </t>
  </si>
  <si>
    <t xml:space="preserve">Total de Costo: (j) = (i)x(c ) = </t>
  </si>
  <si>
    <t>COSTO DE ELEMENTOS DE PROTECCION PERSONAL OBRERO (EPPs)</t>
  </si>
  <si>
    <t xml:space="preserve">PROYECTO: </t>
  </si>
  <si>
    <t>Licitación:</t>
  </si>
  <si>
    <t>Situado en:</t>
  </si>
  <si>
    <t xml:space="preserve">Presentado a: </t>
  </si>
  <si>
    <t>Postor:</t>
  </si>
  <si>
    <t>COSTO DE ELEMENTOS DE PROTECCION PERSONAL EMPLEADO (EPPs)</t>
  </si>
  <si>
    <t xml:space="preserve">Chaleco de seguridad Modelo Reportero Material Dril Color Naranja Con cintas chinas de 1" reflectivas Nacional </t>
  </si>
  <si>
    <t>Protector auditivo tipo copa (Orejeras Peltor H9P3E adaptables a casco 23dB Marca: 3M)</t>
  </si>
  <si>
    <t>Jabon Liquido (500ml)</t>
  </si>
  <si>
    <t>Guantes Quirurgicos</t>
  </si>
  <si>
    <t>Paños de limpieza</t>
  </si>
  <si>
    <t>Respirador mascarilla Modelo 8210 N95 para polvo y particulas (NTP329.200:2020)</t>
  </si>
  <si>
    <t>Paños de Limpieza</t>
  </si>
  <si>
    <t>Ingresos del Trabajador</t>
  </si>
  <si>
    <t>Dominical</t>
  </si>
  <si>
    <t>Dias trabajados p/semana</t>
  </si>
  <si>
    <t>Domingos por semana</t>
  </si>
  <si>
    <t>Vacaciones</t>
  </si>
  <si>
    <t>Domingos</t>
  </si>
  <si>
    <t>Feriados</t>
  </si>
  <si>
    <t>Dias trabajo/año</t>
  </si>
  <si>
    <t>gratificaciones</t>
  </si>
  <si>
    <t>jornales</t>
  </si>
  <si>
    <t>Asignación escolar</t>
  </si>
  <si>
    <t>Nº de hijos</t>
  </si>
  <si>
    <t>Jornales al año p/hijo</t>
  </si>
  <si>
    <t>Probabilidad</t>
  </si>
  <si>
    <t>Total jornales</t>
  </si>
  <si>
    <t>Feriados durante obra</t>
  </si>
  <si>
    <t>Dias trabajo/obra</t>
  </si>
  <si>
    <t>Analisis de HH de Personal Obrero</t>
  </si>
  <si>
    <t>DESCRIPCCIÓN</t>
  </si>
  <si>
    <t>CALIFICACION DE PERSONAL</t>
  </si>
  <si>
    <t>Jornal Basico</t>
  </si>
  <si>
    <t>Bonificación Basica</t>
  </si>
  <si>
    <t>Horas Extras</t>
  </si>
  <si>
    <t>Ingressos del Trabajador</t>
  </si>
  <si>
    <t>Aportes y Leyes Sociales</t>
  </si>
  <si>
    <t>Jornal Basico C.C. a Junio 2017 [S/dia]</t>
  </si>
  <si>
    <t>Factor de reajuste anual CC previsto</t>
  </si>
  <si>
    <t>Jornal Basico Reajustado [S/dia]</t>
  </si>
  <si>
    <t>Factor por trabajo nocturno</t>
  </si>
  <si>
    <t>Jornal Basico [S/dia]</t>
  </si>
  <si>
    <t>SEMANAL</t>
  </si>
  <si>
    <t>Alta Especialidad [%]</t>
  </si>
  <si>
    <t>Total Semanal[S/dia]</t>
  </si>
  <si>
    <t>60% [horas/dia]</t>
  </si>
  <si>
    <t>100% [horas/dia]</t>
  </si>
  <si>
    <t>Total [S/. x Semana]</t>
  </si>
  <si>
    <t xml:space="preserve">BUC </t>
  </si>
  <si>
    <t>Indemnización CTS</t>
  </si>
  <si>
    <t>Participación de Utilidades</t>
  </si>
  <si>
    <t>Gratificationes</t>
  </si>
  <si>
    <t>Asignacion escolar</t>
  </si>
  <si>
    <t>ESSALUD</t>
  </si>
  <si>
    <t>JUBILACION ADELANTADA</t>
  </si>
  <si>
    <t>S.C.T.R.Salud</t>
  </si>
  <si>
    <t>S.C.T.R.Pens.(caso Invalidez/muerte)</t>
  </si>
  <si>
    <t xml:space="preserve"> + Vida por Semana</t>
  </si>
  <si>
    <t>-</t>
  </si>
  <si>
    <t>32%/30%</t>
  </si>
  <si>
    <t>Costos [S/hombre.semana]</t>
  </si>
  <si>
    <t>Costos [S/hombre.hora]</t>
  </si>
  <si>
    <t>Altitud &gt; 2,500msnm</t>
  </si>
  <si>
    <t>Nota:</t>
  </si>
  <si>
    <t>Costo sin vestir y sin incluir relevo en columna de cantidad por regimen de salida en formato de metrado y costos.</t>
  </si>
  <si>
    <t>Tractor sobre Orugas CAT D7R</t>
  </si>
  <si>
    <t>Tractor sobre Orugas KOMATSU D155</t>
  </si>
  <si>
    <t>Excavadora Cat 325</t>
  </si>
  <si>
    <t>Excavadora Cat 360 (Uña Roquera)</t>
  </si>
  <si>
    <t>Excavadora Cat 325 con picotón</t>
  </si>
  <si>
    <t>Excavadora EC 380 ELC con picotón</t>
  </si>
  <si>
    <t>Excavadora EC 360 ELC con picotón</t>
  </si>
  <si>
    <t>Excavadora EC 360 ELC</t>
  </si>
  <si>
    <t>Excavadora SANY</t>
  </si>
  <si>
    <t>Excavadora John Deere 350</t>
  </si>
  <si>
    <t>Excavadora Cat 312</t>
  </si>
  <si>
    <t>Excavadora Cat 320</t>
  </si>
  <si>
    <t>Cargador Frontal L 120 F</t>
  </si>
  <si>
    <t>Cargador Frontal L 180 E</t>
  </si>
  <si>
    <t>Cargador Frontal L 150 C</t>
  </si>
  <si>
    <t>Cargador Frontal L 150 G</t>
  </si>
  <si>
    <t>Cargador Frontal L 90</t>
  </si>
  <si>
    <t>Retroexcavadora con martillo</t>
  </si>
  <si>
    <t>Volquetes de 15 m3 Roquero</t>
  </si>
  <si>
    <t>Volquetes de 15 m3 (Transporte Interno)</t>
  </si>
  <si>
    <t>Camión cama baja</t>
  </si>
  <si>
    <t>Telehander 15 mts con plataforma</t>
  </si>
  <si>
    <t>Motoniveladora de 135 HP</t>
  </si>
  <si>
    <t>Rodillo Liso Vibratorio Autopropulsado 10-12 Tn.</t>
  </si>
  <si>
    <t xml:space="preserve">Rodillo Liso Vibratorio Autopropulsado 12 Tn. </t>
  </si>
  <si>
    <t>Rodillo Tandem vibratorio autopropulsado 15-35 HP 2.5-4 tn.</t>
  </si>
  <si>
    <t>Chancadora Primaria MZ 110 EVO</t>
  </si>
  <si>
    <t>Chancadora Secundaria Cono MC 09 EVO</t>
  </si>
  <si>
    <t>Zaranda MS 703</t>
  </si>
  <si>
    <t>Lavadora de material de tornillo simple o similar</t>
  </si>
  <si>
    <t>Tanque con bomba de lodos tipo SRL o similar</t>
  </si>
  <si>
    <t>Compresora Neumática 600-690 PCM, 196HP</t>
  </si>
  <si>
    <t>Martillo Neumático de 29kg</t>
  </si>
  <si>
    <t>Motobomba 34 HP 8"</t>
  </si>
  <si>
    <t>Martillo compresor</t>
  </si>
  <si>
    <t>Equipo oxicorte</t>
  </si>
  <si>
    <t>Oxigeno + Acetileno</t>
  </si>
  <si>
    <t>Vibrador de concreto</t>
  </si>
  <si>
    <t>Wedge</t>
  </si>
  <si>
    <t>Andamios dos cuerpos</t>
  </si>
  <si>
    <t>Zaranda estática con malla de 4"</t>
  </si>
  <si>
    <t>Zaranda estática con malla de 3.1/2"</t>
  </si>
  <si>
    <t>Zaranda estática con malla de 2.1/2"</t>
  </si>
  <si>
    <t>Zaranda estática con malla de 1.1/2"</t>
  </si>
  <si>
    <t>Zaranda estática con malla de 1"</t>
  </si>
  <si>
    <t>Zaranda estática con malla de 1/2"</t>
  </si>
  <si>
    <t>Zaranda estática con malla N° 4</t>
  </si>
  <si>
    <t>Zaranda estática con malla de 2"</t>
  </si>
  <si>
    <t>Tubería Rígida</t>
  </si>
  <si>
    <t>Tubería HDPE corrugada ext interior lisa</t>
  </si>
  <si>
    <t>Perforación y Voladura</t>
  </si>
  <si>
    <t>Material zarandeado y preparado (Cantera Escorpión II)</t>
  </si>
  <si>
    <t>Derecho de cantera base</t>
  </si>
  <si>
    <t>Material de Subbase Excalibur</t>
  </si>
  <si>
    <t>Material de Base Excalibur</t>
  </si>
  <si>
    <t>Derecho Cantera material para relleno</t>
  </si>
  <si>
    <t>Derecho Cantera material para Afirmado</t>
  </si>
  <si>
    <t>Derecho Cantera material para subbase</t>
  </si>
  <si>
    <t>Derecho Cantera  material para base</t>
  </si>
  <si>
    <t>Derecho de botadero</t>
  </si>
  <si>
    <t>Derecho de Botadero (San Miguel)</t>
  </si>
  <si>
    <t>Derecho de Relleno Sanitario (Zapallal)</t>
  </si>
  <si>
    <t>Derecho de Agua</t>
  </si>
  <si>
    <t>Imprimación Asfáltica MC-30</t>
  </si>
  <si>
    <t>Carpeta Asfáltica MAC e=7.5 cm 3"</t>
  </si>
  <si>
    <t>Equipo en tránsito</t>
  </si>
  <si>
    <t>Costo de Petroleo</t>
  </si>
  <si>
    <t>Arena para concreto</t>
  </si>
  <si>
    <t>Concreto en obra</t>
  </si>
  <si>
    <t>Peaje</t>
  </si>
  <si>
    <t>Cordon de soldadura para geomembrana</t>
  </si>
  <si>
    <t>Factores de Volúmenes</t>
  </si>
  <si>
    <t>Compactación</t>
  </si>
  <si>
    <t>Esponjamiento</t>
  </si>
  <si>
    <t>Over</t>
  </si>
  <si>
    <t>Desperdicio lateral</t>
  </si>
  <si>
    <t>Desperdicio tolva</t>
  </si>
  <si>
    <t>COMBUSTIBLE</t>
  </si>
  <si>
    <t>Vestido</t>
  </si>
  <si>
    <t>VESTIDA</t>
  </si>
  <si>
    <t>Horas mínimas</t>
  </si>
  <si>
    <t>US$ / hr</t>
  </si>
  <si>
    <t>kg</t>
  </si>
  <si>
    <t>Datos Para Presupuesto</t>
  </si>
  <si>
    <t>16062 CONSTRUCCIÓN DE LA FASE VI-B DE LA PRESA DE RELAVES Y OBRAS COMPLEMENTARIAS</t>
  </si>
  <si>
    <t>Compañía Minera Antamina S.A.</t>
  </si>
  <si>
    <t>TRANS BAT S.R.L</t>
  </si>
  <si>
    <t>Martillo Hidraulico</t>
  </si>
  <si>
    <t>Cisterna de combustible 3,000 gln.</t>
  </si>
  <si>
    <t>Camión lubricador</t>
  </si>
  <si>
    <t>PROYECTO:</t>
  </si>
  <si>
    <t>FECHA        :</t>
  </si>
  <si>
    <t>m2</t>
  </si>
  <si>
    <t>turno</t>
  </si>
  <si>
    <t>GPS</t>
  </si>
  <si>
    <t>Caseta para vigía</t>
  </si>
  <si>
    <t>Estacas</t>
  </si>
  <si>
    <t>Kids anti derrames colectivos</t>
  </si>
  <si>
    <t>Martillo hidraulico</t>
  </si>
  <si>
    <t>Consumibles</t>
  </si>
  <si>
    <t>Bomba móvil con pluma</t>
  </si>
  <si>
    <t>Concreto plástico, según diseño</t>
  </si>
  <si>
    <t>Aditivo curador</t>
  </si>
  <si>
    <t>gln</t>
  </si>
  <si>
    <t>Mochila aspersora</t>
  </si>
  <si>
    <t>Camión Grúa de 12-20 Ton.</t>
  </si>
  <si>
    <t>TF00092</t>
  </si>
  <si>
    <t>Tubería HDPE para cruce de vía</t>
  </si>
  <si>
    <t>Electrobomba capacidad 6"</t>
  </si>
  <si>
    <t>TF00093</t>
  </si>
  <si>
    <t>TF00094</t>
  </si>
  <si>
    <t>Manguera x100m 6" de descarga y accesorios</t>
  </si>
  <si>
    <t>TF00095</t>
  </si>
  <si>
    <t>rll</t>
  </si>
  <si>
    <t>Geomanta</t>
  </si>
  <si>
    <t>Acero corrugado FY4200 G60</t>
  </si>
  <si>
    <t>TF00098</t>
  </si>
  <si>
    <t>Sistema de calefacción</t>
  </si>
  <si>
    <t>Lonaflex ignífugo 8.00x12.00m con ojalillos metálicos</t>
  </si>
  <si>
    <t>Estructura de Carpa para curado de concreto</t>
  </si>
  <si>
    <t>TF00096</t>
  </si>
  <si>
    <t>TF00097</t>
  </si>
  <si>
    <t>EQUIPO</t>
  </si>
  <si>
    <t>TOTAL :</t>
  </si>
  <si>
    <t>Horas Totales</t>
  </si>
  <si>
    <t>Meses</t>
  </si>
  <si>
    <t>Horas por mes por turno</t>
  </si>
  <si>
    <t>Horas min mes</t>
  </si>
  <si>
    <t>Cantidad de equipos</t>
  </si>
  <si>
    <t>Ratio D2 Gl/hm</t>
  </si>
  <si>
    <t>Combustible Gl</t>
  </si>
  <si>
    <t>Costo D2 US$</t>
  </si>
  <si>
    <t>Costo Eq Sin Vestir US$</t>
  </si>
  <si>
    <t>Costo Eq Vestido US$</t>
  </si>
  <si>
    <t>OBRA</t>
  </si>
  <si>
    <t>NECESIDAD DE PERSONAL DIRECTO</t>
  </si>
  <si>
    <t>PERSONAL</t>
  </si>
  <si>
    <t xml:space="preserve">TOTAL : </t>
  </si>
  <si>
    <t>RELEVOS</t>
  </si>
  <si>
    <t>TOTAL</t>
  </si>
  <si>
    <t>Multicamp para oficina</t>
  </si>
  <si>
    <t>EQUIPOS</t>
  </si>
  <si>
    <t>HORAS MÁQUINA</t>
  </si>
  <si>
    <t>CONSUMO (gal/H)</t>
  </si>
  <si>
    <t>VOLUMEN (gal)</t>
  </si>
  <si>
    <t>Diesel 2</t>
  </si>
  <si>
    <t>TOTAL PETROLEO DIESEL 2</t>
  </si>
  <si>
    <t>TOTAL CONSUMO</t>
  </si>
  <si>
    <t>CONSUMO COMBUSTIBLE</t>
  </si>
  <si>
    <t>Viaticos visita de gerencia</t>
  </si>
  <si>
    <t>Gastos Adm. Oficina Central</t>
  </si>
  <si>
    <t>Mes</t>
  </si>
  <si>
    <t>Amonio Cuaternario</t>
  </si>
  <si>
    <t>Hipoclorito de sodio al 0.1%</t>
  </si>
  <si>
    <t>Bandeja para limpieza de zapatos</t>
  </si>
  <si>
    <t>COSTO DE ELEMENTOS DE PROTECCION COLECTIVA (KIT COVID)</t>
  </si>
  <si>
    <t>Equipos de pulverizacion (20Lt)</t>
  </si>
  <si>
    <t xml:space="preserve">Cantidad Ítem </t>
  </si>
  <si>
    <t>Termometro Digital</t>
  </si>
  <si>
    <t>Lavamanos portatil</t>
  </si>
  <si>
    <t>TF00099</t>
  </si>
  <si>
    <t>Electrobomba capacidad 8"</t>
  </si>
  <si>
    <t>TF00100</t>
  </si>
  <si>
    <t>Manguera x100m 8" de descarga y accesorios</t>
  </si>
  <si>
    <t>Implementación de microclima para laboratorio de calidad e instalaciones eléctricas para poza de curado (SDC N°10)</t>
  </si>
  <si>
    <t>TF00101</t>
  </si>
  <si>
    <t>Materiales varios para el control de temperatura en campo</t>
  </si>
  <si>
    <t>Moldes para ensayos de laboratorio</t>
  </si>
  <si>
    <t>muestra</t>
  </si>
  <si>
    <t>TF00102</t>
  </si>
  <si>
    <t>TF00103</t>
  </si>
  <si>
    <t>TF00104</t>
  </si>
  <si>
    <t>TF00105</t>
  </si>
  <si>
    <t>TF00106</t>
  </si>
  <si>
    <t>TF00107</t>
  </si>
  <si>
    <t>Permeabilidad: 1 muestra cada 500.00m3</t>
  </si>
  <si>
    <t xml:space="preserve">Módulo de elasticidad: 01 muestra cada 500.00m3 </t>
  </si>
  <si>
    <t>Servicio de calibración de equipo de Rotura</t>
  </si>
  <si>
    <t xml:space="preserve">Equipo para resistencia a la compresión </t>
  </si>
  <si>
    <t>SDC N°33 MOB01318</t>
  </si>
  <si>
    <t>Contractual MOB01318</t>
  </si>
  <si>
    <t>SDC N°38 MOB01318</t>
  </si>
  <si>
    <t>Geomembrana HDPE 1.5mm</t>
  </si>
  <si>
    <t>Compresora de aire</t>
  </si>
  <si>
    <t>TF00108</t>
  </si>
  <si>
    <t>TF00109</t>
  </si>
  <si>
    <t>Hidrolavadora Hd 7/17M</t>
  </si>
  <si>
    <t>Lubricador</t>
  </si>
  <si>
    <t>día</t>
  </si>
  <si>
    <t>Combi/Minivan</t>
  </si>
  <si>
    <t>TF00110</t>
  </si>
  <si>
    <t>TF00111</t>
  </si>
  <si>
    <t>TF00112</t>
  </si>
  <si>
    <t>TF00113</t>
  </si>
  <si>
    <t>TF00114</t>
  </si>
  <si>
    <t>TF00115</t>
  </si>
  <si>
    <t>TF00116</t>
  </si>
  <si>
    <t>TF00117</t>
  </si>
  <si>
    <t>TF00118</t>
  </si>
  <si>
    <t>TF00119</t>
  </si>
  <si>
    <t>TF00120</t>
  </si>
  <si>
    <t>TF00121</t>
  </si>
  <si>
    <t>TF00122</t>
  </si>
  <si>
    <t>TF00123</t>
  </si>
  <si>
    <t>TF00124</t>
  </si>
  <si>
    <t>TF00125</t>
  </si>
  <si>
    <t>TF00126</t>
  </si>
  <si>
    <t>TF00127</t>
  </si>
  <si>
    <t>TF00128</t>
  </si>
  <si>
    <t>TF00129</t>
  </si>
  <si>
    <t>TF00130</t>
  </si>
  <si>
    <t>TF00131</t>
  </si>
  <si>
    <t>TF00132</t>
  </si>
  <si>
    <t>TF00133</t>
  </si>
  <si>
    <t>TF00134</t>
  </si>
  <si>
    <t>TF00135</t>
  </si>
  <si>
    <t>Suministro de materiales ensayos de calidad y puesta en marcha</t>
  </si>
  <si>
    <t>Servicio de ejecución de ensayos de calidad y puesta en marcha</t>
  </si>
  <si>
    <t>Servicio de suministro de equipos ensayos de calidad y puesta en marcha</t>
  </si>
  <si>
    <t>Vientero</t>
  </si>
  <si>
    <t>Capataz Mecánico</t>
  </si>
  <si>
    <t>Sierra circular 7"</t>
  </si>
  <si>
    <t>Eslinga de 2" x 2 m.</t>
  </si>
  <si>
    <t>Eslinga de 3" x 6 m.</t>
  </si>
  <si>
    <t>Cable de extensión 480v de 30 metros, con conectores macho metálico y conector hembra plástico</t>
  </si>
  <si>
    <t>Soga de 1/2" x 35 mts</t>
  </si>
  <si>
    <t>Minibus</t>
  </si>
  <si>
    <t>Grupo electrogeno 200KW</t>
  </si>
  <si>
    <t>Maquina de Termofusion Hidraulica 355mm</t>
  </si>
  <si>
    <t>Servicio de transporte camión semitrailer Lima-Mina</t>
  </si>
  <si>
    <t>Viaje</t>
  </si>
  <si>
    <t>Servicio de transporte camión semitrailer (interno)</t>
  </si>
  <si>
    <t>ESTIMADO DEL TIEMPO</t>
  </si>
  <si>
    <t>Activity ID</t>
  </si>
  <si>
    <t>Metrado Estimado</t>
  </si>
  <si>
    <t>Calendario de la actividad</t>
  </si>
  <si>
    <t>Cantidad de horas</t>
  </si>
  <si>
    <t>HH Total</t>
  </si>
  <si>
    <t>Nro. de cuadrillas</t>
  </si>
  <si>
    <t>Avance por día contractual</t>
  </si>
  <si>
    <t>Duración de la SDC (días)</t>
  </si>
  <si>
    <t>Duración Final de la SDC en el cronograma</t>
  </si>
  <si>
    <t>Duración de la LB05 (días)</t>
  </si>
  <si>
    <t>Duración aplicada al cronograma (días)</t>
  </si>
  <si>
    <t>Predecesoras</t>
  </si>
  <si>
    <t>Sucesoras</t>
  </si>
  <si>
    <t>Un Turno</t>
  </si>
  <si>
    <t>Duración</t>
  </si>
  <si>
    <t>Doble Turno</t>
  </si>
  <si>
    <t>PROPUESTA A PRECIOS UNITARIOS</t>
  </si>
  <si>
    <t>Referencia</t>
  </si>
  <si>
    <t>MOB01318_SDC-057_2.08 Lastrado de plataforma (e=0.10m)</t>
  </si>
  <si>
    <t>/hr</t>
  </si>
  <si>
    <t>MOB01318_5.01 Excavación Top Soil</t>
  </si>
  <si>
    <t>MOB01318_5.04 Conformación de Botadero de top soil</t>
  </si>
  <si>
    <t>MOB01318_5.03 Carguio y eliminación menor a 1km</t>
  </si>
  <si>
    <t>MOB01318_5.02 Eliminación mayor 1km</t>
  </si>
  <si>
    <t>MOB01318_2.01 Excavación material inadecuado</t>
  </si>
  <si>
    <t>MOB01318_2.12 Carguio y transporte material de filtro 2B&lt;1km</t>
  </si>
  <si>
    <t>MOB01318_2.13 Transporte material de filtro 2B&gt;1km</t>
  </si>
  <si>
    <t>MOB01318_SDC-047_1.02.03 Conformación de 3B no controlado</t>
  </si>
  <si>
    <t>MOB01318_SDC-047_1.02.01 Carguio y transporte material de enrocado d&lt;1km</t>
  </si>
  <si>
    <t>MOB01318_SDC-047_1.02.02 Transporte material de enrocado d&gt;1km</t>
  </si>
  <si>
    <t>MOB01318_2.14 Material de filtro 2B</t>
  </si>
  <si>
    <t>MOB01318_2.17 Mateiral de enrocado 3B</t>
  </si>
  <si>
    <t>MOB01318_2.15 Carguio y transporte material de enrocado d&lt;1km</t>
  </si>
  <si>
    <t>MOB01318_2.15 Transporte material de enrocado d&gt;1km</t>
  </si>
  <si>
    <t>S20179_2.1 Relleno copactado c/material Arena de Relaves</t>
  </si>
  <si>
    <t>S20179_2.2 Transporte arena de relaves d&lt;1km</t>
  </si>
  <si>
    <t>S20179_2.3 Transporte arena de relaves d&gt;1km</t>
  </si>
  <si>
    <t>MOB01118_6.05 Suministro e instalación de geomembrana HDPE e=1.5mm (inc pruebas)</t>
  </si>
  <si>
    <t>MOB01118_6.04 Suministro e instalación de geotextil no tejido de 400g/m2 (inc Pruebas)</t>
  </si>
  <si>
    <t>Geotextil no tejido 400g/m2</t>
  </si>
  <si>
    <t>Pruebas a Geotextil</t>
  </si>
  <si>
    <t>Cisterna de combustible de 3000Gl</t>
  </si>
  <si>
    <t>Jefe de Topografía</t>
  </si>
  <si>
    <t>Taller de mantenimiento mecánico</t>
  </si>
  <si>
    <t>Equipos de Protección Colectiva</t>
  </si>
  <si>
    <t>Equipos de pulverización</t>
  </si>
  <si>
    <t>1 galon</t>
  </si>
  <si>
    <t>Amonio cuaternario (1 Gal.)</t>
  </si>
  <si>
    <t>Peróxido de hidrógeno al 0.5% (1 Gal.)</t>
  </si>
  <si>
    <t xml:space="preserve">Caretas faciales </t>
  </si>
  <si>
    <t>Equipos de Protección Personal Empleados Kit Covid</t>
  </si>
  <si>
    <t>Equipos de Protección Personal Obreros Kit Covid</t>
  </si>
  <si>
    <t>Equipos de Protección Colectiva Kit Covid</t>
  </si>
  <si>
    <t>COSTO DE ELEMENTOS DE PROTECCION KIT COVID PERSONAL EMPLEADO (EPPs)</t>
  </si>
  <si>
    <t>COSTO DE ELEMENTOS DE PROTECCION KIT COVID PERSONAL OBRERO (EPPs)</t>
  </si>
  <si>
    <t>Electricista</t>
  </si>
  <si>
    <t>MOB01318_1.04 Facilidades en obra</t>
  </si>
  <si>
    <t>Señalización y EPPs colectivos</t>
  </si>
  <si>
    <t>Rendimiento (/hr)</t>
  </si>
  <si>
    <t>Camión Grúa de 20 Ton.</t>
  </si>
  <si>
    <t>Monitoreo de Sistema Antifatiga</t>
  </si>
  <si>
    <t>Inst. de Sistema Antifatiga</t>
  </si>
  <si>
    <t>Turno Día</t>
  </si>
  <si>
    <t>Turno Noche</t>
  </si>
  <si>
    <t xml:space="preserve">Total de Costo por Mes: = </t>
  </si>
  <si>
    <t xml:space="preserve">Total de Costo por mes = </t>
  </si>
  <si>
    <t xml:space="preserve">Plazo = </t>
  </si>
  <si>
    <t>Rodillo compactador Tandem Tipo Chupetero</t>
  </si>
  <si>
    <t>Costos por Subcontrato</t>
  </si>
  <si>
    <t>CUADRO DE DURACIONES</t>
  </si>
  <si>
    <t>Activity Name</t>
  </si>
  <si>
    <t>Calendario</t>
  </si>
  <si>
    <t>Start</t>
  </si>
  <si>
    <t>Finish</t>
  </si>
  <si>
    <t>Predecessors</t>
  </si>
  <si>
    <t>Successors</t>
  </si>
  <si>
    <t>Comentarios</t>
  </si>
  <si>
    <t>Duración Final en el cronograma</t>
  </si>
  <si>
    <t>Ratio HH</t>
  </si>
  <si>
    <t>Un turno</t>
  </si>
  <si>
    <t>Tablero de distribución para instalación eléctrica</t>
  </si>
  <si>
    <t>Cota 4125</t>
  </si>
  <si>
    <t>Cota 4126</t>
  </si>
  <si>
    <t>Cota 4127</t>
  </si>
  <si>
    <t>Cota 4128</t>
  </si>
  <si>
    <t>Cota 4129</t>
  </si>
  <si>
    <t>Cota 4130</t>
  </si>
  <si>
    <t>Cota 4131</t>
  </si>
  <si>
    <t>Cota 4132</t>
  </si>
  <si>
    <t>Cota 4133</t>
  </si>
  <si>
    <t>Cota 4134</t>
  </si>
  <si>
    <t>Cota 4135</t>
  </si>
  <si>
    <t>Supervisor de Mtto</t>
  </si>
  <si>
    <t>Costo Covid</t>
  </si>
  <si>
    <t>COSTO COVID</t>
  </si>
  <si>
    <t>DETALLE DE COSTOS COVID</t>
  </si>
  <si>
    <t>UNIDAD</t>
  </si>
  <si>
    <t>CANTIDAD ESTIMADA (A)</t>
  </si>
  <si>
    <t>COSTOS UNITARIOS (US$/UNID.)</t>
  </si>
  <si>
    <t>SUB TOTAL 
(US$) 
(A*E)</t>
  </si>
  <si>
    <t>MATERIAL 
(B)</t>
  </si>
  <si>
    <t>INSTALACIÓN
 (C)</t>
  </si>
  <si>
    <t>EQUIPO 
(D)</t>
  </si>
  <si>
    <t>TOTAL 
(E)=(B+C+D)</t>
  </si>
  <si>
    <t>ITEM</t>
  </si>
  <si>
    <t>TF00136</t>
  </si>
  <si>
    <t>TF00137</t>
  </si>
  <si>
    <t>TF00138</t>
  </si>
  <si>
    <t>TF00139</t>
  </si>
  <si>
    <t>TF00140</t>
  </si>
  <si>
    <t>TF00141</t>
  </si>
  <si>
    <t>TF00142</t>
  </si>
  <si>
    <t>NO118</t>
  </si>
  <si>
    <t>Paneles informativos de uso de EPP</t>
  </si>
  <si>
    <t>Paneles de aviso hombres trabajando</t>
  </si>
  <si>
    <t>Cachacos Poste de Señalización Concreto y madera</t>
  </si>
  <si>
    <t>Cono de seguridad de 28"</t>
  </si>
  <si>
    <t>Cinta de señalización color amarillo "PELIGRO HOMBRES TRABAJANDO"</t>
  </si>
  <si>
    <t>Malla de seguridad PVC color naranja</t>
  </si>
  <si>
    <t>Electrobomba capacidad 4"</t>
  </si>
  <si>
    <t>Manguera x100m 4" de descarga y accesorios</t>
  </si>
  <si>
    <t>Cantidad de equipos Nivelados</t>
  </si>
  <si>
    <t>Grupo electrogeno 100KW</t>
  </si>
  <si>
    <t>CÁLCULO DE CICLOS DE TRASLADOS</t>
  </si>
  <si>
    <t>Distancia</t>
  </si>
  <si>
    <t>km</t>
  </si>
  <si>
    <t>Jornada laboral efectiva</t>
  </si>
  <si>
    <t>hrs</t>
  </si>
  <si>
    <t>Capacidad de volquete</t>
  </si>
  <si>
    <t>Velocidad cargado</t>
  </si>
  <si>
    <t>km/hrs</t>
  </si>
  <si>
    <t>Velocidad descargado</t>
  </si>
  <si>
    <t>Tiempo de carga</t>
  </si>
  <si>
    <t>min</t>
  </si>
  <si>
    <t>Tiempo de descarga</t>
  </si>
  <si>
    <t>Tiempo de ida</t>
  </si>
  <si>
    <t>Tiempo de vuelta</t>
  </si>
  <si>
    <t>T ciclo</t>
  </si>
  <si>
    <t>N° de viajes</t>
  </si>
  <si>
    <t>viajes</t>
  </si>
  <si>
    <t>Volumen efectivo x viaje</t>
  </si>
  <si>
    <t>Volumen total por volquete</t>
  </si>
  <si>
    <t>m3/turno</t>
  </si>
  <si>
    <t>Rend. APU Propuesto</t>
  </si>
  <si>
    <t>m3/hr.</t>
  </si>
  <si>
    <t>RUTA</t>
  </si>
  <si>
    <t>DISTANCIA (KM)</t>
  </si>
  <si>
    <t>CICLO (HR)</t>
  </si>
  <si>
    <t>VIAJES X TURNO</t>
  </si>
  <si>
    <t>REND. TRAS. (M3/TURNO)</t>
  </si>
  <si>
    <t>REND. CONF. (M3/TURNO)</t>
  </si>
  <si>
    <t>Stacker - Booster</t>
  </si>
  <si>
    <t>CUADRILLA. VOLQUETES</t>
  </si>
  <si>
    <t>Alcohol 1000 ml en gel para oficinas y buses</t>
  </si>
  <si>
    <t>Alcohol en gel (1000ml)</t>
  </si>
  <si>
    <t>Turno día</t>
  </si>
  <si>
    <t>Turno noche</t>
  </si>
  <si>
    <t>MOVIMIENTO DE TIERRAS</t>
  </si>
  <si>
    <t>Operario Termofusionista</t>
  </si>
  <si>
    <t>Oficial Termofusionista</t>
  </si>
  <si>
    <t>TF000471</t>
  </si>
  <si>
    <t>Equipo de termofusión de 48"</t>
  </si>
  <si>
    <t>TF000472</t>
  </si>
  <si>
    <t xml:space="preserve">Motosierra de 24" de espada </t>
  </si>
  <si>
    <t>S1</t>
  </si>
  <si>
    <t>R1 =</t>
  </si>
  <si>
    <t xml:space="preserve">R2 = </t>
  </si>
  <si>
    <t>S3</t>
  </si>
  <si>
    <t>R3 =</t>
  </si>
  <si>
    <t xml:space="preserve">R4 = </t>
  </si>
  <si>
    <t>Promedio =</t>
  </si>
  <si>
    <t>HH Totales</t>
  </si>
  <si>
    <t>Tractor sobre Orugas CAT D7</t>
  </si>
  <si>
    <t>Equipo de termofusión de 48" (inc.grupo electrogeno)</t>
  </si>
  <si>
    <t xml:space="preserve">Motosierra de 36" de espada </t>
  </si>
  <si>
    <t>PLATAFORMA PARA CONTENEDORES</t>
  </si>
  <si>
    <t>HELIPUERTO</t>
  </si>
  <si>
    <t>OBRAS TEMPRANAS SECTOR 1</t>
  </si>
  <si>
    <t>OBRAS TEMPRANAS SECTOR 3</t>
  </si>
  <si>
    <t>RELAVE</t>
  </si>
  <si>
    <t>3B</t>
  </si>
  <si>
    <t>MTE01521 Construcción Plataformas para Protección de Obras Tempranas de Extensión Dique Corredor</t>
  </si>
  <si>
    <t>18028 Tailing Storage Facilities (TSF)  4135-4.</t>
  </si>
  <si>
    <t>Revision:</t>
  </si>
  <si>
    <t>CUBICAJE DE VOLQUETES</t>
  </si>
  <si>
    <t>CAPACIDAD</t>
  </si>
  <si>
    <t>M3 VALIDADOS</t>
  </si>
  <si>
    <t>VIAJES</t>
  </si>
  <si>
    <t>CAPACIDAD NETA</t>
  </si>
  <si>
    <t>INCIDENCIA</t>
  </si>
  <si>
    <t>CAPACIDAD CONCILIADA</t>
  </si>
  <si>
    <t>REPORTE DE VIAJES Y VOLUMENES - SECTOR 1</t>
  </si>
  <si>
    <t>DIA</t>
  </si>
  <si>
    <t>TURNO</t>
  </si>
  <si>
    <t xml:space="preserve">PLACA </t>
  </si>
  <si>
    <t>ACTIVIDAD</t>
  </si>
  <si>
    <t>CAP.</t>
  </si>
  <si>
    <t>TIPO DE MAT.</t>
  </si>
  <si>
    <t>ORIGEN</t>
  </si>
  <si>
    <t>DESTINO</t>
  </si>
  <si>
    <t>N° VIAJES</t>
  </si>
  <si>
    <t>CAP. AFECTA</t>
  </si>
  <si>
    <t>PRODUCCIÓN</t>
  </si>
  <si>
    <t>D7J-712</t>
  </si>
  <si>
    <t>TRANSPORTE DE MATERIAL</t>
  </si>
  <si>
    <t>STACKER</t>
  </si>
  <si>
    <t>C8J-773</t>
  </si>
  <si>
    <t>BHL-836</t>
  </si>
  <si>
    <t>BHL-708</t>
  </si>
  <si>
    <t>BJS-726</t>
  </si>
  <si>
    <t>NOCHE</t>
  </si>
  <si>
    <t>PUNTO G_1</t>
  </si>
  <si>
    <t>F8X-851</t>
  </si>
  <si>
    <t>AVW-877</t>
  </si>
  <si>
    <t>BHL-738</t>
  </si>
  <si>
    <t>CANTERA PANTALON_1</t>
  </si>
  <si>
    <t>CANTERA PANTALON_2</t>
  </si>
  <si>
    <t>D9Z-729</t>
  </si>
  <si>
    <t>TAN-943</t>
  </si>
  <si>
    <t>PATIO DE RESIDUOS</t>
  </si>
  <si>
    <t>TAO-871</t>
  </si>
  <si>
    <t>BHL-864</t>
  </si>
  <si>
    <t>AMI-773</t>
  </si>
  <si>
    <t>F8W-918</t>
  </si>
  <si>
    <t>PUNTO G</t>
  </si>
  <si>
    <t>TRABAJOS NUEVO HELIPUERTO</t>
  </si>
  <si>
    <t>PUNTO G_P. POND</t>
  </si>
  <si>
    <t>PUNTO G_4</t>
  </si>
  <si>
    <t>TAQ-857</t>
  </si>
  <si>
    <t>TAQ-843</t>
  </si>
  <si>
    <t>PUNTO G4</t>
  </si>
  <si>
    <t>PUNTO G_2</t>
  </si>
  <si>
    <t>PUNTO G1</t>
  </si>
  <si>
    <t>ESTRIBO IZQUIERDO</t>
  </si>
  <si>
    <t>PUNTO E</t>
  </si>
  <si>
    <t xml:space="preserve">LINEA SUR </t>
  </si>
  <si>
    <t>PUNTO G3</t>
  </si>
  <si>
    <t>PUNTO G_3</t>
  </si>
  <si>
    <t>S1 LINEA SUR</t>
  </si>
  <si>
    <t>DÍA</t>
  </si>
  <si>
    <t>BLE-828</t>
  </si>
  <si>
    <t>BLE-814</t>
  </si>
  <si>
    <t>BLE-780</t>
  </si>
  <si>
    <t>BLE-881</t>
  </si>
  <si>
    <t>AMI-935</t>
  </si>
  <si>
    <t>PUNTO G2</t>
  </si>
  <si>
    <t>BHC-778</t>
  </si>
  <si>
    <t>BHW-741</t>
  </si>
  <si>
    <t>BFW-761</t>
  </si>
  <si>
    <t>BHA-763</t>
  </si>
  <si>
    <t>BLF-780</t>
  </si>
  <si>
    <t>BFG-930</t>
  </si>
  <si>
    <t>BGF-930</t>
  </si>
  <si>
    <t>PLATAFORMA PARA CONTENEDORES SECTOR 3</t>
  </si>
  <si>
    <t>MÓDULOS DE SI Y SH</t>
  </si>
  <si>
    <t>CANTERA DE LA LINEA SUR S3</t>
  </si>
  <si>
    <t>VOLUMEN AFECTADO POR EL FACTOR DE REDUCCIÓN (94%)</t>
  </si>
  <si>
    <t>OBRAS TEMPRANAS SECTOR 1(Canal)</t>
  </si>
  <si>
    <t>2B</t>
  </si>
  <si>
    <t>3A</t>
  </si>
  <si>
    <t>LINEA NORTE</t>
  </si>
  <si>
    <t>UNICON</t>
  </si>
  <si>
    <t>CANTERA LINEA SUR S3</t>
  </si>
  <si>
    <t>CANTERA SECTOR 3</t>
  </si>
  <si>
    <t>HUAYOC</t>
  </si>
  <si>
    <t>OBRAS TEMPRANAS</t>
  </si>
  <si>
    <t>Oficial Tubería HDPE</t>
  </si>
  <si>
    <t>Operario Tubería HDPE</t>
  </si>
  <si>
    <t>TF00143</t>
  </si>
  <si>
    <t>TF00144</t>
  </si>
  <si>
    <t>Equipo de termofusión de 16"@48" (inc.grupo electrogeno)</t>
  </si>
  <si>
    <t>Materiales</t>
  </si>
  <si>
    <t>Camión Plataforma</t>
  </si>
  <si>
    <t>Cota 4136</t>
  </si>
  <si>
    <t>Cota 4137</t>
  </si>
  <si>
    <t>Cota 4138</t>
  </si>
  <si>
    <t>Cota 4139</t>
  </si>
  <si>
    <t>Cota 4140</t>
  </si>
  <si>
    <t>Cota 4141</t>
  </si>
  <si>
    <t>Cota 4142</t>
  </si>
  <si>
    <t>Cota 4143</t>
  </si>
  <si>
    <t>Cota 4144</t>
  </si>
  <si>
    <t>Cota 4145</t>
  </si>
  <si>
    <t>BOOSTER</t>
  </si>
  <si>
    <t>RELLENO AL VOLTEO  EN FUNDACION 0+800 A 1+200</t>
  </si>
  <si>
    <t>RELLENO CONTROLADO EN FUNDACION 0+800 A 1+200</t>
  </si>
  <si>
    <t>RELLENO DE BERMA</t>
  </si>
  <si>
    <t>Prog. 0+800a1+000</t>
  </si>
  <si>
    <t>Prog. 1+000 a 1+200</t>
  </si>
  <si>
    <t>Doble turno</t>
  </si>
  <si>
    <t>SDC 0024_3.02: FS</t>
  </si>
  <si>
    <t>SDC 0024_1.02: SS</t>
  </si>
  <si>
    <t>SDC 0024_2.06: FS, SDC 0024_1.01: SS</t>
  </si>
  <si>
    <t>SDC 0024_1.03: FS, 7.01.02: FS</t>
  </si>
  <si>
    <t>SDC 0024_1.02: FS</t>
  </si>
  <si>
    <t>7.01.02: FS</t>
  </si>
  <si>
    <t>SDC 0024_2.03: SS</t>
  </si>
  <si>
    <t>3.05.01: FS</t>
  </si>
  <si>
    <t>3.03.03: FS, 3.04.03: FS</t>
  </si>
  <si>
    <t>SDC 0024_2.01: SS, SDC 0024_2.02: SS, SDC 0024_2.06: FS, 3.05.02: FS</t>
  </si>
  <si>
    <t>SDC 0024_2.06: SS, 3.06.01: FS</t>
  </si>
  <si>
    <t>7.01.01: FS, SDC 0024_3.02: FS</t>
  </si>
  <si>
    <t>SDC 0024_2.03: FS, 3.06.02: FS</t>
  </si>
  <si>
    <t>SDC 0024_2.04: SS, SDC 0024_1.02: FS, SDC 0024_3.02: FS, H 14: FS, 7.01.02: FS</t>
  </si>
  <si>
    <t>SDC 0024_3.02: SS</t>
  </si>
  <si>
    <t>SDC 0024_3.04: FS</t>
  </si>
  <si>
    <t>SDC 0024_2.06: FS, SDC 0024_2.04: FS</t>
  </si>
  <si>
    <t>SDC 0024_3.01: SS, SDC 0024_3.03: SS, SDC 0024_3.04: FS, SDC 0024_1.01: FS</t>
  </si>
  <si>
    <t>SDC 0024_3.04: SS</t>
  </si>
  <si>
    <t>SDC 0024_3.03: SS, SDC 0024_3.02: FS, SDC 0024_3.01: FS</t>
  </si>
  <si>
    <t>7.01.03: FS</t>
  </si>
  <si>
    <t>TRABAJOS PRELIMINARES</t>
  </si>
  <si>
    <t>Movilización y demovilización de equipos</t>
  </si>
  <si>
    <t>Trazo, Nivelación y Replanteo</t>
  </si>
  <si>
    <t>Roce y Limpieza de Maleza</t>
  </si>
  <si>
    <t>Mejoramiento de vías Existentes</t>
  </si>
  <si>
    <t>Reparación de concreto</t>
  </si>
  <si>
    <t>Demolición de estructuras existentes</t>
  </si>
  <si>
    <t>Reposición de pase de agua con tubería HDPE Ø=24</t>
  </si>
  <si>
    <t>REPARACIÓN Y REPOSICIÓN DE ESTRUCTURAS</t>
  </si>
  <si>
    <t>CABEZAL DE ENTRADA Y SALIDA</t>
  </si>
  <si>
    <t>MEJORAMIENTO DE VÍAS Y ACCESOS EXISTENTES SUBPROYECTOS A3-A4</t>
  </si>
  <si>
    <t>POSTOR:</t>
  </si>
  <si>
    <t>Subpartidas</t>
  </si>
  <si>
    <t>2.02A</t>
  </si>
  <si>
    <t>Operador de equipo pesado</t>
  </si>
  <si>
    <t>Costo Directo Total (S/.) (Ítems 1.0 + 2.0 + 3.0 + 4.0)</t>
  </si>
  <si>
    <t>Gastos Generales ……..% (S/.) (% de ítem 5.0)</t>
  </si>
  <si>
    <t>Utilidades  ……….%  (S/.) (% de ítem 5.0)</t>
  </si>
  <si>
    <t>Costo Total General  (S/.) (Ítems 5.0 + 6.0 + 7.0)</t>
  </si>
  <si>
    <t>Mantenimiento mecánico</t>
  </si>
  <si>
    <t>Viajes</t>
  </si>
  <si>
    <t>Ing. de Oficina Técnica</t>
  </si>
  <si>
    <t>FORMATO DE PRESUPUESTO</t>
  </si>
  <si>
    <t>OHLA</t>
  </si>
  <si>
    <t>Consideraciones:</t>
  </si>
  <si>
    <t>ESTRUCTURA DE TARIFA DE EQUIPOS Y MANO DE OBRA</t>
  </si>
  <si>
    <t>CODIGO</t>
  </si>
  <si>
    <t>COSTO S/h</t>
  </si>
  <si>
    <t>CANTIDAD HH</t>
  </si>
  <si>
    <t>Costos por cambio de regimen [S/hombre.hora]</t>
  </si>
  <si>
    <t>Total de Costos [S/hombre.hora]</t>
  </si>
  <si>
    <t>S/.</t>
  </si>
  <si>
    <t>Parcial  S/.</t>
  </si>
  <si>
    <t>P.U. S/.</t>
  </si>
  <si>
    <t>Carguio y transporte de material para mejoramiento</t>
  </si>
  <si>
    <t>-Las tarifas consideradas en el presupuesta es a maquina seca, el cliente deberá abastecer el combustible a los equipos de linea amarilla, volquetes y equipos menores.</t>
  </si>
  <si>
    <t>-La jornada de trabajo considera en la oferta economica es de 8hrs, y los trabajos se realizaran a un solo turno.</t>
  </si>
  <si>
    <t>-La duración de las actividades de movimientos de tierras tiene una duración de 37días calendario. No incluye movilización y desmovilización</t>
  </si>
  <si>
    <t>ZOVICSA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</si>
</sst>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&quot;S/.&quot;\ * #,##0.00_ ;_ &quot;S/.&quot;\ * \-#,##0.00_ ;_ &quot;S/.&quot;\ * &quot;-&quot;??_ ;_ @_ "/>
    <numFmt numFmtId="169" formatCode="0.0%"/>
    <numFmt numFmtId="170" formatCode="_ * #,##0.0_ ;_ * \-#,##0.0_ ;_ * &quot;-&quot;??_ ;_ @_ "/>
    <numFmt numFmtId="171" formatCode="_-* #,##0_ _€_-;\-* #,##0_ _€_-;_-* &quot;-&quot;_ _€_-;_-@_-"/>
    <numFmt numFmtId="172" formatCode="0.0000000000"/>
    <numFmt numFmtId="173" formatCode="_(* #,##0.0_);_(* \(#,##0.0\);_(* &quot;-&quot;??_);_(@_)"/>
    <numFmt numFmtId="174" formatCode="m/d/yy\ h:mm"/>
    <numFmt numFmtId="175" formatCode="_-* #,##0.00\ _P_t_s_-;\-* #,##0.00\ _P_t_s_-;_-* &quot;-&quot;??\ _P_t_s_-;_-@_-"/>
    <numFmt numFmtId="176" formatCode="0.000"/>
    <numFmt numFmtId="177" formatCode="_ * #,##0.00_)_P_t_s_ ;_ * \(#,##0.00\)_P_t_s_ ;_ * &quot;-&quot;??_)_P_t_s_ ;_ @_ "/>
    <numFmt numFmtId="178" formatCode="hh:mm\ \a\.m\./\p\.m\._)"/>
    <numFmt numFmtId="179" formatCode="#,##0&quot; $&quot;;[Red]\-#,##0&quot; $&quot;"/>
    <numFmt numFmtId="180" formatCode="_ * #,##0.00_ ;_ * \-#,##0.00_ ;_ * \-??_ ;_ @_ "/>
    <numFmt numFmtId="181" formatCode="_-&quot;$&quot;\ * #,##0.00_-;\-&quot;$&quot;\ * #,##0.00_-;_-&quot;$&quot;\ * &quot;-&quot;??_-;_-@_-"/>
    <numFmt numFmtId="182" formatCode="[$$-409]#,##0.00"/>
    <numFmt numFmtId="183" formatCode="[$-280A]dddd\,\ dd&quot; de &quot;mmmm&quot; de &quot;yyyy"/>
    <numFmt numFmtId="184" formatCode="_ &quot;$&quot;\ * #,##0.00_ ;_ &quot;$&quot;\ * \-#,##0.00_ ;_ &quot;$&quot;\ * &quot;-&quot;??_ ;_ @_ "/>
    <numFmt numFmtId="185" formatCode="0.0000"/>
    <numFmt numFmtId="186" formatCode="_-[$US$-580A]* #,##0.00_-;\-[$US$-580A]* #,##0.00_-;_-[$US$-580A]* &quot;-&quot;??_-;_-@_-"/>
    <numFmt numFmtId="187" formatCode="_ &quot;US$&quot;\ * #,##0.00&quot; / hh&quot;;_ &quot;US$&quot;\ * \-#,##0.00&quot; / hh&quot;;_ &quot;US$&quot;\ * &quot;-&quot;??&quot; / hh&quot;;_ @_ "/>
    <numFmt numFmtId="188" formatCode="_ &quot;US$&quot;\ * #,##0.00&quot; / Per&quot;;_ &quot;US$&quot;\ * \-#,##0.00&quot; / Per&quot;;_ &quot;US$&quot;\ * &quot;-&quot;??&quot; / Per&quot;;_ @_ "/>
    <numFmt numFmtId="189" formatCode="0.0"/>
    <numFmt numFmtId="190" formatCode="#,##0.000"/>
    <numFmt numFmtId="191" formatCode="_(* #,##0_);_(* \(#,##0\);_(* &quot;-&quot;??_);_(@_)"/>
    <numFmt numFmtId="192" formatCode="0.0.0.0."/>
    <numFmt numFmtId="193" formatCode="#,##0.00_ ;\-#,##0.00\ "/>
    <numFmt numFmtId="194" formatCode="_-[$US$-3009]* #,##0.00_-;\-[$US$-3009]* #,##0.00_-;_-[$US$-3009]* &quot;-&quot;??_-;_-@_-"/>
    <numFmt numFmtId="195" formatCode="_ * #,##0.000_ ;_ * \-#,##0.000_ ;_ * &quot;-&quot;??_ ;_ @_ "/>
    <numFmt numFmtId="196" formatCode="#,##0.00&quot; hh&quot;"/>
    <numFmt numFmtId="197" formatCode="_-* #,##0.00\ _€_-;\-* #,##0.00\ _€_-;_-* &quot;-&quot;??\ _€_-;_-@_-"/>
    <numFmt numFmtId="198" formatCode="0.0."/>
    <numFmt numFmtId="199" formatCode="_-[$S/-280A]\ * #,##0.00_-;\-[$S/-280A]\ * #,##0.00_-;_-[$S/-280A]\ * &quot;-&quot;??_-;_-@_-"/>
    <numFmt numFmtId="200" formatCode="_ &quot;S/.&quot;\ * #,##0.00&quot; / hh&quot;;_ &quot;US$&quot;\ * \-#,##0.00&quot; / hh&quot;;_ &quot;US$&quot;\ * &quot;-&quot;??&quot; / hh&quot;;_ @_ "/>
    <numFmt numFmtId="201" formatCode="_ &quot;S/.&quot;\ * #,##0.00&quot; / Per&quot;;_ &quot;US$&quot;\ * \-#,##0.00&quot; / Per&quot;;_ &quot;US$&quot;\ * &quot;-&quot;??&quot; / Per&quot;;_ @_ "/>
  </numFmts>
  <fonts count="1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8"/>
      <color indexed="48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0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sz val="11"/>
      <color theme="1"/>
      <name val="Arial Narrow"/>
      <family val="2"/>
    </font>
    <font>
      <sz val="8"/>
      <color theme="1"/>
      <name val="Calibri"/>
      <family val="2"/>
      <scheme val="minor"/>
    </font>
    <font>
      <sz val="10"/>
      <color indexed="8"/>
      <name val="MS Sans Serif"/>
      <family val="2"/>
    </font>
    <font>
      <sz val="8"/>
      <color theme="1"/>
      <name val="Arial Narrow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9"/>
      <color indexed="10"/>
      <name val="Geneva"/>
    </font>
    <font>
      <sz val="10"/>
      <name val="Geneva"/>
    </font>
    <font>
      <sz val="11"/>
      <color indexed="8"/>
      <name val="Calibri"/>
      <family val="2"/>
    </font>
    <font>
      <u/>
      <sz val="9.35"/>
      <color theme="10"/>
      <name val="Calibri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b/>
      <sz val="18"/>
      <name val="Helv"/>
    </font>
    <font>
      <sz val="14"/>
      <name val="Helv"/>
    </font>
    <font>
      <b/>
      <sz val="14"/>
      <name val="Helv"/>
    </font>
    <font>
      <sz val="12"/>
      <name val="¹UAAA¼"/>
      <family val="3"/>
      <charset val="129"/>
    </font>
    <font>
      <b/>
      <sz val="12"/>
      <name val="Palatino"/>
    </font>
    <font>
      <b/>
      <sz val="10"/>
      <name val="Palatino"/>
    </font>
    <font>
      <b/>
      <u/>
      <sz val="10"/>
      <name val="Palatino"/>
    </font>
    <font>
      <sz val="11"/>
      <color indexed="17"/>
      <name val="Calibri"/>
      <family val="2"/>
    </font>
    <font>
      <b/>
      <sz val="12"/>
      <name val="Helv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굴림체"/>
      <family val="3"/>
      <charset val="129"/>
    </font>
    <font>
      <sz val="11"/>
      <color indexed="8"/>
      <name val="Calibri"/>
      <family val="2"/>
      <charset val="1"/>
    </font>
    <font>
      <b/>
      <sz val="10"/>
      <name val="Helv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"/>
    </font>
    <font>
      <sz val="10"/>
      <color rgb="FF000000"/>
      <name val="Times New Roman"/>
      <family val="1"/>
    </font>
    <font>
      <sz val="12"/>
      <name val="宋体"/>
      <charset val="134"/>
    </font>
    <font>
      <sz val="10"/>
      <name val="Palatino"/>
    </font>
    <font>
      <sz val="10"/>
      <color indexed="10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56"/>
      <name val="Calibri"/>
      <family val="2"/>
    </font>
    <font>
      <sz val="11"/>
      <name val="돋움"/>
      <family val="3"/>
      <charset val="129"/>
    </font>
    <font>
      <sz val="8.5"/>
      <name val="Times New Roman"/>
      <family val="1"/>
    </font>
    <font>
      <sz val="10"/>
      <name val="Arial Narrow"/>
      <family val="2"/>
    </font>
    <font>
      <sz val="18"/>
      <name val="Arial"/>
      <family val="2"/>
    </font>
    <font>
      <i/>
      <sz val="12"/>
      <name val="Arial"/>
      <family val="2"/>
    </font>
    <font>
      <sz val="18"/>
      <name val="Times New Roman"/>
      <family val="1"/>
    </font>
    <font>
      <sz val="8"/>
      <name val="Times New Roman"/>
      <family val="1"/>
    </font>
    <font>
      <i/>
      <sz val="12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6"/>
      <color indexed="9"/>
      <name val="Arial"/>
      <family val="2"/>
    </font>
    <font>
      <b/>
      <sz val="10"/>
      <color indexed="12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8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rgb="FF0070C0"/>
      <name val="Calibri"/>
      <family val="2"/>
      <scheme val="minor"/>
    </font>
    <font>
      <b/>
      <sz val="9"/>
      <name val="Calibri"/>
      <family val="2"/>
      <scheme val="minor"/>
    </font>
    <font>
      <b/>
      <u val="double"/>
      <sz val="10"/>
      <name val="Arial"/>
      <family val="2"/>
    </font>
    <font>
      <b/>
      <u/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b/>
      <i/>
      <u/>
      <sz val="10"/>
      <name val="Arial"/>
      <family val="2"/>
    </font>
    <font>
      <b/>
      <sz val="16"/>
      <color theme="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u/>
      <sz val="11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 Narrow"/>
      <family val="2"/>
    </font>
    <font>
      <b/>
      <sz val="11"/>
      <name val="Arial Narrow"/>
      <family val="2"/>
    </font>
    <font>
      <b/>
      <sz val="12"/>
      <color indexed="9"/>
      <name val="Arial Narrow"/>
      <family val="2"/>
    </font>
    <font>
      <sz val="8"/>
      <name val="Arial"/>
      <family val="2"/>
    </font>
    <font>
      <b/>
      <sz val="14"/>
      <color indexed="9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sz val="9"/>
      <name val="Calibri"/>
      <family val="2"/>
      <scheme val="minor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10"/>
      <color theme="3"/>
      <name val="Arial Narrow"/>
      <family val="2"/>
    </font>
    <font>
      <b/>
      <sz val="10"/>
      <color theme="3"/>
      <name val="Arial Narrow"/>
      <family val="2"/>
    </font>
    <font>
      <b/>
      <sz val="10"/>
      <color indexed="9"/>
      <name val="Arial"/>
      <family val="2"/>
    </font>
    <font>
      <sz val="10"/>
      <color theme="0" tint="-0.249977111117893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3FFC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dashed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36689">
    <xf numFmtId="182" fontId="0" fillId="0" borderId="0"/>
    <xf numFmtId="182" fontId="62" fillId="0" borderId="0"/>
    <xf numFmtId="164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43" fontId="66" fillId="0" borderId="0" applyFont="0" applyFill="0" applyBorder="0" applyAlignment="0" applyProtection="0"/>
    <xf numFmtId="182" fontId="66" fillId="0" borderId="0"/>
    <xf numFmtId="182" fontId="62" fillId="0" borderId="0"/>
    <xf numFmtId="182" fontId="70" fillId="0" borderId="0"/>
    <xf numFmtId="182" fontId="70" fillId="0" borderId="0"/>
    <xf numFmtId="182" fontId="70" fillId="0" borderId="0"/>
    <xf numFmtId="170" fontId="62" fillId="0" borderId="0"/>
    <xf numFmtId="9" fontId="62" fillId="0" borderId="0" applyFont="0" applyFill="0" applyBorder="0" applyAlignment="0" applyProtection="0"/>
    <xf numFmtId="4" fontId="69" fillId="0" borderId="1">
      <protection locked="0"/>
    </xf>
    <xf numFmtId="182" fontId="71" fillId="0" borderId="0"/>
    <xf numFmtId="43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82" fontId="71" fillId="0" borderId="0"/>
    <xf numFmtId="164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182" fontId="71" fillId="0" borderId="0"/>
    <xf numFmtId="182" fontId="61" fillId="0" borderId="0"/>
    <xf numFmtId="9" fontId="71" fillId="0" borderId="0" applyFont="0" applyFill="0" applyBorder="0" applyAlignment="0" applyProtection="0"/>
    <xf numFmtId="9" fontId="61" fillId="0" borderId="0" applyFont="0" applyFill="0" applyBorder="0" applyAlignment="0" applyProtection="0"/>
    <xf numFmtId="182" fontId="71" fillId="0" borderId="0"/>
    <xf numFmtId="182" fontId="60" fillId="0" borderId="0"/>
    <xf numFmtId="182" fontId="72" fillId="0" borderId="0"/>
    <xf numFmtId="182" fontId="60" fillId="0" borderId="0"/>
    <xf numFmtId="167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182" fontId="59" fillId="0" borderId="0"/>
    <xf numFmtId="182" fontId="73" fillId="0" borderId="0"/>
    <xf numFmtId="182" fontId="74" fillId="0" borderId="0" applyFont="0" applyFill="0" applyBorder="0" applyAlignment="0" applyProtection="0"/>
    <xf numFmtId="182" fontId="58" fillId="0" borderId="0"/>
    <xf numFmtId="182" fontId="73" fillId="0" borderId="0"/>
    <xf numFmtId="168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182" fontId="57" fillId="0" borderId="0"/>
    <xf numFmtId="182" fontId="62" fillId="0" borderId="0"/>
    <xf numFmtId="167" fontId="62" fillId="0" borderId="0" applyFont="0" applyFill="0" applyBorder="0" applyAlignment="0" applyProtection="0"/>
    <xf numFmtId="182" fontId="73" fillId="0" borderId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64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82" fontId="56" fillId="0" borderId="0"/>
    <xf numFmtId="9" fontId="56" fillId="0" borderId="0" applyFont="0" applyFill="0" applyBorder="0" applyAlignment="0" applyProtection="0"/>
    <xf numFmtId="182" fontId="55" fillId="0" borderId="0"/>
    <xf numFmtId="182" fontId="77" fillId="0" borderId="0"/>
    <xf numFmtId="9" fontId="77" fillId="0" borderId="0" applyFont="0" applyFill="0" applyBorder="0" applyAlignment="0" applyProtection="0"/>
    <xf numFmtId="182" fontId="77" fillId="0" borderId="0" applyFont="0" applyFill="0" applyBorder="0" applyAlignment="0" applyProtection="0"/>
    <xf numFmtId="165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82" fontId="78" fillId="0" borderId="0" applyNumberFormat="0" applyFill="0" applyBorder="0" applyAlignment="0" applyProtection="0">
      <alignment vertical="top"/>
      <protection locked="0"/>
    </xf>
    <xf numFmtId="172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82" fontId="55" fillId="0" borderId="0"/>
    <xf numFmtId="9" fontId="80" fillId="0" borderId="0" applyFont="0" applyFill="0" applyBorder="0" applyAlignment="0" applyProtection="0"/>
    <xf numFmtId="182" fontId="80" fillId="0" borderId="0"/>
    <xf numFmtId="168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3" fontId="81" fillId="0" borderId="0" applyFont="0" applyFill="0" applyBorder="0" applyAlignment="0" applyProtection="0"/>
    <xf numFmtId="174" fontId="62" fillId="0" borderId="0" applyFont="0" applyFill="0" applyBorder="0" applyAlignment="0" applyProtection="0"/>
    <xf numFmtId="182" fontId="81" fillId="0" borderId="0" applyFont="0" applyFill="0" applyBorder="0" applyAlignment="0" applyProtection="0"/>
    <xf numFmtId="2" fontId="81" fillId="0" borderId="0" applyFont="0" applyFill="0" applyBorder="0" applyAlignment="0" applyProtection="0"/>
    <xf numFmtId="182" fontId="82" fillId="0" borderId="0" applyNumberFormat="0" applyFill="0" applyBorder="0" applyAlignment="0" applyProtection="0"/>
    <xf numFmtId="182" fontId="83" fillId="0" borderId="0" applyNumberFormat="0" applyFill="0" applyBorder="0" applyAlignment="0" applyProtection="0"/>
    <xf numFmtId="40" fontId="67" fillId="0" borderId="0" applyFont="0" applyFill="0" applyBorder="0" applyAlignment="0" applyProtection="0"/>
    <xf numFmtId="167" fontId="84" fillId="0" borderId="0" applyFont="0" applyFill="0" applyBorder="0" applyAlignment="0" applyProtection="0"/>
    <xf numFmtId="182" fontId="54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82" fontId="54" fillId="0" borderId="0"/>
    <xf numFmtId="182" fontId="54" fillId="0" borderId="0"/>
    <xf numFmtId="182" fontId="54" fillId="0" borderId="0"/>
    <xf numFmtId="182" fontId="62" fillId="0" borderId="0"/>
    <xf numFmtId="182" fontId="62" fillId="0" borderId="0"/>
    <xf numFmtId="182" fontId="54" fillId="0" borderId="0"/>
    <xf numFmtId="182" fontId="54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182" fontId="62" fillId="0" borderId="0"/>
    <xf numFmtId="182" fontId="54" fillId="0" borderId="0"/>
    <xf numFmtId="168" fontId="62" fillId="0" borderId="0" applyFont="0" applyFill="0" applyBorder="0" applyAlignment="0" applyProtection="0"/>
    <xf numFmtId="182" fontId="62" fillId="0" borderId="0"/>
    <xf numFmtId="182" fontId="62" fillId="0" borderId="0"/>
    <xf numFmtId="172" fontId="62" fillId="0" borderId="0" applyFont="0" applyFill="0" applyBorder="0" applyAlignment="0" applyProtection="0"/>
    <xf numFmtId="168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8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8" fontId="62" fillId="0" borderId="0" applyFont="0" applyFill="0" applyBorder="0" applyAlignment="0" applyProtection="0"/>
    <xf numFmtId="168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62" fillId="0" borderId="0" applyFont="0" applyFill="0" applyBorder="0" applyAlignment="0" applyProtection="0"/>
    <xf numFmtId="173" fontId="62" fillId="0" borderId="0" applyFont="0" applyFill="0" applyBorder="0" applyAlignment="0" applyProtection="0"/>
    <xf numFmtId="182" fontId="54" fillId="0" borderId="0"/>
    <xf numFmtId="182" fontId="62" fillId="0" borderId="0"/>
    <xf numFmtId="182" fontId="54" fillId="0" borderId="0"/>
    <xf numFmtId="182" fontId="54" fillId="0" borderId="0"/>
    <xf numFmtId="182" fontId="54" fillId="0" borderId="0"/>
    <xf numFmtId="182" fontId="62" fillId="0" borderId="0"/>
    <xf numFmtId="182" fontId="54" fillId="0" borderId="0"/>
    <xf numFmtId="182" fontId="54" fillId="0" borderId="0"/>
    <xf numFmtId="182" fontId="62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182" fontId="53" fillId="0" borderId="0"/>
    <xf numFmtId="167" fontId="62" fillId="0" borderId="0" applyFont="0" applyFill="0" applyBorder="0" applyAlignment="0" applyProtection="0"/>
    <xf numFmtId="182" fontId="52" fillId="0" borderId="0"/>
    <xf numFmtId="164" fontId="52" fillId="0" borderId="0" applyFont="0" applyFill="0" applyBorder="0" applyAlignment="0" applyProtection="0"/>
    <xf numFmtId="182" fontId="86" fillId="0" borderId="0"/>
    <xf numFmtId="9" fontId="52" fillId="0" borderId="0" applyFont="0" applyFill="0" applyBorder="0" applyAlignment="0" applyProtection="0"/>
    <xf numFmtId="182" fontId="51" fillId="0" borderId="0"/>
    <xf numFmtId="182" fontId="50" fillId="0" borderId="0"/>
    <xf numFmtId="182" fontId="49" fillId="0" borderId="0"/>
    <xf numFmtId="182" fontId="48" fillId="0" borderId="0"/>
    <xf numFmtId="9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82" fontId="47" fillId="0" borderId="0"/>
    <xf numFmtId="182" fontId="87" fillId="0" borderId="0"/>
    <xf numFmtId="164" fontId="65" fillId="0" borderId="0" applyFill="0" applyBorder="0" applyAlignment="0" applyProtection="0"/>
    <xf numFmtId="9" fontId="65" fillId="0" borderId="0" applyFill="0" applyBorder="0" applyAlignment="0" applyProtection="0"/>
    <xf numFmtId="182" fontId="46" fillId="0" borderId="0"/>
    <xf numFmtId="182" fontId="88" fillId="0" borderId="0"/>
    <xf numFmtId="182" fontId="85" fillId="0" borderId="0"/>
    <xf numFmtId="182" fontId="45" fillId="0" borderId="0"/>
    <xf numFmtId="164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182" fontId="89" fillId="0" borderId="0"/>
    <xf numFmtId="175" fontId="62" fillId="0" borderId="0" applyFont="0" applyFill="0" applyBorder="0" applyAlignment="0" applyProtection="0"/>
    <xf numFmtId="182" fontId="44" fillId="0" borderId="0"/>
    <xf numFmtId="164" fontId="44" fillId="0" borderId="0" applyFont="0" applyFill="0" applyBorder="0" applyAlignment="0" applyProtection="0"/>
    <xf numFmtId="167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182" fontId="91" fillId="0" borderId="0"/>
    <xf numFmtId="182" fontId="43" fillId="0" borderId="0"/>
    <xf numFmtId="182" fontId="42" fillId="0" borderId="0"/>
    <xf numFmtId="182" fontId="41" fillId="0" borderId="0"/>
    <xf numFmtId="182" fontId="62" fillId="0" borderId="0"/>
    <xf numFmtId="4" fontId="92" fillId="0" borderId="0" applyFont="0" applyFill="0" applyBorder="0" applyAlignment="0" applyProtection="0"/>
    <xf numFmtId="177" fontId="62" fillId="0" borderId="0" applyFont="0" applyFill="0" applyBorder="0" applyAlignment="0" applyProtection="0"/>
    <xf numFmtId="182" fontId="41" fillId="0" borderId="0"/>
    <xf numFmtId="182" fontId="41" fillId="0" borderId="0"/>
    <xf numFmtId="182" fontId="41" fillId="0" borderId="0"/>
    <xf numFmtId="182" fontId="62" fillId="0" borderId="0"/>
    <xf numFmtId="182" fontId="41" fillId="0" borderId="0"/>
    <xf numFmtId="9" fontId="41" fillId="0" borderId="0" applyFont="0" applyFill="0" applyBorder="0" applyAlignment="0" applyProtection="0"/>
    <xf numFmtId="182" fontId="41" fillId="0" borderId="0"/>
    <xf numFmtId="182" fontId="40" fillId="0" borderId="0"/>
    <xf numFmtId="43" fontId="93" fillId="0" borderId="0" applyFont="0" applyFill="0" applyBorder="0" applyAlignment="0" applyProtection="0"/>
    <xf numFmtId="182" fontId="39" fillId="0" borderId="0"/>
    <xf numFmtId="182" fontId="38" fillId="0" borderId="0"/>
    <xf numFmtId="182" fontId="37" fillId="0" borderId="0"/>
    <xf numFmtId="182" fontId="94" fillId="0" borderId="0" applyNumberFormat="0" applyFill="0" applyBorder="0" applyAlignment="0" applyProtection="0">
      <alignment vertical="top"/>
      <protection locked="0"/>
    </xf>
    <xf numFmtId="182" fontId="36" fillId="0" borderId="0"/>
    <xf numFmtId="182" fontId="35" fillId="0" borderId="0"/>
    <xf numFmtId="182" fontId="34" fillId="0" borderId="0"/>
    <xf numFmtId="182" fontId="34" fillId="0" borderId="0"/>
    <xf numFmtId="182" fontId="33" fillId="0" borderId="0"/>
    <xf numFmtId="182" fontId="32" fillId="0" borderId="0"/>
    <xf numFmtId="182" fontId="32" fillId="0" borderId="0"/>
    <xf numFmtId="182" fontId="31" fillId="0" borderId="0"/>
    <xf numFmtId="182" fontId="30" fillId="0" borderId="0"/>
    <xf numFmtId="182" fontId="30" fillId="0" borderId="0"/>
    <xf numFmtId="182" fontId="29" fillId="0" borderId="0"/>
    <xf numFmtId="182" fontId="29" fillId="0" borderId="0"/>
    <xf numFmtId="182" fontId="29" fillId="0" borderId="0"/>
    <xf numFmtId="182" fontId="28" fillId="0" borderId="0"/>
    <xf numFmtId="182" fontId="91" fillId="0" borderId="0"/>
    <xf numFmtId="182" fontId="28" fillId="0" borderId="0"/>
    <xf numFmtId="182" fontId="93" fillId="0" borderId="0"/>
    <xf numFmtId="182" fontId="28" fillId="0" borderId="0"/>
    <xf numFmtId="182" fontId="27" fillId="0" borderId="0"/>
    <xf numFmtId="182" fontId="26" fillId="0" borderId="0"/>
    <xf numFmtId="170" fontId="26" fillId="0" borderId="0" applyFont="0" applyFill="0" applyBorder="0" applyAlignment="0" applyProtection="0"/>
    <xf numFmtId="182" fontId="26" fillId="0" borderId="0"/>
    <xf numFmtId="182" fontId="25" fillId="0" borderId="0"/>
    <xf numFmtId="182" fontId="25" fillId="0" borderId="0"/>
    <xf numFmtId="182" fontId="25" fillId="0" borderId="0"/>
    <xf numFmtId="170" fontId="25" fillId="0" borderId="0" applyFont="0" applyFill="0" applyBorder="0" applyAlignment="0" applyProtection="0"/>
    <xf numFmtId="182" fontId="25" fillId="0" borderId="0"/>
    <xf numFmtId="182" fontId="24" fillId="0" borderId="0"/>
    <xf numFmtId="182" fontId="62" fillId="0" borderId="0"/>
    <xf numFmtId="182" fontId="24" fillId="0" borderId="0"/>
    <xf numFmtId="182" fontId="62" fillId="0" borderId="0" applyFill="0"/>
    <xf numFmtId="182" fontId="23" fillId="0" borderId="0"/>
    <xf numFmtId="182" fontId="23" fillId="0" borderId="0"/>
    <xf numFmtId="167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182" fontId="22" fillId="0" borderId="0"/>
    <xf numFmtId="182" fontId="22" fillId="0" borderId="0"/>
    <xf numFmtId="178" fontId="62" fillId="0" borderId="0" applyFont="0" applyFill="0" applyBorder="0" applyAlignment="0" applyProtection="0">
      <alignment horizontal="right"/>
    </xf>
    <xf numFmtId="178" fontId="62" fillId="0" borderId="0" applyFont="0" applyFill="0" applyBorder="0" applyAlignment="0" applyProtection="0">
      <alignment horizontal="right"/>
    </xf>
    <xf numFmtId="182" fontId="62" fillId="0" borderId="0" applyNumberFormat="0" applyFill="0" applyBorder="0" applyAlignment="0" applyProtection="0"/>
    <xf numFmtId="182" fontId="63" fillId="0" borderId="0"/>
    <xf numFmtId="182" fontId="62" fillId="0" borderId="0"/>
    <xf numFmtId="182" fontId="62" fillId="0" borderId="0"/>
    <xf numFmtId="182" fontId="93" fillId="17" borderId="0" applyNumberFormat="0" applyBorder="0" applyAlignment="0" applyProtection="0"/>
    <xf numFmtId="182" fontId="93" fillId="18" borderId="0" applyNumberFormat="0" applyBorder="0" applyAlignment="0" applyProtection="0"/>
    <xf numFmtId="182" fontId="93" fillId="9" borderId="0" applyNumberFormat="0" applyBorder="0" applyAlignment="0" applyProtection="0"/>
    <xf numFmtId="182" fontId="93" fillId="19" borderId="0" applyNumberFormat="0" applyBorder="0" applyAlignment="0" applyProtection="0"/>
    <xf numFmtId="182" fontId="93" fillId="20" borderId="0" applyNumberFormat="0" applyBorder="0" applyAlignment="0" applyProtection="0"/>
    <xf numFmtId="182" fontId="93" fillId="8" borderId="0" applyNumberFormat="0" applyBorder="0" applyAlignment="0" applyProtection="0"/>
    <xf numFmtId="182" fontId="93" fillId="6" borderId="0" applyNumberFormat="0" applyBorder="0" applyAlignment="0" applyProtection="0"/>
    <xf numFmtId="182" fontId="93" fillId="21" borderId="0" applyNumberFormat="0" applyBorder="0" applyAlignment="0" applyProtection="0"/>
    <xf numFmtId="182" fontId="93" fillId="22" borderId="0" applyNumberFormat="0" applyBorder="0" applyAlignment="0" applyProtection="0"/>
    <xf numFmtId="182" fontId="93" fillId="19" borderId="0" applyNumberFormat="0" applyBorder="0" applyAlignment="0" applyProtection="0"/>
    <xf numFmtId="182" fontId="93" fillId="6" borderId="0" applyNumberFormat="0" applyBorder="0" applyAlignment="0" applyProtection="0"/>
    <xf numFmtId="182" fontId="93" fillId="10" borderId="0" applyNumberFormat="0" applyBorder="0" applyAlignment="0" applyProtection="0"/>
    <xf numFmtId="182" fontId="22" fillId="12" borderId="0" applyNumberFormat="0" applyBorder="0" applyAlignment="0" applyProtection="0"/>
    <xf numFmtId="182" fontId="22" fillId="12" borderId="0" applyNumberFormat="0" applyBorder="0" applyAlignment="0" applyProtection="0"/>
    <xf numFmtId="182" fontId="22" fillId="12" borderId="0" applyNumberFormat="0" applyBorder="0" applyAlignment="0" applyProtection="0"/>
    <xf numFmtId="182" fontId="22" fillId="12" borderId="0" applyNumberFormat="0" applyBorder="0" applyAlignment="0" applyProtection="0"/>
    <xf numFmtId="182" fontId="22" fillId="13" borderId="0" applyNumberFormat="0" applyBorder="0" applyAlignment="0" applyProtection="0"/>
    <xf numFmtId="182" fontId="22" fillId="13" borderId="0" applyNumberFormat="0" applyBorder="0" applyAlignment="0" applyProtection="0"/>
    <xf numFmtId="182" fontId="22" fillId="13" borderId="0" applyNumberFormat="0" applyBorder="0" applyAlignment="0" applyProtection="0"/>
    <xf numFmtId="182" fontId="22" fillId="13" borderId="0" applyNumberFormat="0" applyBorder="0" applyAlignment="0" applyProtection="0"/>
    <xf numFmtId="182" fontId="98" fillId="23" borderId="0" applyNumberFormat="0" applyBorder="0" applyAlignment="0" applyProtection="0"/>
    <xf numFmtId="182" fontId="98" fillId="21" borderId="0" applyNumberFormat="0" applyBorder="0" applyAlignment="0" applyProtection="0"/>
    <xf numFmtId="182" fontId="98" fillId="22" borderId="0" applyNumberFormat="0" applyBorder="0" applyAlignment="0" applyProtection="0"/>
    <xf numFmtId="182" fontId="98" fillId="24" borderId="0" applyNumberFormat="0" applyBorder="0" applyAlignment="0" applyProtection="0"/>
    <xf numFmtId="182" fontId="98" fillId="25" borderId="0" applyNumberFormat="0" applyBorder="0" applyAlignment="0" applyProtection="0"/>
    <xf numFmtId="182" fontId="98" fillId="26" borderId="0" applyNumberFormat="0" applyBorder="0" applyAlignment="0" applyProtection="0"/>
    <xf numFmtId="37" fontId="99" fillId="0" borderId="0"/>
    <xf numFmtId="37" fontId="100" fillId="0" borderId="0"/>
    <xf numFmtId="37" fontId="101" fillId="0" borderId="0"/>
    <xf numFmtId="182" fontId="102" fillId="0" borderId="0" applyFont="0" applyFill="0" applyBorder="0" applyAlignment="0" applyProtection="0"/>
    <xf numFmtId="182" fontId="102" fillId="0" borderId="0" applyFont="0" applyFill="0" applyBorder="0" applyAlignment="0" applyProtection="0"/>
    <xf numFmtId="182" fontId="102" fillId="0" borderId="0" applyFont="0" applyFill="0" applyBorder="0" applyAlignment="0" applyProtection="0"/>
    <xf numFmtId="182" fontId="102" fillId="0" borderId="0" applyFont="0" applyFill="0" applyBorder="0" applyAlignment="0" applyProtection="0"/>
    <xf numFmtId="182" fontId="103" fillId="0" borderId="0" applyNumberFormat="0"/>
    <xf numFmtId="182" fontId="104" fillId="0" borderId="17"/>
    <xf numFmtId="182" fontId="104" fillId="0" borderId="17"/>
    <xf numFmtId="182" fontId="105" fillId="0" borderId="0" applyNumberFormat="0"/>
    <xf numFmtId="182" fontId="106" fillId="9" borderId="0" applyNumberFormat="0" applyBorder="0" applyAlignment="0" applyProtection="0"/>
    <xf numFmtId="37" fontId="107" fillId="0" borderId="12" applyNumberFormat="0" applyFont="0" applyFill="0" applyAlignment="0" applyProtection="0"/>
    <xf numFmtId="37" fontId="107" fillId="0" borderId="12" applyNumberFormat="0" applyFont="0" applyFill="0" applyAlignment="0" applyProtection="0"/>
    <xf numFmtId="37" fontId="107" fillId="0" borderId="22" applyNumberFormat="0" applyFont="0" applyFill="0" applyAlignment="0" applyProtection="0"/>
    <xf numFmtId="37" fontId="107" fillId="0" borderId="22" applyNumberFormat="0" applyFont="0" applyFill="0" applyAlignment="0" applyProtection="0"/>
    <xf numFmtId="182" fontId="102" fillId="0" borderId="0"/>
    <xf numFmtId="182" fontId="108" fillId="0" borderId="0"/>
    <xf numFmtId="182" fontId="109" fillId="5" borderId="25" applyNumberFormat="0" applyAlignment="0" applyProtection="0"/>
    <xf numFmtId="182" fontId="110" fillId="0" borderId="26" applyNumberFormat="0" applyFill="0" applyAlignment="0" applyProtection="0"/>
    <xf numFmtId="43" fontId="93" fillId="0" borderId="0" applyFont="0" applyFill="0" applyBorder="0" applyAlignment="0" applyProtection="0"/>
    <xf numFmtId="179" fontId="111" fillId="0" borderId="0"/>
    <xf numFmtId="182" fontId="98" fillId="27" borderId="0" applyNumberFormat="0" applyBorder="0" applyAlignment="0" applyProtection="0"/>
    <xf numFmtId="182" fontId="98" fillId="28" borderId="0" applyNumberFormat="0" applyBorder="0" applyAlignment="0" applyProtection="0"/>
    <xf numFmtId="182" fontId="98" fillId="29" borderId="0" applyNumberFormat="0" applyBorder="0" applyAlignment="0" applyProtection="0"/>
    <xf numFmtId="182" fontId="98" fillId="24" borderId="0" applyNumberFormat="0" applyBorder="0" applyAlignment="0" applyProtection="0"/>
    <xf numFmtId="182" fontId="98" fillId="25" borderId="0" applyNumberFormat="0" applyBorder="0" applyAlignment="0" applyProtection="0"/>
    <xf numFmtId="182" fontId="98" fillId="30" borderId="0" applyNumberFormat="0" applyBorder="0" applyAlignment="0" applyProtection="0"/>
    <xf numFmtId="182" fontId="62" fillId="0" borderId="0" applyFont="0" applyFill="0" applyBorder="0" applyAlignment="0" applyProtection="0"/>
    <xf numFmtId="182" fontId="112" fillId="0" borderId="0"/>
    <xf numFmtId="37" fontId="113" fillId="0" borderId="0" applyNumberFormat="0" applyFill="0" applyBorder="0" applyAlignment="0" applyProtection="0"/>
    <xf numFmtId="37" fontId="107" fillId="0" borderId="0" applyNumberFormat="0" applyFill="0" applyBorder="0" applyAlignment="0" applyProtection="0"/>
    <xf numFmtId="182" fontId="114" fillId="0" borderId="0" applyNumberFormat="0" applyFill="0" applyBorder="0" applyAlignment="0" applyProtection="0">
      <alignment vertical="top"/>
      <protection locked="0"/>
    </xf>
    <xf numFmtId="182" fontId="115" fillId="18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7" fontId="62" fillId="0" borderId="0" applyFont="0" applyFill="0" applyBorder="0" applyAlignment="0" applyProtection="0"/>
    <xf numFmtId="177" fontId="6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80" fontId="112" fillId="0" borderId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62" fillId="0" borderId="0" applyFont="0" applyFill="0" applyBorder="0" applyAlignment="0" applyProtection="0"/>
    <xf numFmtId="182" fontId="6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1" fontId="62" fillId="0" borderId="0" applyFont="0" applyFill="0" applyBorder="0" applyAlignment="0" applyProtection="0"/>
    <xf numFmtId="182" fontId="116" fillId="7" borderId="0" applyNumberFormat="0" applyBorder="0" applyAlignment="0" applyProtection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117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62" fillId="0" borderId="0"/>
    <xf numFmtId="182" fontId="80" fillId="0" borderId="0"/>
    <xf numFmtId="182" fontId="97" fillId="0" borderId="0"/>
    <xf numFmtId="182" fontId="62" fillId="0" borderId="0"/>
    <xf numFmtId="182" fontId="62" fillId="0" borderId="0" applyNumberFormat="0" applyFill="0" applyBorder="0" applyAlignment="0" applyProtection="0"/>
    <xf numFmtId="182" fontId="87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75" fillId="0" borderId="0">
      <alignment vertical="top"/>
    </xf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93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118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119" fillId="31" borderId="27" applyNumberFormat="0" applyFont="0" applyAlignment="0" applyProtection="0"/>
    <xf numFmtId="169" fontId="12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2" fillId="0" borderId="0" applyFont="0" applyFill="0" applyBorder="0" applyAlignment="0" applyProtection="0"/>
    <xf numFmtId="4" fontId="69" fillId="0" borderId="1">
      <protection locked="0"/>
    </xf>
    <xf numFmtId="37" fontId="121" fillId="0" borderId="0" applyNumberFormat="0" applyFill="0" applyBorder="0" applyAlignment="0" applyProtection="0"/>
    <xf numFmtId="182" fontId="122" fillId="3" borderId="28" applyNumberFormat="0" applyAlignment="0" applyProtection="0"/>
    <xf numFmtId="182" fontId="123" fillId="0" borderId="0" applyNumberFormat="0" applyFill="0" applyBorder="0" applyAlignment="0" applyProtection="0"/>
    <xf numFmtId="182" fontId="124" fillId="0" borderId="0" applyNumberFormat="0" applyFill="0" applyBorder="0" applyAlignment="0" applyProtection="0"/>
    <xf numFmtId="40" fontId="62" fillId="0" borderId="0" applyFont="0" applyFill="0" applyBorder="0" applyAlignment="0" applyProtection="0"/>
    <xf numFmtId="41" fontId="125" fillId="0" borderId="0" applyFont="0" applyFill="0" applyBorder="0" applyAlignment="0" applyProtection="0"/>
    <xf numFmtId="182" fontId="125" fillId="0" borderId="0"/>
    <xf numFmtId="182" fontId="125" fillId="0" borderId="0"/>
    <xf numFmtId="182" fontId="125" fillId="0" borderId="0"/>
    <xf numFmtId="182" fontId="125" fillId="0" borderId="0"/>
    <xf numFmtId="182" fontId="126" fillId="0" borderId="0"/>
    <xf numFmtId="182" fontId="21" fillId="0" borderId="0"/>
    <xf numFmtId="182" fontId="128" fillId="0" borderId="0" applyProtection="0"/>
    <xf numFmtId="182" fontId="79" fillId="0" borderId="0" applyProtection="0"/>
    <xf numFmtId="182" fontId="129" fillId="0" borderId="0" applyProtection="0"/>
    <xf numFmtId="182" fontId="63" fillId="0" borderId="0" applyProtection="0"/>
    <xf numFmtId="182" fontId="130" fillId="0" borderId="0" applyProtection="0"/>
    <xf numFmtId="182" fontId="131" fillId="0" borderId="0" applyProtection="0"/>
    <xf numFmtId="182" fontId="132" fillId="0" borderId="0" applyProtection="0"/>
    <xf numFmtId="182" fontId="20" fillId="0" borderId="0"/>
    <xf numFmtId="164" fontId="20" fillId="0" borderId="0" applyFont="0" applyFill="0" applyBorder="0" applyAlignment="0" applyProtection="0"/>
    <xf numFmtId="0" fontId="19" fillId="0" borderId="0"/>
    <xf numFmtId="168" fontId="19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33" borderId="0" applyNumberFormat="0" applyBorder="0" applyAlignment="0" applyProtection="0"/>
    <xf numFmtId="37" fontId="107" fillId="0" borderId="29" applyNumberFormat="0" applyFont="0" applyFill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93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3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9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>
      <alignment vertical="center"/>
    </xf>
    <xf numFmtId="0" fontId="19" fillId="0" borderId="0"/>
    <xf numFmtId="0" fontId="19" fillId="0" borderId="0"/>
    <xf numFmtId="0" fontId="1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8" fillId="0" borderId="0"/>
    <xf numFmtId="0" fontId="136" fillId="0" borderId="0" applyNumberFormat="0" applyFill="0" applyBorder="0" applyProtection="0">
      <alignment vertical="top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31" borderId="31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" fontId="69" fillId="0" borderId="1">
      <protection locked="0"/>
    </xf>
    <xf numFmtId="4" fontId="69" fillId="0" borderId="1">
      <protection locked="0"/>
    </xf>
    <xf numFmtId="0" fontId="122" fillId="3" borderId="32" applyNumberFormat="0" applyAlignment="0" applyProtection="0"/>
    <xf numFmtId="0" fontId="18" fillId="0" borderId="0"/>
    <xf numFmtId="0" fontId="62" fillId="0" borderId="0"/>
    <xf numFmtId="0" fontId="18" fillId="0" borderId="0"/>
    <xf numFmtId="0" fontId="138" fillId="0" borderId="0"/>
    <xf numFmtId="0" fontId="78" fillId="0" borderId="0" applyNumberFormat="0" applyFill="0" applyBorder="0" applyAlignment="0" applyProtection="0">
      <alignment vertical="top"/>
      <protection locked="0"/>
    </xf>
    <xf numFmtId="167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42" fillId="0" borderId="0"/>
    <xf numFmtId="0" fontId="62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82" fontId="16" fillId="0" borderId="0"/>
    <xf numFmtId="9" fontId="16" fillId="0" borderId="0" applyFont="0" applyFill="0" applyBorder="0" applyAlignment="0" applyProtection="0"/>
    <xf numFmtId="182" fontId="16" fillId="0" borderId="0"/>
    <xf numFmtId="182" fontId="16" fillId="0" borderId="0"/>
    <xf numFmtId="43" fontId="62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43" fontId="62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82" fontId="16" fillId="0" borderId="0"/>
    <xf numFmtId="9" fontId="16" fillId="0" borderId="0" applyFont="0" applyFill="0" applyBorder="0" applyAlignment="0" applyProtection="0"/>
    <xf numFmtId="182" fontId="16" fillId="0" borderId="0"/>
    <xf numFmtId="41" fontId="80" fillId="0" borderId="0" applyFont="0" applyFill="0" applyBorder="0" applyAlignment="0" applyProtection="0"/>
    <xf numFmtId="182" fontId="16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6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82" fontId="16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43" fontId="62" fillId="0" borderId="0" applyFont="0" applyFill="0" applyBorder="0" applyAlignment="0" applyProtection="0"/>
    <xf numFmtId="182" fontId="16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64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182" fontId="16" fillId="0" borderId="0"/>
    <xf numFmtId="182" fontId="16" fillId="0" borderId="0"/>
    <xf numFmtId="43" fontId="93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70" fontId="16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70" fontId="16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43" fontId="62" fillId="0" borderId="0" applyFont="0" applyFill="0" applyBorder="0" applyAlignment="0" applyProtection="0"/>
    <xf numFmtId="182" fontId="16" fillId="0" borderId="0"/>
    <xf numFmtId="182" fontId="16" fillId="0" borderId="0"/>
    <xf numFmtId="182" fontId="16" fillId="12" borderId="0" applyNumberFormat="0" applyBorder="0" applyAlignment="0" applyProtection="0"/>
    <xf numFmtId="182" fontId="16" fillId="12" borderId="0" applyNumberFormat="0" applyBorder="0" applyAlignment="0" applyProtection="0"/>
    <xf numFmtId="182" fontId="16" fillId="12" borderId="0" applyNumberFormat="0" applyBorder="0" applyAlignment="0" applyProtection="0"/>
    <xf numFmtId="182" fontId="16" fillId="12" borderId="0" applyNumberFormat="0" applyBorder="0" applyAlignment="0" applyProtection="0"/>
    <xf numFmtId="182" fontId="16" fillId="13" borderId="0" applyNumberFormat="0" applyBorder="0" applyAlignment="0" applyProtection="0"/>
    <xf numFmtId="182" fontId="16" fillId="13" borderId="0" applyNumberFormat="0" applyBorder="0" applyAlignment="0" applyProtection="0"/>
    <xf numFmtId="182" fontId="16" fillId="13" borderId="0" applyNumberFormat="0" applyBorder="0" applyAlignment="0" applyProtection="0"/>
    <xf numFmtId="182" fontId="16" fillId="13" borderId="0" applyNumberFormat="0" applyBorder="0" applyAlignment="0" applyProtection="0"/>
    <xf numFmtId="182" fontId="104" fillId="0" borderId="42"/>
    <xf numFmtId="182" fontId="104" fillId="0" borderId="42"/>
    <xf numFmtId="37" fontId="107" fillId="0" borderId="34" applyNumberFormat="0" applyFont="0" applyFill="0" applyAlignment="0" applyProtection="0"/>
    <xf numFmtId="37" fontId="107" fillId="0" borderId="34" applyNumberFormat="0" applyFont="0" applyFill="0" applyAlignment="0" applyProtection="0"/>
    <xf numFmtId="43" fontId="9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19" fillId="31" borderId="43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82" fontId="122" fillId="3" borderId="44" applyNumberFormat="0" applyAlignment="0" applyProtection="0"/>
    <xf numFmtId="182" fontId="16" fillId="0" borderId="0"/>
    <xf numFmtId="182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3" fillId="0" borderId="0"/>
    <xf numFmtId="183" fontId="62" fillId="0" borderId="0" applyFont="0" applyFill="0" applyBorder="0" applyAlignment="0" applyProtection="0"/>
    <xf numFmtId="164" fontId="143" fillId="0" borderId="0" applyFont="0" applyFill="0" applyBorder="0" applyAlignment="0" applyProtection="0"/>
    <xf numFmtId="184" fontId="143" fillId="0" borderId="0" applyFont="0" applyFill="0" applyBorder="0" applyAlignment="0" applyProtection="0"/>
    <xf numFmtId="185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82" fontId="154" fillId="0" borderId="0" applyNumberFormat="0" applyFill="0" applyBorder="0" applyAlignment="0" applyProtection="0"/>
    <xf numFmtId="0" fontId="14" fillId="0" borderId="0"/>
    <xf numFmtId="0" fontId="62" fillId="0" borderId="0"/>
    <xf numFmtId="0" fontId="79" fillId="0" borderId="0"/>
    <xf numFmtId="0" fontId="79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2" fontId="13" fillId="0" borderId="0"/>
    <xf numFmtId="9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2" fontId="13" fillId="0" borderId="0"/>
    <xf numFmtId="9" fontId="13" fillId="0" borderId="0" applyFont="0" applyFill="0" applyBorder="0" applyAlignment="0" applyProtection="0"/>
    <xf numFmtId="182" fontId="13" fillId="0" borderId="0"/>
    <xf numFmtId="182" fontId="13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3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13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64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82" fontId="13" fillId="0" borderId="0"/>
    <xf numFmtId="182" fontId="13" fillId="0" borderId="0"/>
    <xf numFmtId="43" fontId="9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70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70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12" borderId="0" applyNumberFormat="0" applyBorder="0" applyAlignment="0" applyProtection="0"/>
    <xf numFmtId="182" fontId="13" fillId="12" borderId="0" applyNumberFormat="0" applyBorder="0" applyAlignment="0" applyProtection="0"/>
    <xf numFmtId="182" fontId="13" fillId="12" borderId="0" applyNumberFormat="0" applyBorder="0" applyAlignment="0" applyProtection="0"/>
    <xf numFmtId="182" fontId="13" fillId="12" borderId="0" applyNumberFormat="0" applyBorder="0" applyAlignment="0" applyProtection="0"/>
    <xf numFmtId="182" fontId="13" fillId="13" borderId="0" applyNumberFormat="0" applyBorder="0" applyAlignment="0" applyProtection="0"/>
    <xf numFmtId="182" fontId="13" fillId="13" borderId="0" applyNumberFormat="0" applyBorder="0" applyAlignment="0" applyProtection="0"/>
    <xf numFmtId="182" fontId="13" fillId="13" borderId="0" applyNumberFormat="0" applyBorder="0" applyAlignment="0" applyProtection="0"/>
    <xf numFmtId="182" fontId="13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122" fillId="3" borderId="81" applyNumberFormat="0" applyAlignment="0" applyProtection="0"/>
    <xf numFmtId="182" fontId="13" fillId="0" borderId="0"/>
    <xf numFmtId="182" fontId="13" fillId="0" borderId="0"/>
    <xf numFmtId="164" fontId="13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33" borderId="0" applyNumberFormat="0" applyBorder="0" applyAlignment="0" applyProtection="0"/>
    <xf numFmtId="37" fontId="107" fillId="0" borderId="82" applyNumberFormat="0" applyFont="0" applyFill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9" fillId="31" borderId="83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2" fillId="3" borderId="81" applyNumberFormat="0" applyAlignment="0" applyProtection="0"/>
    <xf numFmtId="0" fontId="13" fillId="0" borderId="0"/>
    <xf numFmtId="0" fontId="13" fillId="0" borderId="0"/>
    <xf numFmtId="0" fontId="62" fillId="0" borderId="0"/>
    <xf numFmtId="43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18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2" fontId="13" fillId="0" borderId="0"/>
    <xf numFmtId="9" fontId="13" fillId="0" borderId="0" applyFont="0" applyFill="0" applyBorder="0" applyAlignment="0" applyProtection="0"/>
    <xf numFmtId="182" fontId="13" fillId="0" borderId="0"/>
    <xf numFmtId="182" fontId="13" fillId="0" borderId="0"/>
    <xf numFmtId="43" fontId="62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2" fontId="13" fillId="0" borderId="0"/>
    <xf numFmtId="9" fontId="13" fillId="0" borderId="0" applyFont="0" applyFill="0" applyBorder="0" applyAlignment="0" applyProtection="0"/>
    <xf numFmtId="182" fontId="13" fillId="0" borderId="0"/>
    <xf numFmtId="41" fontId="80" fillId="0" borderId="0" applyFont="0" applyFill="0" applyBorder="0" applyAlignment="0" applyProtection="0"/>
    <xf numFmtId="182" fontId="13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3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13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43" fontId="62" fillId="0" borderId="0" applyFont="0" applyFill="0" applyBorder="0" applyAlignment="0" applyProtection="0"/>
    <xf numFmtId="182" fontId="13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64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82" fontId="13" fillId="0" borderId="0"/>
    <xf numFmtId="182" fontId="13" fillId="0" borderId="0"/>
    <xf numFmtId="43" fontId="9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70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70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43" fontId="62" fillId="0" borderId="0" applyFont="0" applyFill="0" applyBorder="0" applyAlignment="0" applyProtection="0"/>
    <xf numFmtId="182" fontId="13" fillId="0" borderId="0"/>
    <xf numFmtId="182" fontId="13" fillId="0" borderId="0"/>
    <xf numFmtId="182" fontId="13" fillId="12" borderId="0" applyNumberFormat="0" applyBorder="0" applyAlignment="0" applyProtection="0"/>
    <xf numFmtId="182" fontId="13" fillId="12" borderId="0" applyNumberFormat="0" applyBorder="0" applyAlignment="0" applyProtection="0"/>
    <xf numFmtId="182" fontId="13" fillId="12" borderId="0" applyNumberFormat="0" applyBorder="0" applyAlignment="0" applyProtection="0"/>
    <xf numFmtId="182" fontId="13" fillId="12" borderId="0" applyNumberFormat="0" applyBorder="0" applyAlignment="0" applyProtection="0"/>
    <xf numFmtId="182" fontId="13" fillId="13" borderId="0" applyNumberFormat="0" applyBorder="0" applyAlignment="0" applyProtection="0"/>
    <xf numFmtId="182" fontId="13" fillId="13" borderId="0" applyNumberFormat="0" applyBorder="0" applyAlignment="0" applyProtection="0"/>
    <xf numFmtId="182" fontId="13" fillId="13" borderId="0" applyNumberFormat="0" applyBorder="0" applyAlignment="0" applyProtection="0"/>
    <xf numFmtId="182" fontId="13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19" fillId="31" borderId="84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122" fillId="3" borderId="85" applyNumberFormat="0" applyAlignment="0" applyProtection="0"/>
    <xf numFmtId="182" fontId="13" fillId="0" borderId="0"/>
    <xf numFmtId="182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62" fillId="0" borderId="0"/>
    <xf numFmtId="164" fontId="62" fillId="0" borderId="0" applyFont="0" applyFill="0" applyBorder="0" applyAlignment="0" applyProtection="0"/>
    <xf numFmtId="184" fontId="62" fillId="0" borderId="0" applyFont="0" applyFill="0" applyBorder="0" applyAlignment="0" applyProtection="0"/>
    <xf numFmtId="37" fontId="107" fillId="0" borderId="86" applyNumberFormat="0" applyFont="0" applyFill="0" applyAlignment="0" applyProtection="0"/>
    <xf numFmtId="37" fontId="107" fillId="0" borderId="86" applyNumberFormat="0" applyFont="0" applyFill="0" applyAlignment="0" applyProtection="0"/>
    <xf numFmtId="0" fontId="119" fillId="31" borderId="90" applyNumberFormat="0" applyFont="0" applyAlignment="0" applyProtection="0"/>
    <xf numFmtId="43" fontId="62" fillId="0" borderId="0" applyFont="0" applyFill="0" applyBorder="0" applyAlignment="0" applyProtection="0"/>
    <xf numFmtId="37" fontId="107" fillId="0" borderId="86" applyNumberFormat="0" applyFont="0" applyFill="0" applyAlignment="0" applyProtection="0"/>
    <xf numFmtId="0" fontId="122" fillId="3" borderId="91" applyNumberFormat="0" applyAlignment="0" applyProtection="0"/>
    <xf numFmtId="0" fontId="119" fillId="31" borderId="84" applyNumberFormat="0" applyFont="0" applyAlignment="0" applyProtection="0"/>
    <xf numFmtId="37" fontId="107" fillId="0" borderId="92" applyNumberFormat="0" applyFont="0" applyFill="0" applyAlignment="0" applyProtection="0"/>
    <xf numFmtId="0" fontId="122" fillId="3" borderId="85" applyNumberFormat="0" applyAlignment="0" applyProtection="0"/>
    <xf numFmtId="37" fontId="107" fillId="0" borderId="92" applyNumberFormat="0" applyFont="0" applyFill="0" applyAlignment="0" applyProtection="0"/>
    <xf numFmtId="182" fontId="119" fillId="31" borderId="90" applyNumberFormat="0" applyFont="0" applyAlignment="0" applyProtection="0"/>
    <xf numFmtId="37" fontId="107" fillId="0" borderId="92" applyNumberFormat="0" applyFont="0" applyFill="0" applyAlignment="0" applyProtection="0"/>
    <xf numFmtId="182" fontId="122" fillId="3" borderId="91" applyNumberFormat="0" applyAlignment="0" applyProtection="0"/>
    <xf numFmtId="0" fontId="62" fillId="0" borderId="0" applyFill="0"/>
    <xf numFmtId="167" fontId="62" fillId="0" borderId="0" applyFont="0" applyFill="0" applyBorder="0" applyAlignment="0" applyProtection="0"/>
    <xf numFmtId="0" fontId="62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93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0" fontId="11" fillId="0" borderId="0"/>
    <xf numFmtId="168" fontId="11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33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41" fontId="80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82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93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93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22" fillId="3" borderId="91" applyNumberFormat="0" applyAlignment="0" applyProtection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0" fontId="11" fillId="0" borderId="0"/>
    <xf numFmtId="168" fontId="11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33" borderId="0" applyNumberFormat="0" applyBorder="0" applyAlignment="0" applyProtection="0"/>
    <xf numFmtId="37" fontId="107" fillId="0" borderId="92" applyNumberFormat="0" applyFont="0" applyFill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9" fillId="31" borderId="90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2" fillId="3" borderId="91" applyNumberFormat="0" applyAlignment="0" applyProtection="0"/>
    <xf numFmtId="0" fontId="11" fillId="0" borderId="0"/>
    <xf numFmtId="0" fontId="11" fillId="0" borderId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41" fontId="80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82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82" fontId="11" fillId="0" borderId="0"/>
    <xf numFmtId="182" fontId="11" fillId="0" borderId="0"/>
    <xf numFmtId="43" fontId="93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70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43" fontId="62" fillId="0" borderId="0" applyFont="0" applyFill="0" applyBorder="0" applyAlignment="0" applyProtection="0"/>
    <xf numFmtId="182" fontId="11" fillId="0" borderId="0"/>
    <xf numFmtId="182" fontId="11" fillId="0" borderId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2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182" fontId="11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9" fillId="31" borderId="90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22" fillId="3" borderId="91" applyNumberFormat="0" applyAlignment="0" applyProtection="0"/>
    <xf numFmtId="182" fontId="11" fillId="0" borderId="0"/>
    <xf numFmtId="182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37" fontId="107" fillId="0" borderId="92" applyNumberFormat="0" applyFont="0" applyFill="0" applyAlignment="0" applyProtection="0"/>
    <xf numFmtId="37" fontId="107" fillId="0" borderId="92" applyNumberFormat="0" applyFont="0" applyFill="0" applyAlignment="0" applyProtection="0"/>
    <xf numFmtId="0" fontId="119" fillId="31" borderId="102" applyNumberFormat="0" applyFont="0" applyAlignment="0" applyProtection="0"/>
    <xf numFmtId="43" fontId="62" fillId="0" borderId="0" applyFont="0" applyFill="0" applyBorder="0" applyAlignment="0" applyProtection="0"/>
    <xf numFmtId="37" fontId="107" fillId="0" borderId="92" applyNumberFormat="0" applyFont="0" applyFill="0" applyAlignment="0" applyProtection="0"/>
    <xf numFmtId="0" fontId="122" fillId="3" borderId="103" applyNumberFormat="0" applyAlignment="0" applyProtection="0"/>
    <xf numFmtId="0" fontId="119" fillId="31" borderId="90" applyNumberFormat="0" applyFont="0" applyAlignment="0" applyProtection="0"/>
    <xf numFmtId="37" fontId="107" fillId="0" borderId="104" applyNumberFormat="0" applyFont="0" applyFill="0" applyAlignment="0" applyProtection="0"/>
    <xf numFmtId="0" fontId="122" fillId="3" borderId="91" applyNumberFormat="0" applyAlignment="0" applyProtection="0"/>
    <xf numFmtId="37" fontId="107" fillId="0" borderId="104" applyNumberFormat="0" applyFont="0" applyFill="0" applyAlignment="0" applyProtection="0"/>
    <xf numFmtId="182" fontId="119" fillId="31" borderId="102" applyNumberFormat="0" applyFont="0" applyAlignment="0" applyProtection="0"/>
    <xf numFmtId="37" fontId="107" fillId="0" borderId="104" applyNumberFormat="0" applyFont="0" applyFill="0" applyAlignment="0" applyProtection="0"/>
    <xf numFmtId="182" fontId="122" fillId="3" borderId="103" applyNumberFormat="0" applyAlignment="0" applyProtection="0"/>
    <xf numFmtId="43" fontId="6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3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41" fontId="8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22" fillId="3" borderId="103" applyNumberFormat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3" borderId="0" applyNumberFormat="0" applyBorder="0" applyAlignment="0" applyProtection="0"/>
    <xf numFmtId="37" fontId="107" fillId="0" borderId="104" applyNumberFormat="0" applyFont="0" applyFill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9" fillId="31" borderId="102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2" fillId="3" borderId="103" applyNumberFormat="0" applyAlignment="0" applyProtection="0"/>
    <xf numFmtId="0" fontId="10" fillId="0" borderId="0"/>
    <xf numFmtId="0" fontId="10" fillId="0" borderId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41" fontId="8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19" fillId="31" borderId="102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22" fillId="3" borderId="103" applyNumberFormat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37" fontId="107" fillId="0" borderId="104" applyNumberFormat="0" applyFont="0" applyFill="0" applyAlignment="0" applyProtection="0"/>
    <xf numFmtId="37" fontId="107" fillId="0" borderId="104" applyNumberFormat="0" applyFont="0" applyFill="0" applyAlignment="0" applyProtection="0"/>
    <xf numFmtId="0" fontId="119" fillId="31" borderId="105" applyNumberFormat="0" applyFont="0" applyAlignment="0" applyProtection="0"/>
    <xf numFmtId="43" fontId="62" fillId="0" borderId="0" applyFont="0" applyFill="0" applyBorder="0" applyAlignment="0" applyProtection="0"/>
    <xf numFmtId="37" fontId="107" fillId="0" borderId="104" applyNumberFormat="0" applyFont="0" applyFill="0" applyAlignment="0" applyProtection="0"/>
    <xf numFmtId="0" fontId="122" fillId="3" borderId="106" applyNumberFormat="0" applyAlignment="0" applyProtection="0"/>
    <xf numFmtId="0" fontId="119" fillId="31" borderId="102" applyNumberFormat="0" applyFont="0" applyAlignment="0" applyProtection="0"/>
    <xf numFmtId="37" fontId="107" fillId="0" borderId="107" applyNumberFormat="0" applyFont="0" applyFill="0" applyAlignment="0" applyProtection="0"/>
    <xf numFmtId="0" fontId="122" fillId="3" borderId="103" applyNumberFormat="0" applyAlignment="0" applyProtection="0"/>
    <xf numFmtId="37" fontId="107" fillId="0" borderId="107" applyNumberFormat="0" applyFont="0" applyFill="0" applyAlignment="0" applyProtection="0"/>
    <xf numFmtId="182" fontId="119" fillId="31" borderId="105" applyNumberFormat="0" applyFont="0" applyAlignment="0" applyProtection="0"/>
    <xf numFmtId="37" fontId="107" fillId="0" borderId="107" applyNumberFormat="0" applyFont="0" applyFill="0" applyAlignment="0" applyProtection="0"/>
    <xf numFmtId="182" fontId="122" fillId="3" borderId="106" applyNumberFormat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3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41" fontId="8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22" fillId="3" borderId="106" applyNumberFormat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33" borderId="0" applyNumberFormat="0" applyBorder="0" applyAlignment="0" applyProtection="0"/>
    <xf numFmtId="37" fontId="107" fillId="0" borderId="107" applyNumberFormat="0" applyFont="0" applyFill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9" fillId="31" borderId="105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2" fillId="3" borderId="106" applyNumberFormat="0" applyAlignment="0" applyProtection="0"/>
    <xf numFmtId="0" fontId="10" fillId="0" borderId="0"/>
    <xf numFmtId="0" fontId="10" fillId="0" borderId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41" fontId="8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9" fontId="10" fillId="0" borderId="0" applyFont="0" applyFill="0" applyBorder="0" applyAlignment="0" applyProtection="0"/>
    <xf numFmtId="182" fontId="10" fillId="0" borderId="0"/>
    <xf numFmtId="182" fontId="10" fillId="0" borderId="0"/>
    <xf numFmtId="43" fontId="93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70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43" fontId="62" fillId="0" borderId="0" applyFont="0" applyFill="0" applyBorder="0" applyAlignment="0" applyProtection="0"/>
    <xf numFmtId="182" fontId="10" fillId="0" borderId="0"/>
    <xf numFmtId="182" fontId="10" fillId="0" borderId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2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182" fontId="10" fillId="13" borderId="0" applyNumberFormat="0" applyBorder="0" applyAlignment="0" applyProtection="0"/>
    <xf numFmtId="43" fontId="9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0" fillId="0" borderId="0"/>
    <xf numFmtId="182" fontId="119" fillId="31" borderId="105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82" fontId="122" fillId="3" borderId="106" applyNumberFormat="0" applyAlignment="0" applyProtection="0"/>
    <xf numFmtId="182" fontId="10" fillId="0" borderId="0"/>
    <xf numFmtId="182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37" fontId="107" fillId="0" borderId="107" applyNumberFormat="0" applyFont="0" applyFill="0" applyAlignment="0" applyProtection="0"/>
    <xf numFmtId="37" fontId="107" fillId="0" borderId="107" applyNumberFormat="0" applyFont="0" applyFill="0" applyAlignment="0" applyProtection="0"/>
    <xf numFmtId="0" fontId="119" fillId="31" borderId="105" applyNumberFormat="0" applyFont="0" applyAlignment="0" applyProtection="0"/>
    <xf numFmtId="43" fontId="62" fillId="0" borderId="0" applyFont="0" applyFill="0" applyBorder="0" applyAlignment="0" applyProtection="0"/>
    <xf numFmtId="37" fontId="107" fillId="0" borderId="107" applyNumberFormat="0" applyFont="0" applyFill="0" applyAlignment="0" applyProtection="0"/>
    <xf numFmtId="0" fontId="122" fillId="3" borderId="106" applyNumberFormat="0" applyAlignment="0" applyProtection="0"/>
    <xf numFmtId="0" fontId="119" fillId="31" borderId="105" applyNumberFormat="0" applyFont="0" applyAlignment="0" applyProtection="0"/>
    <xf numFmtId="37" fontId="107" fillId="0" borderId="107" applyNumberFormat="0" applyFont="0" applyFill="0" applyAlignment="0" applyProtection="0"/>
    <xf numFmtId="0" fontId="122" fillId="3" borderId="106" applyNumberFormat="0" applyAlignment="0" applyProtection="0"/>
    <xf numFmtId="37" fontId="107" fillId="0" borderId="107" applyNumberFormat="0" applyFont="0" applyFill="0" applyAlignment="0" applyProtection="0"/>
    <xf numFmtId="182" fontId="119" fillId="31" borderId="105" applyNumberFormat="0" applyFont="0" applyAlignment="0" applyProtection="0"/>
    <xf numFmtId="37" fontId="107" fillId="0" borderId="107" applyNumberFormat="0" applyFont="0" applyFill="0" applyAlignment="0" applyProtection="0"/>
    <xf numFmtId="182" fontId="122" fillId="3" borderId="106" applyNumberFormat="0" applyAlignment="0" applyProtection="0"/>
    <xf numFmtId="43" fontId="62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9" fillId="31" borderId="108" applyNumberFormat="0" applyFont="0" applyAlignment="0" applyProtection="0"/>
    <xf numFmtId="0" fontId="122" fillId="3" borderId="109" applyNumberFormat="0" applyAlignment="0" applyProtection="0"/>
    <xf numFmtId="37" fontId="107" fillId="0" borderId="110" applyNumberFormat="0" applyFont="0" applyFill="0" applyAlignment="0" applyProtection="0"/>
    <xf numFmtId="37" fontId="107" fillId="0" borderId="110" applyNumberFormat="0" applyFont="0" applyFill="0" applyAlignment="0" applyProtection="0"/>
    <xf numFmtId="182" fontId="119" fillId="31" borderId="108" applyNumberFormat="0" applyFont="0" applyAlignment="0" applyProtection="0"/>
    <xf numFmtId="37" fontId="107" fillId="0" borderId="110" applyNumberFormat="0" applyFont="0" applyFill="0" applyAlignment="0" applyProtection="0"/>
    <xf numFmtId="182" fontId="122" fillId="3" borderId="109" applyNumberFormat="0" applyAlignment="0" applyProtection="0"/>
    <xf numFmtId="182" fontId="122" fillId="3" borderId="109" applyNumberFormat="0" applyAlignment="0" applyProtection="0"/>
    <xf numFmtId="37" fontId="107" fillId="0" borderId="110" applyNumberFormat="0" applyFont="0" applyFill="0" applyAlignment="0" applyProtection="0"/>
    <xf numFmtId="0" fontId="119" fillId="31" borderId="108" applyNumberFormat="0" applyFont="0" applyAlignment="0" applyProtection="0"/>
    <xf numFmtId="0" fontId="122" fillId="3" borderId="109" applyNumberFormat="0" applyAlignment="0" applyProtection="0"/>
    <xf numFmtId="182" fontId="119" fillId="31" borderId="108" applyNumberFormat="0" applyFont="0" applyAlignment="0" applyProtection="0"/>
    <xf numFmtId="182" fontId="122" fillId="3" borderId="109" applyNumberFormat="0" applyAlignment="0" applyProtection="0"/>
    <xf numFmtId="37" fontId="107" fillId="0" borderId="110" applyNumberFormat="0" applyFont="0" applyFill="0" applyAlignment="0" applyProtection="0"/>
    <xf numFmtId="37" fontId="107" fillId="0" borderId="110" applyNumberFormat="0" applyFont="0" applyFill="0" applyAlignment="0" applyProtection="0"/>
    <xf numFmtId="0" fontId="119" fillId="31" borderId="108" applyNumberFormat="0" applyFont="0" applyAlignment="0" applyProtection="0"/>
    <xf numFmtId="37" fontId="107" fillId="0" borderId="110" applyNumberFormat="0" applyFont="0" applyFill="0" applyAlignment="0" applyProtection="0"/>
    <xf numFmtId="0" fontId="122" fillId="3" borderId="109" applyNumberFormat="0" applyAlignment="0" applyProtection="0"/>
    <xf numFmtId="0" fontId="119" fillId="31" borderId="108" applyNumberFormat="0" applyFont="0" applyAlignment="0" applyProtection="0"/>
    <xf numFmtId="37" fontId="107" fillId="0" borderId="110" applyNumberFormat="0" applyFont="0" applyFill="0" applyAlignment="0" applyProtection="0"/>
    <xf numFmtId="0" fontId="122" fillId="3" borderId="109" applyNumberFormat="0" applyAlignment="0" applyProtection="0"/>
    <xf numFmtId="37" fontId="107" fillId="0" borderId="110" applyNumberFormat="0" applyFont="0" applyFill="0" applyAlignment="0" applyProtection="0"/>
    <xf numFmtId="182" fontId="119" fillId="31" borderId="108" applyNumberFormat="0" applyFont="0" applyAlignment="0" applyProtection="0"/>
    <xf numFmtId="37" fontId="107" fillId="0" borderId="110" applyNumberFormat="0" applyFont="0" applyFill="0" applyAlignment="0" applyProtection="0"/>
    <xf numFmtId="182" fontId="122" fillId="3" borderId="109" applyNumberFormat="0" applyAlignment="0" applyProtection="0"/>
    <xf numFmtId="167" fontId="62" fillId="0" borderId="0" applyFont="0" applyFill="0" applyBorder="0" applyAlignment="0" applyProtection="0"/>
    <xf numFmtId="0" fontId="9" fillId="0" borderId="0"/>
    <xf numFmtId="0" fontId="62" fillId="0" borderId="0"/>
    <xf numFmtId="43" fontId="9" fillId="0" borderId="0" applyFont="0" applyFill="0" applyBorder="0" applyAlignment="0" applyProtection="0"/>
    <xf numFmtId="0" fontId="62" fillId="0" borderId="0"/>
    <xf numFmtId="0" fontId="8" fillId="0" borderId="0"/>
    <xf numFmtId="0" fontId="6" fillId="0" borderId="0"/>
    <xf numFmtId="197" fontId="5" fillId="0" borderId="0" applyFont="0" applyFill="0" applyBorder="0" applyAlignment="0" applyProtection="0"/>
    <xf numFmtId="0" fontId="4" fillId="0" borderId="0"/>
    <xf numFmtId="9" fontId="6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1094">
    <xf numFmtId="182" fontId="0" fillId="0" borderId="0" xfId="0"/>
    <xf numFmtId="182" fontId="62" fillId="0" borderId="0" xfId="0" applyFont="1"/>
    <xf numFmtId="182" fontId="65" fillId="0" borderId="0" xfId="0" applyFont="1"/>
    <xf numFmtId="0" fontId="62" fillId="0" borderId="0" xfId="3145" applyFont="1"/>
    <xf numFmtId="0" fontId="62" fillId="0" borderId="0" xfId="3145" applyFont="1" applyAlignment="1">
      <alignment vertical="center" wrapText="1"/>
    </xf>
    <xf numFmtId="4" fontId="0" fillId="0" borderId="0" xfId="0" applyNumberFormat="1"/>
    <xf numFmtId="14" fontId="65" fillId="0" borderId="0" xfId="0" applyNumberFormat="1" applyFont="1" applyAlignment="1">
      <alignment horizontal="left"/>
    </xf>
    <xf numFmtId="182" fontId="145" fillId="0" borderId="0" xfId="0" applyFont="1" applyFill="1" applyAlignment="1">
      <alignment vertical="center"/>
    </xf>
    <xf numFmtId="182" fontId="145" fillId="0" borderId="0" xfId="5" applyFont="1" applyFill="1" applyAlignment="1">
      <alignment vertical="center"/>
    </xf>
    <xf numFmtId="4" fontId="145" fillId="0" borderId="0" xfId="5" applyNumberFormat="1" applyFont="1" applyFill="1" applyAlignment="1">
      <alignment vertical="center"/>
    </xf>
    <xf numFmtId="10" fontId="145" fillId="0" borderId="0" xfId="11" applyNumberFormat="1" applyFont="1" applyFill="1" applyAlignment="1">
      <alignment vertical="center"/>
    </xf>
    <xf numFmtId="1" fontId="145" fillId="0" borderId="0" xfId="0" applyNumberFormat="1" applyFont="1" applyFill="1" applyAlignment="1">
      <alignment vertical="center"/>
    </xf>
    <xf numFmtId="4" fontId="145" fillId="0" borderId="0" xfId="0" applyNumberFormat="1" applyFont="1" applyFill="1" applyAlignment="1">
      <alignment vertical="center"/>
    </xf>
    <xf numFmtId="182" fontId="147" fillId="0" borderId="0" xfId="5" applyFont="1" applyFill="1" applyBorder="1" applyAlignment="1">
      <alignment vertical="center"/>
    </xf>
    <xf numFmtId="182" fontId="147" fillId="0" borderId="0" xfId="5" applyFont="1" applyFill="1" applyAlignment="1">
      <alignment horizontal="right" vertical="center"/>
    </xf>
    <xf numFmtId="4" fontId="147" fillId="0" borderId="0" xfId="5" applyNumberFormat="1" applyFont="1" applyFill="1" applyBorder="1" applyAlignment="1">
      <alignment vertical="center"/>
    </xf>
    <xf numFmtId="4" fontId="147" fillId="0" borderId="0" xfId="5" applyNumberFormat="1" applyFont="1" applyFill="1" applyAlignment="1">
      <alignment horizontal="center" vertical="center"/>
    </xf>
    <xf numFmtId="182" fontId="148" fillId="0" borderId="0" xfId="0" applyFont="1" applyFill="1" applyBorder="1" applyAlignment="1">
      <alignment vertical="center"/>
    </xf>
    <xf numFmtId="182" fontId="145" fillId="0" borderId="0" xfId="0" applyFont="1" applyFill="1" applyAlignment="1">
      <alignment vertical="center" wrapText="1"/>
    </xf>
    <xf numFmtId="182" fontId="149" fillId="0" borderId="0" xfId="0" applyFont="1" applyFill="1" applyBorder="1" applyAlignment="1">
      <alignment vertical="center"/>
    </xf>
    <xf numFmtId="4" fontId="150" fillId="0" borderId="0" xfId="85" applyNumberFormat="1" applyFont="1" applyFill="1" applyAlignment="1">
      <alignment horizontal="center" vertical="center"/>
    </xf>
    <xf numFmtId="182" fontId="133" fillId="36" borderId="2" xfId="0" applyFont="1" applyFill="1" applyBorder="1" applyAlignment="1">
      <alignment horizontal="center" vertical="center" wrapText="1"/>
    </xf>
    <xf numFmtId="182" fontId="133" fillId="36" borderId="9" xfId="0" applyFont="1" applyFill="1" applyBorder="1" applyAlignment="1">
      <alignment horizontal="centerContinuous" vertical="center" wrapText="1"/>
    </xf>
    <xf numFmtId="182" fontId="133" fillId="36" borderId="2" xfId="5" applyFont="1" applyFill="1" applyBorder="1" applyAlignment="1">
      <alignment horizontal="center" vertical="center"/>
    </xf>
    <xf numFmtId="4" fontId="133" fillId="36" borderId="33" xfId="85" applyNumberFormat="1" applyFont="1" applyFill="1" applyBorder="1" applyAlignment="1">
      <alignment horizontal="center" vertical="center"/>
    </xf>
    <xf numFmtId="169" fontId="133" fillId="36" borderId="3" xfId="85" applyNumberFormat="1" applyFont="1" applyFill="1" applyBorder="1" applyAlignment="1">
      <alignment horizontal="center" vertical="center"/>
    </xf>
    <xf numFmtId="169" fontId="133" fillId="36" borderId="33" xfId="85" applyNumberFormat="1" applyFont="1" applyFill="1" applyBorder="1" applyAlignment="1">
      <alignment horizontal="center" vertical="center"/>
    </xf>
    <xf numFmtId="10" fontId="133" fillId="36" borderId="33" xfId="11" applyNumberFormat="1" applyFont="1" applyFill="1" applyBorder="1" applyAlignment="1">
      <alignment horizontal="center" vertical="center"/>
    </xf>
    <xf numFmtId="4" fontId="133" fillId="36" borderId="33" xfId="4804" applyNumberFormat="1" applyFont="1" applyFill="1" applyBorder="1" applyAlignment="1">
      <alignment horizontal="center" vertical="center"/>
    </xf>
    <xf numFmtId="182" fontId="134" fillId="0" borderId="0" xfId="5" applyFont="1" applyFill="1" applyAlignment="1">
      <alignment vertical="center"/>
    </xf>
    <xf numFmtId="182" fontId="133" fillId="11" borderId="50" xfId="5" applyFont="1" applyFill="1" applyBorder="1" applyAlignment="1">
      <alignment horizontal="center" vertical="center" wrapText="1"/>
    </xf>
    <xf numFmtId="182" fontId="133" fillId="11" borderId="51" xfId="5" applyFont="1" applyFill="1" applyBorder="1" applyAlignment="1">
      <alignment horizontal="center" vertical="center" wrapText="1"/>
    </xf>
    <xf numFmtId="182" fontId="133" fillId="11" borderId="52" xfId="5" applyFont="1" applyFill="1" applyBorder="1" applyAlignment="1">
      <alignment horizontal="center" vertical="center" wrapText="1"/>
    </xf>
    <xf numFmtId="182" fontId="133" fillId="11" borderId="52" xfId="5" applyFont="1" applyFill="1" applyBorder="1" applyAlignment="1">
      <alignment horizontal="center" vertical="center"/>
    </xf>
    <xf numFmtId="4" fontId="133" fillId="11" borderId="52" xfId="85" applyNumberFormat="1" applyFont="1" applyFill="1" applyBorder="1" applyAlignment="1">
      <alignment horizontal="center" vertical="center"/>
    </xf>
    <xf numFmtId="169" fontId="133" fillId="11" borderId="52" xfId="85" applyNumberFormat="1" applyFont="1" applyFill="1" applyBorder="1" applyAlignment="1">
      <alignment horizontal="center" vertical="center"/>
    </xf>
    <xf numFmtId="10" fontId="133" fillId="11" borderId="52" xfId="11" applyNumberFormat="1" applyFont="1" applyFill="1" applyBorder="1" applyAlignment="1">
      <alignment horizontal="center" vertical="center"/>
    </xf>
    <xf numFmtId="4" fontId="133" fillId="11" borderId="52" xfId="4804" applyNumberFormat="1" applyFont="1" applyFill="1" applyBorder="1" applyAlignment="1">
      <alignment horizontal="center" vertical="center"/>
    </xf>
    <xf numFmtId="4" fontId="134" fillId="11" borderId="52" xfId="5" applyNumberFormat="1" applyFont="1" applyFill="1" applyBorder="1" applyAlignment="1">
      <alignment vertical="center"/>
    </xf>
    <xf numFmtId="182" fontId="133" fillId="11" borderId="18" xfId="5" applyFont="1" applyFill="1" applyBorder="1" applyAlignment="1">
      <alignment horizontal="center" vertical="center"/>
    </xf>
    <xf numFmtId="182" fontId="148" fillId="11" borderId="8" xfId="5" applyFont="1" applyFill="1" applyBorder="1" applyAlignment="1">
      <alignment horizontal="left" vertical="center" wrapText="1"/>
    </xf>
    <xf numFmtId="182" fontId="133" fillId="11" borderId="8" xfId="5" applyFont="1" applyFill="1" applyBorder="1" applyAlignment="1">
      <alignment horizontal="center" vertical="center"/>
    </xf>
    <xf numFmtId="4" fontId="133" fillId="11" borderId="8" xfId="85" applyNumberFormat="1" applyFont="1" applyFill="1" applyBorder="1" applyAlignment="1">
      <alignment horizontal="center" vertical="center"/>
    </xf>
    <xf numFmtId="169" fontId="133" fillId="11" borderId="8" xfId="85" applyNumberFormat="1" applyFont="1" applyFill="1" applyBorder="1" applyAlignment="1">
      <alignment horizontal="center" vertical="center"/>
    </xf>
    <xf numFmtId="10" fontId="133" fillId="11" borderId="8" xfId="11" applyNumberFormat="1" applyFont="1" applyFill="1" applyBorder="1" applyAlignment="1">
      <alignment horizontal="center" vertical="center"/>
    </xf>
    <xf numFmtId="3" fontId="133" fillId="11" borderId="8" xfId="4804" applyNumberFormat="1" applyFont="1" applyFill="1" applyBorder="1" applyAlignment="1">
      <alignment horizontal="center" vertical="center"/>
    </xf>
    <xf numFmtId="4" fontId="133" fillId="11" borderId="18" xfId="5" applyNumberFormat="1" applyFont="1" applyFill="1" applyBorder="1" applyAlignment="1">
      <alignment horizontal="center" vertical="center"/>
    </xf>
    <xf numFmtId="182" fontId="134" fillId="11" borderId="18" xfId="5" applyFont="1" applyFill="1" applyBorder="1" applyAlignment="1">
      <alignment horizontal="center" vertical="center"/>
    </xf>
    <xf numFmtId="182" fontId="134" fillId="11" borderId="8" xfId="5" applyFont="1" applyFill="1" applyBorder="1" applyAlignment="1">
      <alignment vertical="center" wrapText="1"/>
    </xf>
    <xf numFmtId="173" fontId="134" fillId="11" borderId="8" xfId="4804" applyNumberFormat="1" applyFont="1" applyFill="1" applyBorder="1" applyAlignment="1">
      <alignment horizontal="center" vertical="center"/>
    </xf>
    <xf numFmtId="4" fontId="134" fillId="11" borderId="8" xfId="11" applyNumberFormat="1" applyFont="1" applyFill="1" applyBorder="1" applyAlignment="1">
      <alignment horizontal="center" vertical="center"/>
    </xf>
    <xf numFmtId="4" fontId="134" fillId="11" borderId="8" xfId="4804" applyNumberFormat="1" applyFont="1" applyFill="1" applyBorder="1" applyAlignment="1">
      <alignment horizontal="right" vertical="center"/>
    </xf>
    <xf numFmtId="4" fontId="134" fillId="11" borderId="8" xfId="5" applyNumberFormat="1" applyFont="1" applyFill="1" applyBorder="1" applyAlignment="1">
      <alignment vertical="center"/>
    </xf>
    <xf numFmtId="182" fontId="134" fillId="2" borderId="0" xfId="5" applyFont="1" applyFill="1" applyAlignment="1">
      <alignment vertical="center"/>
    </xf>
    <xf numFmtId="182" fontId="133" fillId="0" borderId="2" xfId="5" applyFont="1" applyFill="1" applyBorder="1" applyAlignment="1">
      <alignment vertical="center"/>
    </xf>
    <xf numFmtId="182" fontId="133" fillId="0" borderId="3" xfId="5" applyFont="1" applyFill="1" applyBorder="1" applyAlignment="1">
      <alignment vertical="center" wrapText="1"/>
    </xf>
    <xf numFmtId="182" fontId="133" fillId="0" borderId="3" xfId="5" applyFont="1" applyFill="1" applyBorder="1" applyAlignment="1">
      <alignment vertical="center"/>
    </xf>
    <xf numFmtId="4" fontId="133" fillId="0" borderId="3" xfId="5" applyNumberFormat="1" applyFont="1" applyFill="1" applyBorder="1" applyAlignment="1">
      <alignment vertical="center"/>
    </xf>
    <xf numFmtId="4" fontId="133" fillId="0" borderId="3" xfId="11" applyNumberFormat="1" applyFont="1" applyFill="1" applyBorder="1" applyAlignment="1">
      <alignment vertical="center"/>
    </xf>
    <xf numFmtId="4" fontId="133" fillId="0" borderId="3" xfId="5" applyNumberFormat="1" applyFont="1" applyFill="1" applyBorder="1" applyAlignment="1">
      <alignment horizontal="right" vertical="center"/>
    </xf>
    <xf numFmtId="4" fontId="133" fillId="0" borderId="33" xfId="18" applyNumberFormat="1" applyFont="1" applyFill="1" applyBorder="1" applyAlignment="1">
      <alignment horizontal="center" vertical="center"/>
    </xf>
    <xf numFmtId="182" fontId="134" fillId="0" borderId="0" xfId="5" applyFont="1" applyFill="1" applyBorder="1" applyAlignment="1">
      <alignment horizontal="center" vertical="center"/>
    </xf>
    <xf numFmtId="182" fontId="134" fillId="0" borderId="0" xfId="5" applyFont="1" applyFill="1" applyBorder="1" applyAlignment="1">
      <alignment vertical="center" wrapText="1"/>
    </xf>
    <xf numFmtId="4" fontId="134" fillId="0" borderId="0" xfId="4804" applyNumberFormat="1" applyFont="1" applyFill="1" applyBorder="1" applyAlignment="1">
      <alignment horizontal="center" vertical="center"/>
    </xf>
    <xf numFmtId="10" fontId="134" fillId="0" borderId="0" xfId="11" applyNumberFormat="1" applyFont="1" applyFill="1" applyBorder="1" applyAlignment="1">
      <alignment horizontal="center" vertical="center"/>
    </xf>
    <xf numFmtId="3" fontId="134" fillId="0" borderId="0" xfId="4804" applyNumberFormat="1" applyFont="1" applyFill="1" applyBorder="1" applyAlignment="1">
      <alignment horizontal="center" vertical="center"/>
    </xf>
    <xf numFmtId="4" fontId="134" fillId="0" borderId="0" xfId="5" applyNumberFormat="1" applyFont="1" applyFill="1" applyBorder="1" applyAlignment="1">
      <alignment horizontal="center" vertical="center"/>
    </xf>
    <xf numFmtId="182" fontId="133" fillId="11" borderId="4" xfId="5" applyFont="1" applyFill="1" applyBorder="1" applyAlignment="1">
      <alignment horizontal="center" vertical="center" wrapText="1"/>
    </xf>
    <xf numFmtId="182" fontId="133" fillId="11" borderId="50" xfId="5" applyFont="1" applyFill="1" applyBorder="1" applyAlignment="1">
      <alignment horizontal="center" vertical="center"/>
    </xf>
    <xf numFmtId="4" fontId="133" fillId="11" borderId="50" xfId="85" applyNumberFormat="1" applyFont="1" applyFill="1" applyBorder="1" applyAlignment="1">
      <alignment horizontal="center" vertical="center"/>
    </xf>
    <xf numFmtId="4" fontId="133" fillId="11" borderId="52" xfId="11" applyNumberFormat="1" applyFont="1" applyFill="1" applyBorder="1" applyAlignment="1">
      <alignment horizontal="center" vertical="center"/>
    </xf>
    <xf numFmtId="4" fontId="133" fillId="11" borderId="50" xfId="4804" applyNumberFormat="1" applyFont="1" applyFill="1" applyBorder="1" applyAlignment="1">
      <alignment horizontal="center" vertical="center"/>
    </xf>
    <xf numFmtId="4" fontId="134" fillId="11" borderId="50" xfId="5" applyNumberFormat="1" applyFont="1" applyFill="1" applyBorder="1" applyAlignment="1">
      <alignment vertical="center"/>
    </xf>
    <xf numFmtId="182" fontId="133" fillId="11" borderId="7" xfId="5" applyFont="1" applyFill="1" applyBorder="1" applyAlignment="1">
      <alignment horizontal="center" vertical="center"/>
    </xf>
    <xf numFmtId="182" fontId="148" fillId="11" borderId="0" xfId="5" applyFont="1" applyFill="1" applyBorder="1" applyAlignment="1">
      <alignment horizontal="left" vertical="center" wrapText="1"/>
    </xf>
    <xf numFmtId="4" fontId="133" fillId="11" borderId="18" xfId="85" applyNumberFormat="1" applyFont="1" applyFill="1" applyBorder="1" applyAlignment="1">
      <alignment horizontal="center" vertical="center"/>
    </xf>
    <xf numFmtId="4" fontId="133" fillId="11" borderId="8" xfId="11" applyNumberFormat="1" applyFont="1" applyFill="1" applyBorder="1" applyAlignment="1">
      <alignment horizontal="center" vertical="center"/>
    </xf>
    <xf numFmtId="4" fontId="133" fillId="11" borderId="18" xfId="4804" applyNumberFormat="1" applyFont="1" applyFill="1" applyBorder="1" applyAlignment="1">
      <alignment horizontal="center" vertical="center"/>
    </xf>
    <xf numFmtId="182" fontId="134" fillId="11" borderId="7" xfId="5" applyFont="1" applyFill="1" applyBorder="1" applyAlignment="1">
      <alignment horizontal="center" vertical="center"/>
    </xf>
    <xf numFmtId="182" fontId="134" fillId="11" borderId="0" xfId="5" applyFont="1" applyFill="1" applyBorder="1" applyAlignment="1">
      <alignment vertical="center" wrapText="1"/>
    </xf>
    <xf numFmtId="4" fontId="134" fillId="11" borderId="18" xfId="4804" applyNumberFormat="1" applyFont="1" applyFill="1" applyBorder="1" applyAlignment="1">
      <alignment horizontal="center" vertical="center"/>
    </xf>
    <xf numFmtId="4" fontId="134" fillId="11" borderId="18" xfId="5" applyNumberFormat="1" applyFont="1" applyFill="1" applyBorder="1" applyAlignment="1">
      <alignment vertical="center"/>
    </xf>
    <xf numFmtId="182" fontId="79" fillId="0" borderId="0" xfId="0" applyFont="1" applyFill="1" applyAlignment="1">
      <alignment vertical="center"/>
    </xf>
    <xf numFmtId="182" fontId="62" fillId="0" borderId="0" xfId="5" applyFont="1" applyFill="1" applyAlignment="1">
      <alignment vertical="center"/>
    </xf>
    <xf numFmtId="4" fontId="134" fillId="11" borderId="18" xfId="5" applyNumberFormat="1" applyFont="1" applyFill="1" applyBorder="1" applyAlignment="1">
      <alignment horizontal="center" vertical="center"/>
    </xf>
    <xf numFmtId="173" fontId="134" fillId="11" borderId="18" xfId="4804" applyNumberFormat="1" applyFont="1" applyFill="1" applyBorder="1" applyAlignment="1">
      <alignment horizontal="center" vertical="center"/>
    </xf>
    <xf numFmtId="4" fontId="145" fillId="11" borderId="8" xfId="0" applyNumberFormat="1" applyFont="1" applyFill="1" applyBorder="1" applyAlignment="1">
      <alignment vertical="center"/>
    </xf>
    <xf numFmtId="182" fontId="134" fillId="11" borderId="5" xfId="5" applyFont="1" applyFill="1" applyBorder="1" applyAlignment="1">
      <alignment horizontal="center" vertical="center"/>
    </xf>
    <xf numFmtId="182" fontId="134" fillId="11" borderId="12" xfId="5" applyFont="1" applyFill="1" applyBorder="1" applyAlignment="1">
      <alignment vertical="center" wrapText="1"/>
    </xf>
    <xf numFmtId="173" fontId="134" fillId="11" borderId="19" xfId="4804" applyNumberFormat="1" applyFont="1" applyFill="1" applyBorder="1" applyAlignment="1">
      <alignment horizontal="center" vertical="center"/>
    </xf>
    <xf numFmtId="4" fontId="134" fillId="11" borderId="19" xfId="4804" applyNumberFormat="1" applyFont="1" applyFill="1" applyBorder="1" applyAlignment="1">
      <alignment horizontal="center" vertical="center"/>
    </xf>
    <xf numFmtId="4" fontId="134" fillId="11" borderId="6" xfId="4804" applyNumberFormat="1" applyFont="1" applyFill="1" applyBorder="1" applyAlignment="1">
      <alignment horizontal="center" vertical="center"/>
    </xf>
    <xf numFmtId="4" fontId="134" fillId="11" borderId="6" xfId="11" applyNumberFormat="1" applyFont="1" applyFill="1" applyBorder="1" applyAlignment="1">
      <alignment horizontal="center" vertical="center"/>
    </xf>
    <xf numFmtId="4" fontId="134" fillId="11" borderId="19" xfId="5" applyNumberFormat="1" applyFont="1" applyFill="1" applyBorder="1" applyAlignment="1">
      <alignment vertical="center"/>
    </xf>
    <xf numFmtId="4" fontId="134" fillId="0" borderId="0" xfId="5" applyNumberFormat="1" applyFont="1" applyFill="1" applyAlignment="1">
      <alignment vertical="center"/>
    </xf>
    <xf numFmtId="10" fontId="134" fillId="0" borderId="0" xfId="11" applyNumberFormat="1" applyFont="1" applyFill="1" applyAlignment="1">
      <alignment vertical="center"/>
    </xf>
    <xf numFmtId="182" fontId="147" fillId="36" borderId="2" xfId="0" applyFont="1" applyFill="1" applyBorder="1" applyAlignment="1">
      <alignment horizontal="centerContinuous" vertical="center" wrapText="1"/>
    </xf>
    <xf numFmtId="182" fontId="147" fillId="36" borderId="3" xfId="0" applyFont="1" applyFill="1" applyBorder="1" applyAlignment="1">
      <alignment horizontal="centerContinuous" vertical="center" wrapText="1"/>
    </xf>
    <xf numFmtId="182" fontId="147" fillId="36" borderId="9" xfId="0" applyFont="1" applyFill="1" applyBorder="1" applyAlignment="1">
      <alignment horizontal="centerContinuous" vertical="center" wrapText="1"/>
    </xf>
    <xf numFmtId="4" fontId="134" fillId="11" borderId="0" xfId="4804" applyNumberFormat="1" applyFont="1" applyFill="1" applyBorder="1" applyAlignment="1">
      <alignment horizontal="center" vertical="center"/>
    </xf>
    <xf numFmtId="10" fontId="134" fillId="11" borderId="18" xfId="11" applyNumberFormat="1" applyFont="1" applyFill="1" applyBorder="1" applyAlignment="1">
      <alignment horizontal="center" vertical="center"/>
    </xf>
    <xf numFmtId="3" fontId="134" fillId="11" borderId="18" xfId="4804" applyNumberFormat="1" applyFont="1" applyFill="1" applyBorder="1" applyAlignment="1">
      <alignment horizontal="center" vertical="center"/>
    </xf>
    <xf numFmtId="4" fontId="145" fillId="11" borderId="18" xfId="0" applyNumberFormat="1" applyFont="1" applyFill="1" applyBorder="1" applyAlignment="1">
      <alignment vertical="center"/>
    </xf>
    <xf numFmtId="182" fontId="145" fillId="11" borderId="5" xfId="0" applyFont="1" applyFill="1" applyBorder="1" applyAlignment="1">
      <alignment vertical="center"/>
    </xf>
    <xf numFmtId="182" fontId="145" fillId="11" borderId="12" xfId="0" applyFont="1" applyFill="1" applyBorder="1" applyAlignment="1">
      <alignment vertical="center" wrapText="1"/>
    </xf>
    <xf numFmtId="4" fontId="134" fillId="11" borderId="12" xfId="5" applyNumberFormat="1" applyFont="1" applyFill="1" applyBorder="1" applyAlignment="1">
      <alignment vertical="center"/>
    </xf>
    <xf numFmtId="4" fontId="134" fillId="11" borderId="6" xfId="5" applyNumberFormat="1" applyFont="1" applyFill="1" applyBorder="1" applyAlignment="1">
      <alignment vertical="center"/>
    </xf>
    <xf numFmtId="10" fontId="134" fillId="11" borderId="19" xfId="11" applyNumberFormat="1" applyFont="1" applyFill="1" applyBorder="1" applyAlignment="1">
      <alignment vertical="center"/>
    </xf>
    <xf numFmtId="182" fontId="0" fillId="0" borderId="0" xfId="0" applyFill="1"/>
    <xf numFmtId="182" fontId="62" fillId="0" borderId="21" xfId="0" applyFont="1" applyBorder="1" applyAlignment="1">
      <alignment horizontal="center"/>
    </xf>
    <xf numFmtId="14" fontId="0" fillId="0" borderId="0" xfId="0" applyNumberFormat="1"/>
    <xf numFmtId="4" fontId="148" fillId="0" borderId="0" xfId="0" applyNumberFormat="1" applyFont="1" applyFill="1" applyBorder="1" applyAlignment="1">
      <alignment vertical="center"/>
    </xf>
    <xf numFmtId="4" fontId="133" fillId="36" borderId="2" xfId="0" applyNumberFormat="1" applyFont="1" applyFill="1" applyBorder="1" applyAlignment="1">
      <alignment horizontal="centerContinuous" vertical="center" wrapText="1"/>
    </xf>
    <xf numFmtId="4" fontId="133" fillId="11" borderId="51" xfId="5" applyNumberFormat="1" applyFont="1" applyFill="1" applyBorder="1" applyAlignment="1">
      <alignment horizontal="center" vertical="center" wrapText="1"/>
    </xf>
    <xf numFmtId="4" fontId="133" fillId="11" borderId="0" xfId="5" applyNumberFormat="1" applyFont="1" applyFill="1" applyBorder="1" applyAlignment="1">
      <alignment horizontal="center" vertical="center"/>
    </xf>
    <xf numFmtId="4" fontId="134" fillId="11" borderId="0" xfId="5" applyNumberFormat="1" applyFont="1" applyFill="1" applyBorder="1" applyAlignment="1">
      <alignment horizontal="center" vertical="center"/>
    </xf>
    <xf numFmtId="4" fontId="133" fillId="0" borderId="2" xfId="5" applyNumberFormat="1" applyFont="1" applyFill="1" applyBorder="1" applyAlignment="1">
      <alignment vertical="center"/>
    </xf>
    <xf numFmtId="4" fontId="133" fillId="11" borderId="4" xfId="5" applyNumberFormat="1" applyFont="1" applyFill="1" applyBorder="1" applyAlignment="1">
      <alignment horizontal="center" vertical="center" wrapText="1"/>
    </xf>
    <xf numFmtId="4" fontId="133" fillId="11" borderId="7" xfId="5" applyNumberFormat="1" applyFont="1" applyFill="1" applyBorder="1" applyAlignment="1">
      <alignment horizontal="center" vertical="center"/>
    </xf>
    <xf numFmtId="4" fontId="134" fillId="11" borderId="7" xfId="5" applyNumberFormat="1" applyFont="1" applyFill="1" applyBorder="1" applyAlignment="1">
      <alignment horizontal="center" vertical="center"/>
    </xf>
    <xf numFmtId="4" fontId="134" fillId="11" borderId="5" xfId="5" applyNumberFormat="1" applyFont="1" applyFill="1" applyBorder="1" applyAlignment="1">
      <alignment horizontal="center" vertical="center"/>
    </xf>
    <xf numFmtId="4" fontId="147" fillId="36" borderId="3" xfId="0" applyNumberFormat="1" applyFont="1" applyFill="1" applyBorder="1" applyAlignment="1">
      <alignment horizontal="centerContinuous" vertical="center" wrapText="1"/>
    </xf>
    <xf numFmtId="4" fontId="145" fillId="11" borderId="5" xfId="0" applyNumberFormat="1" applyFont="1" applyFill="1" applyBorder="1" applyAlignment="1">
      <alignment vertical="center"/>
    </xf>
    <xf numFmtId="164" fontId="68" fillId="0" borderId="40" xfId="3" applyNumberFormat="1" applyFont="1" applyBorder="1" applyAlignment="1">
      <alignment vertical="center"/>
    </xf>
    <xf numFmtId="164" fontId="68" fillId="11" borderId="40" xfId="3" applyNumberFormat="1" applyFont="1" applyFill="1" applyBorder="1" applyAlignment="1">
      <alignment horizontal="left" vertical="center" indent="1"/>
    </xf>
    <xf numFmtId="182" fontId="151" fillId="0" borderId="0" xfId="0" applyFont="1"/>
    <xf numFmtId="182" fontId="152" fillId="0" borderId="0" xfId="0" applyFont="1"/>
    <xf numFmtId="9" fontId="0" fillId="0" borderId="0" xfId="11" applyFont="1"/>
    <xf numFmtId="0" fontId="0" fillId="0" borderId="0" xfId="0" applyNumberFormat="1"/>
    <xf numFmtId="2" fontId="0" fillId="0" borderId="0" xfId="0" applyNumberFormat="1"/>
    <xf numFmtId="182" fontId="154" fillId="0" borderId="0" xfId="4805"/>
    <xf numFmtId="182" fontId="134" fillId="11" borderId="19" xfId="5" applyFont="1" applyFill="1" applyBorder="1" applyAlignment="1">
      <alignment horizontal="center" vertical="center"/>
    </xf>
    <xf numFmtId="0" fontId="14" fillId="0" borderId="0" xfId="4806"/>
    <xf numFmtId="0" fontId="14" fillId="0" borderId="0" xfId="4806" applyFont="1"/>
    <xf numFmtId="185" fontId="14" fillId="0" borderId="0" xfId="4806" applyNumberFormat="1"/>
    <xf numFmtId="185" fontId="14" fillId="0" borderId="5" xfId="4806" applyNumberFormat="1" applyBorder="1"/>
    <xf numFmtId="167" fontId="153" fillId="0" borderId="6" xfId="3" applyFont="1" applyBorder="1"/>
    <xf numFmtId="1" fontId="64" fillId="0" borderId="0" xfId="0" applyNumberFormat="1" applyFont="1" applyAlignment="1">
      <alignment horizontal="centerContinuous"/>
    </xf>
    <xf numFmtId="182" fontId="62" fillId="0" borderId="0" xfId="0" applyFont="1" applyAlignment="1">
      <alignment horizontal="right"/>
    </xf>
    <xf numFmtId="182" fontId="62" fillId="0" borderId="0" xfId="0" applyFont="1" applyAlignment="1">
      <alignment horizontal="left"/>
    </xf>
    <xf numFmtId="182" fontId="64" fillId="0" borderId="0" xfId="0" applyFont="1" applyAlignment="1">
      <alignment horizontal="centerContinuous"/>
    </xf>
    <xf numFmtId="0" fontId="65" fillId="36" borderId="35" xfId="4807" applyFont="1" applyFill="1" applyBorder="1" applyAlignment="1">
      <alignment horizontal="center" vertical="center" wrapText="1"/>
    </xf>
    <xf numFmtId="0" fontId="65" fillId="36" borderId="20" xfId="4807" applyFont="1" applyFill="1" applyBorder="1" applyAlignment="1">
      <alignment horizontal="center" vertical="center" wrapText="1"/>
    </xf>
    <xf numFmtId="0" fontId="62" fillId="0" borderId="21" xfId="4807" quotePrefix="1" applyFont="1" applyFill="1" applyBorder="1" applyAlignment="1">
      <alignment horizontal="center" vertical="center"/>
    </xf>
    <xf numFmtId="0" fontId="62" fillId="0" borderId="21" xfId="4807" applyFont="1" applyFill="1" applyBorder="1" applyAlignment="1">
      <alignment horizontal="left" vertical="center"/>
    </xf>
    <xf numFmtId="0" fontId="62" fillId="0" borderId="21" xfId="4807" applyFont="1" applyFill="1" applyBorder="1" applyAlignment="1">
      <alignment horizontal="center" vertical="center"/>
    </xf>
    <xf numFmtId="2" fontId="62" fillId="0" borderId="21" xfId="4807" applyNumberFormat="1" applyFont="1" applyFill="1" applyBorder="1" applyAlignment="1">
      <alignment horizontal="center" vertical="center"/>
    </xf>
    <xf numFmtId="9" fontId="62" fillId="0" borderId="21" xfId="197" applyFont="1" applyFill="1" applyBorder="1" applyAlignment="1">
      <alignment horizontal="center" vertical="center"/>
    </xf>
    <xf numFmtId="176" fontId="62" fillId="0" borderId="21" xfId="4807" applyNumberFormat="1" applyFont="1" applyFill="1" applyBorder="1" applyAlignment="1">
      <alignment horizontal="center" vertical="center"/>
    </xf>
    <xf numFmtId="9" fontId="62" fillId="0" borderId="21" xfId="197" applyNumberFormat="1" applyFont="1" applyFill="1" applyBorder="1" applyAlignment="1">
      <alignment horizontal="center" vertical="center"/>
    </xf>
    <xf numFmtId="0" fontId="65" fillId="0" borderId="34" xfId="4807" applyFont="1" applyFill="1" applyBorder="1" applyAlignment="1">
      <alignment vertical="center"/>
    </xf>
    <xf numFmtId="0" fontId="65" fillId="0" borderId="36" xfId="4807" applyFont="1" applyFill="1" applyBorder="1" applyAlignment="1">
      <alignment vertical="center"/>
    </xf>
    <xf numFmtId="186" fontId="65" fillId="0" borderId="38" xfId="4807" applyNumberFormat="1" applyFont="1" applyFill="1" applyBorder="1" applyAlignment="1">
      <alignment horizontal="right" vertical="center"/>
    </xf>
    <xf numFmtId="0" fontId="65" fillId="0" borderId="0" xfId="4807" applyFont="1" applyFill="1" applyBorder="1" applyAlignment="1">
      <alignment vertical="center"/>
    </xf>
    <xf numFmtId="186" fontId="65" fillId="0" borderId="34" xfId="4807" applyNumberFormat="1" applyFont="1" applyFill="1" applyBorder="1" applyAlignment="1">
      <alignment horizontal="right" vertical="center"/>
    </xf>
    <xf numFmtId="2" fontId="65" fillId="0" borderId="34" xfId="4807" applyNumberFormat="1" applyFont="1" applyFill="1" applyBorder="1" applyAlignment="1">
      <alignment horizontal="center" vertical="center"/>
    </xf>
    <xf numFmtId="186" fontId="65" fillId="0" borderId="0" xfId="4807" applyNumberFormat="1" applyFont="1" applyFill="1" applyBorder="1" applyAlignment="1">
      <alignment horizontal="right" vertical="center"/>
    </xf>
    <xf numFmtId="2" fontId="65" fillId="0" borderId="0" xfId="4807" applyNumberFormat="1" applyFont="1" applyFill="1" applyBorder="1" applyAlignment="1">
      <alignment horizontal="center" vertical="center"/>
    </xf>
    <xf numFmtId="0" fontId="65" fillId="0" borderId="0" xfId="4807" applyFont="1" applyBorder="1" applyAlignment="1">
      <alignment horizontal="center" vertical="center"/>
    </xf>
    <xf numFmtId="0" fontId="65" fillId="37" borderId="36" xfId="4807" applyFont="1" applyFill="1" applyBorder="1" applyAlignment="1">
      <alignment horizontal="center" vertical="center"/>
    </xf>
    <xf numFmtId="0" fontId="65" fillId="37" borderId="37" xfId="4807" applyFont="1" applyFill="1" applyBorder="1" applyAlignment="1">
      <alignment vertical="center"/>
    </xf>
    <xf numFmtId="186" fontId="65" fillId="37" borderId="37" xfId="4807" applyNumberFormat="1" applyFont="1" applyFill="1" applyBorder="1" applyAlignment="1">
      <alignment horizontal="right" vertical="center"/>
    </xf>
    <xf numFmtId="188" fontId="155" fillId="37" borderId="38" xfId="0" applyNumberFormat="1" applyFont="1" applyFill="1" applyBorder="1"/>
    <xf numFmtId="1" fontId="65" fillId="0" borderId="0" xfId="0" applyNumberFormat="1" applyFont="1"/>
    <xf numFmtId="1" fontId="62" fillId="0" borderId="0" xfId="0" applyNumberFormat="1" applyFont="1"/>
    <xf numFmtId="182" fontId="62" fillId="0" borderId="0" xfId="0" applyFont="1" applyAlignment="1">
      <alignment horizontal="center" vertical="center" wrapText="1"/>
    </xf>
    <xf numFmtId="0" fontId="62" fillId="0" borderId="0" xfId="0" applyNumberFormat="1" applyFont="1" applyFill="1" applyAlignment="1">
      <alignment horizontal="centerContinuous"/>
    </xf>
    <xf numFmtId="0" fontId="62" fillId="0" borderId="0" xfId="0" applyNumberFormat="1" applyFont="1" applyAlignment="1">
      <alignment horizontal="centerContinuous"/>
    </xf>
    <xf numFmtId="1" fontId="62" fillId="0" borderId="0" xfId="0" applyNumberFormat="1" applyFont="1" applyAlignment="1">
      <alignment horizontal="centerContinuous"/>
    </xf>
    <xf numFmtId="182" fontId="62" fillId="4" borderId="0" xfId="0" applyFont="1" applyFill="1"/>
    <xf numFmtId="182" fontId="156" fillId="0" borderId="0" xfId="0" applyFont="1"/>
    <xf numFmtId="0" fontId="155" fillId="0" borderId="21" xfId="0" applyNumberFormat="1" applyFont="1" applyBorder="1" applyAlignment="1">
      <alignment horizontal="center" vertical="center"/>
    </xf>
    <xf numFmtId="0" fontId="62" fillId="0" borderId="21" xfId="0" applyNumberFormat="1" applyFont="1" applyBorder="1" applyAlignment="1">
      <alignment horizontal="center" vertical="center"/>
    </xf>
    <xf numFmtId="182" fontId="65" fillId="11" borderId="21" xfId="0" applyFont="1" applyFill="1" applyBorder="1" applyAlignment="1">
      <alignment horizontal="center" vertical="center"/>
    </xf>
    <xf numFmtId="182" fontId="62" fillId="11" borderId="21" xfId="0" applyFont="1" applyFill="1" applyBorder="1" applyAlignment="1">
      <alignment horizontal="center" vertical="center"/>
    </xf>
    <xf numFmtId="10" fontId="155" fillId="0" borderId="21" xfId="0" applyNumberFormat="1" applyFont="1" applyFill="1" applyBorder="1" applyAlignment="1">
      <alignment horizontal="center" vertical="center"/>
    </xf>
    <xf numFmtId="10" fontId="155" fillId="0" borderId="21" xfId="11" applyNumberFormat="1" applyFont="1" applyFill="1" applyBorder="1" applyAlignment="1">
      <alignment horizontal="center" vertical="center"/>
    </xf>
    <xf numFmtId="182" fontId="0" fillId="0" borderId="21" xfId="0" applyBorder="1"/>
    <xf numFmtId="0" fontId="0" fillId="0" borderId="21" xfId="0" applyNumberFormat="1" applyBorder="1" applyAlignment="1">
      <alignment horizontal="center"/>
    </xf>
    <xf numFmtId="9" fontId="0" fillId="0" borderId="21" xfId="11" applyFont="1" applyBorder="1" applyAlignment="1">
      <alignment horizontal="center"/>
    </xf>
    <xf numFmtId="189" fontId="0" fillId="0" borderId="21" xfId="0" applyNumberFormat="1" applyBorder="1" applyAlignment="1">
      <alignment horizontal="center"/>
    </xf>
    <xf numFmtId="182" fontId="62" fillId="0" borderId="0" xfId="0" applyFont="1" applyAlignment="1"/>
    <xf numFmtId="182" fontId="0" fillId="0" borderId="0" xfId="0" applyAlignment="1"/>
    <xf numFmtId="0" fontId="0" fillId="0" borderId="0" xfId="0" applyNumberFormat="1" applyAlignment="1"/>
    <xf numFmtId="182" fontId="158" fillId="35" borderId="57" xfId="0" applyFont="1" applyFill="1" applyBorder="1" applyAlignment="1">
      <alignment horizontal="centerContinuous" vertical="center"/>
    </xf>
    <xf numFmtId="182" fontId="158" fillId="35" borderId="58" xfId="0" applyFont="1" applyFill="1" applyBorder="1" applyAlignment="1">
      <alignment horizontal="centerContinuous" vertical="center"/>
    </xf>
    <xf numFmtId="182" fontId="158" fillId="35" borderId="59" xfId="0" applyFont="1" applyFill="1" applyBorder="1" applyAlignment="1">
      <alignment horizontal="centerContinuous" vertical="center"/>
    </xf>
    <xf numFmtId="182" fontId="158" fillId="39" borderId="21" xfId="0" applyFont="1" applyFill="1" applyBorder="1" applyAlignment="1">
      <alignment horizontal="center" vertical="center" wrapText="1"/>
    </xf>
    <xf numFmtId="182" fontId="158" fillId="39" borderId="61" xfId="0" applyFont="1" applyFill="1" applyBorder="1" applyAlignment="1">
      <alignment horizontal="center" vertical="center" wrapText="1"/>
    </xf>
    <xf numFmtId="182" fontId="158" fillId="11" borderId="21" xfId="0" applyFont="1" applyFill="1" applyBorder="1" applyAlignment="1">
      <alignment horizontal="center" vertical="center" wrapText="1"/>
    </xf>
    <xf numFmtId="182" fontId="159" fillId="11" borderId="21" xfId="0" applyFont="1" applyFill="1" applyBorder="1" applyAlignment="1">
      <alignment horizontal="center" vertical="center" wrapText="1"/>
    </xf>
    <xf numFmtId="182" fontId="158" fillId="40" borderId="21" xfId="0" applyFont="1" applyFill="1" applyBorder="1" applyAlignment="1">
      <alignment horizontal="center" vertical="center" wrapText="1"/>
    </xf>
    <xf numFmtId="182" fontId="159" fillId="11" borderId="21" xfId="0" applyFont="1" applyFill="1" applyBorder="1" applyAlignment="1">
      <alignment horizontal="center" vertical="center"/>
    </xf>
    <xf numFmtId="182" fontId="158" fillId="41" borderId="21" xfId="0" applyFont="1" applyFill="1" applyBorder="1" applyAlignment="1">
      <alignment horizontal="center" vertical="center"/>
    </xf>
    <xf numFmtId="9" fontId="159" fillId="11" borderId="21" xfId="0" applyNumberFormat="1" applyFont="1" applyFill="1" applyBorder="1" applyAlignment="1">
      <alignment horizontal="center" vertical="center"/>
    </xf>
    <xf numFmtId="182" fontId="158" fillId="42" borderId="21" xfId="0" applyFont="1" applyFill="1" applyBorder="1" applyAlignment="1">
      <alignment horizontal="center" vertical="center"/>
    </xf>
    <xf numFmtId="182" fontId="158" fillId="43" borderId="21" xfId="0" applyFont="1" applyFill="1" applyBorder="1" applyAlignment="1">
      <alignment horizontal="center" vertical="center"/>
    </xf>
    <xf numFmtId="182" fontId="158" fillId="44" borderId="21" xfId="0" applyFont="1" applyFill="1" applyBorder="1" applyAlignment="1">
      <alignment horizontal="center" vertical="center"/>
    </xf>
    <xf numFmtId="10" fontId="158" fillId="11" borderId="21" xfId="0" applyNumberFormat="1" applyFont="1" applyFill="1" applyBorder="1" applyAlignment="1">
      <alignment horizontal="center" vertical="center" wrapText="1"/>
    </xf>
    <xf numFmtId="2" fontId="158" fillId="34" borderId="21" xfId="0" applyNumberFormat="1" applyFont="1" applyFill="1" applyBorder="1" applyAlignment="1">
      <alignment horizontal="center" vertical="center"/>
    </xf>
    <xf numFmtId="2" fontId="160" fillId="34" borderId="21" xfId="0" applyNumberFormat="1" applyFont="1" applyFill="1" applyBorder="1" applyAlignment="1">
      <alignment horizontal="center" vertical="center"/>
    </xf>
    <xf numFmtId="2" fontId="160" fillId="34" borderId="61" xfId="0" applyNumberFormat="1" applyFont="1" applyFill="1" applyBorder="1" applyAlignment="1">
      <alignment horizontal="center" vertical="center"/>
    </xf>
    <xf numFmtId="10" fontId="159" fillId="11" borderId="21" xfId="0" applyNumberFormat="1" applyFont="1" applyFill="1" applyBorder="1" applyAlignment="1">
      <alignment horizontal="center" vertical="center" wrapText="1"/>
    </xf>
    <xf numFmtId="169" fontId="159" fillId="34" borderId="21" xfId="0" applyNumberFormat="1" applyFont="1" applyFill="1" applyBorder="1" applyAlignment="1">
      <alignment horizontal="center" vertical="center"/>
    </xf>
    <xf numFmtId="169" fontId="159" fillId="34" borderId="61" xfId="0" applyNumberFormat="1" applyFont="1" applyFill="1" applyBorder="1" applyAlignment="1">
      <alignment horizontal="center" vertical="center"/>
    </xf>
    <xf numFmtId="2" fontId="158" fillId="34" borderId="61" xfId="0" applyNumberFormat="1" applyFont="1" applyFill="1" applyBorder="1" applyAlignment="1">
      <alignment horizontal="center" vertical="center"/>
    </xf>
    <xf numFmtId="10" fontId="0" fillId="0" borderId="21" xfId="0" applyNumberFormat="1" applyBorder="1"/>
    <xf numFmtId="9" fontId="159" fillId="0" borderId="21" xfId="0" applyNumberFormat="1" applyFont="1" applyFill="1" applyBorder="1" applyAlignment="1" applyProtection="1">
      <alignment horizontal="center" vertical="center"/>
      <protection locked="0"/>
    </xf>
    <xf numFmtId="9" fontId="159" fillId="0" borderId="61" xfId="0" applyNumberFormat="1" applyFont="1" applyFill="1" applyBorder="1" applyAlignment="1" applyProtection="1">
      <alignment horizontal="center" vertical="center"/>
      <protection locked="0"/>
    </xf>
    <xf numFmtId="4" fontId="158" fillId="11" borderId="21" xfId="0" applyNumberFormat="1" applyFont="1" applyFill="1" applyBorder="1" applyAlignment="1">
      <alignment horizontal="center" vertical="center"/>
    </xf>
    <xf numFmtId="4" fontId="158" fillId="11" borderId="61" xfId="0" applyNumberFormat="1" applyFont="1" applyFill="1" applyBorder="1" applyAlignment="1">
      <alignment horizontal="center" vertical="center"/>
    </xf>
    <xf numFmtId="10" fontId="158" fillId="40" borderId="21" xfId="0" applyNumberFormat="1" applyFont="1" applyFill="1" applyBorder="1" applyAlignment="1">
      <alignment horizontal="center" vertical="center" wrapText="1"/>
    </xf>
    <xf numFmtId="4" fontId="158" fillId="40" borderId="21" xfId="0" applyNumberFormat="1" applyFont="1" applyFill="1" applyBorder="1" applyAlignment="1">
      <alignment horizontal="center" vertical="center"/>
    </xf>
    <xf numFmtId="4" fontId="158" fillId="40" borderId="61" xfId="0" applyNumberFormat="1" applyFont="1" applyFill="1" applyBorder="1" applyAlignment="1">
      <alignment horizontal="center" vertical="center"/>
    </xf>
    <xf numFmtId="10" fontId="159" fillId="11" borderId="21" xfId="0" applyNumberFormat="1" applyFont="1" applyFill="1" applyBorder="1" applyAlignment="1">
      <alignment horizontal="center" vertical="center"/>
    </xf>
    <xf numFmtId="9" fontId="159" fillId="34" borderId="21" xfId="0" applyNumberFormat="1" applyFont="1" applyFill="1" applyBorder="1" applyAlignment="1" applyProtection="1">
      <alignment horizontal="center" vertical="center"/>
      <protection locked="0"/>
    </xf>
    <xf numFmtId="9" fontId="159" fillId="34" borderId="61" xfId="0" applyNumberFormat="1" applyFont="1" applyFill="1" applyBorder="1" applyAlignment="1" applyProtection="1">
      <alignment horizontal="center" vertical="center"/>
      <protection locked="0"/>
    </xf>
    <xf numFmtId="10" fontId="158" fillId="41" borderId="21" xfId="0" applyNumberFormat="1" applyFont="1" applyFill="1" applyBorder="1" applyAlignment="1">
      <alignment horizontal="center" vertical="center"/>
    </xf>
    <xf numFmtId="2" fontId="158" fillId="41" borderId="21" xfId="0" applyNumberFormat="1" applyFont="1" applyFill="1" applyBorder="1" applyAlignment="1">
      <alignment horizontal="center" vertical="center"/>
    </xf>
    <xf numFmtId="2" fontId="158" fillId="41" borderId="61" xfId="0" applyNumberFormat="1" applyFont="1" applyFill="1" applyBorder="1" applyAlignment="1">
      <alignment horizontal="center" vertical="center"/>
    </xf>
    <xf numFmtId="2" fontId="159" fillId="11" borderId="21" xfId="0" applyNumberFormat="1" applyFont="1" applyFill="1" applyBorder="1" applyAlignment="1">
      <alignment horizontal="center" vertical="center"/>
    </xf>
    <xf numFmtId="2" fontId="159" fillId="11" borderId="61" xfId="0" applyNumberFormat="1" applyFont="1" applyFill="1" applyBorder="1" applyAlignment="1">
      <alignment horizontal="center" vertical="center"/>
    </xf>
    <xf numFmtId="10" fontId="158" fillId="42" borderId="21" xfId="0" applyNumberFormat="1" applyFont="1" applyFill="1" applyBorder="1" applyAlignment="1">
      <alignment horizontal="center" vertical="center"/>
    </xf>
    <xf numFmtId="2" fontId="158" fillId="42" borderId="21" xfId="0" applyNumberFormat="1" applyFont="1" applyFill="1" applyBorder="1" applyAlignment="1">
      <alignment horizontal="center" vertical="center"/>
    </xf>
    <xf numFmtId="2" fontId="158" fillId="42" borderId="61" xfId="0" applyNumberFormat="1" applyFont="1" applyFill="1" applyBorder="1" applyAlignment="1">
      <alignment horizontal="center" vertical="center"/>
    </xf>
    <xf numFmtId="10" fontId="159" fillId="4" borderId="21" xfId="11" applyNumberFormat="1" applyFont="1" applyFill="1" applyBorder="1" applyAlignment="1">
      <alignment horizontal="center" vertical="center"/>
    </xf>
    <xf numFmtId="2" fontId="159" fillId="11" borderId="21" xfId="0" applyNumberFormat="1" applyFont="1" applyFill="1" applyBorder="1" applyAlignment="1" applyProtection="1">
      <alignment horizontal="center" vertical="center"/>
    </xf>
    <xf numFmtId="2" fontId="159" fillId="11" borderId="61" xfId="0" applyNumberFormat="1" applyFont="1" applyFill="1" applyBorder="1" applyAlignment="1" applyProtection="1">
      <alignment horizontal="center" vertical="center"/>
    </xf>
    <xf numFmtId="10" fontId="159" fillId="4" borderId="21" xfId="0" applyNumberFormat="1" applyFont="1" applyFill="1" applyBorder="1" applyAlignment="1">
      <alignment horizontal="center" vertical="center"/>
    </xf>
    <xf numFmtId="2" fontId="159" fillId="0" borderId="21" xfId="0" applyNumberFormat="1" applyFont="1" applyFill="1" applyBorder="1" applyAlignment="1">
      <alignment horizontal="center" vertical="center"/>
    </xf>
    <xf numFmtId="2" fontId="159" fillId="0" borderId="61" xfId="0" applyNumberFormat="1" applyFont="1" applyFill="1" applyBorder="1" applyAlignment="1">
      <alignment horizontal="center" vertical="center"/>
    </xf>
    <xf numFmtId="10" fontId="158" fillId="43" borderId="21" xfId="0" applyNumberFormat="1" applyFont="1" applyFill="1" applyBorder="1" applyAlignment="1">
      <alignment horizontal="center" vertical="center"/>
    </xf>
    <xf numFmtId="2" fontId="158" fillId="43" borderId="21" xfId="0" applyNumberFormat="1" applyFont="1" applyFill="1" applyBorder="1" applyAlignment="1">
      <alignment horizontal="center" vertical="center"/>
    </xf>
    <xf numFmtId="2" fontId="158" fillId="43" borderId="61" xfId="0" applyNumberFormat="1" applyFont="1" applyFill="1" applyBorder="1" applyAlignment="1">
      <alignment horizontal="center" vertical="center"/>
    </xf>
    <xf numFmtId="2" fontId="159" fillId="4" borderId="21" xfId="0" applyNumberFormat="1" applyFont="1" applyFill="1" applyBorder="1" applyAlignment="1">
      <alignment horizontal="center" vertical="center"/>
    </xf>
    <xf numFmtId="10" fontId="158" fillId="44" borderId="21" xfId="0" applyNumberFormat="1" applyFont="1" applyFill="1" applyBorder="1" applyAlignment="1">
      <alignment horizontal="center" vertical="center"/>
    </xf>
    <xf numFmtId="2" fontId="158" fillId="44" borderId="21" xfId="0" applyNumberFormat="1" applyFont="1" applyFill="1" applyBorder="1" applyAlignment="1">
      <alignment horizontal="center" vertical="center"/>
    </xf>
    <xf numFmtId="2" fontId="158" fillId="44" borderId="61" xfId="0" applyNumberFormat="1" applyFont="1" applyFill="1" applyBorder="1" applyAlignment="1">
      <alignment horizontal="center" vertical="center"/>
    </xf>
    <xf numFmtId="10" fontId="158" fillId="11" borderId="21" xfId="0" applyNumberFormat="1" applyFont="1" applyFill="1" applyBorder="1" applyAlignment="1">
      <alignment horizontal="center" vertical="center"/>
    </xf>
    <xf numFmtId="10" fontId="158" fillId="11" borderId="67" xfId="0" applyNumberFormat="1" applyFont="1" applyFill="1" applyBorder="1" applyAlignment="1">
      <alignment horizontal="center" vertical="center"/>
    </xf>
    <xf numFmtId="2" fontId="159" fillId="11" borderId="67" xfId="0" applyNumberFormat="1" applyFont="1" applyFill="1" applyBorder="1" applyAlignment="1">
      <alignment horizontal="center" vertical="center"/>
    </xf>
    <xf numFmtId="2" fontId="159" fillId="11" borderId="68" xfId="0" applyNumberFormat="1" applyFont="1" applyFill="1" applyBorder="1" applyAlignment="1">
      <alignment horizontal="center" vertical="center"/>
    </xf>
    <xf numFmtId="10" fontId="158" fillId="45" borderId="71" xfId="0" applyNumberFormat="1" applyFont="1" applyFill="1" applyBorder="1" applyAlignment="1">
      <alignment horizontal="center" vertical="center"/>
    </xf>
    <xf numFmtId="2" fontId="158" fillId="45" borderId="72" xfId="0" applyNumberFormat="1" applyFont="1" applyFill="1" applyBorder="1" applyAlignment="1">
      <alignment horizontal="center" vertical="center"/>
    </xf>
    <xf numFmtId="0" fontId="159" fillId="4" borderId="21" xfId="11" applyNumberFormat="1" applyFont="1" applyFill="1" applyBorder="1" applyAlignment="1">
      <alignment horizontal="center" vertical="center"/>
    </xf>
    <xf numFmtId="1" fontId="152" fillId="0" borderId="0" xfId="4808" applyNumberFormat="1" applyFont="1" applyAlignment="1">
      <alignment vertical="center"/>
    </xf>
    <xf numFmtId="0" fontId="152" fillId="0" borderId="0" xfId="4809" applyFont="1"/>
    <xf numFmtId="0" fontId="79" fillId="0" borderId="0" xfId="4809" applyAlignment="1">
      <alignment horizontal="center"/>
    </xf>
    <xf numFmtId="0" fontId="79" fillId="0" borderId="0" xfId="4809"/>
    <xf numFmtId="0" fontId="161" fillId="0" borderId="0" xfId="4809" applyFont="1" applyAlignment="1">
      <alignment horizontal="center"/>
    </xf>
    <xf numFmtId="14" fontId="152" fillId="0" borderId="0" xfId="4809" applyNumberFormat="1" applyFont="1"/>
    <xf numFmtId="0" fontId="162" fillId="0" borderId="0" xfId="4809" applyFont="1" applyAlignment="1">
      <alignment horizontal="center"/>
    </xf>
    <xf numFmtId="3" fontId="162" fillId="0" borderId="0" xfId="4809" applyNumberFormat="1" applyFont="1" applyAlignment="1">
      <alignment horizontal="center"/>
    </xf>
    <xf numFmtId="0" fontId="163" fillId="0" borderId="0" xfId="4809" applyFont="1"/>
    <xf numFmtId="14" fontId="79" fillId="0" borderId="0" xfId="4809" applyNumberFormat="1" applyAlignment="1">
      <alignment horizontal="center"/>
    </xf>
    <xf numFmtId="14" fontId="79" fillId="0" borderId="0" xfId="4809" applyNumberFormat="1" applyBorder="1" applyAlignment="1">
      <alignment horizontal="center"/>
    </xf>
    <xf numFmtId="182" fontId="62" fillId="0" borderId="0" xfId="0" applyFont="1" applyFill="1" applyBorder="1" applyAlignment="1">
      <alignment horizontal="left" vertical="center" indent="1"/>
    </xf>
    <xf numFmtId="0" fontId="62" fillId="0" borderId="0" xfId="4809" applyFont="1" applyFill="1" applyBorder="1"/>
    <xf numFmtId="190" fontId="65" fillId="0" borderId="0" xfId="0" applyNumberFormat="1" applyFont="1" applyFill="1" applyBorder="1" applyAlignment="1">
      <alignment horizontal="center" vertical="center"/>
    </xf>
    <xf numFmtId="0" fontId="62" fillId="0" borderId="0" xfId="4809" applyFont="1" applyFill="1" applyBorder="1" applyAlignment="1">
      <alignment horizontal="left" indent="1"/>
    </xf>
    <xf numFmtId="0" fontId="79" fillId="0" borderId="0" xfId="4809" applyFill="1" applyBorder="1"/>
    <xf numFmtId="182" fontId="141" fillId="0" borderId="42" xfId="0" applyFont="1" applyFill="1" applyBorder="1" applyAlignment="1">
      <alignment horizontal="left" vertical="center" indent="1"/>
    </xf>
    <xf numFmtId="4" fontId="62" fillId="46" borderId="33" xfId="0" applyNumberFormat="1" applyFont="1" applyFill="1" applyBorder="1" applyAlignment="1">
      <alignment horizontal="center" vertical="center"/>
    </xf>
    <xf numFmtId="0" fontId="62" fillId="0" borderId="0" xfId="4809" applyFont="1" applyAlignment="1">
      <alignment horizontal="left" indent="1"/>
    </xf>
    <xf numFmtId="182" fontId="62" fillId="0" borderId="0" xfId="0" applyFont="1" applyFill="1" applyBorder="1" applyAlignment="1">
      <alignment vertical="center"/>
    </xf>
    <xf numFmtId="4" fontId="62" fillId="45" borderId="33" xfId="0" applyNumberFormat="1" applyFont="1" applyFill="1" applyBorder="1" applyAlignment="1">
      <alignment horizontal="center" vertical="center"/>
    </xf>
    <xf numFmtId="0" fontId="62" fillId="0" borderId="0" xfId="4809" applyFont="1"/>
    <xf numFmtId="4" fontId="62" fillId="37" borderId="33" xfId="0" applyNumberFormat="1" applyFont="1" applyFill="1" applyBorder="1" applyAlignment="1">
      <alignment horizontal="center" vertical="center"/>
    </xf>
    <xf numFmtId="2" fontId="62" fillId="37" borderId="33" xfId="0" applyNumberFormat="1" applyFont="1" applyFill="1" applyBorder="1" applyAlignment="1">
      <alignment horizontal="center" vertical="center"/>
    </xf>
    <xf numFmtId="4" fontId="62" fillId="4" borderId="33" xfId="0" applyNumberFormat="1" applyFont="1" applyFill="1" applyBorder="1" applyAlignment="1">
      <alignment horizontal="center" vertical="center"/>
    </xf>
    <xf numFmtId="182" fontId="62" fillId="11" borderId="0" xfId="0" applyFont="1" applyFill="1" applyBorder="1" applyAlignment="1">
      <alignment horizontal="left" vertical="center" indent="1"/>
    </xf>
    <xf numFmtId="182" fontId="65" fillId="11" borderId="0" xfId="0" applyFont="1" applyFill="1" applyBorder="1" applyAlignment="1">
      <alignment horizontal="left" vertical="center" indent="1"/>
    </xf>
    <xf numFmtId="4" fontId="65" fillId="37" borderId="33" xfId="0" applyNumberFormat="1" applyFont="1" applyFill="1" applyBorder="1" applyAlignment="1">
      <alignment horizontal="center" vertical="center"/>
    </xf>
    <xf numFmtId="2" fontId="62" fillId="45" borderId="33" xfId="0" applyNumberFormat="1" applyFont="1" applyFill="1" applyBorder="1" applyAlignment="1">
      <alignment horizontal="center" vertical="center"/>
    </xf>
    <xf numFmtId="182" fontId="62" fillId="0" borderId="0" xfId="0" applyFont="1" applyFill="1" applyBorder="1" applyAlignment="1">
      <alignment horizontal="left" vertical="center" indent="2"/>
    </xf>
    <xf numFmtId="2" fontId="62" fillId="7" borderId="33" xfId="0" applyNumberFormat="1" applyFont="1" applyFill="1" applyBorder="1" applyAlignment="1">
      <alignment horizontal="center" vertical="center"/>
    </xf>
    <xf numFmtId="9" fontId="62" fillId="7" borderId="33" xfId="11" applyFont="1" applyFill="1" applyBorder="1" applyAlignment="1">
      <alignment horizontal="center" vertical="center"/>
    </xf>
    <xf numFmtId="192" fontId="76" fillId="9" borderId="46" xfId="0" applyNumberFormat="1" applyFont="1" applyFill="1" applyBorder="1" applyAlignment="1">
      <alignment horizontal="right" vertical="center"/>
    </xf>
    <xf numFmtId="182" fontId="76" fillId="9" borderId="47" xfId="0" applyFont="1" applyFill="1" applyBorder="1" applyAlignment="1">
      <alignment vertical="center"/>
    </xf>
    <xf numFmtId="191" fontId="76" fillId="9" borderId="48" xfId="0" applyNumberFormat="1" applyFont="1" applyFill="1" applyBorder="1" applyAlignment="1">
      <alignment vertical="center"/>
    </xf>
    <xf numFmtId="182" fontId="68" fillId="0" borderId="73" xfId="0" applyFont="1" applyFill="1" applyBorder="1" applyAlignment="1">
      <alignment horizontal="center" vertical="distributed"/>
    </xf>
    <xf numFmtId="182" fontId="68" fillId="0" borderId="39" xfId="0" applyFont="1" applyBorder="1" applyAlignment="1">
      <alignment horizontal="center" vertical="center" wrapText="1"/>
    </xf>
    <xf numFmtId="182" fontId="164" fillId="0" borderId="0" xfId="0" applyFont="1"/>
    <xf numFmtId="0" fontId="127" fillId="0" borderId="87" xfId="0" applyNumberFormat="1" applyFont="1" applyFill="1" applyBorder="1"/>
    <xf numFmtId="182" fontId="127" fillId="0" borderId="0" xfId="0" applyFont="1" applyFill="1"/>
    <xf numFmtId="0" fontId="139" fillId="11" borderId="0" xfId="0" applyNumberFormat="1" applyFont="1" applyFill="1" applyBorder="1" applyAlignment="1"/>
    <xf numFmtId="2" fontId="139" fillId="11" borderId="0" xfId="0" applyNumberFormat="1" applyFont="1" applyFill="1" applyBorder="1" applyAlignment="1">
      <alignment horizontal="center"/>
    </xf>
    <xf numFmtId="0" fontId="139" fillId="11" borderId="0" xfId="0" applyNumberFormat="1" applyFont="1" applyFill="1" applyBorder="1" applyAlignment="1">
      <alignment horizontal="center"/>
    </xf>
    <xf numFmtId="0" fontId="165" fillId="14" borderId="0" xfId="0" applyNumberFormat="1" applyFont="1" applyFill="1" applyBorder="1" applyAlignment="1"/>
    <xf numFmtId="182" fontId="127" fillId="0" borderId="0" xfId="0" applyFont="1"/>
    <xf numFmtId="182" fontId="0" fillId="0" borderId="0" xfId="0"/>
    <xf numFmtId="182" fontId="62" fillId="0" borderId="0" xfId="0" applyFont="1" applyFill="1"/>
    <xf numFmtId="0" fontId="62" fillId="0" borderId="0" xfId="0" applyNumberFormat="1" applyFont="1" applyFill="1" applyBorder="1"/>
    <xf numFmtId="0" fontId="139" fillId="0" borderId="0" xfId="0" applyNumberFormat="1" applyFont="1" applyFill="1"/>
    <xf numFmtId="0" fontId="127" fillId="0" borderId="0" xfId="0" applyNumberFormat="1" applyFont="1" applyFill="1"/>
    <xf numFmtId="0" fontId="127" fillId="0" borderId="0" xfId="0" applyNumberFormat="1" applyFont="1" applyFill="1" applyAlignment="1">
      <alignment horizontal="center"/>
    </xf>
    <xf numFmtId="2" fontId="127" fillId="0" borderId="0" xfId="0" applyNumberFormat="1" applyFont="1" applyFill="1"/>
    <xf numFmtId="0" fontId="127" fillId="0" borderId="0" xfId="0" applyNumberFormat="1" applyFont="1" applyFill="1" applyAlignment="1">
      <alignment horizontal="right"/>
    </xf>
    <xf numFmtId="0" fontId="62" fillId="0" borderId="0" xfId="0" applyNumberFormat="1" applyFont="1" applyFill="1"/>
    <xf numFmtId="0" fontId="139" fillId="0" borderId="0" xfId="0" applyNumberFormat="1" applyFont="1" applyFill="1" applyAlignment="1">
      <alignment horizontal="center"/>
    </xf>
    <xf numFmtId="2" fontId="139" fillId="0" borderId="0" xfId="0" applyNumberFormat="1" applyFont="1" applyFill="1"/>
    <xf numFmtId="0" fontId="127" fillId="0" borderId="0" xfId="0" applyNumberFormat="1" applyFont="1" applyFill="1" applyBorder="1" applyAlignment="1">
      <alignment horizontal="center"/>
    </xf>
    <xf numFmtId="0" fontId="62" fillId="35" borderId="0" xfId="0" applyNumberFormat="1" applyFont="1" applyFill="1" applyBorder="1"/>
    <xf numFmtId="2" fontId="127" fillId="0" borderId="0" xfId="0" applyNumberFormat="1" applyFont="1" applyFill="1" applyBorder="1" applyAlignment="1"/>
    <xf numFmtId="0" fontId="139" fillId="0" borderId="0" xfId="0" applyNumberFormat="1" applyFont="1" applyFill="1" applyBorder="1"/>
    <xf numFmtId="0" fontId="127" fillId="0" borderId="0" xfId="0" applyNumberFormat="1" applyFont="1" applyFill="1" applyBorder="1"/>
    <xf numFmtId="0" fontId="127" fillId="0" borderId="42" xfId="0" applyNumberFormat="1" applyFont="1" applyFill="1" applyBorder="1" applyAlignment="1">
      <alignment horizontal="center"/>
    </xf>
    <xf numFmtId="2" fontId="127" fillId="0" borderId="42" xfId="0" applyNumberFormat="1" applyFont="1" applyFill="1" applyBorder="1" applyAlignment="1">
      <alignment horizontal="center"/>
    </xf>
    <xf numFmtId="2" fontId="127" fillId="0" borderId="42" xfId="0" applyNumberFormat="1" applyFont="1" applyFill="1" applyBorder="1"/>
    <xf numFmtId="2" fontId="127" fillId="0" borderId="0" xfId="0" applyNumberFormat="1" applyFont="1" applyFill="1" applyBorder="1"/>
    <xf numFmtId="2" fontId="127" fillId="0" borderId="0" xfId="0" applyNumberFormat="1" applyFont="1" applyFill="1" applyBorder="1" applyAlignment="1">
      <alignment horizontal="center"/>
    </xf>
    <xf numFmtId="2" fontId="139" fillId="0" borderId="0" xfId="0" applyNumberFormat="1" applyFont="1" applyFill="1" applyBorder="1"/>
    <xf numFmtId="0" fontId="139" fillId="0" borderId="0" xfId="0" applyNumberFormat="1" applyFont="1" applyFill="1" applyBorder="1" applyAlignment="1">
      <alignment horizontal="center"/>
    </xf>
    <xf numFmtId="2" fontId="139" fillId="0" borderId="0" xfId="0" applyNumberFormat="1" applyFont="1" applyFill="1" applyBorder="1" applyAlignment="1">
      <alignment horizontal="center"/>
    </xf>
    <xf numFmtId="2" fontId="139" fillId="0" borderId="3" xfId="0" applyNumberFormat="1" applyFont="1" applyFill="1" applyBorder="1" applyAlignment="1">
      <alignment horizontal="center"/>
    </xf>
    <xf numFmtId="2" fontId="127" fillId="0" borderId="9" xfId="0" applyNumberFormat="1" applyFont="1" applyFill="1" applyBorder="1"/>
    <xf numFmtId="14" fontId="139" fillId="0" borderId="0" xfId="0" applyNumberFormat="1" applyFont="1" applyFill="1" applyAlignment="1">
      <alignment horizontal="left"/>
    </xf>
    <xf numFmtId="2" fontId="127" fillId="0" borderId="0" xfId="0" applyNumberFormat="1" applyFont="1" applyFill="1" applyAlignment="1">
      <alignment horizontal="center"/>
    </xf>
    <xf numFmtId="39" fontId="139" fillId="0" borderId="0" xfId="0" applyNumberFormat="1" applyFont="1" applyFill="1"/>
    <xf numFmtId="0" fontId="139" fillId="0" borderId="0" xfId="0" applyNumberFormat="1" applyFont="1" applyFill="1" applyAlignment="1">
      <alignment horizontal="left" wrapText="1"/>
    </xf>
    <xf numFmtId="176" fontId="127" fillId="0" borderId="42" xfId="0" applyNumberFormat="1" applyFont="1" applyFill="1" applyBorder="1"/>
    <xf numFmtId="9" fontId="127" fillId="0" borderId="20" xfId="0" applyNumberFormat="1" applyFont="1" applyFill="1" applyBorder="1"/>
    <xf numFmtId="176" fontId="139" fillId="0" borderId="0" xfId="0" applyNumberFormat="1" applyFont="1" applyFill="1"/>
    <xf numFmtId="176" fontId="127" fillId="0" borderId="0" xfId="0" applyNumberFormat="1" applyFont="1" applyFill="1" applyBorder="1"/>
    <xf numFmtId="176" fontId="139" fillId="0" borderId="0" xfId="0" applyNumberFormat="1" applyFont="1" applyFill="1" applyBorder="1"/>
    <xf numFmtId="2" fontId="62" fillId="0" borderId="89" xfId="0" applyNumberFormat="1" applyFont="1" applyFill="1" applyBorder="1"/>
    <xf numFmtId="176" fontId="139" fillId="0" borderId="87" xfId="0" applyNumberFormat="1" applyFont="1" applyFill="1" applyBorder="1"/>
    <xf numFmtId="2" fontId="127" fillId="0" borderId="89" xfId="0" applyNumberFormat="1" applyFont="1" applyFill="1" applyBorder="1" applyAlignment="1">
      <alignment horizontal="center"/>
    </xf>
    <xf numFmtId="2" fontId="127" fillId="0" borderId="88" xfId="0" applyNumberFormat="1" applyFont="1" applyFill="1" applyBorder="1" applyAlignment="1">
      <alignment horizontal="right"/>
    </xf>
    <xf numFmtId="2" fontId="139" fillId="0" borderId="88" xfId="0" applyNumberFormat="1" applyFont="1" applyFill="1" applyBorder="1" applyAlignment="1">
      <alignment horizontal="center" vertical="center"/>
    </xf>
    <xf numFmtId="0" fontId="139" fillId="0" borderId="89" xfId="0" applyNumberFormat="1" applyFont="1" applyFill="1" applyBorder="1" applyAlignment="1">
      <alignment horizontal="center" vertical="center"/>
    </xf>
    <xf numFmtId="176" fontId="127" fillId="0" borderId="89" xfId="0" applyNumberFormat="1" applyFont="1" applyFill="1" applyBorder="1"/>
    <xf numFmtId="2" fontId="139" fillId="20" borderId="89" xfId="0" applyNumberFormat="1" applyFont="1" applyFill="1" applyBorder="1" applyAlignment="1">
      <alignment horizontal="center"/>
    </xf>
    <xf numFmtId="0" fontId="139" fillId="0" borderId="88" xfId="0" applyNumberFormat="1" applyFont="1" applyFill="1" applyBorder="1" applyAlignment="1">
      <alignment horizontal="center" vertical="center"/>
    </xf>
    <xf numFmtId="2" fontId="127" fillId="0" borderId="89" xfId="0" applyNumberFormat="1" applyFont="1" applyFill="1" applyBorder="1"/>
    <xf numFmtId="2" fontId="139" fillId="20" borderId="88" xfId="0" applyNumberFormat="1" applyFont="1" applyFill="1" applyBorder="1" applyAlignment="1">
      <alignment horizontal="left"/>
    </xf>
    <xf numFmtId="2" fontId="139" fillId="0" borderId="87" xfId="0" applyNumberFormat="1" applyFont="1" applyFill="1" applyBorder="1" applyAlignment="1">
      <alignment horizontal="center" vertical="center"/>
    </xf>
    <xf numFmtId="0" fontId="127" fillId="0" borderId="88" xfId="0" applyNumberFormat="1" applyFont="1" applyFill="1" applyBorder="1"/>
    <xf numFmtId="2" fontId="127" fillId="0" borderId="34" xfId="0" applyNumberFormat="1" applyFont="1" applyFill="1" applyBorder="1" applyAlignment="1"/>
    <xf numFmtId="4" fontId="68" fillId="0" borderId="0" xfId="0" applyNumberFormat="1" applyFont="1"/>
    <xf numFmtId="182" fontId="68" fillId="0" borderId="0" xfId="0" applyFont="1"/>
    <xf numFmtId="4" fontId="68" fillId="0" borderId="45" xfId="0" applyNumberFormat="1" applyFont="1" applyBorder="1" applyAlignment="1">
      <alignment horizontal="right" vertical="center" wrapText="1"/>
    </xf>
    <xf numFmtId="182" fontId="68" fillId="11" borderId="39" xfId="0" applyFont="1" applyFill="1" applyBorder="1" applyAlignment="1">
      <alignment horizontal="left" vertical="center" wrapText="1" indent="2"/>
    </xf>
    <xf numFmtId="0" fontId="139" fillId="20" borderId="93" xfId="0" applyNumberFormat="1" applyFont="1" applyFill="1" applyBorder="1" applyAlignment="1"/>
    <xf numFmtId="2" fontId="139" fillId="20" borderId="93" xfId="0" applyNumberFormat="1" applyFont="1" applyFill="1" applyBorder="1" applyAlignment="1"/>
    <xf numFmtId="2" fontId="139" fillId="20" borderId="93" xfId="0" applyNumberFormat="1" applyFont="1" applyFill="1" applyBorder="1"/>
    <xf numFmtId="2" fontId="127" fillId="0" borderId="93" xfId="0" applyNumberFormat="1" applyFont="1" applyFill="1" applyBorder="1" applyAlignment="1"/>
    <xf numFmtId="0" fontId="127" fillId="0" borderId="93" xfId="0" applyNumberFormat="1" applyFont="1" applyFill="1" applyBorder="1" applyAlignment="1">
      <alignment horizontal="right"/>
    </xf>
    <xf numFmtId="0" fontId="127" fillId="0" borderId="93" xfId="0" applyNumberFormat="1" applyFont="1" applyFill="1" applyBorder="1"/>
    <xf numFmtId="0" fontId="127" fillId="0" borderId="93" xfId="0" applyNumberFormat="1" applyFont="1" applyFill="1" applyBorder="1" applyAlignment="1">
      <alignment horizontal="center"/>
    </xf>
    <xf numFmtId="0" fontId="139" fillId="0" borderId="93" xfId="0" applyNumberFormat="1" applyFont="1" applyFill="1" applyBorder="1" applyAlignment="1">
      <alignment horizontal="center" vertical="center"/>
    </xf>
    <xf numFmtId="2" fontId="127" fillId="0" borderId="93" xfId="0" applyNumberFormat="1" applyFont="1" applyFill="1" applyBorder="1" applyAlignment="1">
      <alignment horizontal="center"/>
    </xf>
    <xf numFmtId="0" fontId="139" fillId="0" borderId="94" xfId="0" applyNumberFormat="1" applyFont="1" applyFill="1" applyBorder="1"/>
    <xf numFmtId="2" fontId="127" fillId="0" borderId="93" xfId="0" applyNumberFormat="1" applyFont="1" applyFill="1" applyBorder="1"/>
    <xf numFmtId="2" fontId="127" fillId="0" borderId="94" xfId="0" applyNumberFormat="1" applyFont="1" applyFill="1" applyBorder="1" applyAlignment="1"/>
    <xf numFmtId="0" fontId="127" fillId="0" borderId="95" xfId="0" applyNumberFormat="1" applyFont="1" applyFill="1" applyBorder="1"/>
    <xf numFmtId="182" fontId="152" fillId="0" borderId="78" xfId="0" applyFont="1" applyBorder="1" applyAlignment="1">
      <alignment horizontal="center" vertical="center" wrapText="1"/>
    </xf>
    <xf numFmtId="4" fontId="65" fillId="0" borderId="78" xfId="0" applyNumberFormat="1" applyFont="1" applyBorder="1" applyAlignment="1">
      <alignment horizontal="right" wrapText="1"/>
    </xf>
    <xf numFmtId="182" fontId="65" fillId="0" borderId="78" xfId="0" applyFont="1" applyBorder="1" applyAlignment="1">
      <alignment horizontal="right" wrapText="1"/>
    </xf>
    <xf numFmtId="2" fontId="65" fillId="0" borderId="78" xfId="0" applyNumberFormat="1" applyFont="1" applyBorder="1" applyAlignment="1">
      <alignment horizontal="right" wrapText="1"/>
    </xf>
    <xf numFmtId="167" fontId="0" fillId="0" borderId="96" xfId="3" applyFont="1" applyFill="1" applyBorder="1" applyAlignment="1">
      <alignment wrapText="1"/>
    </xf>
    <xf numFmtId="167" fontId="0" fillId="0" borderId="75" xfId="3" applyFont="1" applyFill="1" applyBorder="1" applyAlignment="1">
      <alignment wrapText="1"/>
    </xf>
    <xf numFmtId="4" fontId="0" fillId="0" borderId="96" xfId="0" applyNumberFormat="1" applyFill="1" applyBorder="1" applyAlignment="1">
      <alignment wrapText="1"/>
    </xf>
    <xf numFmtId="4" fontId="0" fillId="0" borderId="75" xfId="0" applyNumberFormat="1" applyFill="1" applyBorder="1" applyAlignment="1">
      <alignment wrapText="1"/>
    </xf>
    <xf numFmtId="2" fontId="0" fillId="0" borderId="96" xfId="0" applyNumberFormat="1" applyFill="1" applyBorder="1" applyAlignment="1">
      <alignment wrapText="1"/>
    </xf>
    <xf numFmtId="2" fontId="0" fillId="0" borderId="75" xfId="0" applyNumberFormat="1" applyFill="1" applyBorder="1" applyAlignment="1">
      <alignment wrapText="1"/>
    </xf>
    <xf numFmtId="182" fontId="0" fillId="0" borderId="0" xfId="0" applyBorder="1"/>
    <xf numFmtId="182" fontId="0" fillId="0" borderId="8" xfId="0" applyBorder="1"/>
    <xf numFmtId="182" fontId="152" fillId="0" borderId="80" xfId="0" applyFont="1" applyBorder="1" applyAlignment="1">
      <alignment horizontal="center" vertical="center" wrapText="1"/>
    </xf>
    <xf numFmtId="182" fontId="152" fillId="0" borderId="77" xfId="0" applyFont="1" applyBorder="1" applyAlignment="1">
      <alignment horizontal="center" vertical="center"/>
    </xf>
    <xf numFmtId="182" fontId="62" fillId="0" borderId="74" xfId="0" applyFont="1" applyFill="1" applyBorder="1"/>
    <xf numFmtId="182" fontId="65" fillId="0" borderId="77" xfId="0" applyFont="1" applyBorder="1" applyAlignment="1">
      <alignment horizontal="right"/>
    </xf>
    <xf numFmtId="182" fontId="65" fillId="0" borderId="80" xfId="0" applyFont="1" applyBorder="1" applyAlignment="1">
      <alignment horizontal="right" wrapText="1"/>
    </xf>
    <xf numFmtId="182" fontId="0" fillId="0" borderId="75" xfId="0" applyBorder="1"/>
    <xf numFmtId="182" fontId="152" fillId="0" borderId="9" xfId="0" applyFont="1" applyBorder="1" applyAlignment="1">
      <alignment horizontal="center" vertical="center" wrapText="1"/>
    </xf>
    <xf numFmtId="4" fontId="65" fillId="0" borderId="9" xfId="0" applyNumberFormat="1" applyFont="1" applyBorder="1" applyAlignment="1">
      <alignment horizontal="right" wrapText="1"/>
    </xf>
    <xf numFmtId="167" fontId="0" fillId="0" borderId="75" xfId="3" applyFont="1" applyBorder="1"/>
    <xf numFmtId="167" fontId="0" fillId="0" borderId="76" xfId="3" applyFont="1" applyBorder="1"/>
    <xf numFmtId="182" fontId="65" fillId="0" borderId="77" xfId="0" applyFont="1" applyBorder="1" applyAlignment="1">
      <alignment horizontal="center" vertical="center"/>
    </xf>
    <xf numFmtId="182" fontId="62" fillId="0" borderId="97" xfId="0" applyFont="1" applyBorder="1"/>
    <xf numFmtId="182" fontId="0" fillId="0" borderId="74" xfId="0" applyBorder="1" applyAlignment="1">
      <alignment horizontal="left"/>
    </xf>
    <xf numFmtId="182" fontId="62" fillId="0" borderId="74" xfId="0" applyFont="1" applyBorder="1" applyAlignment="1">
      <alignment horizontal="left"/>
    </xf>
    <xf numFmtId="182" fontId="65" fillId="0" borderId="78" xfId="0" applyFont="1" applyBorder="1" applyAlignment="1">
      <alignment horizontal="center" vertical="center" wrapText="1"/>
    </xf>
    <xf numFmtId="182" fontId="65" fillId="0" borderId="9" xfId="0" applyFont="1" applyBorder="1" applyAlignment="1">
      <alignment horizontal="center" vertical="center" wrapText="1"/>
    </xf>
    <xf numFmtId="2" fontId="65" fillId="0" borderId="9" xfId="0" applyNumberFormat="1" applyFont="1" applyBorder="1" applyAlignment="1">
      <alignment horizontal="right" wrapText="1"/>
    </xf>
    <xf numFmtId="167" fontId="0" fillId="0" borderId="8" xfId="3" applyFont="1" applyBorder="1"/>
    <xf numFmtId="0" fontId="65" fillId="36" borderId="35" xfId="4807" applyFont="1" applyFill="1" applyBorder="1" applyAlignment="1">
      <alignment horizontal="center" vertical="center" wrapText="1"/>
    </xf>
    <xf numFmtId="0" fontId="65" fillId="36" borderId="20" xfId="4807" applyFont="1" applyFill="1" applyBorder="1" applyAlignment="1">
      <alignment horizontal="center" vertical="center" wrapText="1"/>
    </xf>
    <xf numFmtId="182" fontId="65" fillId="15" borderId="87" xfId="0" applyFont="1" applyFill="1" applyBorder="1" applyAlignment="1">
      <alignment horizontal="center" vertical="center" wrapText="1"/>
    </xf>
    <xf numFmtId="182" fontId="62" fillId="0" borderId="87" xfId="0" applyFont="1" applyBorder="1" applyAlignment="1">
      <alignment horizontal="center"/>
    </xf>
    <xf numFmtId="182" fontId="0" fillId="0" borderId="87" xfId="0" applyBorder="1"/>
    <xf numFmtId="167" fontId="0" fillId="0" borderId="87" xfId="3" applyFont="1" applyBorder="1"/>
    <xf numFmtId="182" fontId="65" fillId="0" borderId="93" xfId="0" applyFont="1" applyBorder="1"/>
    <xf numFmtId="182" fontId="62" fillId="0" borderId="87" xfId="0" applyFont="1" applyFill="1" applyBorder="1"/>
    <xf numFmtId="182" fontId="62" fillId="9" borderId="88" xfId="0" applyFont="1" applyFill="1" applyBorder="1"/>
    <xf numFmtId="182" fontId="62" fillId="9" borderId="93" xfId="0" applyFont="1" applyFill="1" applyBorder="1"/>
    <xf numFmtId="182" fontId="64" fillId="9" borderId="93" xfId="0" applyFont="1" applyFill="1" applyBorder="1"/>
    <xf numFmtId="182" fontId="62" fillId="9" borderId="89" xfId="0" applyFont="1" applyFill="1" applyBorder="1"/>
    <xf numFmtId="182" fontId="0" fillId="0" borderId="93" xfId="0" applyBorder="1"/>
    <xf numFmtId="182" fontId="0" fillId="0" borderId="89" xfId="0" applyBorder="1"/>
    <xf numFmtId="4" fontId="64" fillId="9" borderId="87" xfId="0" applyNumberFormat="1" applyFont="1" applyFill="1" applyBorder="1"/>
    <xf numFmtId="182" fontId="156" fillId="0" borderId="16" xfId="0" applyFont="1" applyBorder="1"/>
    <xf numFmtId="182" fontId="62" fillId="0" borderId="0" xfId="0" applyFont="1" applyBorder="1"/>
    <xf numFmtId="182" fontId="62" fillId="0" borderId="76" xfId="0" applyFont="1" applyBorder="1"/>
    <xf numFmtId="182" fontId="0" fillId="0" borderId="16" xfId="0" applyBorder="1"/>
    <xf numFmtId="182" fontId="0" fillId="0" borderId="76" xfId="0" applyBorder="1"/>
    <xf numFmtId="191" fontId="62" fillId="0" borderId="87" xfId="3" applyNumberFormat="1" applyFont="1" applyBorder="1" applyAlignment="1">
      <alignment horizontal="center" vertical="center"/>
    </xf>
    <xf numFmtId="0" fontId="62" fillId="0" borderId="87" xfId="4807" applyFont="1" applyFill="1" applyBorder="1" applyAlignment="1">
      <alignment horizontal="left" vertical="center"/>
    </xf>
    <xf numFmtId="167" fontId="0" fillId="0" borderId="0" xfId="3" applyFont="1" applyBorder="1"/>
    <xf numFmtId="2" fontId="0" fillId="47" borderId="96" xfId="0" applyNumberFormat="1" applyFill="1" applyBorder="1" applyAlignment="1">
      <alignment wrapText="1"/>
    </xf>
    <xf numFmtId="2" fontId="0" fillId="47" borderId="75" xfId="0" applyNumberFormat="1" applyFill="1" applyBorder="1" applyAlignment="1">
      <alignment wrapText="1"/>
    </xf>
    <xf numFmtId="182" fontId="144" fillId="0" borderId="0" xfId="0" applyFont="1"/>
    <xf numFmtId="182" fontId="133" fillId="0" borderId="0" xfId="5" applyFont="1" applyFill="1" applyAlignment="1">
      <alignment vertical="center"/>
    </xf>
    <xf numFmtId="14" fontId="133" fillId="0" borderId="0" xfId="5" applyNumberFormat="1" applyFont="1" applyFill="1" applyAlignment="1">
      <alignment horizontal="left" vertical="center"/>
    </xf>
    <xf numFmtId="0" fontId="155" fillId="0" borderId="21" xfId="0" applyNumberFormat="1" applyFont="1" applyFill="1" applyBorder="1"/>
    <xf numFmtId="10" fontId="158" fillId="48" borderId="71" xfId="0" applyNumberFormat="1" applyFont="1" applyFill="1" applyBorder="1" applyAlignment="1">
      <alignment horizontal="center" vertical="center"/>
    </xf>
    <xf numFmtId="2" fontId="158" fillId="48" borderId="72" xfId="0" applyNumberFormat="1" applyFont="1" applyFill="1" applyBorder="1" applyAlignment="1">
      <alignment horizontal="center" vertical="center"/>
    </xf>
    <xf numFmtId="167" fontId="62" fillId="0" borderId="75" xfId="3" applyFont="1" applyFill="1" applyBorder="1"/>
    <xf numFmtId="182" fontId="134" fillId="11" borderId="0" xfId="6" applyFont="1" applyFill="1" applyBorder="1" applyAlignment="1">
      <alignment vertical="center" wrapText="1"/>
    </xf>
    <xf numFmtId="182" fontId="134" fillId="11" borderId="18" xfId="6" applyFont="1" applyFill="1" applyBorder="1" applyAlignment="1">
      <alignment horizontal="center" vertical="center"/>
    </xf>
    <xf numFmtId="4" fontId="134" fillId="0" borderId="7" xfId="5" applyNumberFormat="1" applyFont="1" applyFill="1" applyBorder="1" applyAlignment="1">
      <alignment horizontal="center" vertical="center"/>
    </xf>
    <xf numFmtId="4" fontId="133" fillId="0" borderId="7" xfId="5" applyNumberFormat="1" applyFont="1" applyFill="1" applyBorder="1" applyAlignment="1">
      <alignment horizontal="center" vertical="center"/>
    </xf>
    <xf numFmtId="182" fontId="79" fillId="0" borderId="0" xfId="0" applyFont="1" applyFill="1" applyAlignment="1" applyProtection="1">
      <alignment vertical="center"/>
      <protection locked="0"/>
    </xf>
    <xf numFmtId="4" fontId="62" fillId="11" borderId="18" xfId="6" applyNumberFormat="1" applyFont="1" applyFill="1" applyBorder="1" applyAlignment="1" applyProtection="1">
      <alignment horizontal="center" vertical="center"/>
      <protection locked="0"/>
    </xf>
    <xf numFmtId="182" fontId="62" fillId="0" borderId="0" xfId="6" applyFont="1" applyFill="1" applyAlignment="1">
      <alignment vertical="center"/>
    </xf>
    <xf numFmtId="189" fontId="62" fillId="0" borderId="0" xfId="0" applyNumberFormat="1" applyFont="1" applyFill="1" applyAlignment="1">
      <alignment horizontal="centerContinuous"/>
    </xf>
    <xf numFmtId="182" fontId="134" fillId="0" borderId="0" xfId="6" applyFont="1" applyFill="1" applyBorder="1" applyAlignment="1">
      <alignment vertical="center" wrapText="1"/>
    </xf>
    <xf numFmtId="182" fontId="134" fillId="0" borderId="18" xfId="6" applyFont="1" applyFill="1" applyBorder="1" applyAlignment="1">
      <alignment horizontal="center" vertical="center"/>
    </xf>
    <xf numFmtId="4" fontId="134" fillId="0" borderId="18" xfId="4804" applyNumberFormat="1" applyFont="1" applyFill="1" applyBorder="1" applyAlignment="1">
      <alignment horizontal="center" vertical="center"/>
    </xf>
    <xf numFmtId="4" fontId="134" fillId="0" borderId="8" xfId="4804" applyNumberFormat="1" applyFont="1" applyFill="1" applyBorder="1" applyAlignment="1">
      <alignment horizontal="center" vertical="center"/>
    </xf>
    <xf numFmtId="4" fontId="134" fillId="0" borderId="8" xfId="11" applyNumberFormat="1" applyFont="1" applyFill="1" applyBorder="1" applyAlignment="1">
      <alignment horizontal="center" vertical="center"/>
    </xf>
    <xf numFmtId="182" fontId="134" fillId="0" borderId="7" xfId="5" applyFont="1" applyFill="1" applyBorder="1" applyAlignment="1">
      <alignment horizontal="center" vertical="center"/>
    </xf>
    <xf numFmtId="4" fontId="134" fillId="0" borderId="18" xfId="5" applyNumberFormat="1" applyFont="1" applyFill="1" applyBorder="1" applyAlignment="1">
      <alignment horizontal="center" vertical="center"/>
    </xf>
    <xf numFmtId="4" fontId="134" fillId="0" borderId="18" xfId="5" applyNumberFormat="1" applyFont="1" applyFill="1" applyBorder="1" applyAlignment="1">
      <alignment vertical="center"/>
    </xf>
    <xf numFmtId="182" fontId="68" fillId="11" borderId="39" xfId="0" applyFont="1" applyFill="1" applyBorder="1" applyAlignment="1">
      <alignment horizontal="left" vertical="center" wrapText="1"/>
    </xf>
    <xf numFmtId="0" fontId="68" fillId="0" borderId="39" xfId="0" applyNumberFormat="1" applyFont="1" applyBorder="1" applyAlignment="1">
      <alignment horizontal="center" vertical="center" wrapText="1"/>
    </xf>
    <xf numFmtId="0" fontId="68" fillId="11" borderId="40" xfId="3" applyNumberFormat="1" applyFont="1" applyFill="1" applyBorder="1" applyAlignment="1">
      <alignment horizontal="left" vertical="center" indent="1"/>
    </xf>
    <xf numFmtId="182" fontId="65" fillId="0" borderId="0" xfId="0" applyFont="1" applyFill="1"/>
    <xf numFmtId="176" fontId="65" fillId="9" borderId="93" xfId="0" applyNumberFormat="1" applyFont="1" applyFill="1" applyBorder="1" applyAlignment="1">
      <alignment horizontal="center"/>
    </xf>
    <xf numFmtId="4" fontId="65" fillId="0" borderId="0" xfId="0" applyNumberFormat="1" applyFont="1" applyFill="1"/>
    <xf numFmtId="182" fontId="65" fillId="0" borderId="0" xfId="0" applyFont="1" applyFill="1" applyAlignment="1">
      <alignment horizontal="center"/>
    </xf>
    <xf numFmtId="4" fontId="64" fillId="0" borderId="0" xfId="0" applyNumberFormat="1" applyFont="1" applyFill="1"/>
    <xf numFmtId="182" fontId="62" fillId="0" borderId="93" xfId="0" applyFont="1" applyFill="1" applyBorder="1" applyAlignment="1">
      <alignment horizontal="center"/>
    </xf>
    <xf numFmtId="4" fontId="62" fillId="0" borderId="93" xfId="0" applyNumberFormat="1" applyFont="1" applyFill="1" applyBorder="1" applyAlignment="1">
      <alignment horizontal="center"/>
    </xf>
    <xf numFmtId="182" fontId="62" fillId="0" borderId="0" xfId="0" applyFont="1" applyFill="1" applyBorder="1"/>
    <xf numFmtId="182" fontId="62" fillId="0" borderId="0" xfId="0" applyFont="1" applyFill="1" applyBorder="1" applyAlignment="1">
      <alignment horizontal="center"/>
    </xf>
    <xf numFmtId="4" fontId="62" fillId="0" borderId="0" xfId="0" applyNumberFormat="1" applyFont="1" applyFill="1" applyBorder="1"/>
    <xf numFmtId="0" fontId="62" fillId="0" borderId="0" xfId="7707" applyFont="1" applyAlignment="1">
      <alignment vertical="center" wrapText="1"/>
    </xf>
    <xf numFmtId="176" fontId="127" fillId="0" borderId="93" xfId="0" applyNumberFormat="1" applyFont="1" applyFill="1" applyBorder="1"/>
    <xf numFmtId="176" fontId="139" fillId="0" borderId="89" xfId="0" applyNumberFormat="1" applyFont="1" applyFill="1" applyBorder="1"/>
    <xf numFmtId="0" fontId="139" fillId="0" borderId="98" xfId="0" applyNumberFormat="1" applyFont="1" applyFill="1" applyBorder="1"/>
    <xf numFmtId="176" fontId="127" fillId="0" borderId="53" xfId="0" applyNumberFormat="1" applyFont="1" applyFill="1" applyBorder="1"/>
    <xf numFmtId="14" fontId="0" fillId="0" borderId="0" xfId="0" applyNumberFormat="1" applyAlignment="1">
      <alignment horizontal="left"/>
    </xf>
    <xf numFmtId="0" fontId="62" fillId="0" borderId="0" xfId="7707" applyFont="1"/>
    <xf numFmtId="0" fontId="62" fillId="0" borderId="0" xfId="7707" applyFont="1" applyAlignment="1">
      <alignment horizontal="center"/>
    </xf>
    <xf numFmtId="0" fontId="62" fillId="0" borderId="0" xfId="7707" applyFont="1" applyAlignment="1">
      <alignment wrapText="1"/>
    </xf>
    <xf numFmtId="0" fontId="62" fillId="0" borderId="0" xfId="7707" applyFont="1" applyAlignment="1">
      <alignment horizontal="center" vertical="center"/>
    </xf>
    <xf numFmtId="14" fontId="62" fillId="0" borderId="0" xfId="7707" applyNumberFormat="1" applyFont="1"/>
    <xf numFmtId="4" fontId="62" fillId="0" borderId="0" xfId="7707" applyNumberFormat="1" applyFont="1"/>
    <xf numFmtId="0" fontId="62" fillId="0" borderId="0" xfId="9371" applyAlignment="1">
      <alignment wrapText="1"/>
    </xf>
    <xf numFmtId="0" fontId="62" fillId="0" borderId="0" xfId="7707"/>
    <xf numFmtId="182" fontId="64" fillId="42" borderId="99" xfId="0" applyFont="1" applyFill="1" applyBorder="1" applyAlignment="1">
      <alignment horizontal="center" vertical="center" wrapText="1"/>
    </xf>
    <xf numFmtId="182" fontId="64" fillId="42" borderId="87" xfId="0" applyFont="1" applyFill="1" applyBorder="1" applyAlignment="1">
      <alignment horizontal="center" vertical="center"/>
    </xf>
    <xf numFmtId="182" fontId="64" fillId="42" borderId="87" xfId="0" applyFont="1" applyFill="1" applyBorder="1" applyAlignment="1">
      <alignment horizontal="center" vertical="center" wrapText="1"/>
    </xf>
    <xf numFmtId="182" fontId="64" fillId="42" borderId="87" xfId="193" applyFont="1" applyFill="1" applyBorder="1" applyAlignment="1">
      <alignment horizontal="center" vertical="center" wrapText="1"/>
    </xf>
    <xf numFmtId="182" fontId="64" fillId="42" borderId="100" xfId="193" applyFont="1" applyFill="1" applyBorder="1" applyAlignment="1">
      <alignment horizontal="center" vertical="center" wrapText="1"/>
    </xf>
    <xf numFmtId="0" fontId="65" fillId="0" borderId="0" xfId="7707" applyFont="1" applyAlignment="1">
      <alignment vertical="center" wrapText="1"/>
    </xf>
    <xf numFmtId="0" fontId="65" fillId="40" borderId="99" xfId="7707" applyFont="1" applyFill="1" applyBorder="1" applyAlignment="1">
      <alignment horizontal="right" vertical="center" wrapText="1"/>
    </xf>
    <xf numFmtId="0" fontId="76" fillId="40" borderId="87" xfId="7707" applyFont="1" applyFill="1" applyBorder="1" applyAlignment="1">
      <alignment horizontal="center" vertical="top" wrapText="1"/>
    </xf>
    <xf numFmtId="39" fontId="65" fillId="40" borderId="87" xfId="9372" applyNumberFormat="1" applyFont="1" applyFill="1" applyBorder="1" applyAlignment="1">
      <alignment horizontal="center" vertical="center"/>
    </xf>
    <xf numFmtId="4" fontId="65" fillId="40" borderId="87" xfId="7707" applyNumberFormat="1" applyFont="1" applyFill="1" applyBorder="1" applyAlignment="1">
      <alignment horizontal="center" vertical="center" wrapText="1"/>
    </xf>
    <xf numFmtId="167" fontId="65" fillId="40" borderId="87" xfId="9372" applyFont="1" applyFill="1" applyBorder="1" applyAlignment="1">
      <alignment horizontal="center" vertical="center" wrapText="1"/>
    </xf>
    <xf numFmtId="167" fontId="65" fillId="40" borderId="87" xfId="9372" applyFont="1" applyFill="1" applyBorder="1" applyAlignment="1">
      <alignment horizontal="right" vertical="center" wrapText="1"/>
    </xf>
    <xf numFmtId="167" fontId="65" fillId="40" borderId="100" xfId="9372" applyFont="1" applyFill="1" applyBorder="1" applyAlignment="1">
      <alignment horizontal="right" vertical="center" wrapText="1"/>
    </xf>
    <xf numFmtId="164" fontId="65" fillId="0" borderId="0" xfId="7707" applyNumberFormat="1" applyFont="1" applyFill="1" applyAlignment="1">
      <alignment vertical="center" wrapText="1"/>
    </xf>
    <xf numFmtId="0" fontId="65" fillId="0" borderId="0" xfId="7707" applyFont="1" applyFill="1" applyAlignment="1">
      <alignment vertical="center" wrapText="1"/>
    </xf>
    <xf numFmtId="0" fontId="62" fillId="0" borderId="99" xfId="7707" applyFont="1" applyBorder="1" applyAlignment="1">
      <alignment horizontal="right" vertical="center" wrapText="1"/>
    </xf>
    <xf numFmtId="0" fontId="68" fillId="0" borderId="87" xfId="7707" applyFont="1" applyBorder="1" applyAlignment="1">
      <alignment horizontal="center" vertical="center" wrapText="1"/>
    </xf>
    <xf numFmtId="39" fontId="62" fillId="0" borderId="87" xfId="9372" applyNumberFormat="1" applyFont="1" applyFill="1" applyBorder="1" applyAlignment="1">
      <alignment horizontal="center" vertical="center"/>
    </xf>
    <xf numFmtId="4" fontId="62" fillId="0" borderId="87" xfId="7707" applyNumberFormat="1" applyFont="1" applyBorder="1" applyAlignment="1">
      <alignment horizontal="center" vertical="center" wrapText="1"/>
    </xf>
    <xf numFmtId="3" fontId="62" fillId="0" borderId="87" xfId="7707" applyNumberFormat="1" applyFont="1" applyBorder="1" applyAlignment="1">
      <alignment horizontal="center" vertical="center" wrapText="1"/>
    </xf>
    <xf numFmtId="4" fontId="62" fillId="0" borderId="87" xfId="7707" applyNumberFormat="1" applyFont="1" applyBorder="1" applyAlignment="1">
      <alignment horizontal="right" vertical="center" wrapText="1"/>
    </xf>
    <xf numFmtId="167" fontId="62" fillId="0" borderId="87" xfId="9372" applyFont="1" applyBorder="1" applyAlignment="1">
      <alignment horizontal="right" vertical="center" wrapText="1"/>
    </xf>
    <xf numFmtId="167" fontId="79" fillId="0" borderId="87" xfId="9372" applyFont="1" applyBorder="1" applyAlignment="1">
      <alignment horizontal="right" vertical="center" wrapText="1"/>
    </xf>
    <xf numFmtId="167" fontId="79" fillId="0" borderId="100" xfId="9372" applyFont="1" applyBorder="1" applyAlignment="1">
      <alignment horizontal="right" vertical="center" wrapText="1"/>
    </xf>
    <xf numFmtId="164" fontId="62" fillId="0" borderId="0" xfId="7707" applyNumberFormat="1" applyFont="1" applyFill="1" applyAlignment="1">
      <alignment vertical="center" wrapText="1"/>
    </xf>
    <xf numFmtId="0" fontId="62" fillId="0" borderId="0" xfId="7707" applyFont="1" applyFill="1" applyAlignment="1">
      <alignment vertical="center" wrapText="1"/>
    </xf>
    <xf numFmtId="4" fontId="62" fillId="0" borderId="87" xfId="7707" applyNumberFormat="1" applyFont="1" applyBorder="1" applyAlignment="1">
      <alignment vertical="center" wrapText="1"/>
    </xf>
    <xf numFmtId="167" fontId="62" fillId="0" borderId="87" xfId="9372" applyFont="1" applyBorder="1" applyAlignment="1">
      <alignment vertical="center" wrapText="1"/>
    </xf>
    <xf numFmtId="167" fontId="74" fillId="0" borderId="87" xfId="9372" applyFont="1" applyBorder="1" applyAlignment="1">
      <alignment horizontal="right" vertical="center" wrapText="1"/>
    </xf>
    <xf numFmtId="167" fontId="74" fillId="0" borderId="100" xfId="9372" applyFont="1" applyBorder="1" applyAlignment="1">
      <alignment horizontal="right" vertical="center" wrapText="1"/>
    </xf>
    <xf numFmtId="0" fontId="76" fillId="0" borderId="0" xfId="7707" applyFont="1" applyAlignment="1">
      <alignment horizontal="center" vertical="center"/>
    </xf>
    <xf numFmtId="167" fontId="76" fillId="0" borderId="0" xfId="7707" applyNumberFormat="1" applyFont="1" applyAlignment="1">
      <alignment horizontal="center" vertical="center"/>
    </xf>
    <xf numFmtId="16" fontId="62" fillId="0" borderId="0" xfId="7707" applyNumberFormat="1" applyFont="1" applyAlignment="1">
      <alignment horizontal="center" vertical="center"/>
    </xf>
    <xf numFmtId="4" fontId="62" fillId="0" borderId="0" xfId="7707" applyNumberFormat="1" applyFont="1" applyAlignment="1">
      <alignment horizontal="center" vertical="center"/>
    </xf>
    <xf numFmtId="15" fontId="62" fillId="0" borderId="0" xfId="7707" applyNumberFormat="1" applyFont="1" applyAlignment="1">
      <alignment horizontal="center" vertical="center"/>
    </xf>
    <xf numFmtId="0" fontId="76" fillId="40" borderId="87" xfId="7707" applyFont="1" applyFill="1" applyBorder="1" applyAlignment="1">
      <alignment horizontal="left" vertical="center"/>
    </xf>
    <xf numFmtId="0" fontId="68" fillId="0" borderId="87" xfId="7707" applyFont="1" applyBorder="1" applyAlignment="1">
      <alignment horizontal="left" vertical="center"/>
    </xf>
    <xf numFmtId="4" fontId="62" fillId="0" borderId="87" xfId="7707" applyNumberFormat="1" applyFont="1" applyFill="1" applyBorder="1" applyAlignment="1">
      <alignment horizontal="center" vertical="center" wrapText="1"/>
    </xf>
    <xf numFmtId="182" fontId="76" fillId="9" borderId="78" xfId="0" applyFont="1" applyFill="1" applyBorder="1" applyAlignment="1">
      <alignment vertical="center"/>
    </xf>
    <xf numFmtId="182" fontId="68" fillId="11" borderId="49" xfId="0" applyFont="1" applyFill="1" applyBorder="1" applyAlignment="1">
      <alignment vertical="distributed"/>
    </xf>
    <xf numFmtId="182" fontId="68" fillId="11" borderId="73" xfId="0" applyFont="1" applyFill="1" applyBorder="1" applyAlignment="1">
      <alignment vertical="distributed"/>
    </xf>
    <xf numFmtId="182" fontId="68" fillId="0" borderId="73" xfId="0" applyFont="1" applyFill="1" applyBorder="1" applyAlignment="1">
      <alignment vertical="distributed"/>
    </xf>
    <xf numFmtId="182" fontId="0" fillId="0" borderId="0" xfId="0" applyFont="1"/>
    <xf numFmtId="164" fontId="68" fillId="0" borderId="40" xfId="3" applyNumberFormat="1" applyFont="1" applyFill="1" applyBorder="1" applyAlignment="1">
      <alignment vertical="center"/>
    </xf>
    <xf numFmtId="164" fontId="68" fillId="0" borderId="40" xfId="3" applyNumberFormat="1" applyFont="1" applyFill="1" applyBorder="1" applyAlignment="1">
      <alignment horizontal="left" vertical="center" indent="1"/>
    </xf>
    <xf numFmtId="164" fontId="68" fillId="0" borderId="39" xfId="0" applyNumberFormat="1" applyFont="1" applyBorder="1" applyAlignment="1">
      <alignment horizontal="center" vertical="center" wrapText="1"/>
    </xf>
    <xf numFmtId="0" fontId="65" fillId="36" borderId="20" xfId="4807" applyFont="1" applyFill="1" applyBorder="1" applyAlignment="1">
      <alignment horizontal="center" vertical="center" wrapText="1"/>
    </xf>
    <xf numFmtId="2" fontId="0" fillId="0" borderId="75" xfId="0" applyNumberFormat="1" applyBorder="1"/>
    <xf numFmtId="0" fontId="62" fillId="0" borderId="0" xfId="9373"/>
    <xf numFmtId="188" fontId="155" fillId="37" borderId="89" xfId="9373" applyNumberFormat="1" applyFont="1" applyFill="1" applyBorder="1"/>
    <xf numFmtId="186" fontId="65" fillId="37" borderId="93" xfId="4807" applyNumberFormat="1" applyFont="1" applyFill="1" applyBorder="1" applyAlignment="1">
      <alignment horizontal="right" vertical="center"/>
    </xf>
    <xf numFmtId="0" fontId="65" fillId="37" borderId="93" xfId="4807" applyFont="1" applyFill="1" applyBorder="1" applyAlignment="1">
      <alignment vertical="center"/>
    </xf>
    <xf numFmtId="0" fontId="65" fillId="37" borderId="88" xfId="4807" applyFont="1" applyFill="1" applyBorder="1" applyAlignment="1">
      <alignment horizontal="center" vertical="center"/>
    </xf>
    <xf numFmtId="0" fontId="65" fillId="0" borderId="0" xfId="4807" applyFont="1" applyAlignment="1">
      <alignment horizontal="center" vertical="center"/>
    </xf>
    <xf numFmtId="2" fontId="65" fillId="0" borderId="0" xfId="4807" applyNumberFormat="1" applyFont="1" applyAlignment="1">
      <alignment horizontal="center" vertical="center"/>
    </xf>
    <xf numFmtId="186" fontId="65" fillId="0" borderId="0" xfId="4807" applyNumberFormat="1" applyFont="1" applyAlignment="1">
      <alignment horizontal="right" vertical="center"/>
    </xf>
    <xf numFmtId="0" fontId="65" fillId="0" borderId="0" xfId="4807" applyFont="1" applyAlignment="1">
      <alignment vertical="center"/>
    </xf>
    <xf numFmtId="187" fontId="155" fillId="0" borderId="87" xfId="9373" applyNumberFormat="1" applyFont="1" applyBorder="1"/>
    <xf numFmtId="186" fontId="65" fillId="0" borderId="89" xfId="4807" applyNumberFormat="1" applyFont="1" applyBorder="1" applyAlignment="1">
      <alignment horizontal="right" vertical="center"/>
    </xf>
    <xf numFmtId="0" fontId="65" fillId="0" borderId="88" xfId="4807" applyFont="1" applyBorder="1" applyAlignment="1">
      <alignment vertical="center"/>
    </xf>
    <xf numFmtId="0" fontId="65" fillId="0" borderId="34" xfId="4807" applyFont="1" applyBorder="1" applyAlignment="1">
      <alignment vertical="center"/>
    </xf>
    <xf numFmtId="0" fontId="62" fillId="4" borderId="0" xfId="9373" applyFill="1"/>
    <xf numFmtId="194" fontId="62" fillId="4" borderId="0" xfId="9373" applyNumberFormat="1" applyFill="1"/>
    <xf numFmtId="176" fontId="62" fillId="0" borderId="87" xfId="4807" applyNumberFormat="1" applyBorder="1" applyAlignment="1">
      <alignment horizontal="center" vertical="center"/>
    </xf>
    <xf numFmtId="9" fontId="62" fillId="0" borderId="87" xfId="9374" applyFont="1" applyFill="1" applyBorder="1" applyAlignment="1">
      <alignment horizontal="center" vertical="center"/>
    </xf>
    <xf numFmtId="2" fontId="62" fillId="0" borderId="87" xfId="4807" applyNumberFormat="1" applyBorder="1" applyAlignment="1">
      <alignment horizontal="center" vertical="center"/>
    </xf>
    <xf numFmtId="0" fontId="62" fillId="0" borderId="87" xfId="4807" applyBorder="1" applyAlignment="1">
      <alignment horizontal="center" vertical="center"/>
    </xf>
    <xf numFmtId="0" fontId="62" fillId="0" borderId="87" xfId="4807" applyBorder="1" applyAlignment="1">
      <alignment horizontal="left" vertical="center"/>
    </xf>
    <xf numFmtId="0" fontId="62" fillId="0" borderId="87" xfId="4807" quotePrefix="1" applyBorder="1" applyAlignment="1">
      <alignment horizontal="center" vertical="center"/>
    </xf>
    <xf numFmtId="0" fontId="62" fillId="0" borderId="0" xfId="9373" applyAlignment="1">
      <alignment horizontal="center" vertical="center" wrapText="1"/>
    </xf>
    <xf numFmtId="0" fontId="65" fillId="36" borderId="101" xfId="4807" applyFont="1" applyFill="1" applyBorder="1" applyAlignment="1">
      <alignment horizontal="center" vertical="center" wrapText="1"/>
    </xf>
    <xf numFmtId="0" fontId="64" fillId="0" borderId="0" xfId="9373" applyFont="1" applyAlignment="1">
      <alignment horizontal="centerContinuous"/>
    </xf>
    <xf numFmtId="0" fontId="62" fillId="0" borderId="0" xfId="9373" applyAlignment="1">
      <alignment horizontal="left"/>
    </xf>
    <xf numFmtId="0" fontId="62" fillId="0" borderId="0" xfId="9373" applyAlignment="1">
      <alignment horizontal="centerContinuous"/>
    </xf>
    <xf numFmtId="0" fontId="62" fillId="0" borderId="0" xfId="9373" applyAlignment="1">
      <alignment horizontal="right"/>
    </xf>
    <xf numFmtId="1" fontId="64" fillId="0" borderId="0" xfId="9373" applyNumberFormat="1" applyFont="1" applyAlignment="1">
      <alignment horizontal="centerContinuous"/>
    </xf>
    <xf numFmtId="1" fontId="62" fillId="0" borderId="0" xfId="9373" applyNumberFormat="1"/>
    <xf numFmtId="14" fontId="65" fillId="0" borderId="0" xfId="9373" applyNumberFormat="1" applyFont="1" applyAlignment="1">
      <alignment horizontal="left"/>
    </xf>
    <xf numFmtId="1" fontId="65" fillId="0" borderId="0" xfId="9373" applyNumberFormat="1" applyFont="1"/>
    <xf numFmtId="0" fontId="65" fillId="4" borderId="0" xfId="9373" applyFont="1" applyFill="1"/>
    <xf numFmtId="176" fontId="65" fillId="4" borderId="87" xfId="4807" applyNumberFormat="1" applyFont="1" applyFill="1" applyBorder="1" applyAlignment="1">
      <alignment horizontal="center" vertical="center"/>
    </xf>
    <xf numFmtId="186" fontId="65" fillId="4" borderId="87" xfId="4807" applyNumberFormat="1" applyFont="1" applyFill="1" applyBorder="1" applyAlignment="1">
      <alignment horizontal="center" vertical="center"/>
    </xf>
    <xf numFmtId="9" fontId="65" fillId="4" borderId="87" xfId="9374" applyFont="1" applyFill="1" applyBorder="1" applyAlignment="1">
      <alignment horizontal="center" vertical="center"/>
    </xf>
    <xf numFmtId="2" fontId="65" fillId="4" borderId="87" xfId="4807" applyNumberFormat="1" applyFont="1" applyFill="1" applyBorder="1" applyAlignment="1">
      <alignment horizontal="center" vertical="center"/>
    </xf>
    <xf numFmtId="0" fontId="65" fillId="4" borderId="87" xfId="4807" applyFont="1" applyFill="1" applyBorder="1" applyAlignment="1">
      <alignment horizontal="center" vertical="center"/>
    </xf>
    <xf numFmtId="0" fontId="65" fillId="4" borderId="87" xfId="4807" applyFont="1" applyFill="1" applyBorder="1" applyAlignment="1">
      <alignment horizontal="left" vertical="center"/>
    </xf>
    <xf numFmtId="0" fontId="65" fillId="4" borderId="87" xfId="4807" quotePrefix="1" applyFont="1" applyFill="1" applyBorder="1" applyAlignment="1">
      <alignment horizontal="center" vertical="center"/>
    </xf>
    <xf numFmtId="176" fontId="62" fillId="4" borderId="87" xfId="4807" applyNumberFormat="1" applyFill="1" applyBorder="1" applyAlignment="1">
      <alignment horizontal="center" vertical="center"/>
    </xf>
    <xf numFmtId="186" fontId="62" fillId="4" borderId="87" xfId="4807" applyNumberFormat="1" applyFill="1" applyBorder="1" applyAlignment="1">
      <alignment horizontal="center" vertical="center"/>
    </xf>
    <xf numFmtId="9" fontId="62" fillId="4" borderId="87" xfId="9374" applyFont="1" applyFill="1" applyBorder="1" applyAlignment="1">
      <alignment horizontal="center" vertical="center"/>
    </xf>
    <xf numFmtId="2" fontId="62" fillId="4" borderId="87" xfId="4807" applyNumberFormat="1" applyFill="1" applyBorder="1" applyAlignment="1">
      <alignment horizontal="center" vertical="center"/>
    </xf>
    <xf numFmtId="0" fontId="62" fillId="4" borderId="87" xfId="4807" applyFill="1" applyBorder="1" applyAlignment="1">
      <alignment horizontal="center" vertical="center"/>
    </xf>
    <xf numFmtId="0" fontId="62" fillId="4" borderId="87" xfId="4807" applyFill="1" applyBorder="1" applyAlignment="1">
      <alignment horizontal="left" vertical="center"/>
    </xf>
    <xf numFmtId="0" fontId="62" fillId="4" borderId="87" xfId="4807" quotePrefix="1" applyFill="1" applyBorder="1" applyAlignment="1">
      <alignment horizontal="center" vertical="center"/>
    </xf>
    <xf numFmtId="186" fontId="62" fillId="4" borderId="0" xfId="9373" applyNumberFormat="1" applyFill="1"/>
    <xf numFmtId="2" fontId="62" fillId="0" borderId="75" xfId="0" applyNumberFormat="1" applyFont="1" applyBorder="1"/>
    <xf numFmtId="182" fontId="68" fillId="0" borderId="49" xfId="0" applyFont="1" applyFill="1" applyBorder="1" applyAlignment="1">
      <alignment vertical="distributed"/>
    </xf>
    <xf numFmtId="9" fontId="127" fillId="0" borderId="0" xfId="11" applyFont="1"/>
    <xf numFmtId="194" fontId="62" fillId="0" borderId="0" xfId="9373" applyNumberFormat="1"/>
    <xf numFmtId="0" fontId="65" fillId="46" borderId="33" xfId="0" applyNumberFormat="1" applyFont="1" applyFill="1" applyBorder="1"/>
    <xf numFmtId="2" fontId="0" fillId="0" borderId="87" xfId="3" applyNumberFormat="1" applyFont="1" applyBorder="1"/>
    <xf numFmtId="2" fontId="0" fillId="0" borderId="87" xfId="0" applyNumberFormat="1" applyBorder="1"/>
    <xf numFmtId="191" fontId="62" fillId="0" borderId="88" xfId="3" applyNumberFormat="1" applyFont="1" applyBorder="1" applyAlignment="1">
      <alignment horizontal="center" vertical="center"/>
    </xf>
    <xf numFmtId="182" fontId="62" fillId="0" borderId="93" xfId="0" applyFont="1" applyFill="1" applyBorder="1"/>
    <xf numFmtId="182" fontId="0" fillId="0" borderId="0" xfId="0"/>
    <xf numFmtId="182" fontId="62" fillId="0" borderId="0" xfId="0" applyFont="1"/>
    <xf numFmtId="182" fontId="65" fillId="0" borderId="0" xfId="0" applyFont="1"/>
    <xf numFmtId="182" fontId="62" fillId="0" borderId="0" xfId="0" applyFont="1" applyFill="1"/>
    <xf numFmtId="2" fontId="0" fillId="0" borderId="87" xfId="0" applyNumberFormat="1" applyBorder="1"/>
    <xf numFmtId="182" fontId="0" fillId="0" borderId="87" xfId="0" applyBorder="1"/>
    <xf numFmtId="0" fontId="127" fillId="0" borderId="0" xfId="0" applyNumberFormat="1" applyFont="1" applyFill="1"/>
    <xf numFmtId="0" fontId="127" fillId="0" borderId="0" xfId="0" applyNumberFormat="1" applyFont="1" applyFill="1" applyAlignment="1">
      <alignment horizontal="center"/>
    </xf>
    <xf numFmtId="2" fontId="127" fillId="0" borderId="0" xfId="0" applyNumberFormat="1" applyFont="1" applyFill="1"/>
    <xf numFmtId="0" fontId="127" fillId="0" borderId="0" xfId="0" applyNumberFormat="1" applyFont="1" applyFill="1" applyAlignment="1">
      <alignment horizontal="right"/>
    </xf>
    <xf numFmtId="2" fontId="127" fillId="0" borderId="20" xfId="0" applyNumberFormat="1" applyFont="1" applyFill="1" applyBorder="1" applyAlignment="1">
      <alignment horizontal="center"/>
    </xf>
    <xf numFmtId="0" fontId="127" fillId="0" borderId="87" xfId="0" applyNumberFormat="1" applyFont="1" applyFill="1" applyBorder="1" applyAlignment="1">
      <alignment horizontal="center"/>
    </xf>
    <xf numFmtId="0" fontId="127" fillId="0" borderId="34" xfId="0" applyNumberFormat="1" applyFont="1" applyFill="1" applyBorder="1"/>
    <xf numFmtId="193" fontId="62" fillId="0" borderId="0" xfId="0" applyNumberFormat="1" applyFont="1" applyFill="1" applyAlignment="1">
      <alignment horizontal="right"/>
    </xf>
    <xf numFmtId="182" fontId="62" fillId="0" borderId="0" xfId="0" applyFont="1" applyFill="1" applyAlignment="1">
      <alignment horizontal="center"/>
    </xf>
    <xf numFmtId="4" fontId="62" fillId="0" borderId="0" xfId="0" applyNumberFormat="1" applyFont="1" applyFill="1"/>
    <xf numFmtId="185" fontId="127" fillId="0" borderId="20" xfId="0" applyNumberFormat="1" applyFont="1" applyFill="1" applyBorder="1"/>
    <xf numFmtId="0" fontId="144" fillId="0" borderId="87" xfId="0" applyNumberFormat="1" applyFont="1" applyFill="1" applyBorder="1" applyAlignment="1">
      <alignment horizontal="right"/>
    </xf>
    <xf numFmtId="182" fontId="162" fillId="43" borderId="0" xfId="0" applyFont="1" applyFill="1" applyAlignment="1">
      <alignment horizontal="center" vertical="center" wrapText="1"/>
    </xf>
    <xf numFmtId="4" fontId="162" fillId="43" borderId="0" xfId="0" applyNumberFormat="1" applyFont="1" applyFill="1" applyAlignment="1">
      <alignment horizontal="center" vertical="center" wrapText="1"/>
    </xf>
    <xf numFmtId="1" fontId="162" fillId="43" borderId="0" xfId="0" applyNumberFormat="1" applyFont="1" applyFill="1" applyAlignment="1">
      <alignment horizontal="right" vertical="center" wrapText="1"/>
    </xf>
    <xf numFmtId="14" fontId="162" fillId="43" borderId="0" xfId="0" applyNumberFormat="1" applyFont="1" applyFill="1" applyAlignment="1">
      <alignment horizontal="center" vertical="center" wrapText="1"/>
    </xf>
    <xf numFmtId="2" fontId="162" fillId="43" borderId="0" xfId="0" applyNumberFormat="1" applyFont="1" applyFill="1" applyAlignment="1">
      <alignment horizontal="center" vertical="center" wrapText="1"/>
    </xf>
    <xf numFmtId="182" fontId="162" fillId="50" borderId="0" xfId="0" applyFont="1" applyFill="1" applyAlignment="1">
      <alignment horizontal="right"/>
    </xf>
    <xf numFmtId="4" fontId="65" fillId="0" borderId="0" xfId="0" applyNumberFormat="1" applyFont="1"/>
    <xf numFmtId="182" fontId="0" fillId="0" borderId="0" xfId="0" applyAlignment="1">
      <alignment horizontal="center" vertical="center"/>
    </xf>
    <xf numFmtId="1" fontId="0" fillId="0" borderId="0" xfId="3" applyNumberFormat="1" applyFont="1" applyAlignment="1">
      <alignment horizontal="center" vertical="center"/>
    </xf>
    <xf numFmtId="2" fontId="0" fillId="0" borderId="0" xfId="3" applyNumberFormat="1" applyFont="1" applyAlignment="1">
      <alignment horizontal="center" vertical="center"/>
    </xf>
    <xf numFmtId="3" fontId="134" fillId="11" borderId="8" xfId="4804" applyNumberFormat="1" applyFont="1" applyFill="1" applyBorder="1" applyAlignment="1">
      <alignment horizontal="center" vertical="center"/>
    </xf>
    <xf numFmtId="4" fontId="134" fillId="11" borderId="8" xfId="4804" applyNumberFormat="1" applyFont="1" applyFill="1" applyBorder="1" applyAlignment="1">
      <alignment horizontal="center" vertical="center"/>
    </xf>
    <xf numFmtId="0" fontId="65" fillId="0" borderId="7" xfId="9373" applyFont="1" applyBorder="1" applyAlignment="1">
      <alignment vertical="center"/>
    </xf>
    <xf numFmtId="0" fontId="65" fillId="0" borderId="5" xfId="9373" applyFont="1" applyBorder="1" applyAlignment="1">
      <alignment vertical="center"/>
    </xf>
    <xf numFmtId="0" fontId="170" fillId="0" borderId="0" xfId="9373" applyFont="1"/>
    <xf numFmtId="2" fontId="170" fillId="0" borderId="0" xfId="9373" applyNumberFormat="1" applyFont="1"/>
    <xf numFmtId="1" fontId="68" fillId="11" borderId="0" xfId="9373" applyNumberFormat="1" applyFont="1" applyFill="1" applyAlignment="1">
      <alignment vertical="center"/>
    </xf>
    <xf numFmtId="182" fontId="62" fillId="51" borderId="0" xfId="0" applyFont="1" applyFill="1"/>
    <xf numFmtId="182" fontId="62" fillId="0" borderId="0" xfId="0" applyFont="1" applyAlignment="1">
      <alignment horizontal="center" vertical="center"/>
    </xf>
    <xf numFmtId="0" fontId="171" fillId="0" borderId="88" xfId="0" applyNumberFormat="1" applyFont="1" applyFill="1" applyBorder="1"/>
    <xf numFmtId="0" fontId="172" fillId="0" borderId="88" xfId="0" applyNumberFormat="1" applyFont="1" applyFill="1" applyBorder="1"/>
    <xf numFmtId="0" fontId="171" fillId="0" borderId="0" xfId="0" applyNumberFormat="1" applyFont="1" applyFill="1" applyBorder="1"/>
    <xf numFmtId="182" fontId="0" fillId="11" borderId="0" xfId="0" applyFill="1"/>
    <xf numFmtId="0" fontId="9" fillId="0" borderId="0" xfId="36675"/>
    <xf numFmtId="4" fontId="170" fillId="0" borderId="0" xfId="36676" applyNumberFormat="1" applyFont="1" applyAlignment="1">
      <alignment horizontal="center" vertical="center"/>
    </xf>
    <xf numFmtId="0" fontId="173" fillId="0" borderId="101" xfId="36675" applyFont="1" applyBorder="1"/>
    <xf numFmtId="0" fontId="173" fillId="0" borderId="75" xfId="36675" applyFont="1" applyBorder="1"/>
    <xf numFmtId="2" fontId="9" fillId="0" borderId="0" xfId="36675" applyNumberFormat="1"/>
    <xf numFmtId="0" fontId="173" fillId="0" borderId="20" xfId="36675" applyFont="1" applyBorder="1"/>
    <xf numFmtId="1" fontId="9" fillId="0" borderId="0" xfId="36675" applyNumberFormat="1"/>
    <xf numFmtId="0" fontId="153" fillId="0" borderId="0" xfId="36675" applyFont="1"/>
    <xf numFmtId="0" fontId="153" fillId="52" borderId="33" xfId="36675" applyFont="1" applyFill="1" applyBorder="1" applyAlignment="1">
      <alignment horizontal="center" vertical="center" wrapText="1"/>
    </xf>
    <xf numFmtId="0" fontId="174" fillId="52" borderId="33" xfId="36675" applyFont="1" applyFill="1" applyBorder="1" applyAlignment="1">
      <alignment horizontal="center" vertical="center" wrapText="1"/>
    </xf>
    <xf numFmtId="0" fontId="9" fillId="11" borderId="116" xfId="36675" applyFill="1" applyBorder="1"/>
    <xf numFmtId="43" fontId="0" fillId="11" borderId="115" xfId="36677" applyFont="1" applyFill="1" applyBorder="1" applyAlignment="1">
      <alignment horizontal="center" vertical="center"/>
    </xf>
    <xf numFmtId="43" fontId="0" fillId="4" borderId="121" xfId="36677" applyFont="1" applyFill="1" applyBorder="1" applyAlignment="1">
      <alignment horizontal="center" vertical="center"/>
    </xf>
    <xf numFmtId="1" fontId="0" fillId="0" borderId="0" xfId="3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65" fillId="0" borderId="0" xfId="0" applyNumberFormat="1" applyFont="1" applyAlignment="1">
      <alignment horizontal="center"/>
    </xf>
    <xf numFmtId="192" fontId="76" fillId="9" borderId="77" xfId="0" applyNumberFormat="1" applyFont="1" applyFill="1" applyBorder="1" applyAlignment="1">
      <alignment horizontal="right" vertical="center"/>
    </xf>
    <xf numFmtId="191" fontId="76" fillId="9" borderId="79" xfId="0" applyNumberFormat="1" applyFont="1" applyFill="1" applyBorder="1" applyAlignment="1">
      <alignment vertical="center"/>
    </xf>
    <xf numFmtId="4" fontId="68" fillId="0" borderId="45" xfId="0" applyNumberFormat="1" applyFont="1" applyFill="1" applyBorder="1" applyAlignment="1">
      <alignment horizontal="right" vertical="center" wrapText="1"/>
    </xf>
    <xf numFmtId="182" fontId="68" fillId="0" borderId="39" xfId="0" applyFont="1" applyFill="1" applyBorder="1" applyAlignment="1">
      <alignment horizontal="left" vertical="center" wrapText="1"/>
    </xf>
    <xf numFmtId="182" fontId="68" fillId="0" borderId="39" xfId="0" applyFont="1" applyFill="1" applyBorder="1" applyAlignment="1">
      <alignment horizontal="center" vertical="center" wrapText="1"/>
    </xf>
    <xf numFmtId="195" fontId="68" fillId="0" borderId="40" xfId="3" applyNumberFormat="1" applyFont="1" applyFill="1" applyBorder="1" applyAlignment="1">
      <alignment horizontal="left" vertical="center" indent="1"/>
    </xf>
    <xf numFmtId="0" fontId="9" fillId="53" borderId="0" xfId="36675" applyFill="1"/>
    <xf numFmtId="0" fontId="7" fillId="0" borderId="0" xfId="36675" applyFont="1" applyAlignment="1">
      <alignment horizontal="right"/>
    </xf>
    <xf numFmtId="0" fontId="9" fillId="0" borderId="0" xfId="36675" applyAlignment="1">
      <alignment horizontal="left"/>
    </xf>
    <xf numFmtId="0" fontId="7" fillId="0" borderId="42" xfId="36675" applyFont="1" applyBorder="1" applyAlignment="1">
      <alignment horizontal="right"/>
    </xf>
    <xf numFmtId="0" fontId="9" fillId="0" borderId="42" xfId="36675" applyBorder="1" applyAlignment="1">
      <alignment horizontal="left"/>
    </xf>
    <xf numFmtId="0" fontId="9" fillId="53" borderId="0" xfId="36675" applyFill="1" applyAlignment="1">
      <alignment horizontal="left"/>
    </xf>
    <xf numFmtId="2" fontId="153" fillId="0" borderId="0" xfId="36675" applyNumberFormat="1" applyFont="1"/>
    <xf numFmtId="2" fontId="62" fillId="0" borderId="0" xfId="0" applyNumberFormat="1" applyFont="1" applyFill="1" applyAlignment="1">
      <alignment horizontal="centerContinuous"/>
    </xf>
    <xf numFmtId="14" fontId="0" fillId="0" borderId="0" xfId="0" applyNumberFormat="1" applyAlignment="1">
      <alignment horizontal="center"/>
    </xf>
    <xf numFmtId="2" fontId="68" fillId="0" borderId="39" xfId="0" applyNumberFormat="1" applyFont="1" applyBorder="1" applyAlignment="1">
      <alignment horizontal="center" vertical="center" wrapText="1"/>
    </xf>
    <xf numFmtId="0" fontId="177" fillId="0" borderId="94" xfId="3154" applyFont="1" applyBorder="1" applyAlignment="1">
      <alignment vertical="center"/>
    </xf>
    <xf numFmtId="0" fontId="177" fillId="0" borderId="34" xfId="3154" applyFont="1" applyBorder="1" applyAlignment="1">
      <alignment vertical="center"/>
    </xf>
    <xf numFmtId="0" fontId="177" fillId="0" borderId="95" xfId="3154" applyFont="1" applyBorder="1" applyAlignment="1">
      <alignment vertical="center"/>
    </xf>
    <xf numFmtId="0" fontId="62" fillId="0" borderId="0" xfId="3154"/>
    <xf numFmtId="9" fontId="62" fillId="0" borderId="0" xfId="3154" applyNumberFormat="1"/>
    <xf numFmtId="0" fontId="177" fillId="0" borderId="16" xfId="3154" applyFont="1" applyBorder="1" applyAlignment="1">
      <alignment vertical="center"/>
    </xf>
    <xf numFmtId="0" fontId="74" fillId="0" borderId="0" xfId="3154" applyFont="1" applyAlignment="1">
      <alignment horizontal="left"/>
    </xf>
    <xf numFmtId="0" fontId="74" fillId="0" borderId="0" xfId="3154" applyFont="1"/>
    <xf numFmtId="0" fontId="177" fillId="0" borderId="98" xfId="3154" applyFont="1" applyBorder="1" applyAlignment="1">
      <alignment vertical="center"/>
    </xf>
    <xf numFmtId="0" fontId="177" fillId="0" borderId="42" xfId="3154" applyFont="1" applyBorder="1" applyAlignment="1">
      <alignment vertical="center"/>
    </xf>
    <xf numFmtId="0" fontId="177" fillId="0" borderId="53" xfId="3154" applyFont="1" applyBorder="1" applyAlignment="1">
      <alignment vertical="center"/>
    </xf>
    <xf numFmtId="0" fontId="74" fillId="0" borderId="0" xfId="3154" applyFont="1" applyAlignment="1">
      <alignment horizontal="center"/>
    </xf>
    <xf numFmtId="0" fontId="177" fillId="0" borderId="0" xfId="3154" applyNumberFormat="1" applyFont="1" applyBorder="1" applyAlignment="1">
      <alignment horizontal="center" vertical="center"/>
    </xf>
    <xf numFmtId="0" fontId="137" fillId="0" borderId="0" xfId="3154" applyFont="1" applyBorder="1" applyAlignment="1">
      <alignment horizontal="center" vertical="center"/>
    </xf>
    <xf numFmtId="0" fontId="177" fillId="0" borderId="0" xfId="3154" applyFont="1" applyBorder="1" applyAlignment="1">
      <alignment vertical="center"/>
    </xf>
    <xf numFmtId="2" fontId="74" fillId="0" borderId="0" xfId="3154" applyNumberFormat="1" applyFont="1" applyAlignment="1">
      <alignment horizontal="center"/>
    </xf>
    <xf numFmtId="9" fontId="74" fillId="0" borderId="0" xfId="3154" applyNumberFormat="1" applyFont="1"/>
    <xf numFmtId="2" fontId="74" fillId="0" borderId="0" xfId="3154" applyNumberFormat="1" applyFont="1"/>
    <xf numFmtId="0" fontId="177" fillId="0" borderId="0" xfId="3154" applyNumberFormat="1" applyFont="1" applyAlignment="1">
      <alignment horizontal="left" vertical="center"/>
    </xf>
    <xf numFmtId="0" fontId="177" fillId="0" borderId="0" xfId="3154" applyFont="1" applyAlignment="1">
      <alignment vertical="center"/>
    </xf>
    <xf numFmtId="0" fontId="179" fillId="56" borderId="87" xfId="3154" applyFont="1" applyFill="1" applyBorder="1" applyAlignment="1">
      <alignment horizontal="center" vertical="center"/>
    </xf>
    <xf numFmtId="0" fontId="179" fillId="56" borderId="88" xfId="3154" applyFont="1" applyFill="1" applyBorder="1" applyAlignment="1">
      <alignment horizontal="center" vertical="center"/>
    </xf>
    <xf numFmtId="0" fontId="179" fillId="56" borderId="89" xfId="3154" applyFont="1" applyFill="1" applyBorder="1" applyAlignment="1">
      <alignment horizontal="center" vertical="center"/>
    </xf>
    <xf numFmtId="16" fontId="180" fillId="0" borderId="87" xfId="3154" applyNumberFormat="1" applyFont="1" applyBorder="1" applyAlignment="1">
      <alignment horizontal="center" vertical="center"/>
    </xf>
    <xf numFmtId="0" fontId="180" fillId="0" borderId="87" xfId="3154" applyFont="1" applyBorder="1" applyAlignment="1">
      <alignment horizontal="center" vertical="center"/>
    </xf>
    <xf numFmtId="0" fontId="176" fillId="11" borderId="87" xfId="36682" applyFont="1" applyFill="1" applyBorder="1" applyAlignment="1">
      <alignment horizontal="center" vertical="center"/>
    </xf>
    <xf numFmtId="16" fontId="180" fillId="0" borderId="87" xfId="3154" applyNumberFormat="1" applyFont="1" applyBorder="1" applyAlignment="1">
      <alignment horizontal="left" vertical="center"/>
    </xf>
    <xf numFmtId="16" fontId="180" fillId="0" borderId="87" xfId="3154" applyNumberFormat="1" applyFont="1" applyBorder="1" applyAlignment="1">
      <alignment vertical="center"/>
    </xf>
    <xf numFmtId="0" fontId="180" fillId="0" borderId="88" xfId="3154" applyFont="1" applyBorder="1" applyAlignment="1">
      <alignment horizontal="center" vertical="center"/>
    </xf>
    <xf numFmtId="0" fontId="180" fillId="0" borderId="87" xfId="3154" applyFont="1" applyBorder="1" applyAlignment="1">
      <alignment horizontal="center" vertical="center" wrapText="1"/>
    </xf>
    <xf numFmtId="189" fontId="180" fillId="0" borderId="87" xfId="3154" applyNumberFormat="1" applyFont="1" applyFill="1" applyBorder="1" applyAlignment="1">
      <alignment horizontal="center" vertical="center"/>
    </xf>
    <xf numFmtId="0" fontId="177" fillId="49" borderId="0" xfId="3154" applyFont="1" applyFill="1"/>
    <xf numFmtId="16" fontId="180" fillId="57" borderId="87" xfId="3154" applyNumberFormat="1" applyFont="1" applyFill="1" applyBorder="1" applyAlignment="1">
      <alignment horizontal="center" vertical="center"/>
    </xf>
    <xf numFmtId="0" fontId="180" fillId="57" borderId="87" xfId="3154" applyFont="1" applyFill="1" applyBorder="1" applyAlignment="1">
      <alignment horizontal="center" vertical="center"/>
    </xf>
    <xf numFmtId="0" fontId="176" fillId="57" borderId="87" xfId="36682" applyFont="1" applyFill="1" applyBorder="1" applyAlignment="1">
      <alignment horizontal="center" vertical="center"/>
    </xf>
    <xf numFmtId="16" fontId="180" fillId="57" borderId="87" xfId="3154" applyNumberFormat="1" applyFont="1" applyFill="1" applyBorder="1" applyAlignment="1">
      <alignment horizontal="left" vertical="center"/>
    </xf>
    <xf numFmtId="16" fontId="180" fillId="57" borderId="87" xfId="3154" applyNumberFormat="1" applyFont="1" applyFill="1" applyBorder="1" applyAlignment="1">
      <alignment vertical="center"/>
    </xf>
    <xf numFmtId="0" fontId="180" fillId="57" borderId="88" xfId="3154" applyFont="1" applyFill="1" applyBorder="1" applyAlignment="1">
      <alignment horizontal="center" vertical="center"/>
    </xf>
    <xf numFmtId="189" fontId="180" fillId="57" borderId="87" xfId="3154" applyNumberFormat="1" applyFont="1" applyFill="1" applyBorder="1" applyAlignment="1">
      <alignment horizontal="center" vertical="center"/>
    </xf>
    <xf numFmtId="0" fontId="180" fillId="57" borderId="87" xfId="3154" applyFont="1" applyFill="1" applyBorder="1" applyAlignment="1">
      <alignment horizontal="center" vertical="center" wrapText="1"/>
    </xf>
    <xf numFmtId="16" fontId="180" fillId="0" borderId="87" xfId="3154" applyNumberFormat="1" applyFont="1" applyFill="1" applyBorder="1" applyAlignment="1">
      <alignment horizontal="center" vertical="center"/>
    </xf>
    <xf numFmtId="0" fontId="180" fillId="0" borderId="87" xfId="3154" applyFont="1" applyFill="1" applyBorder="1" applyAlignment="1">
      <alignment horizontal="center" vertical="center"/>
    </xf>
    <xf numFmtId="0" fontId="176" fillId="0" borderId="87" xfId="36682" applyFont="1" applyFill="1" applyBorder="1" applyAlignment="1">
      <alignment horizontal="center" vertical="center"/>
    </xf>
    <xf numFmtId="16" fontId="180" fillId="0" borderId="87" xfId="3154" applyNumberFormat="1" applyFont="1" applyFill="1" applyBorder="1" applyAlignment="1">
      <alignment horizontal="left" vertical="center"/>
    </xf>
    <xf numFmtId="16" fontId="180" fillId="0" borderId="87" xfId="3154" applyNumberFormat="1" applyFont="1" applyFill="1" applyBorder="1" applyAlignment="1">
      <alignment vertical="center"/>
    </xf>
    <xf numFmtId="0" fontId="180" fillId="0" borderId="88" xfId="3154" applyFont="1" applyFill="1" applyBorder="1" applyAlignment="1">
      <alignment horizontal="center" vertical="center"/>
    </xf>
    <xf numFmtId="0" fontId="180" fillId="0" borderId="87" xfId="3154" applyFont="1" applyFill="1" applyBorder="1" applyAlignment="1">
      <alignment horizontal="center" vertical="center" wrapText="1"/>
    </xf>
    <xf numFmtId="189" fontId="180" fillId="0" borderId="87" xfId="3154" applyNumberFormat="1" applyFont="1" applyBorder="1" applyAlignment="1">
      <alignment horizontal="center" vertical="center"/>
    </xf>
    <xf numFmtId="2" fontId="180" fillId="0" borderId="87" xfId="3154" applyNumberFormat="1" applyFont="1" applyBorder="1" applyAlignment="1">
      <alignment horizontal="center" vertical="center"/>
    </xf>
    <xf numFmtId="1" fontId="180" fillId="57" borderId="87" xfId="3154" applyNumberFormat="1" applyFont="1" applyFill="1" applyBorder="1" applyAlignment="1">
      <alignment horizontal="center" vertical="center"/>
    </xf>
    <xf numFmtId="16" fontId="180" fillId="57" borderId="88" xfId="3154" applyNumberFormat="1" applyFont="1" applyFill="1" applyBorder="1" applyAlignment="1">
      <alignment horizontal="left" vertical="center"/>
    </xf>
    <xf numFmtId="16" fontId="180" fillId="57" borderId="89" xfId="3154" applyNumberFormat="1" applyFont="1" applyFill="1" applyBorder="1" applyAlignment="1">
      <alignment horizontal="center" vertical="center"/>
    </xf>
    <xf numFmtId="16" fontId="180" fillId="0" borderId="88" xfId="3154" applyNumberFormat="1" applyFont="1" applyBorder="1" applyAlignment="1">
      <alignment horizontal="left" vertical="center"/>
    </xf>
    <xf numFmtId="16" fontId="180" fillId="0" borderId="89" xfId="3154" applyNumberFormat="1" applyFont="1" applyBorder="1" applyAlignment="1">
      <alignment horizontal="center" vertical="center"/>
    </xf>
    <xf numFmtId="16" fontId="180" fillId="0" borderId="89" xfId="3154" applyNumberFormat="1" applyFont="1" applyBorder="1" applyAlignment="1">
      <alignment vertical="center"/>
    </xf>
    <xf numFmtId="2" fontId="0" fillId="0" borderId="0" xfId="36683" applyNumberFormat="1" applyFont="1"/>
    <xf numFmtId="0" fontId="181" fillId="58" borderId="88" xfId="3154" applyFont="1" applyFill="1" applyBorder="1" applyAlignment="1">
      <alignment horizontal="left" vertical="center" indent="1"/>
    </xf>
    <xf numFmtId="0" fontId="65" fillId="58" borderId="93" xfId="3154" applyFont="1" applyFill="1" applyBorder="1"/>
    <xf numFmtId="4" fontId="181" fillId="58" borderId="87" xfId="3154" applyNumberFormat="1" applyFont="1" applyFill="1" applyBorder="1" applyAlignment="1">
      <alignment horizontal="center" vertical="center"/>
    </xf>
    <xf numFmtId="4" fontId="62" fillId="0" borderId="0" xfId="3154" applyNumberFormat="1"/>
    <xf numFmtId="4" fontId="74" fillId="0" borderId="0" xfId="3154" applyNumberFormat="1" applyFont="1"/>
    <xf numFmtId="16" fontId="182" fillId="0" borderId="87" xfId="3154" applyNumberFormat="1" applyFont="1" applyBorder="1" applyAlignment="1">
      <alignment horizontal="center" vertical="center"/>
    </xf>
    <xf numFmtId="0" fontId="182" fillId="0" borderId="87" xfId="3154" applyFont="1" applyBorder="1" applyAlignment="1">
      <alignment horizontal="center" vertical="center"/>
    </xf>
    <xf numFmtId="0" fontId="182" fillId="11" borderId="87" xfId="36682" applyFont="1" applyFill="1" applyBorder="1" applyAlignment="1">
      <alignment horizontal="center" vertical="center"/>
    </xf>
    <xf numFmtId="16" fontId="182" fillId="0" borderId="87" xfId="3154" applyNumberFormat="1" applyFont="1" applyBorder="1" applyAlignment="1">
      <alignment horizontal="left" vertical="center"/>
    </xf>
    <xf numFmtId="16" fontId="182" fillId="0" borderId="87" xfId="3154" applyNumberFormat="1" applyFont="1" applyBorder="1" applyAlignment="1">
      <alignment vertical="center"/>
    </xf>
    <xf numFmtId="0" fontId="182" fillId="0" borderId="88" xfId="3154" applyFont="1" applyBorder="1" applyAlignment="1">
      <alignment horizontal="center" vertical="center"/>
    </xf>
    <xf numFmtId="0" fontId="182" fillId="0" borderId="87" xfId="3154" applyFont="1" applyBorder="1" applyAlignment="1">
      <alignment horizontal="center" vertical="center" wrapText="1"/>
    </xf>
    <xf numFmtId="189" fontId="182" fillId="0" borderId="87" xfId="3154" applyNumberFormat="1" applyFont="1" applyBorder="1" applyAlignment="1">
      <alignment horizontal="center" vertical="center"/>
    </xf>
    <xf numFmtId="2" fontId="182" fillId="0" borderId="87" xfId="3154" applyNumberFormat="1" applyFont="1" applyBorder="1" applyAlignment="1">
      <alignment horizontal="center" vertical="center"/>
    </xf>
    <xf numFmtId="16" fontId="180" fillId="37" borderId="87" xfId="3154" applyNumberFormat="1" applyFont="1" applyFill="1" applyBorder="1" applyAlignment="1">
      <alignment horizontal="center" vertical="center"/>
    </xf>
    <xf numFmtId="0" fontId="180" fillId="37" borderId="87" xfId="3154" applyFont="1" applyFill="1" applyBorder="1" applyAlignment="1">
      <alignment horizontal="center" vertical="center"/>
    </xf>
    <xf numFmtId="0" fontId="176" fillId="37" borderId="87" xfId="36682" applyFont="1" applyFill="1" applyBorder="1" applyAlignment="1">
      <alignment horizontal="center" vertical="center"/>
    </xf>
    <xf numFmtId="16" fontId="180" fillId="37" borderId="87" xfId="3154" applyNumberFormat="1" applyFont="1" applyFill="1" applyBorder="1" applyAlignment="1">
      <alignment horizontal="left" vertical="center"/>
    </xf>
    <xf numFmtId="16" fontId="180" fillId="37" borderId="87" xfId="3154" applyNumberFormat="1" applyFont="1" applyFill="1" applyBorder="1" applyAlignment="1">
      <alignment vertical="center"/>
    </xf>
    <xf numFmtId="0" fontId="180" fillId="37" borderId="88" xfId="3154" applyFont="1" applyFill="1" applyBorder="1" applyAlignment="1">
      <alignment horizontal="center" vertical="center"/>
    </xf>
    <xf numFmtId="0" fontId="180" fillId="37" borderId="87" xfId="3154" applyFont="1" applyFill="1" applyBorder="1" applyAlignment="1">
      <alignment horizontal="center" vertical="center" wrapText="1"/>
    </xf>
    <xf numFmtId="189" fontId="180" fillId="37" borderId="87" xfId="3154" applyNumberFormat="1" applyFont="1" applyFill="1" applyBorder="1" applyAlignment="1">
      <alignment horizontal="center" vertical="center"/>
    </xf>
    <xf numFmtId="2" fontId="180" fillId="37" borderId="87" xfId="3154" applyNumberFormat="1" applyFont="1" applyFill="1" applyBorder="1" applyAlignment="1">
      <alignment horizontal="center" vertical="center"/>
    </xf>
    <xf numFmtId="16" fontId="180" fillId="55" borderId="87" xfId="3154" applyNumberFormat="1" applyFont="1" applyFill="1" applyBorder="1" applyAlignment="1">
      <alignment horizontal="center" vertical="center"/>
    </xf>
    <xf numFmtId="0" fontId="180" fillId="55" borderId="87" xfId="3154" applyFont="1" applyFill="1" applyBorder="1" applyAlignment="1">
      <alignment horizontal="center" vertical="center"/>
    </xf>
    <xf numFmtId="0" fontId="176" fillId="55" borderId="87" xfId="36682" applyFont="1" applyFill="1" applyBorder="1" applyAlignment="1">
      <alignment horizontal="center" vertical="center"/>
    </xf>
    <xf numFmtId="16" fontId="180" fillId="55" borderId="87" xfId="3154" applyNumberFormat="1" applyFont="1" applyFill="1" applyBorder="1" applyAlignment="1">
      <alignment horizontal="left" vertical="center"/>
    </xf>
    <xf numFmtId="16" fontId="180" fillId="55" borderId="87" xfId="3154" applyNumberFormat="1" applyFont="1" applyFill="1" applyBorder="1" applyAlignment="1">
      <alignment vertical="center"/>
    </xf>
    <xf numFmtId="0" fontId="180" fillId="55" borderId="88" xfId="3154" applyFont="1" applyFill="1" applyBorder="1" applyAlignment="1">
      <alignment horizontal="center" vertical="center"/>
    </xf>
    <xf numFmtId="0" fontId="180" fillId="55" borderId="87" xfId="3154" applyFont="1" applyFill="1" applyBorder="1" applyAlignment="1">
      <alignment horizontal="center" vertical="center" wrapText="1"/>
    </xf>
    <xf numFmtId="189" fontId="180" fillId="55" borderId="87" xfId="3154" applyNumberFormat="1" applyFont="1" applyFill="1" applyBorder="1" applyAlignment="1">
      <alignment horizontal="center" vertical="center"/>
    </xf>
    <xf numFmtId="2" fontId="180" fillId="55" borderId="87" xfId="3154" applyNumberFormat="1" applyFont="1" applyFill="1" applyBorder="1" applyAlignment="1">
      <alignment horizontal="center" vertical="center"/>
    </xf>
    <xf numFmtId="176" fontId="127" fillId="0" borderId="101" xfId="0" applyNumberFormat="1" applyFont="1" applyFill="1" applyBorder="1"/>
    <xf numFmtId="2" fontId="127" fillId="0" borderId="101" xfId="0" applyNumberFormat="1" applyFont="1" applyFill="1" applyBorder="1" applyAlignment="1">
      <alignment horizontal="center"/>
    </xf>
    <xf numFmtId="0" fontId="139" fillId="0" borderId="0" xfId="0" applyNumberFormat="1" applyFont="1" applyFill="1" applyAlignment="1">
      <alignment vertical="top"/>
    </xf>
    <xf numFmtId="14" fontId="139" fillId="0" borderId="0" xfId="0" applyNumberFormat="1" applyFont="1" applyFill="1" applyAlignment="1">
      <alignment vertical="top"/>
    </xf>
    <xf numFmtId="182" fontId="62" fillId="0" borderId="16" xfId="0" applyFont="1" applyFill="1" applyBorder="1" applyAlignment="1">
      <alignment horizontal="center"/>
    </xf>
    <xf numFmtId="182" fontId="62" fillId="0" borderId="76" xfId="0" applyFont="1" applyFill="1" applyBorder="1"/>
    <xf numFmtId="182" fontId="62" fillId="0" borderId="76" xfId="0" applyFont="1" applyFill="1" applyBorder="1" applyAlignment="1">
      <alignment horizontal="center"/>
    </xf>
    <xf numFmtId="182" fontId="62" fillId="0" borderId="16" xfId="0" applyFont="1" applyFill="1" applyBorder="1"/>
    <xf numFmtId="2" fontId="171" fillId="0" borderId="0" xfId="0" applyNumberFormat="1" applyFont="1" applyFill="1" applyBorder="1" applyAlignment="1"/>
    <xf numFmtId="198" fontId="76" fillId="9" borderId="77" xfId="0" applyNumberFormat="1" applyFont="1" applyFill="1" applyBorder="1" applyAlignment="1">
      <alignment horizontal="right" vertical="center"/>
    </xf>
    <xf numFmtId="182" fontId="183" fillId="0" borderId="0" xfId="0" applyFont="1"/>
    <xf numFmtId="2" fontId="184" fillId="0" borderId="0" xfId="0" applyNumberFormat="1" applyFont="1" applyFill="1" applyBorder="1" applyAlignment="1">
      <alignment horizontal="center"/>
    </xf>
    <xf numFmtId="2" fontId="183" fillId="0" borderId="0" xfId="0" applyNumberFormat="1" applyFont="1" applyFill="1"/>
    <xf numFmtId="2" fontId="183" fillId="0" borderId="0" xfId="0" applyNumberFormat="1" applyFont="1" applyFill="1" applyBorder="1"/>
    <xf numFmtId="182" fontId="0" fillId="59" borderId="0" xfId="0" applyFill="1"/>
    <xf numFmtId="2" fontId="65" fillId="59" borderId="0" xfId="3" applyNumberFormat="1" applyFont="1" applyFill="1" applyAlignment="1">
      <alignment horizontal="center" vertical="center"/>
    </xf>
    <xf numFmtId="182" fontId="162" fillId="50" borderId="0" xfId="0" applyFont="1" applyFill="1" applyAlignment="1">
      <alignment horizontal="left" vertical="center"/>
    </xf>
    <xf numFmtId="2" fontId="162" fillId="50" borderId="0" xfId="0" applyNumberFormat="1" applyFont="1" applyFill="1" applyAlignment="1">
      <alignment vertical="center"/>
    </xf>
    <xf numFmtId="2" fontId="0" fillId="0" borderId="0" xfId="0" applyNumberFormat="1" applyAlignment="1">
      <alignment horizontal="right" vertical="center"/>
    </xf>
    <xf numFmtId="2" fontId="162" fillId="50" borderId="0" xfId="0" applyNumberFormat="1" applyFont="1" applyFill="1" applyAlignment="1">
      <alignment horizontal="right" vertical="center"/>
    </xf>
    <xf numFmtId="182" fontId="162" fillId="50" borderId="0" xfId="0" applyFont="1" applyFill="1" applyAlignment="1">
      <alignment horizontal="center" vertical="center"/>
    </xf>
    <xf numFmtId="4" fontId="162" fillId="50" borderId="0" xfId="0" applyNumberFormat="1" applyFont="1" applyFill="1" applyAlignment="1">
      <alignment vertical="center"/>
    </xf>
    <xf numFmtId="4" fontId="162" fillId="50" borderId="0" xfId="0" applyNumberFormat="1" applyFont="1" applyFill="1" applyAlignment="1">
      <alignment horizontal="right" vertical="center"/>
    </xf>
    <xf numFmtId="1" fontId="162" fillId="50" borderId="0" xfId="0" applyNumberFormat="1" applyFont="1" applyFill="1" applyAlignment="1">
      <alignment horizontal="right" vertical="center"/>
    </xf>
    <xf numFmtId="41" fontId="162" fillId="50" borderId="0" xfId="0" applyNumberFormat="1" applyFont="1" applyFill="1" applyAlignment="1">
      <alignment vertical="center"/>
    </xf>
    <xf numFmtId="14" fontId="162" fillId="50" borderId="0" xfId="0" applyNumberFormat="1" applyFont="1" applyFill="1" applyAlignment="1">
      <alignment horizontal="center" vertical="center"/>
    </xf>
    <xf numFmtId="2" fontId="161" fillId="50" borderId="0" xfId="0" applyNumberFormat="1" applyFont="1" applyFill="1" applyAlignment="1">
      <alignment horizontal="right" vertical="center" wrapText="1"/>
    </xf>
    <xf numFmtId="182" fontId="0" fillId="0" borderId="0" xfId="0" applyAlignment="1">
      <alignment horizontal="left" vertical="center"/>
    </xf>
    <xf numFmtId="167" fontId="0" fillId="0" borderId="0" xfId="3" applyFont="1" applyAlignment="1">
      <alignment vertical="center"/>
    </xf>
    <xf numFmtId="14" fontId="0" fillId="0" borderId="0" xfId="0" applyNumberFormat="1" applyAlignment="1">
      <alignment horizontal="center" vertical="center"/>
    </xf>
    <xf numFmtId="182" fontId="79" fillId="0" borderId="0" xfId="0" applyFont="1" applyAlignment="1">
      <alignment vertical="center" wrapText="1"/>
    </xf>
    <xf numFmtId="182" fontId="0" fillId="0" borderId="0" xfId="0" applyAlignment="1">
      <alignment vertical="center"/>
    </xf>
    <xf numFmtId="182" fontId="0" fillId="59" borderId="0" xfId="0" applyFill="1" applyAlignment="1">
      <alignment horizontal="left" vertical="center"/>
    </xf>
    <xf numFmtId="182" fontId="0" fillId="59" borderId="0" xfId="0" applyFill="1" applyAlignment="1">
      <alignment vertical="center"/>
    </xf>
    <xf numFmtId="14" fontId="0" fillId="59" borderId="0" xfId="0" applyNumberFormat="1" applyFill="1" applyAlignment="1">
      <alignment horizontal="center" vertical="center"/>
    </xf>
    <xf numFmtId="2" fontId="68" fillId="0" borderId="40" xfId="0" applyNumberFormat="1" applyFont="1" applyBorder="1" applyAlignment="1">
      <alignment horizontal="center" vertical="center" wrapText="1"/>
    </xf>
    <xf numFmtId="2" fontId="127" fillId="4" borderId="0" xfId="0" applyNumberFormat="1" applyFont="1" applyFill="1" applyAlignment="1">
      <alignment horizontal="right"/>
    </xf>
    <xf numFmtId="182" fontId="65" fillId="0" borderId="16" xfId="0" applyFont="1" applyFill="1" applyBorder="1" applyAlignment="1">
      <alignment horizontal="center"/>
    </xf>
    <xf numFmtId="4" fontId="64" fillId="0" borderId="0" xfId="0" applyNumberFormat="1" applyFont="1" applyFill="1" applyBorder="1"/>
    <xf numFmtId="182" fontId="65" fillId="0" borderId="0" xfId="0" applyFont="1" applyFill="1" applyBorder="1"/>
    <xf numFmtId="182" fontId="65" fillId="0" borderId="76" xfId="0" applyFont="1" applyFill="1" applyBorder="1"/>
    <xf numFmtId="4" fontId="64" fillId="0" borderId="16" xfId="0" applyNumberFormat="1" applyFont="1" applyFill="1" applyBorder="1"/>
    <xf numFmtId="4" fontId="64" fillId="0" borderId="76" xfId="0" applyNumberFormat="1" applyFont="1" applyFill="1" applyBorder="1"/>
    <xf numFmtId="182" fontId="62" fillId="0" borderId="88" xfId="0" applyFont="1" applyFill="1" applyBorder="1" applyAlignment="1">
      <alignment horizontal="center"/>
    </xf>
    <xf numFmtId="182" fontId="62" fillId="0" borderId="98" xfId="0" applyFont="1" applyFill="1" applyBorder="1" applyAlignment="1">
      <alignment horizontal="center"/>
    </xf>
    <xf numFmtId="4" fontId="62" fillId="0" borderId="42" xfId="0" applyNumberFormat="1" applyFont="1" applyFill="1" applyBorder="1"/>
    <xf numFmtId="182" fontId="62" fillId="0" borderId="42" xfId="0" applyFont="1" applyFill="1" applyBorder="1"/>
    <xf numFmtId="182" fontId="62" fillId="0" borderId="42" xfId="0" applyFont="1" applyFill="1" applyBorder="1" applyAlignment="1">
      <alignment horizontal="center"/>
    </xf>
    <xf numFmtId="182" fontId="62" fillId="0" borderId="53" xfId="0" applyFont="1" applyFill="1" applyBorder="1" applyAlignment="1">
      <alignment horizontal="center"/>
    </xf>
    <xf numFmtId="182" fontId="62" fillId="0" borderId="98" xfId="0" applyFont="1" applyFill="1" applyBorder="1"/>
    <xf numFmtId="182" fontId="62" fillId="0" borderId="53" xfId="0" applyFont="1" applyFill="1" applyBorder="1"/>
    <xf numFmtId="2" fontId="180" fillId="0" borderId="123" xfId="71" applyNumberFormat="1" applyFont="1" applyBorder="1" applyAlignment="1">
      <alignment horizontal="center" vertical="center"/>
    </xf>
    <xf numFmtId="182" fontId="144" fillId="0" borderId="87" xfId="0" applyFont="1" applyBorder="1" applyAlignment="1">
      <alignment horizontal="right"/>
    </xf>
    <xf numFmtId="2" fontId="127" fillId="0" borderId="20" xfId="0" applyNumberFormat="1" applyFont="1" applyBorder="1" applyAlignment="1">
      <alignment horizontal="center"/>
    </xf>
    <xf numFmtId="2" fontId="127" fillId="0" borderId="101" xfId="0" applyNumberFormat="1" applyFont="1" applyBorder="1" applyAlignment="1">
      <alignment horizontal="center"/>
    </xf>
    <xf numFmtId="2" fontId="127" fillId="0" borderId="20" xfId="81" applyNumberFormat="1" applyFont="1" applyBorder="1" applyAlignment="1">
      <alignment horizontal="center"/>
    </xf>
    <xf numFmtId="2" fontId="139" fillId="61" borderId="88" xfId="0" applyNumberFormat="1" applyFont="1" applyFill="1" applyBorder="1" applyAlignment="1">
      <alignment horizontal="left"/>
    </xf>
    <xf numFmtId="0" fontId="139" fillId="61" borderId="93" xfId="0" applyNumberFormat="1" applyFont="1" applyFill="1" applyBorder="1" applyAlignment="1"/>
    <xf numFmtId="2" fontId="139" fillId="61" borderId="93" xfId="0" applyNumberFormat="1" applyFont="1" applyFill="1" applyBorder="1" applyAlignment="1"/>
    <xf numFmtId="2" fontId="139" fillId="61" borderId="93" xfId="0" applyNumberFormat="1" applyFont="1" applyFill="1" applyBorder="1"/>
    <xf numFmtId="2" fontId="139" fillId="61" borderId="89" xfId="0" applyNumberFormat="1" applyFont="1" applyFill="1" applyBorder="1" applyAlignment="1">
      <alignment horizontal="center"/>
    </xf>
    <xf numFmtId="182" fontId="145" fillId="0" borderId="0" xfId="81" applyFont="1" applyAlignment="1">
      <alignment vertical="center"/>
    </xf>
    <xf numFmtId="4" fontId="145" fillId="0" borderId="0" xfId="81" applyNumberFormat="1" applyFont="1" applyAlignment="1">
      <alignment vertical="center"/>
    </xf>
    <xf numFmtId="182" fontId="145" fillId="0" borderId="0" xfId="6" applyFont="1" applyAlignment="1">
      <alignment vertical="center"/>
    </xf>
    <xf numFmtId="4" fontId="145" fillId="0" borderId="0" xfId="6" applyNumberFormat="1" applyFont="1" applyAlignment="1">
      <alignment vertical="center"/>
    </xf>
    <xf numFmtId="182" fontId="62" fillId="0" borderId="0" xfId="81"/>
    <xf numFmtId="182" fontId="62" fillId="0" borderId="0" xfId="81" applyAlignment="1">
      <alignment horizontal="right"/>
    </xf>
    <xf numFmtId="2" fontId="65" fillId="46" borderId="33" xfId="81" applyNumberFormat="1" applyFont="1" applyFill="1" applyBorder="1"/>
    <xf numFmtId="0" fontId="62" fillId="0" borderId="0" xfId="81" applyNumberFormat="1"/>
    <xf numFmtId="1" fontId="65" fillId="0" borderId="0" xfId="81" applyNumberFormat="1" applyFont="1"/>
    <xf numFmtId="182" fontId="133" fillId="0" borderId="0" xfId="6" applyFont="1" applyAlignment="1">
      <alignment vertical="center"/>
    </xf>
    <xf numFmtId="1" fontId="145" fillId="0" borderId="0" xfId="81" applyNumberFormat="1" applyFont="1" applyAlignment="1">
      <alignment vertical="center"/>
    </xf>
    <xf numFmtId="14" fontId="133" fillId="0" borderId="0" xfId="6" applyNumberFormat="1" applyFont="1" applyAlignment="1">
      <alignment horizontal="left" vertical="center"/>
    </xf>
    <xf numFmtId="182" fontId="148" fillId="0" borderId="0" xfId="81" applyFont="1" applyAlignment="1">
      <alignment vertical="center"/>
    </xf>
    <xf numFmtId="4" fontId="148" fillId="0" borderId="0" xfId="81" applyNumberFormat="1" applyFont="1" applyAlignment="1">
      <alignment vertical="center"/>
    </xf>
    <xf numFmtId="182" fontId="145" fillId="0" borderId="0" xfId="81" applyFont="1" applyAlignment="1">
      <alignment vertical="center" wrapText="1"/>
    </xf>
    <xf numFmtId="4" fontId="147" fillId="0" borderId="0" xfId="6" applyNumberFormat="1" applyFont="1" applyAlignment="1">
      <alignment vertical="center"/>
    </xf>
    <xf numFmtId="182" fontId="147" fillId="0" borderId="0" xfId="6" applyFont="1" applyAlignment="1">
      <alignment vertical="center"/>
    </xf>
    <xf numFmtId="182" fontId="147" fillId="0" borderId="0" xfId="6" applyFont="1" applyAlignment="1">
      <alignment horizontal="right" vertical="center"/>
    </xf>
    <xf numFmtId="4" fontId="147" fillId="0" borderId="0" xfId="6" applyNumberFormat="1" applyFont="1" applyAlignment="1">
      <alignment horizontal="center" vertical="center"/>
    </xf>
    <xf numFmtId="182" fontId="149" fillId="0" borderId="0" xfId="81" applyFont="1" applyAlignment="1">
      <alignment vertical="center"/>
    </xf>
    <xf numFmtId="182" fontId="133" fillId="36" borderId="2" xfId="81" applyFont="1" applyFill="1" applyBorder="1" applyAlignment="1">
      <alignment horizontal="center" vertical="center" wrapText="1"/>
    </xf>
    <xf numFmtId="4" fontId="133" fillId="36" borderId="2" xfId="81" applyNumberFormat="1" applyFont="1" applyFill="1" applyBorder="1" applyAlignment="1">
      <alignment horizontal="centerContinuous" vertical="center" wrapText="1"/>
    </xf>
    <xf numFmtId="182" fontId="133" fillId="36" borderId="9" xfId="81" applyFont="1" applyFill="1" applyBorder="1" applyAlignment="1">
      <alignment horizontal="centerContinuous" vertical="center" wrapText="1"/>
    </xf>
    <xf numFmtId="182" fontId="133" fillId="36" borderId="2" xfId="6" applyFont="1" applyFill="1" applyBorder="1" applyAlignment="1">
      <alignment horizontal="center" vertical="center"/>
    </xf>
    <xf numFmtId="182" fontId="134" fillId="0" borderId="0" xfId="6" applyFont="1" applyAlignment="1">
      <alignment vertical="center"/>
    </xf>
    <xf numFmtId="182" fontId="133" fillId="11" borderId="50" xfId="6" applyFont="1" applyFill="1" applyBorder="1" applyAlignment="1">
      <alignment horizontal="center" vertical="center" wrapText="1"/>
    </xf>
    <xf numFmtId="4" fontId="133" fillId="11" borderId="51" xfId="6" applyNumberFormat="1" applyFont="1" applyFill="1" applyBorder="1" applyAlignment="1">
      <alignment horizontal="center" vertical="center" wrapText="1"/>
    </xf>
    <xf numFmtId="182" fontId="133" fillId="11" borderId="52" xfId="6" applyFont="1" applyFill="1" applyBorder="1" applyAlignment="1">
      <alignment horizontal="center" vertical="center" wrapText="1"/>
    </xf>
    <xf numFmtId="182" fontId="133" fillId="11" borderId="52" xfId="6" applyFont="1" applyFill="1" applyBorder="1" applyAlignment="1">
      <alignment horizontal="center" vertical="center"/>
    </xf>
    <xf numFmtId="4" fontId="134" fillId="11" borderId="52" xfId="6" applyNumberFormat="1" applyFont="1" applyFill="1" applyBorder="1" applyAlignment="1">
      <alignment vertical="center"/>
    </xf>
    <xf numFmtId="182" fontId="133" fillId="11" borderId="18" xfId="6" applyFont="1" applyFill="1" applyBorder="1" applyAlignment="1">
      <alignment horizontal="center" vertical="center"/>
    </xf>
    <xf numFmtId="4" fontId="133" fillId="11" borderId="0" xfId="6" applyNumberFormat="1" applyFont="1" applyFill="1" applyAlignment="1">
      <alignment horizontal="center" vertical="center"/>
    </xf>
    <xf numFmtId="182" fontId="148" fillId="11" borderId="8" xfId="6" applyFont="1" applyFill="1" applyBorder="1" applyAlignment="1">
      <alignment horizontal="left" vertical="center" wrapText="1"/>
    </xf>
    <xf numFmtId="182" fontId="133" fillId="11" borderId="8" xfId="6" applyFont="1" applyFill="1" applyBorder="1" applyAlignment="1">
      <alignment horizontal="center" vertical="center"/>
    </xf>
    <xf numFmtId="4" fontId="133" fillId="11" borderId="18" xfId="6" applyNumberFormat="1" applyFont="1" applyFill="1" applyBorder="1" applyAlignment="1">
      <alignment horizontal="center" vertical="center"/>
    </xf>
    <xf numFmtId="182" fontId="134" fillId="11" borderId="7" xfId="6" applyFont="1" applyFill="1" applyBorder="1" applyAlignment="1">
      <alignment horizontal="center" vertical="center"/>
    </xf>
    <xf numFmtId="4" fontId="134" fillId="11" borderId="7" xfId="6" applyNumberFormat="1" applyFont="1" applyFill="1" applyBorder="1" applyAlignment="1">
      <alignment horizontal="center" vertical="center"/>
    </xf>
    <xf numFmtId="182" fontId="134" fillId="11" borderId="0" xfId="6" applyFont="1" applyFill="1" applyAlignment="1">
      <alignment vertical="center" wrapText="1"/>
    </xf>
    <xf numFmtId="4" fontId="134" fillId="11" borderId="18" xfId="6" applyNumberFormat="1" applyFont="1" applyFill="1" applyBorder="1" applyAlignment="1">
      <alignment vertical="center"/>
    </xf>
    <xf numFmtId="182" fontId="134" fillId="11" borderId="5" xfId="6" applyFont="1" applyFill="1" applyBorder="1" applyAlignment="1">
      <alignment horizontal="center" vertical="center"/>
    </xf>
    <xf numFmtId="4" fontId="134" fillId="11" borderId="5" xfId="6" applyNumberFormat="1" applyFont="1" applyFill="1" applyBorder="1" applyAlignment="1">
      <alignment horizontal="center" vertical="center"/>
    </xf>
    <xf numFmtId="182" fontId="134" fillId="11" borderId="12" xfId="6" applyFont="1" applyFill="1" applyBorder="1" applyAlignment="1">
      <alignment vertical="center" wrapText="1"/>
    </xf>
    <xf numFmtId="182" fontId="134" fillId="11" borderId="19" xfId="6" applyFont="1" applyFill="1" applyBorder="1" applyAlignment="1">
      <alignment horizontal="center" vertical="center"/>
    </xf>
    <xf numFmtId="4" fontId="134" fillId="11" borderId="19" xfId="6" applyNumberFormat="1" applyFont="1" applyFill="1" applyBorder="1" applyAlignment="1">
      <alignment vertical="center"/>
    </xf>
    <xf numFmtId="4" fontId="134" fillId="11" borderId="0" xfId="6" applyNumberFormat="1" applyFont="1" applyFill="1" applyAlignment="1">
      <alignment horizontal="center" vertical="center"/>
    </xf>
    <xf numFmtId="182" fontId="134" fillId="11" borderId="8" xfId="6" applyFont="1" applyFill="1" applyBorder="1" applyAlignment="1">
      <alignment vertical="center" wrapText="1"/>
    </xf>
    <xf numFmtId="4" fontId="134" fillId="11" borderId="8" xfId="6" applyNumberFormat="1" applyFont="1" applyFill="1" applyBorder="1" applyAlignment="1">
      <alignment vertical="center"/>
    </xf>
    <xf numFmtId="182" fontId="134" fillId="2" borderId="0" xfId="6" applyFont="1" applyFill="1" applyAlignment="1">
      <alignment vertical="center"/>
    </xf>
    <xf numFmtId="182" fontId="133" fillId="0" borderId="2" xfId="6" applyFont="1" applyBorder="1" applyAlignment="1">
      <alignment vertical="center"/>
    </xf>
    <xf numFmtId="4" fontId="133" fillId="0" borderId="2" xfId="6" applyNumberFormat="1" applyFont="1" applyBorder="1" applyAlignment="1">
      <alignment vertical="center"/>
    </xf>
    <xf numFmtId="182" fontId="133" fillId="0" borderId="3" xfId="6" applyFont="1" applyBorder="1" applyAlignment="1">
      <alignment vertical="center" wrapText="1"/>
    </xf>
    <xf numFmtId="182" fontId="133" fillId="0" borderId="3" xfId="6" applyFont="1" applyBorder="1" applyAlignment="1">
      <alignment vertical="center"/>
    </xf>
    <xf numFmtId="4" fontId="133" fillId="0" borderId="3" xfId="6" applyNumberFormat="1" applyFont="1" applyBorder="1" applyAlignment="1">
      <alignment vertical="center"/>
    </xf>
    <xf numFmtId="4" fontId="133" fillId="0" borderId="3" xfId="6" applyNumberFormat="1" applyFont="1" applyBorder="1" applyAlignment="1">
      <alignment horizontal="right" vertical="center"/>
    </xf>
    <xf numFmtId="4" fontId="133" fillId="0" borderId="33" xfId="36688" applyNumberFormat="1" applyFont="1" applyFill="1" applyBorder="1" applyAlignment="1">
      <alignment horizontal="center" vertical="center"/>
    </xf>
    <xf numFmtId="182" fontId="134" fillId="0" borderId="0" xfId="6" applyFont="1" applyAlignment="1">
      <alignment horizontal="center" vertical="center"/>
    </xf>
    <xf numFmtId="4" fontId="134" fillId="0" borderId="0" xfId="6" applyNumberFormat="1" applyFont="1" applyAlignment="1">
      <alignment horizontal="center" vertical="center"/>
    </xf>
    <xf numFmtId="182" fontId="134" fillId="0" borderId="0" xfId="6" applyFont="1" applyAlignment="1">
      <alignment vertical="center" wrapText="1"/>
    </xf>
    <xf numFmtId="182" fontId="133" fillId="11" borderId="4" xfId="6" applyFont="1" applyFill="1" applyBorder="1" applyAlignment="1">
      <alignment horizontal="center" vertical="center" wrapText="1"/>
    </xf>
    <xf numFmtId="4" fontId="133" fillId="11" borderId="4" xfId="6" applyNumberFormat="1" applyFont="1" applyFill="1" applyBorder="1" applyAlignment="1">
      <alignment horizontal="center" vertical="center" wrapText="1"/>
    </xf>
    <xf numFmtId="182" fontId="133" fillId="11" borderId="51" xfId="6" applyFont="1" applyFill="1" applyBorder="1" applyAlignment="1">
      <alignment horizontal="center" vertical="center" wrapText="1"/>
    </xf>
    <xf numFmtId="182" fontId="133" fillId="11" borderId="50" xfId="6" applyFont="1" applyFill="1" applyBorder="1" applyAlignment="1">
      <alignment horizontal="center" vertical="center"/>
    </xf>
    <xf numFmtId="4" fontId="134" fillId="11" borderId="50" xfId="6" applyNumberFormat="1" applyFont="1" applyFill="1" applyBorder="1" applyAlignment="1">
      <alignment vertical="center"/>
    </xf>
    <xf numFmtId="182" fontId="133" fillId="11" borderId="7" xfId="6" applyFont="1" applyFill="1" applyBorder="1" applyAlignment="1">
      <alignment horizontal="center" vertical="center"/>
    </xf>
    <xf numFmtId="4" fontId="133" fillId="11" borderId="7" xfId="6" applyNumberFormat="1" applyFont="1" applyFill="1" applyBorder="1" applyAlignment="1">
      <alignment horizontal="center" vertical="center"/>
    </xf>
    <xf numFmtId="182" fontId="148" fillId="11" borderId="0" xfId="6" applyFont="1" applyFill="1" applyAlignment="1">
      <alignment horizontal="left" vertical="center" wrapText="1"/>
    </xf>
    <xf numFmtId="182" fontId="79" fillId="0" borderId="0" xfId="81" applyFont="1" applyAlignment="1">
      <alignment vertical="center"/>
    </xf>
    <xf numFmtId="182" fontId="62" fillId="0" borderId="0" xfId="6" applyAlignment="1">
      <alignment vertical="center"/>
    </xf>
    <xf numFmtId="4" fontId="134" fillId="11" borderId="18" xfId="6" applyNumberFormat="1" applyFont="1" applyFill="1" applyBorder="1" applyAlignment="1">
      <alignment horizontal="center" vertical="center"/>
    </xf>
    <xf numFmtId="182" fontId="134" fillId="0" borderId="7" xfId="6" applyFont="1" applyBorder="1" applyAlignment="1">
      <alignment horizontal="center" vertical="center"/>
    </xf>
    <xf numFmtId="4" fontId="134" fillId="0" borderId="7" xfId="6" applyNumberFormat="1" applyFont="1" applyBorder="1" applyAlignment="1">
      <alignment horizontal="center" vertical="center"/>
    </xf>
    <xf numFmtId="182" fontId="134" fillId="0" borderId="18" xfId="6" applyFont="1" applyBorder="1" applyAlignment="1">
      <alignment horizontal="center" vertical="center"/>
    </xf>
    <xf numFmtId="4" fontId="134" fillId="0" borderId="18" xfId="6" applyNumberFormat="1" applyFont="1" applyBorder="1" applyAlignment="1">
      <alignment horizontal="center" vertical="center"/>
    </xf>
    <xf numFmtId="182" fontId="79" fillId="0" borderId="0" xfId="81" applyFont="1" applyAlignment="1" applyProtection="1">
      <alignment vertical="center"/>
      <protection locked="0"/>
    </xf>
    <xf numFmtId="4" fontId="62" fillId="11" borderId="18" xfId="6" applyNumberFormat="1" applyFill="1" applyBorder="1" applyAlignment="1" applyProtection="1">
      <alignment horizontal="center" vertical="center"/>
      <protection locked="0"/>
    </xf>
    <xf numFmtId="4" fontId="133" fillId="0" borderId="7" xfId="6" applyNumberFormat="1" applyFont="1" applyBorder="1" applyAlignment="1">
      <alignment horizontal="center" vertical="center"/>
    </xf>
    <xf numFmtId="4" fontId="145" fillId="11" borderId="8" xfId="81" applyNumberFormat="1" applyFont="1" applyFill="1" applyBorder="1" applyAlignment="1">
      <alignment vertical="center"/>
    </xf>
    <xf numFmtId="4" fontId="134" fillId="0" borderId="18" xfId="6" applyNumberFormat="1" applyFont="1" applyBorder="1" applyAlignment="1">
      <alignment vertical="center"/>
    </xf>
    <xf numFmtId="4" fontId="134" fillId="0" borderId="0" xfId="6" applyNumberFormat="1" applyFont="1" applyAlignment="1">
      <alignment vertical="center"/>
    </xf>
    <xf numFmtId="182" fontId="147" fillId="36" borderId="2" xfId="81" applyFont="1" applyFill="1" applyBorder="1" applyAlignment="1">
      <alignment horizontal="centerContinuous" vertical="center" wrapText="1"/>
    </xf>
    <xf numFmtId="4" fontId="147" fillId="36" borderId="3" xfId="81" applyNumberFormat="1" applyFont="1" applyFill="1" applyBorder="1" applyAlignment="1">
      <alignment horizontal="centerContinuous" vertical="center" wrapText="1"/>
    </xf>
    <xf numFmtId="182" fontId="147" fillId="36" borderId="3" xfId="81" applyFont="1" applyFill="1" applyBorder="1" applyAlignment="1">
      <alignment horizontal="centerContinuous" vertical="center" wrapText="1"/>
    </xf>
    <xf numFmtId="182" fontId="147" fillId="36" borderId="9" xfId="81" applyFont="1" applyFill="1" applyBorder="1" applyAlignment="1">
      <alignment horizontal="centerContinuous" vertical="center" wrapText="1"/>
    </xf>
    <xf numFmtId="4" fontId="145" fillId="11" borderId="18" xfId="81" applyNumberFormat="1" applyFont="1" applyFill="1" applyBorder="1" applyAlignment="1">
      <alignment vertical="center"/>
    </xf>
    <xf numFmtId="182" fontId="145" fillId="11" borderId="5" xfId="81" applyFont="1" applyFill="1" applyBorder="1" applyAlignment="1">
      <alignment vertical="center"/>
    </xf>
    <xf numFmtId="4" fontId="145" fillId="11" borderId="5" xfId="81" applyNumberFormat="1" applyFont="1" applyFill="1" applyBorder="1" applyAlignment="1">
      <alignment vertical="center"/>
    </xf>
    <xf numFmtId="182" fontId="145" fillId="11" borderId="12" xfId="81" applyFont="1" applyFill="1" applyBorder="1" applyAlignment="1">
      <alignment vertical="center" wrapText="1"/>
    </xf>
    <xf numFmtId="4" fontId="134" fillId="11" borderId="12" xfId="6" applyNumberFormat="1" applyFont="1" applyFill="1" applyBorder="1" applyAlignment="1">
      <alignment vertical="center"/>
    </xf>
    <xf numFmtId="4" fontId="134" fillId="11" borderId="6" xfId="6" applyNumberFormat="1" applyFont="1" applyFill="1" applyBorder="1" applyAlignment="1">
      <alignment vertical="center"/>
    </xf>
    <xf numFmtId="4" fontId="62" fillId="0" borderId="0" xfId="81" applyNumberFormat="1"/>
    <xf numFmtId="199" fontId="62" fillId="0" borderId="21" xfId="4807" applyNumberFormat="1" applyFont="1" applyFill="1" applyBorder="1" applyAlignment="1">
      <alignment horizontal="center" vertical="center"/>
    </xf>
    <xf numFmtId="200" fontId="155" fillId="0" borderId="21" xfId="0" applyNumberFormat="1" applyFont="1" applyBorder="1"/>
    <xf numFmtId="201" fontId="155" fillId="37" borderId="38" xfId="0" applyNumberFormat="1" applyFont="1" applyFill="1" applyBorder="1"/>
    <xf numFmtId="2" fontId="62" fillId="0" borderId="0" xfId="9373" applyNumberFormat="1" applyFont="1"/>
    <xf numFmtId="0" fontId="62" fillId="0" borderId="0" xfId="9373" applyFont="1"/>
    <xf numFmtId="0" fontId="62" fillId="0" borderId="7" xfId="9373" applyFont="1" applyBorder="1"/>
    <xf numFmtId="0" fontId="62" fillId="0" borderId="0" xfId="9373" applyFont="1" applyBorder="1"/>
    <xf numFmtId="0" fontId="62" fillId="0" borderId="51" xfId="9373" applyFont="1" applyBorder="1"/>
    <xf numFmtId="0" fontId="62" fillId="0" borderId="8" xfId="9373" applyFont="1" applyBorder="1"/>
    <xf numFmtId="0" fontId="65" fillId="0" borderId="7" xfId="9373" applyFont="1" applyBorder="1" applyAlignment="1">
      <alignment horizontal="center"/>
    </xf>
    <xf numFmtId="0" fontId="65" fillId="0" borderId="0" xfId="9373" applyFont="1" applyBorder="1" applyAlignment="1">
      <alignment horizontal="center"/>
    </xf>
    <xf numFmtId="0" fontId="65" fillId="0" borderId="0" xfId="9373" applyFont="1" applyBorder="1" applyAlignment="1">
      <alignment vertical="center"/>
    </xf>
    <xf numFmtId="0" fontId="62" fillId="0" borderId="12" xfId="9373" applyFont="1" applyBorder="1"/>
    <xf numFmtId="0" fontId="62" fillId="0" borderId="6" xfId="9373" applyFont="1" applyBorder="1"/>
    <xf numFmtId="2" fontId="65" fillId="0" borderId="0" xfId="9373" applyNumberFormat="1" applyFont="1" applyAlignment="1">
      <alignment vertical="center"/>
    </xf>
    <xf numFmtId="2" fontId="65" fillId="42" borderId="112" xfId="9373" applyNumberFormat="1" applyFont="1" applyFill="1" applyBorder="1" applyAlignment="1">
      <alignment horizontal="right" vertical="center"/>
    </xf>
    <xf numFmtId="0" fontId="65" fillId="42" borderId="10" xfId="9373" applyFont="1" applyFill="1" applyBorder="1" applyAlignment="1">
      <alignment vertical="center"/>
    </xf>
    <xf numFmtId="0" fontId="62" fillId="42" borderId="10" xfId="9373" applyFont="1" applyFill="1" applyBorder="1" applyAlignment="1">
      <alignment vertical="center"/>
    </xf>
    <xf numFmtId="0" fontId="186" fillId="42" borderId="10" xfId="9373" applyFont="1" applyFill="1" applyBorder="1" applyAlignment="1">
      <alignment horizontal="center" vertical="center"/>
    </xf>
    <xf numFmtId="167" fontId="65" fillId="42" borderId="11" xfId="9373" applyNumberFormat="1" applyFont="1" applyFill="1" applyBorder="1" applyAlignment="1">
      <alignment vertical="center"/>
    </xf>
    <xf numFmtId="0" fontId="62" fillId="0" borderId="0" xfId="9373" applyFont="1" applyAlignment="1">
      <alignment vertical="center"/>
    </xf>
    <xf numFmtId="1" fontId="62" fillId="11" borderId="0" xfId="9373" applyNumberFormat="1" applyFont="1" applyFill="1" applyAlignment="1">
      <alignment vertical="center"/>
    </xf>
    <xf numFmtId="2" fontId="65" fillId="54" borderId="118" xfId="3154" applyNumberFormat="1" applyFont="1" applyFill="1" applyBorder="1" applyAlignment="1">
      <alignment horizontal="right" vertical="center"/>
    </xf>
    <xf numFmtId="0" fontId="65" fillId="54" borderId="87" xfId="3154" applyFont="1" applyFill="1" applyBorder="1" applyAlignment="1">
      <alignment horizontal="left" vertical="center"/>
    </xf>
    <xf numFmtId="0" fontId="62" fillId="54" borderId="87" xfId="9373" applyFont="1" applyFill="1" applyBorder="1" applyAlignment="1">
      <alignment horizontal="center" vertical="center"/>
    </xf>
    <xf numFmtId="167" fontId="62" fillId="54" borderId="87" xfId="3" applyFont="1" applyFill="1" applyBorder="1" applyAlignment="1">
      <alignment vertical="center"/>
    </xf>
    <xf numFmtId="167" fontId="65" fillId="54" borderId="100" xfId="3" applyFont="1" applyFill="1" applyBorder="1" applyAlignment="1">
      <alignment vertical="center"/>
    </xf>
    <xf numFmtId="0" fontId="62" fillId="11" borderId="0" xfId="9373" applyFont="1" applyFill="1" applyAlignment="1">
      <alignment vertical="center"/>
    </xf>
    <xf numFmtId="2" fontId="62" fillId="0" borderId="118" xfId="9373" applyNumberFormat="1" applyFont="1" applyFill="1" applyBorder="1" applyAlignment="1">
      <alignment horizontal="right" vertical="center"/>
    </xf>
    <xf numFmtId="0" fontId="62" fillId="0" borderId="87" xfId="9373" applyFont="1" applyFill="1" applyBorder="1" applyAlignment="1">
      <alignment horizontal="left" vertical="center" wrapText="1"/>
    </xf>
    <xf numFmtId="0" fontId="62" fillId="0" borderId="87" xfId="9373" applyFont="1" applyFill="1" applyBorder="1" applyAlignment="1">
      <alignment horizontal="center" vertical="center"/>
    </xf>
    <xf numFmtId="167" fontId="62" fillId="0" borderId="87" xfId="36674" applyNumberFormat="1" applyFont="1" applyFill="1" applyBorder="1" applyAlignment="1">
      <alignment horizontal="center" vertical="center"/>
    </xf>
    <xf numFmtId="167" fontId="62" fillId="0" borderId="101" xfId="3" applyFont="1" applyFill="1" applyBorder="1" applyAlignment="1">
      <alignment vertical="center"/>
    </xf>
    <xf numFmtId="167" fontId="62" fillId="0" borderId="100" xfId="3" applyFont="1" applyFill="1" applyBorder="1" applyAlignment="1">
      <alignment vertical="center"/>
    </xf>
    <xf numFmtId="167" fontId="62" fillId="0" borderId="100" xfId="3" applyFont="1" applyFill="1" applyBorder="1" applyAlignment="1">
      <alignment horizontal="center" vertical="center"/>
    </xf>
    <xf numFmtId="0" fontId="62" fillId="0" borderId="87" xfId="9373" applyFont="1" applyFill="1" applyBorder="1" applyAlignment="1">
      <alignment horizontal="left" vertical="center"/>
    </xf>
    <xf numFmtId="2" fontId="62" fillId="11" borderId="119" xfId="9373" applyNumberFormat="1" applyFont="1" applyFill="1" applyBorder="1" applyAlignment="1">
      <alignment horizontal="right" vertical="center"/>
    </xf>
    <xf numFmtId="0" fontId="62" fillId="11" borderId="14" xfId="9373" applyFont="1" applyFill="1" applyBorder="1" applyAlignment="1">
      <alignment vertical="center"/>
    </xf>
    <xf numFmtId="0" fontId="62" fillId="11" borderId="14" xfId="9373" applyFont="1" applyFill="1" applyBorder="1" applyAlignment="1">
      <alignment horizontal="center" vertical="center"/>
    </xf>
    <xf numFmtId="167" fontId="62" fillId="11" borderId="14" xfId="3" applyFont="1" applyFill="1" applyBorder="1" applyAlignment="1">
      <alignment vertical="center"/>
    </xf>
    <xf numFmtId="167" fontId="62" fillId="11" borderId="15" xfId="3" applyFont="1" applyFill="1" applyBorder="1" applyAlignment="1">
      <alignment vertical="center"/>
    </xf>
    <xf numFmtId="2" fontId="65" fillId="11" borderId="0" xfId="9373" applyNumberFormat="1" applyFont="1" applyFill="1" applyAlignment="1">
      <alignment vertical="center"/>
    </xf>
    <xf numFmtId="2" fontId="65" fillId="9" borderId="112" xfId="3154" applyNumberFormat="1" applyFont="1" applyFill="1" applyBorder="1" applyAlignment="1">
      <alignment horizontal="right" vertical="center"/>
    </xf>
    <xf numFmtId="0" fontId="65" fillId="9" borderId="10" xfId="3154" applyFont="1" applyFill="1" applyBorder="1" applyAlignment="1">
      <alignment vertical="center"/>
    </xf>
    <xf numFmtId="0" fontId="65" fillId="9" borderId="10" xfId="3154" applyFont="1" applyFill="1" applyBorder="1" applyAlignment="1">
      <alignment horizontal="center" vertical="center"/>
    </xf>
    <xf numFmtId="167" fontId="65" fillId="9" borderId="23" xfId="3" applyFont="1" applyFill="1" applyBorder="1" applyAlignment="1">
      <alignment horizontal="center" vertical="center"/>
    </xf>
    <xf numFmtId="167" fontId="65" fillId="9" borderId="10" xfId="3" applyFont="1" applyFill="1" applyBorder="1" applyAlignment="1">
      <alignment horizontal="center" vertical="center"/>
    </xf>
    <xf numFmtId="167" fontId="65" fillId="9" borderId="11" xfId="3" applyFont="1" applyFill="1" applyBorder="1" applyAlignment="1">
      <alignment horizontal="right" vertical="center"/>
    </xf>
    <xf numFmtId="196" fontId="65" fillId="54" borderId="122" xfId="3" applyNumberFormat="1" applyFont="1" applyFill="1" applyBorder="1" applyAlignment="1">
      <alignment horizontal="center" vertical="center" wrapText="1"/>
    </xf>
    <xf numFmtId="2" fontId="65" fillId="9" borderId="118" xfId="3154" applyNumberFormat="1" applyFont="1" applyFill="1" applyBorder="1" applyAlignment="1">
      <alignment horizontal="right" vertical="center"/>
    </xf>
    <xf numFmtId="0" fontId="65" fillId="9" borderId="87" xfId="3154" applyFont="1" applyFill="1" applyBorder="1" applyAlignment="1">
      <alignment vertical="center"/>
    </xf>
    <xf numFmtId="0" fontId="65" fillId="9" borderId="87" xfId="3154" applyFont="1" applyFill="1" applyBorder="1" applyAlignment="1">
      <alignment horizontal="center" vertical="center"/>
    </xf>
    <xf numFmtId="167" fontId="65" fillId="9" borderId="88" xfId="3" applyFont="1" applyFill="1" applyBorder="1" applyAlignment="1">
      <alignment horizontal="center" vertical="center"/>
    </xf>
    <xf numFmtId="167" fontId="65" fillId="9" borderId="87" xfId="3" applyFont="1" applyFill="1" applyBorder="1" applyAlignment="1">
      <alignment horizontal="center" vertical="center"/>
    </xf>
    <xf numFmtId="10" fontId="65" fillId="9" borderId="87" xfId="11" applyNumberFormat="1" applyFont="1" applyFill="1" applyBorder="1" applyAlignment="1">
      <alignment horizontal="right" vertical="center"/>
    </xf>
    <xf numFmtId="167" fontId="65" fillId="9" borderId="100" xfId="3" applyFont="1" applyFill="1" applyBorder="1" applyAlignment="1">
      <alignment horizontal="right" vertical="center"/>
    </xf>
    <xf numFmtId="2" fontId="65" fillId="9" borderId="119" xfId="3154" applyNumberFormat="1" applyFont="1" applyFill="1" applyBorder="1" applyAlignment="1">
      <alignment horizontal="right" vertical="center"/>
    </xf>
    <xf numFmtId="0" fontId="65" fillId="9" borderId="14" xfId="3154" applyFont="1" applyFill="1" applyBorder="1" applyAlignment="1">
      <alignment vertical="center"/>
    </xf>
    <xf numFmtId="0" fontId="65" fillId="9" borderId="14" xfId="3154" applyFont="1" applyFill="1" applyBorder="1" applyAlignment="1">
      <alignment horizontal="center" vertical="center"/>
    </xf>
    <xf numFmtId="167" fontId="65" fillId="9" borderId="24" xfId="3" applyFont="1" applyFill="1" applyBorder="1" applyAlignment="1">
      <alignment horizontal="center" vertical="center"/>
    </xf>
    <xf numFmtId="167" fontId="65" fillId="9" borderId="14" xfId="3" applyFont="1" applyFill="1" applyBorder="1" applyAlignment="1">
      <alignment horizontal="center" vertical="center"/>
    </xf>
    <xf numFmtId="10" fontId="65" fillId="9" borderId="14" xfId="11" applyNumberFormat="1" applyFont="1" applyFill="1" applyBorder="1" applyAlignment="1">
      <alignment horizontal="right" vertical="center"/>
    </xf>
    <xf numFmtId="167" fontId="65" fillId="9" borderId="15" xfId="3" applyFont="1" applyFill="1" applyBorder="1" applyAlignment="1">
      <alignment horizontal="right" vertical="center"/>
    </xf>
    <xf numFmtId="2" fontId="141" fillId="7" borderId="77" xfId="3154" applyNumberFormat="1" applyFont="1" applyFill="1" applyBorder="1" applyAlignment="1">
      <alignment horizontal="right" vertical="center"/>
    </xf>
    <xf numFmtId="0" fontId="141" fillId="7" borderId="78" xfId="3154" applyFont="1" applyFill="1" applyBorder="1" applyAlignment="1">
      <alignment vertical="center"/>
    </xf>
    <xf numFmtId="0" fontId="141" fillId="7" borderId="78" xfId="3154" applyFont="1" applyFill="1" applyBorder="1" applyAlignment="1">
      <alignment horizontal="center" vertical="center"/>
    </xf>
    <xf numFmtId="4" fontId="141" fillId="7" borderId="117" xfId="3154" applyNumberFormat="1" applyFont="1" applyFill="1" applyBorder="1" applyAlignment="1">
      <alignment horizontal="center" vertical="center"/>
    </xf>
    <xf numFmtId="4" fontId="141" fillId="7" borderId="78" xfId="3154" applyNumberFormat="1" applyFont="1" applyFill="1" applyBorder="1" applyAlignment="1">
      <alignment horizontal="center" vertical="center"/>
    </xf>
    <xf numFmtId="167" fontId="141" fillId="7" borderId="79" xfId="3" applyFont="1" applyFill="1" applyBorder="1" applyAlignment="1">
      <alignment vertical="center"/>
    </xf>
    <xf numFmtId="43" fontId="62" fillId="0" borderId="0" xfId="9373" applyNumberFormat="1" applyFont="1"/>
    <xf numFmtId="1" fontId="62" fillId="0" borderId="0" xfId="9373" applyNumberFormat="1" applyFont="1"/>
    <xf numFmtId="2" fontId="62" fillId="0" borderId="87" xfId="9373" applyNumberFormat="1" applyFont="1" applyFill="1" applyBorder="1" applyAlignment="1">
      <alignment horizontal="right" vertical="center"/>
    </xf>
    <xf numFmtId="167" fontId="62" fillId="0" borderId="87" xfId="9373" applyNumberFormat="1" applyFont="1" applyBorder="1"/>
    <xf numFmtId="167" fontId="62" fillId="0" borderId="87" xfId="3" applyFont="1" applyFill="1" applyBorder="1" applyAlignment="1">
      <alignment vertical="center"/>
    </xf>
    <xf numFmtId="0" fontId="62" fillId="0" borderId="87" xfId="9373" applyFont="1" applyBorder="1"/>
    <xf numFmtId="0" fontId="65" fillId="35" borderId="14" xfId="9373" applyFont="1" applyFill="1" applyBorder="1" applyAlignment="1">
      <alignment horizontal="center" vertical="center" wrapText="1"/>
    </xf>
    <xf numFmtId="2" fontId="62" fillId="0" borderId="0" xfId="9373" applyNumberFormat="1" applyAlignment="1">
      <alignment horizontal="centerContinuous"/>
    </xf>
    <xf numFmtId="199" fontId="62" fillId="0" borderId="87" xfId="4807" applyNumberFormat="1" applyBorder="1" applyAlignment="1">
      <alignment horizontal="center" vertical="center"/>
    </xf>
    <xf numFmtId="200" fontId="155" fillId="0" borderId="87" xfId="9373" applyNumberFormat="1" applyFont="1" applyBorder="1"/>
    <xf numFmtId="201" fontId="155" fillId="37" borderId="89" xfId="9373" applyNumberFormat="1" applyFont="1" applyFill="1" applyBorder="1"/>
    <xf numFmtId="17" fontId="65" fillId="0" borderId="0" xfId="4807" applyNumberFormat="1" applyFont="1" applyAlignment="1">
      <alignment vertical="center"/>
    </xf>
    <xf numFmtId="182" fontId="146" fillId="60" borderId="16" xfId="81" applyFont="1" applyFill="1" applyBorder="1" applyAlignment="1">
      <alignment horizontal="centerContinuous"/>
    </xf>
    <xf numFmtId="4" fontId="146" fillId="60" borderId="0" xfId="81" applyNumberFormat="1" applyFont="1" applyFill="1" applyAlignment="1">
      <alignment horizontal="centerContinuous"/>
    </xf>
    <xf numFmtId="182" fontId="146" fillId="60" borderId="0" xfId="81" applyFont="1" applyFill="1" applyAlignment="1">
      <alignment horizontal="centerContinuous"/>
    </xf>
    <xf numFmtId="182" fontId="146" fillId="60" borderId="16" xfId="0" applyFont="1" applyFill="1" applyBorder="1" applyAlignment="1">
      <alignment horizontal="centerContinuous"/>
    </xf>
    <xf numFmtId="4" fontId="146" fillId="60" borderId="0" xfId="0" applyNumberFormat="1" applyFont="1" applyFill="1" applyBorder="1" applyAlignment="1">
      <alignment horizontal="centerContinuous"/>
    </xf>
    <xf numFmtId="182" fontId="146" fillId="60" borderId="0" xfId="0" applyFont="1" applyFill="1" applyBorder="1" applyAlignment="1">
      <alignment horizontal="centerContinuous"/>
    </xf>
    <xf numFmtId="182" fontId="157" fillId="60" borderId="0" xfId="0" applyFont="1" applyFill="1" applyAlignment="1">
      <alignment horizontal="centerContinuous"/>
    </xf>
    <xf numFmtId="182" fontId="151" fillId="0" borderId="87" xfId="0" applyFont="1" applyBorder="1"/>
    <xf numFmtId="182" fontId="62" fillId="0" borderId="87" xfId="0" applyFont="1" applyBorder="1"/>
    <xf numFmtId="182" fontId="65" fillId="35" borderId="87" xfId="0" applyFont="1" applyFill="1" applyBorder="1" applyAlignment="1">
      <alignment horizontal="center" vertical="center"/>
    </xf>
    <xf numFmtId="182" fontId="0" fillId="35" borderId="87" xfId="0" applyFill="1" applyBorder="1" applyAlignment="1">
      <alignment horizontal="center" vertical="center"/>
    </xf>
    <xf numFmtId="0" fontId="152" fillId="0" borderId="0" xfId="9373" applyFont="1"/>
    <xf numFmtId="0" fontId="62" fillId="0" borderId="0" xfId="9373" quotePrefix="1" applyFont="1"/>
    <xf numFmtId="0" fontId="185" fillId="60" borderId="2" xfId="9373" applyFont="1" applyFill="1" applyBorder="1" applyAlignment="1">
      <alignment horizontal="center" vertical="distributed"/>
    </xf>
    <xf numFmtId="0" fontId="185" fillId="60" borderId="3" xfId="9373" applyFont="1" applyFill="1" applyBorder="1" applyAlignment="1">
      <alignment horizontal="center" vertical="distributed"/>
    </xf>
    <xf numFmtId="0" fontId="185" fillId="60" borderId="9" xfId="9373" applyFont="1" applyFill="1" applyBorder="1" applyAlignment="1">
      <alignment horizontal="center" vertical="distributed"/>
    </xf>
    <xf numFmtId="0" fontId="65" fillId="15" borderId="111" xfId="9373" applyFont="1" applyFill="1" applyBorder="1" applyAlignment="1">
      <alignment horizontal="center" vertical="center" wrapText="1"/>
    </xf>
    <xf numFmtId="0" fontId="65" fillId="15" borderId="121" xfId="9373" applyFont="1" applyFill="1" applyBorder="1" applyAlignment="1">
      <alignment horizontal="center" vertical="center" wrapText="1"/>
    </xf>
    <xf numFmtId="0" fontId="65" fillId="15" borderId="52" xfId="9373" applyFont="1" applyFill="1" applyBorder="1" applyAlignment="1">
      <alignment horizontal="center" vertical="center" wrapText="1"/>
    </xf>
    <xf numFmtId="0" fontId="65" fillId="15" borderId="6" xfId="9373" applyFont="1" applyFill="1" applyBorder="1" applyAlignment="1">
      <alignment horizontal="center" vertical="center" wrapText="1"/>
    </xf>
    <xf numFmtId="0" fontId="65" fillId="35" borderId="97" xfId="9373" applyFont="1" applyFill="1" applyBorder="1" applyAlignment="1">
      <alignment horizontal="center" vertical="center"/>
    </xf>
    <xf numFmtId="0" fontId="65" fillId="35" borderId="116" xfId="9373" applyFont="1" applyFill="1" applyBorder="1" applyAlignment="1">
      <alignment horizontal="center" vertical="center"/>
    </xf>
    <xf numFmtId="0" fontId="65" fillId="0" borderId="7" xfId="9373" applyFont="1" applyBorder="1" applyAlignment="1">
      <alignment horizontal="center"/>
    </xf>
    <xf numFmtId="0" fontId="65" fillId="0" borderId="0" xfId="9373" applyFont="1" applyBorder="1" applyAlignment="1">
      <alignment horizontal="center"/>
    </xf>
    <xf numFmtId="14" fontId="65" fillId="0" borderId="12" xfId="9373" applyNumberFormat="1" applyFont="1" applyBorder="1" applyAlignment="1">
      <alignment horizontal="left" vertical="center"/>
    </xf>
    <xf numFmtId="0" fontId="65" fillId="0" borderId="12" xfId="9373" applyFont="1" applyBorder="1" applyAlignment="1">
      <alignment horizontal="left" vertical="center"/>
    </xf>
    <xf numFmtId="0" fontId="65" fillId="35" borderId="96" xfId="9373" applyFont="1" applyFill="1" applyBorder="1" applyAlignment="1">
      <alignment horizontal="center" vertical="center"/>
    </xf>
    <xf numFmtId="0" fontId="65" fillId="35" borderId="75" xfId="9373" applyFont="1" applyFill="1" applyBorder="1" applyAlignment="1">
      <alignment horizontal="center" vertical="center"/>
    </xf>
    <xf numFmtId="0" fontId="65" fillId="35" borderId="115" xfId="9373" applyFont="1" applyFill="1" applyBorder="1" applyAlignment="1">
      <alignment horizontal="center" vertical="center"/>
    </xf>
    <xf numFmtId="0" fontId="65" fillId="35" borderId="120" xfId="9373" applyFont="1" applyFill="1" applyBorder="1" applyAlignment="1">
      <alignment horizontal="center" vertical="center" wrapText="1"/>
    </xf>
    <xf numFmtId="0" fontId="65" fillId="35" borderId="16" xfId="9373" applyFont="1" applyFill="1" applyBorder="1" applyAlignment="1">
      <alignment horizontal="center" vertical="center" wrapText="1"/>
    </xf>
    <xf numFmtId="0" fontId="65" fillId="35" borderId="23" xfId="9373" applyFont="1" applyFill="1" applyBorder="1" applyAlignment="1">
      <alignment horizontal="center" vertical="center"/>
    </xf>
    <xf numFmtId="0" fontId="65" fillId="35" borderId="113" xfId="9373" applyFont="1" applyFill="1" applyBorder="1" applyAlignment="1">
      <alignment horizontal="center" vertical="center"/>
    </xf>
    <xf numFmtId="0" fontId="65" fillId="35" borderId="114" xfId="9373" applyFont="1" applyFill="1" applyBorder="1" applyAlignment="1">
      <alignment horizontal="center" vertical="center"/>
    </xf>
    <xf numFmtId="0" fontId="65" fillId="35" borderId="111" xfId="9373" applyFont="1" applyFill="1" applyBorder="1" applyAlignment="1">
      <alignment horizontal="center" vertical="center" wrapText="1"/>
    </xf>
    <xf numFmtId="0" fontId="65" fillId="35" borderId="121" xfId="9373" applyFont="1" applyFill="1" applyBorder="1" applyAlignment="1">
      <alignment horizontal="center" vertical="center" wrapText="1"/>
    </xf>
    <xf numFmtId="4" fontId="166" fillId="16" borderId="13" xfId="3145" applyNumberFormat="1" applyFont="1" applyFill="1" applyBorder="1" applyAlignment="1">
      <alignment horizontal="center" vertical="center" wrapText="1"/>
    </xf>
    <xf numFmtId="4" fontId="166" fillId="16" borderId="41" xfId="3145" applyNumberFormat="1" applyFont="1" applyFill="1" applyBorder="1" applyAlignment="1">
      <alignment horizontal="center" vertical="center" wrapText="1"/>
    </xf>
    <xf numFmtId="0" fontId="166" fillId="16" borderId="10" xfId="3145" applyFont="1" applyFill="1" applyBorder="1" applyAlignment="1">
      <alignment horizontal="center" vertical="center"/>
    </xf>
    <xf numFmtId="0" fontId="166" fillId="16" borderId="35" xfId="3145" applyFont="1" applyFill="1" applyBorder="1" applyAlignment="1">
      <alignment horizontal="center" vertical="center"/>
    </xf>
    <xf numFmtId="0" fontId="166" fillId="16" borderId="11" xfId="3145" applyFont="1" applyFill="1" applyBorder="1" applyAlignment="1">
      <alignment horizontal="center" vertical="center" wrapText="1"/>
    </xf>
    <xf numFmtId="0" fontId="166" fillId="16" borderId="30" xfId="3145" applyFont="1" applyFill="1" applyBorder="1" applyAlignment="1">
      <alignment horizontal="center" vertical="center" wrapText="1"/>
    </xf>
    <xf numFmtId="182" fontId="162" fillId="0" borderId="94" xfId="0" applyFont="1" applyFill="1" applyBorder="1" applyAlignment="1">
      <alignment horizontal="center"/>
    </xf>
    <xf numFmtId="182" fontId="162" fillId="0" borderId="34" xfId="0" applyFont="1" applyFill="1" applyBorder="1" applyAlignment="1">
      <alignment horizontal="center"/>
    </xf>
    <xf numFmtId="182" fontId="162" fillId="0" borderId="95" xfId="0" applyFont="1" applyFill="1" applyBorder="1" applyAlignment="1">
      <alignment horizontal="center"/>
    </xf>
    <xf numFmtId="182" fontId="65" fillId="0" borderId="94" xfId="0" applyFont="1" applyFill="1" applyBorder="1" applyAlignment="1">
      <alignment horizontal="center"/>
    </xf>
    <xf numFmtId="182" fontId="65" fillId="0" borderId="34" xfId="0" applyFont="1" applyFill="1" applyBorder="1" applyAlignment="1">
      <alignment horizontal="center"/>
    </xf>
    <xf numFmtId="182" fontId="65" fillId="0" borderId="95" xfId="0" applyFont="1" applyFill="1" applyBorder="1" applyAlignment="1">
      <alignment horizontal="center"/>
    </xf>
    <xf numFmtId="182" fontId="64" fillId="0" borderId="94" xfId="0" applyFont="1" applyFill="1" applyBorder="1" applyAlignment="1">
      <alignment horizontal="center"/>
    </xf>
    <xf numFmtId="182" fontId="64" fillId="0" borderId="34" xfId="0" applyFont="1" applyFill="1" applyBorder="1" applyAlignment="1">
      <alignment horizontal="center"/>
    </xf>
    <xf numFmtId="182" fontId="64" fillId="0" borderId="95" xfId="0" applyFont="1" applyFill="1" applyBorder="1" applyAlignment="1">
      <alignment horizontal="center"/>
    </xf>
    <xf numFmtId="0" fontId="139" fillId="0" borderId="2" xfId="0" applyNumberFormat="1" applyFont="1" applyFill="1" applyBorder="1" applyAlignment="1">
      <alignment horizontal="center"/>
    </xf>
    <xf numFmtId="0" fontId="139" fillId="0" borderId="3" xfId="0" applyNumberFormat="1" applyFont="1" applyFill="1" applyBorder="1" applyAlignment="1">
      <alignment horizontal="center"/>
    </xf>
    <xf numFmtId="0" fontId="167" fillId="60" borderId="0" xfId="0" applyNumberFormat="1" applyFont="1" applyFill="1" applyBorder="1" applyAlignment="1">
      <alignment horizontal="center" vertical="center"/>
    </xf>
    <xf numFmtId="0" fontId="139" fillId="0" borderId="9" xfId="0" applyNumberFormat="1" applyFont="1" applyFill="1" applyBorder="1" applyAlignment="1">
      <alignment horizontal="center"/>
    </xf>
    <xf numFmtId="0" fontId="169" fillId="49" borderId="13" xfId="9371" applyFont="1" applyFill="1" applyBorder="1" applyAlignment="1">
      <alignment horizontal="center"/>
    </xf>
    <xf numFmtId="0" fontId="169" fillId="49" borderId="10" xfId="9371" applyFont="1" applyFill="1" applyBorder="1" applyAlignment="1">
      <alignment horizontal="center"/>
    </xf>
    <xf numFmtId="182" fontId="62" fillId="0" borderId="16" xfId="0" quotePrefix="1" applyFont="1" applyBorder="1" applyAlignment="1">
      <alignment horizontal="left" vertical="center" wrapText="1"/>
    </xf>
    <xf numFmtId="182" fontId="62" fillId="0" borderId="0" xfId="0" quotePrefix="1" applyFont="1" applyBorder="1" applyAlignment="1">
      <alignment horizontal="left" vertical="center" wrapText="1"/>
    </xf>
    <xf numFmtId="182" fontId="62" fillId="0" borderId="76" xfId="0" quotePrefix="1" applyFont="1" applyBorder="1" applyAlignment="1">
      <alignment horizontal="left" vertical="center" wrapText="1"/>
    </xf>
    <xf numFmtId="182" fontId="62" fillId="0" borderId="98" xfId="0" quotePrefix="1" applyFont="1" applyBorder="1" applyAlignment="1">
      <alignment horizontal="left" vertical="center" wrapText="1"/>
    </xf>
    <xf numFmtId="182" fontId="62" fillId="0" borderId="42" xfId="0" quotePrefix="1" applyFont="1" applyBorder="1" applyAlignment="1">
      <alignment horizontal="left" vertical="center" wrapText="1"/>
    </xf>
    <xf numFmtId="182" fontId="62" fillId="0" borderId="53" xfId="0" quotePrefix="1" applyFont="1" applyBorder="1" applyAlignment="1">
      <alignment horizontal="left" vertical="center" wrapText="1"/>
    </xf>
    <xf numFmtId="182" fontId="140" fillId="60" borderId="94" xfId="0" applyFont="1" applyFill="1" applyBorder="1" applyAlignment="1">
      <alignment horizontal="center"/>
    </xf>
    <xf numFmtId="182" fontId="140" fillId="60" borderId="93" xfId="0" applyFont="1" applyFill="1" applyBorder="1" applyAlignment="1">
      <alignment horizontal="center"/>
    </xf>
    <xf numFmtId="182" fontId="140" fillId="60" borderId="89" xfId="0" applyFont="1" applyFill="1" applyBorder="1" applyAlignment="1">
      <alignment horizontal="center"/>
    </xf>
    <xf numFmtId="0" fontId="74" fillId="0" borderId="0" xfId="3154" applyFont="1" applyAlignment="1">
      <alignment horizontal="center"/>
    </xf>
    <xf numFmtId="0" fontId="137" fillId="0" borderId="98" xfId="3154" applyFont="1" applyBorder="1" applyAlignment="1">
      <alignment horizontal="center" vertical="center"/>
    </xf>
    <xf numFmtId="0" fontId="137" fillId="0" borderId="42" xfId="3154" applyFont="1" applyBorder="1" applyAlignment="1">
      <alignment horizontal="center" vertical="center"/>
    </xf>
    <xf numFmtId="0" fontId="137" fillId="0" borderId="53" xfId="3154" applyFont="1" applyBorder="1" applyAlignment="1">
      <alignment horizontal="center" vertical="center"/>
    </xf>
    <xf numFmtId="0" fontId="178" fillId="56" borderId="42" xfId="3154" applyFont="1" applyFill="1" applyBorder="1" applyAlignment="1">
      <alignment horizontal="center" vertical="center"/>
    </xf>
    <xf numFmtId="0" fontId="179" fillId="56" borderId="88" xfId="3154" applyFont="1" applyFill="1" applyBorder="1" applyAlignment="1">
      <alignment horizontal="center" vertical="center"/>
    </xf>
    <xf numFmtId="0" fontId="179" fillId="56" borderId="89" xfId="3154" applyFont="1" applyFill="1" applyBorder="1" applyAlignment="1">
      <alignment horizontal="center" vertical="center"/>
    </xf>
    <xf numFmtId="0" fontId="177" fillId="0" borderId="94" xfId="3154" applyNumberFormat="1" applyFont="1" applyBorder="1" applyAlignment="1">
      <alignment horizontal="center" vertical="center"/>
    </xf>
    <xf numFmtId="0" fontId="177" fillId="0" borderId="34" xfId="3154" applyNumberFormat="1" applyFont="1" applyBorder="1" applyAlignment="1">
      <alignment horizontal="center" vertical="center"/>
    </xf>
    <xf numFmtId="0" fontId="177" fillId="0" borderId="95" xfId="3154" applyNumberFormat="1" applyFont="1" applyBorder="1" applyAlignment="1">
      <alignment horizontal="center" vertical="center"/>
    </xf>
    <xf numFmtId="0" fontId="177" fillId="0" borderId="16" xfId="3154" applyNumberFormat="1" applyFont="1" applyBorder="1" applyAlignment="1">
      <alignment horizontal="center" vertical="center"/>
    </xf>
    <xf numFmtId="0" fontId="177" fillId="0" borderId="0" xfId="3154" applyNumberFormat="1" applyFont="1" applyBorder="1" applyAlignment="1">
      <alignment horizontal="center" vertical="center"/>
    </xf>
    <xf numFmtId="0" fontId="177" fillId="0" borderId="76" xfId="3154" applyNumberFormat="1" applyFont="1" applyBorder="1" applyAlignment="1">
      <alignment horizontal="center" vertical="center"/>
    </xf>
    <xf numFmtId="0" fontId="177" fillId="0" borderId="98" xfId="3154" applyNumberFormat="1" applyFont="1" applyBorder="1" applyAlignment="1">
      <alignment horizontal="center" vertical="center"/>
    </xf>
    <xf numFmtId="0" fontId="177" fillId="0" borderId="42" xfId="3154" applyNumberFormat="1" applyFont="1" applyBorder="1" applyAlignment="1">
      <alignment horizontal="center" vertical="center"/>
    </xf>
    <xf numFmtId="0" fontId="177" fillId="0" borderId="53" xfId="3154" applyNumberFormat="1" applyFont="1" applyBorder="1" applyAlignment="1">
      <alignment horizontal="center" vertical="center"/>
    </xf>
    <xf numFmtId="0" fontId="137" fillId="0" borderId="94" xfId="3154" applyFont="1" applyBorder="1" applyAlignment="1">
      <alignment horizontal="center" vertical="center" wrapText="1"/>
    </xf>
    <xf numFmtId="0" fontId="137" fillId="0" borderId="34" xfId="3154" applyFont="1" applyBorder="1" applyAlignment="1">
      <alignment horizontal="center" vertical="center" wrapText="1"/>
    </xf>
    <xf numFmtId="0" fontId="137" fillId="0" borderId="95" xfId="3154" applyFont="1" applyBorder="1" applyAlignment="1">
      <alignment horizontal="center" vertical="center" wrapText="1"/>
    </xf>
    <xf numFmtId="0" fontId="177" fillId="0" borderId="0" xfId="3154" applyFont="1" applyBorder="1" applyAlignment="1">
      <alignment horizontal="left" vertical="center"/>
    </xf>
    <xf numFmtId="0" fontId="177" fillId="0" borderId="76" xfId="3154" applyFont="1" applyBorder="1" applyAlignment="1">
      <alignment horizontal="left" vertical="center"/>
    </xf>
    <xf numFmtId="0" fontId="137" fillId="0" borderId="94" xfId="3154" applyFont="1" applyBorder="1" applyAlignment="1">
      <alignment horizontal="center" vertical="center"/>
    </xf>
    <xf numFmtId="0" fontId="137" fillId="0" borderId="34" xfId="3154" applyFont="1" applyBorder="1" applyAlignment="1">
      <alignment horizontal="center" vertical="center"/>
    </xf>
    <xf numFmtId="0" fontId="137" fillId="0" borderId="95" xfId="3154" applyFont="1" applyBorder="1" applyAlignment="1">
      <alignment horizontal="center" vertical="center"/>
    </xf>
    <xf numFmtId="14" fontId="177" fillId="0" borderId="0" xfId="3154" applyNumberFormat="1" applyFont="1" applyBorder="1" applyAlignment="1">
      <alignment horizontal="left" vertical="center"/>
    </xf>
    <xf numFmtId="14" fontId="177" fillId="0" borderId="76" xfId="3154" applyNumberFormat="1" applyFont="1" applyBorder="1" applyAlignment="1">
      <alignment horizontal="left" vertical="center"/>
    </xf>
    <xf numFmtId="0" fontId="95" fillId="49" borderId="13" xfId="9371" applyFont="1" applyFill="1" applyBorder="1" applyAlignment="1">
      <alignment horizontal="center"/>
    </xf>
    <xf numFmtId="0" fontId="95" fillId="49" borderId="10" xfId="9371" applyFont="1" applyFill="1" applyBorder="1" applyAlignment="1">
      <alignment horizontal="center"/>
    </xf>
    <xf numFmtId="0" fontId="95" fillId="49" borderId="11" xfId="9371" applyFont="1" applyFill="1" applyBorder="1" applyAlignment="1">
      <alignment horizontal="center"/>
    </xf>
    <xf numFmtId="182" fontId="140" fillId="60" borderId="16" xfId="0" applyFont="1" applyFill="1" applyBorder="1" applyAlignment="1">
      <alignment horizontal="center"/>
    </xf>
    <xf numFmtId="182" fontId="140" fillId="60" borderId="0" xfId="0" applyFont="1" applyFill="1" applyBorder="1" applyAlignment="1">
      <alignment horizontal="center"/>
    </xf>
    <xf numFmtId="0" fontId="65" fillId="36" borderId="35" xfId="4807" applyFont="1" applyFill="1" applyBorder="1" applyAlignment="1">
      <alignment horizontal="center" vertical="center" wrapText="1"/>
    </xf>
    <xf numFmtId="0" fontId="65" fillId="36" borderId="20" xfId="4807" applyFont="1" applyFill="1" applyBorder="1" applyAlignment="1">
      <alignment horizontal="center" vertical="center" wrapText="1"/>
    </xf>
    <xf numFmtId="0" fontId="140" fillId="60" borderId="16" xfId="9373" applyFont="1" applyFill="1" applyBorder="1" applyAlignment="1">
      <alignment horizontal="center"/>
    </xf>
    <xf numFmtId="0" fontId="140" fillId="60" borderId="0" xfId="9373" applyFont="1" applyFill="1" applyAlignment="1">
      <alignment horizontal="center"/>
    </xf>
    <xf numFmtId="0" fontId="65" fillId="36" borderId="101" xfId="4807" applyFont="1" applyFill="1" applyBorder="1" applyAlignment="1">
      <alignment horizontal="center" vertical="center" wrapText="1"/>
    </xf>
    <xf numFmtId="0" fontId="153" fillId="0" borderId="88" xfId="36675" applyFont="1" applyBorder="1" applyAlignment="1">
      <alignment horizontal="center"/>
    </xf>
    <xf numFmtId="0" fontId="153" fillId="0" borderId="93" xfId="36675" applyFont="1" applyBorder="1" applyAlignment="1">
      <alignment horizontal="center"/>
    </xf>
    <xf numFmtId="0" fontId="153" fillId="0" borderId="89" xfId="36675" applyFont="1" applyBorder="1" applyAlignment="1">
      <alignment horizontal="center"/>
    </xf>
    <xf numFmtId="0" fontId="7" fillId="0" borderId="0" xfId="36675" applyFont="1" applyAlignment="1">
      <alignment horizontal="center" vertical="center"/>
    </xf>
    <xf numFmtId="0" fontId="9" fillId="0" borderId="0" xfId="36675" applyAlignment="1">
      <alignment horizontal="center" vertical="center"/>
    </xf>
    <xf numFmtId="182" fontId="158" fillId="44" borderId="62" xfId="0" applyFont="1" applyFill="1" applyBorder="1" applyAlignment="1">
      <alignment horizontal="center" vertical="center" wrapText="1"/>
    </xf>
    <xf numFmtId="182" fontId="158" fillId="44" borderId="63" xfId="0" applyFont="1" applyFill="1" applyBorder="1" applyAlignment="1">
      <alignment horizontal="center" vertical="center" wrapText="1"/>
    </xf>
    <xf numFmtId="182" fontId="158" fillId="44" borderId="64" xfId="0" applyFont="1" applyFill="1" applyBorder="1" applyAlignment="1">
      <alignment horizontal="center" vertical="center" wrapText="1"/>
    </xf>
    <xf numFmtId="182" fontId="65" fillId="0" borderId="54" xfId="0" applyFont="1" applyBorder="1" applyAlignment="1">
      <alignment horizontal="center" vertical="center"/>
    </xf>
    <xf numFmtId="182" fontId="65" fillId="0" borderId="55" xfId="0" applyFont="1" applyBorder="1" applyAlignment="1">
      <alignment horizontal="center" vertical="center"/>
    </xf>
    <xf numFmtId="182" fontId="65" fillId="0" borderId="56" xfId="0" applyFont="1" applyBorder="1" applyAlignment="1">
      <alignment horizontal="center" vertical="center"/>
    </xf>
    <xf numFmtId="182" fontId="65" fillId="0" borderId="60" xfId="0" applyFont="1" applyBorder="1" applyAlignment="1">
      <alignment horizontal="center" vertical="center"/>
    </xf>
    <xf numFmtId="182" fontId="65" fillId="0" borderId="42" xfId="0" applyFont="1" applyBorder="1" applyAlignment="1">
      <alignment horizontal="center" vertical="center"/>
    </xf>
    <xf numFmtId="182" fontId="65" fillId="0" borderId="53" xfId="0" applyFont="1" applyBorder="1" applyAlignment="1">
      <alignment horizontal="center" vertical="center"/>
    </xf>
    <xf numFmtId="182" fontId="153" fillId="40" borderId="62" xfId="0" applyFont="1" applyFill="1" applyBorder="1" applyAlignment="1">
      <alignment horizontal="center" vertical="center" textRotation="90" wrapText="1"/>
    </xf>
    <xf numFmtId="182" fontId="153" fillId="40" borderId="63" xfId="0" applyFont="1" applyFill="1" applyBorder="1" applyAlignment="1">
      <alignment horizontal="center" vertical="center" textRotation="90" wrapText="1"/>
    </xf>
    <xf numFmtId="182" fontId="153" fillId="40" borderId="64" xfId="0" applyFont="1" applyFill="1" applyBorder="1" applyAlignment="1">
      <alignment horizontal="center" vertical="center" textRotation="90" wrapText="1"/>
    </xf>
    <xf numFmtId="182" fontId="158" fillId="41" borderId="63" xfId="0" applyFont="1" applyFill="1" applyBorder="1" applyAlignment="1">
      <alignment horizontal="center" vertical="center" wrapText="1"/>
    </xf>
    <xf numFmtId="182" fontId="158" fillId="41" borderId="64" xfId="0" applyFont="1" applyFill="1" applyBorder="1" applyAlignment="1">
      <alignment horizontal="center" vertical="center" wrapText="1"/>
    </xf>
    <xf numFmtId="182" fontId="158" fillId="42" borderId="62" xfId="0" applyFont="1" applyFill="1" applyBorder="1" applyAlignment="1">
      <alignment horizontal="center" vertical="center" wrapText="1"/>
    </xf>
    <xf numFmtId="182" fontId="158" fillId="42" borderId="63" xfId="0" applyFont="1" applyFill="1" applyBorder="1" applyAlignment="1">
      <alignment horizontal="center" vertical="center" wrapText="1"/>
    </xf>
    <xf numFmtId="182" fontId="158" fillId="42" borderId="64" xfId="0" applyFont="1" applyFill="1" applyBorder="1" applyAlignment="1">
      <alignment horizontal="center" vertical="center" wrapText="1"/>
    </xf>
    <xf numFmtId="182" fontId="158" fillId="43" borderId="62" xfId="0" applyFont="1" applyFill="1" applyBorder="1" applyAlignment="1">
      <alignment horizontal="center" vertical="center" textRotation="90" wrapText="1"/>
    </xf>
    <xf numFmtId="182" fontId="158" fillId="43" borderId="63" xfId="0" applyFont="1" applyFill="1" applyBorder="1" applyAlignment="1">
      <alignment horizontal="center" vertical="center" textRotation="90" wrapText="1"/>
    </xf>
    <xf numFmtId="182" fontId="158" fillId="43" borderId="64" xfId="0" applyFont="1" applyFill="1" applyBorder="1" applyAlignment="1">
      <alignment horizontal="center" vertical="center" textRotation="90" wrapText="1"/>
    </xf>
    <xf numFmtId="182" fontId="158" fillId="48" borderId="69" xfId="0" applyFont="1" applyFill="1" applyBorder="1" applyAlignment="1">
      <alignment horizontal="center" vertical="center"/>
    </xf>
    <xf numFmtId="182" fontId="158" fillId="48" borderId="70" xfId="0" applyFont="1" applyFill="1" applyBorder="1" applyAlignment="1">
      <alignment horizontal="center" vertical="center"/>
    </xf>
    <xf numFmtId="182" fontId="158" fillId="45" borderId="69" xfId="0" applyFont="1" applyFill="1" applyBorder="1" applyAlignment="1">
      <alignment horizontal="center" vertical="center"/>
    </xf>
    <xf numFmtId="182" fontId="158" fillId="45" borderId="70" xfId="0" applyFont="1" applyFill="1" applyBorder="1" applyAlignment="1">
      <alignment horizontal="center" vertical="center"/>
    </xf>
    <xf numFmtId="182" fontId="158" fillId="11" borderId="65" xfId="0" applyFont="1" applyFill="1" applyBorder="1" applyAlignment="1">
      <alignment horizontal="center" vertical="center"/>
    </xf>
    <xf numFmtId="182" fontId="158" fillId="11" borderId="21" xfId="0" applyFont="1" applyFill="1" applyBorder="1" applyAlignment="1">
      <alignment horizontal="center" vertical="center"/>
    </xf>
    <xf numFmtId="182" fontId="158" fillId="11" borderId="66" xfId="0" applyFont="1" applyFill="1" applyBorder="1" applyAlignment="1">
      <alignment horizontal="center" vertical="center"/>
    </xf>
    <xf numFmtId="182" fontId="158" fillId="11" borderId="67" xfId="0" applyFont="1" applyFill="1" applyBorder="1" applyAlignment="1">
      <alignment horizontal="center" vertical="center"/>
    </xf>
    <xf numFmtId="182" fontId="157" fillId="38" borderId="42" xfId="0" applyFont="1" applyFill="1" applyBorder="1" applyAlignment="1">
      <alignment horizontal="center" vertical="center"/>
    </xf>
  </cellXfs>
  <cellStyles count="36689">
    <cellStyle name="(0.0%)" xfId="200" xr:uid="{00000000-0005-0000-0000-000000000000}"/>
    <cellStyle name="(0.0%) 2" xfId="201" xr:uid="{00000000-0005-0000-0000-000001000000}"/>
    <cellStyle name=".,00" xfId="148" xr:uid="{00000000-0005-0000-0000-000002000000}"/>
    <cellStyle name="?曹%U?&amp;H?_x0008_?s_x000a__x0007__x0001__x0001_" xfId="202" xr:uid="{00000000-0005-0000-0000-000003000000}"/>
    <cellStyle name="¤@?e_TEST-1 " xfId="203" xr:uid="{00000000-0005-0000-0000-000004000000}"/>
    <cellStyle name="_x0004_¥" xfId="204" xr:uid="{00000000-0005-0000-0000-000005000000}"/>
    <cellStyle name="_x0004_¥ 2" xfId="205" xr:uid="{00000000-0005-0000-0000-000006000000}"/>
    <cellStyle name="20% - Ênfase1" xfId="206" xr:uid="{00000000-0005-0000-0000-000007000000}"/>
    <cellStyle name="20% - Ênfase2" xfId="207" xr:uid="{00000000-0005-0000-0000-000008000000}"/>
    <cellStyle name="20% - Ênfase3" xfId="208" xr:uid="{00000000-0005-0000-0000-000009000000}"/>
    <cellStyle name="20% - Ênfase4" xfId="209" xr:uid="{00000000-0005-0000-0000-00000A000000}"/>
    <cellStyle name="20% - Ênfase5" xfId="210" xr:uid="{00000000-0005-0000-0000-00000B000000}"/>
    <cellStyle name="20% - Ênfase6" xfId="211" xr:uid="{00000000-0005-0000-0000-00000C000000}"/>
    <cellStyle name="40% - Ênfase1" xfId="212" xr:uid="{00000000-0005-0000-0000-00000D000000}"/>
    <cellStyle name="40% - Ênfase2" xfId="213" xr:uid="{00000000-0005-0000-0000-00000E000000}"/>
    <cellStyle name="40% - Ênfase3" xfId="214" xr:uid="{00000000-0005-0000-0000-00000F000000}"/>
    <cellStyle name="40% - Ênfase4" xfId="215" xr:uid="{00000000-0005-0000-0000-000010000000}"/>
    <cellStyle name="40% - Ênfase5" xfId="216" xr:uid="{00000000-0005-0000-0000-000011000000}"/>
    <cellStyle name="40% - Ênfase6" xfId="217" xr:uid="{00000000-0005-0000-0000-000012000000}"/>
    <cellStyle name="40% - Énfasis1 2" xfId="218" xr:uid="{00000000-0005-0000-0000-000013000000}"/>
    <cellStyle name="40% - Énfasis1 2 2" xfId="219" xr:uid="{00000000-0005-0000-0000-000014000000}"/>
    <cellStyle name="40% - Énfasis1 2 2 2" xfId="220" xr:uid="{00000000-0005-0000-0000-000015000000}"/>
    <cellStyle name="40% - Énfasis1 2 2 2 2" xfId="1819" xr:uid="{00000000-0005-0000-0000-000016000000}"/>
    <cellStyle name="40% - Énfasis1 2 2 2 2 2" xfId="6435" xr:uid="{00000000-0005-0000-0000-000017000000}"/>
    <cellStyle name="40% - Énfasis1 2 2 2 2 2 2" xfId="15535" xr:uid="{00000000-0005-0000-0000-000018000000}"/>
    <cellStyle name="40% - Énfasis1 2 2 2 2 2 2 2" xfId="33717" xr:uid="{00000000-0005-0000-0000-000019000000}"/>
    <cellStyle name="40% - Énfasis1 2 2 2 2 2 3" xfId="24627" xr:uid="{00000000-0005-0000-0000-00001A000000}"/>
    <cellStyle name="40% - Énfasis1 2 2 2 2 3" xfId="11000" xr:uid="{00000000-0005-0000-0000-00001B000000}"/>
    <cellStyle name="40% - Énfasis1 2 2 2 2 3 2" xfId="29182" xr:uid="{00000000-0005-0000-0000-00001C000000}"/>
    <cellStyle name="40% - Énfasis1 2 2 2 2 4" xfId="20092" xr:uid="{00000000-0005-0000-0000-00001D000000}"/>
    <cellStyle name="40% - Énfasis1 2 2 2 3" xfId="3272" xr:uid="{00000000-0005-0000-0000-00001E000000}"/>
    <cellStyle name="40% - Énfasis1 2 2 2 3 2" xfId="7832" xr:uid="{00000000-0005-0000-0000-00001F000000}"/>
    <cellStyle name="40% - Énfasis1 2 2 2 3 2 2" xfId="16928" xr:uid="{00000000-0005-0000-0000-000020000000}"/>
    <cellStyle name="40% - Énfasis1 2 2 2 3 2 2 2" xfId="35110" xr:uid="{00000000-0005-0000-0000-000021000000}"/>
    <cellStyle name="40% - Énfasis1 2 2 2 3 2 3" xfId="26020" xr:uid="{00000000-0005-0000-0000-000022000000}"/>
    <cellStyle name="40% - Énfasis1 2 2 2 3 3" xfId="12388" xr:uid="{00000000-0005-0000-0000-000023000000}"/>
    <cellStyle name="40% - Énfasis1 2 2 2 3 3 2" xfId="30570" xr:uid="{00000000-0005-0000-0000-000024000000}"/>
    <cellStyle name="40% - Énfasis1 2 2 2 3 4" xfId="21480" xr:uid="{00000000-0005-0000-0000-000025000000}"/>
    <cellStyle name="40% - Énfasis1 2 2 2 4" xfId="4918" xr:uid="{00000000-0005-0000-0000-000026000000}"/>
    <cellStyle name="40% - Énfasis1 2 2 2 4 2" xfId="14018" xr:uid="{00000000-0005-0000-0000-000027000000}"/>
    <cellStyle name="40% - Énfasis1 2 2 2 4 2 2" xfId="32200" xr:uid="{00000000-0005-0000-0000-000028000000}"/>
    <cellStyle name="40% - Énfasis1 2 2 2 4 3" xfId="23110" xr:uid="{00000000-0005-0000-0000-000029000000}"/>
    <cellStyle name="40% - Énfasis1 2 2 2 5" xfId="9484" xr:uid="{00000000-0005-0000-0000-00002A000000}"/>
    <cellStyle name="40% - Énfasis1 2 2 2 5 2" xfId="27666" xr:uid="{00000000-0005-0000-0000-00002B000000}"/>
    <cellStyle name="40% - Énfasis1 2 2 2 6" xfId="18575" xr:uid="{00000000-0005-0000-0000-00002C000000}"/>
    <cellStyle name="40% - Énfasis1 2 2 3" xfId="1820" xr:uid="{00000000-0005-0000-0000-00002D000000}"/>
    <cellStyle name="40% - Énfasis1 2 2 3 2" xfId="6436" xr:uid="{00000000-0005-0000-0000-00002E000000}"/>
    <cellStyle name="40% - Énfasis1 2 2 3 2 2" xfId="15536" xr:uid="{00000000-0005-0000-0000-00002F000000}"/>
    <cellStyle name="40% - Énfasis1 2 2 3 2 2 2" xfId="33718" xr:uid="{00000000-0005-0000-0000-000030000000}"/>
    <cellStyle name="40% - Énfasis1 2 2 3 2 3" xfId="24628" xr:uid="{00000000-0005-0000-0000-000031000000}"/>
    <cellStyle name="40% - Énfasis1 2 2 3 3" xfId="11001" xr:uid="{00000000-0005-0000-0000-000032000000}"/>
    <cellStyle name="40% - Énfasis1 2 2 3 3 2" xfId="29183" xr:uid="{00000000-0005-0000-0000-000033000000}"/>
    <cellStyle name="40% - Énfasis1 2 2 3 4" xfId="20093" xr:uid="{00000000-0005-0000-0000-000034000000}"/>
    <cellStyle name="40% - Énfasis1 2 2 4" xfId="3271" xr:uid="{00000000-0005-0000-0000-000035000000}"/>
    <cellStyle name="40% - Énfasis1 2 2 4 2" xfId="7831" xr:uid="{00000000-0005-0000-0000-000036000000}"/>
    <cellStyle name="40% - Énfasis1 2 2 4 2 2" xfId="16927" xr:uid="{00000000-0005-0000-0000-000037000000}"/>
    <cellStyle name="40% - Énfasis1 2 2 4 2 2 2" xfId="35109" xr:uid="{00000000-0005-0000-0000-000038000000}"/>
    <cellStyle name="40% - Énfasis1 2 2 4 2 3" xfId="26019" xr:uid="{00000000-0005-0000-0000-000039000000}"/>
    <cellStyle name="40% - Énfasis1 2 2 4 3" xfId="12387" xr:uid="{00000000-0005-0000-0000-00003A000000}"/>
    <cellStyle name="40% - Énfasis1 2 2 4 3 2" xfId="30569" xr:uid="{00000000-0005-0000-0000-00003B000000}"/>
    <cellStyle name="40% - Énfasis1 2 2 4 4" xfId="21479" xr:uid="{00000000-0005-0000-0000-00003C000000}"/>
    <cellStyle name="40% - Énfasis1 2 2 5" xfId="4917" xr:uid="{00000000-0005-0000-0000-00003D000000}"/>
    <cellStyle name="40% - Énfasis1 2 2 5 2" xfId="14017" xr:uid="{00000000-0005-0000-0000-00003E000000}"/>
    <cellStyle name="40% - Énfasis1 2 2 5 2 2" xfId="32199" xr:uid="{00000000-0005-0000-0000-00003F000000}"/>
    <cellStyle name="40% - Énfasis1 2 2 5 3" xfId="23109" xr:uid="{00000000-0005-0000-0000-000040000000}"/>
    <cellStyle name="40% - Énfasis1 2 2 6" xfId="9483" xr:uid="{00000000-0005-0000-0000-000041000000}"/>
    <cellStyle name="40% - Énfasis1 2 2 6 2" xfId="27665" xr:uid="{00000000-0005-0000-0000-000042000000}"/>
    <cellStyle name="40% - Énfasis1 2 2 7" xfId="18574" xr:uid="{00000000-0005-0000-0000-000043000000}"/>
    <cellStyle name="40% - Énfasis1 2 3" xfId="221" xr:uid="{00000000-0005-0000-0000-000044000000}"/>
    <cellStyle name="40% - Énfasis1 2 3 2" xfId="1821" xr:uid="{00000000-0005-0000-0000-000045000000}"/>
    <cellStyle name="40% - Énfasis1 2 3 2 2" xfId="6437" xr:uid="{00000000-0005-0000-0000-000046000000}"/>
    <cellStyle name="40% - Énfasis1 2 3 2 2 2" xfId="15537" xr:uid="{00000000-0005-0000-0000-000047000000}"/>
    <cellStyle name="40% - Énfasis1 2 3 2 2 2 2" xfId="33719" xr:uid="{00000000-0005-0000-0000-000048000000}"/>
    <cellStyle name="40% - Énfasis1 2 3 2 2 3" xfId="24629" xr:uid="{00000000-0005-0000-0000-000049000000}"/>
    <cellStyle name="40% - Énfasis1 2 3 2 3" xfId="11002" xr:uid="{00000000-0005-0000-0000-00004A000000}"/>
    <cellStyle name="40% - Énfasis1 2 3 2 3 2" xfId="29184" xr:uid="{00000000-0005-0000-0000-00004B000000}"/>
    <cellStyle name="40% - Énfasis1 2 3 2 4" xfId="20094" xr:uid="{00000000-0005-0000-0000-00004C000000}"/>
    <cellStyle name="40% - Énfasis1 2 3 3" xfId="3273" xr:uid="{00000000-0005-0000-0000-00004D000000}"/>
    <cellStyle name="40% - Énfasis1 2 3 3 2" xfId="7833" xr:uid="{00000000-0005-0000-0000-00004E000000}"/>
    <cellStyle name="40% - Énfasis1 2 3 3 2 2" xfId="16929" xr:uid="{00000000-0005-0000-0000-00004F000000}"/>
    <cellStyle name="40% - Énfasis1 2 3 3 2 2 2" xfId="35111" xr:uid="{00000000-0005-0000-0000-000050000000}"/>
    <cellStyle name="40% - Énfasis1 2 3 3 2 3" xfId="26021" xr:uid="{00000000-0005-0000-0000-000051000000}"/>
    <cellStyle name="40% - Énfasis1 2 3 3 3" xfId="12389" xr:uid="{00000000-0005-0000-0000-000052000000}"/>
    <cellStyle name="40% - Énfasis1 2 3 3 3 2" xfId="30571" xr:uid="{00000000-0005-0000-0000-000053000000}"/>
    <cellStyle name="40% - Énfasis1 2 3 3 4" xfId="21481" xr:uid="{00000000-0005-0000-0000-000054000000}"/>
    <cellStyle name="40% - Énfasis1 2 3 4" xfId="4919" xr:uid="{00000000-0005-0000-0000-000055000000}"/>
    <cellStyle name="40% - Énfasis1 2 3 4 2" xfId="14019" xr:uid="{00000000-0005-0000-0000-000056000000}"/>
    <cellStyle name="40% - Énfasis1 2 3 4 2 2" xfId="32201" xr:uid="{00000000-0005-0000-0000-000057000000}"/>
    <cellStyle name="40% - Énfasis1 2 3 4 3" xfId="23111" xr:uid="{00000000-0005-0000-0000-000058000000}"/>
    <cellStyle name="40% - Énfasis1 2 3 5" xfId="9485" xr:uid="{00000000-0005-0000-0000-000059000000}"/>
    <cellStyle name="40% - Énfasis1 2 3 5 2" xfId="27667" xr:uid="{00000000-0005-0000-0000-00005A000000}"/>
    <cellStyle name="40% - Énfasis1 2 3 6" xfId="18576" xr:uid="{00000000-0005-0000-0000-00005B000000}"/>
    <cellStyle name="40% - Énfasis1 2 4" xfId="1822" xr:uid="{00000000-0005-0000-0000-00005C000000}"/>
    <cellStyle name="40% - Énfasis1 2 4 2" xfId="6438" xr:uid="{00000000-0005-0000-0000-00005D000000}"/>
    <cellStyle name="40% - Énfasis1 2 4 2 2" xfId="15538" xr:uid="{00000000-0005-0000-0000-00005E000000}"/>
    <cellStyle name="40% - Énfasis1 2 4 2 2 2" xfId="33720" xr:uid="{00000000-0005-0000-0000-00005F000000}"/>
    <cellStyle name="40% - Énfasis1 2 4 2 3" xfId="24630" xr:uid="{00000000-0005-0000-0000-000060000000}"/>
    <cellStyle name="40% - Énfasis1 2 4 3" xfId="11003" xr:uid="{00000000-0005-0000-0000-000061000000}"/>
    <cellStyle name="40% - Énfasis1 2 4 3 2" xfId="29185" xr:uid="{00000000-0005-0000-0000-000062000000}"/>
    <cellStyle name="40% - Énfasis1 2 4 4" xfId="20095" xr:uid="{00000000-0005-0000-0000-000063000000}"/>
    <cellStyle name="40% - Énfasis1 2 5" xfId="1823" xr:uid="{00000000-0005-0000-0000-000064000000}"/>
    <cellStyle name="40% - Énfasis1 2 5 2" xfId="6439" xr:uid="{00000000-0005-0000-0000-000065000000}"/>
    <cellStyle name="40% - Énfasis1 2 5 2 2" xfId="15539" xr:uid="{00000000-0005-0000-0000-000066000000}"/>
    <cellStyle name="40% - Énfasis1 2 5 2 2 2" xfId="33721" xr:uid="{00000000-0005-0000-0000-000067000000}"/>
    <cellStyle name="40% - Énfasis1 2 5 2 3" xfId="24631" xr:uid="{00000000-0005-0000-0000-000068000000}"/>
    <cellStyle name="40% - Énfasis1 2 5 3" xfId="11004" xr:uid="{00000000-0005-0000-0000-000069000000}"/>
    <cellStyle name="40% - Énfasis1 2 5 3 2" xfId="29186" xr:uid="{00000000-0005-0000-0000-00006A000000}"/>
    <cellStyle name="40% - Énfasis1 2 5 4" xfId="20096" xr:uid="{00000000-0005-0000-0000-00006B000000}"/>
    <cellStyle name="40% - Énfasis1 2 6" xfId="3270" xr:uid="{00000000-0005-0000-0000-00006C000000}"/>
    <cellStyle name="40% - Énfasis1 2 6 2" xfId="7830" xr:uid="{00000000-0005-0000-0000-00006D000000}"/>
    <cellStyle name="40% - Énfasis1 2 6 2 2" xfId="16926" xr:uid="{00000000-0005-0000-0000-00006E000000}"/>
    <cellStyle name="40% - Énfasis1 2 6 2 2 2" xfId="35108" xr:uid="{00000000-0005-0000-0000-00006F000000}"/>
    <cellStyle name="40% - Énfasis1 2 6 2 3" xfId="26018" xr:uid="{00000000-0005-0000-0000-000070000000}"/>
    <cellStyle name="40% - Énfasis1 2 6 3" xfId="12386" xr:uid="{00000000-0005-0000-0000-000071000000}"/>
    <cellStyle name="40% - Énfasis1 2 6 3 2" xfId="30568" xr:uid="{00000000-0005-0000-0000-000072000000}"/>
    <cellStyle name="40% - Énfasis1 2 6 4" xfId="21478" xr:uid="{00000000-0005-0000-0000-000073000000}"/>
    <cellStyle name="40% - Énfasis1 2 7" xfId="4916" xr:uid="{00000000-0005-0000-0000-000074000000}"/>
    <cellStyle name="40% - Énfasis1 2 7 2" xfId="14016" xr:uid="{00000000-0005-0000-0000-000075000000}"/>
    <cellStyle name="40% - Énfasis1 2 7 2 2" xfId="32198" xr:uid="{00000000-0005-0000-0000-000076000000}"/>
    <cellStyle name="40% - Énfasis1 2 7 3" xfId="23108" xr:uid="{00000000-0005-0000-0000-000077000000}"/>
    <cellStyle name="40% - Énfasis1 2 8" xfId="9482" xr:uid="{00000000-0005-0000-0000-000078000000}"/>
    <cellStyle name="40% - Énfasis1 2 8 2" xfId="27664" xr:uid="{00000000-0005-0000-0000-000079000000}"/>
    <cellStyle name="40% - Énfasis1 2 9" xfId="18573" xr:uid="{00000000-0005-0000-0000-00007A000000}"/>
    <cellStyle name="40% - Énfasis3 2" xfId="222" xr:uid="{00000000-0005-0000-0000-00007B000000}"/>
    <cellStyle name="40% - Énfasis3 2 2" xfId="223" xr:uid="{00000000-0005-0000-0000-00007C000000}"/>
    <cellStyle name="40% - Énfasis3 2 2 2" xfId="224" xr:uid="{00000000-0005-0000-0000-00007D000000}"/>
    <cellStyle name="40% - Énfasis3 2 2 2 2" xfId="1824" xr:uid="{00000000-0005-0000-0000-00007E000000}"/>
    <cellStyle name="40% - Énfasis3 2 2 2 2 2" xfId="6440" xr:uid="{00000000-0005-0000-0000-00007F000000}"/>
    <cellStyle name="40% - Énfasis3 2 2 2 2 2 2" xfId="15540" xr:uid="{00000000-0005-0000-0000-000080000000}"/>
    <cellStyle name="40% - Énfasis3 2 2 2 2 2 2 2" xfId="33722" xr:uid="{00000000-0005-0000-0000-000081000000}"/>
    <cellStyle name="40% - Énfasis3 2 2 2 2 2 3" xfId="24632" xr:uid="{00000000-0005-0000-0000-000082000000}"/>
    <cellStyle name="40% - Énfasis3 2 2 2 2 3" xfId="11005" xr:uid="{00000000-0005-0000-0000-000083000000}"/>
    <cellStyle name="40% - Énfasis3 2 2 2 2 3 2" xfId="29187" xr:uid="{00000000-0005-0000-0000-000084000000}"/>
    <cellStyle name="40% - Énfasis3 2 2 2 2 4" xfId="20097" xr:uid="{00000000-0005-0000-0000-000085000000}"/>
    <cellStyle name="40% - Énfasis3 2 2 2 3" xfId="3276" xr:uid="{00000000-0005-0000-0000-000086000000}"/>
    <cellStyle name="40% - Énfasis3 2 2 2 3 2" xfId="7836" xr:uid="{00000000-0005-0000-0000-000087000000}"/>
    <cellStyle name="40% - Énfasis3 2 2 2 3 2 2" xfId="16932" xr:uid="{00000000-0005-0000-0000-000088000000}"/>
    <cellStyle name="40% - Énfasis3 2 2 2 3 2 2 2" xfId="35114" xr:uid="{00000000-0005-0000-0000-000089000000}"/>
    <cellStyle name="40% - Énfasis3 2 2 2 3 2 3" xfId="26024" xr:uid="{00000000-0005-0000-0000-00008A000000}"/>
    <cellStyle name="40% - Énfasis3 2 2 2 3 3" xfId="12392" xr:uid="{00000000-0005-0000-0000-00008B000000}"/>
    <cellStyle name="40% - Énfasis3 2 2 2 3 3 2" xfId="30574" xr:uid="{00000000-0005-0000-0000-00008C000000}"/>
    <cellStyle name="40% - Énfasis3 2 2 2 3 4" xfId="21484" xr:uid="{00000000-0005-0000-0000-00008D000000}"/>
    <cellStyle name="40% - Énfasis3 2 2 2 4" xfId="4922" xr:uid="{00000000-0005-0000-0000-00008E000000}"/>
    <cellStyle name="40% - Énfasis3 2 2 2 4 2" xfId="14022" xr:uid="{00000000-0005-0000-0000-00008F000000}"/>
    <cellStyle name="40% - Énfasis3 2 2 2 4 2 2" xfId="32204" xr:uid="{00000000-0005-0000-0000-000090000000}"/>
    <cellStyle name="40% - Énfasis3 2 2 2 4 3" xfId="23114" xr:uid="{00000000-0005-0000-0000-000091000000}"/>
    <cellStyle name="40% - Énfasis3 2 2 2 5" xfId="9488" xr:uid="{00000000-0005-0000-0000-000092000000}"/>
    <cellStyle name="40% - Énfasis3 2 2 2 5 2" xfId="27670" xr:uid="{00000000-0005-0000-0000-000093000000}"/>
    <cellStyle name="40% - Énfasis3 2 2 2 6" xfId="18579" xr:uid="{00000000-0005-0000-0000-000094000000}"/>
    <cellStyle name="40% - Énfasis3 2 2 3" xfId="1825" xr:uid="{00000000-0005-0000-0000-000095000000}"/>
    <cellStyle name="40% - Énfasis3 2 2 3 2" xfId="6441" xr:uid="{00000000-0005-0000-0000-000096000000}"/>
    <cellStyle name="40% - Énfasis3 2 2 3 2 2" xfId="15541" xr:uid="{00000000-0005-0000-0000-000097000000}"/>
    <cellStyle name="40% - Énfasis3 2 2 3 2 2 2" xfId="33723" xr:uid="{00000000-0005-0000-0000-000098000000}"/>
    <cellStyle name="40% - Énfasis3 2 2 3 2 3" xfId="24633" xr:uid="{00000000-0005-0000-0000-000099000000}"/>
    <cellStyle name="40% - Énfasis3 2 2 3 3" xfId="11006" xr:uid="{00000000-0005-0000-0000-00009A000000}"/>
    <cellStyle name="40% - Énfasis3 2 2 3 3 2" xfId="29188" xr:uid="{00000000-0005-0000-0000-00009B000000}"/>
    <cellStyle name="40% - Énfasis3 2 2 3 4" xfId="20098" xr:uid="{00000000-0005-0000-0000-00009C000000}"/>
    <cellStyle name="40% - Énfasis3 2 2 4" xfId="3275" xr:uid="{00000000-0005-0000-0000-00009D000000}"/>
    <cellStyle name="40% - Énfasis3 2 2 4 2" xfId="7835" xr:uid="{00000000-0005-0000-0000-00009E000000}"/>
    <cellStyle name="40% - Énfasis3 2 2 4 2 2" xfId="16931" xr:uid="{00000000-0005-0000-0000-00009F000000}"/>
    <cellStyle name="40% - Énfasis3 2 2 4 2 2 2" xfId="35113" xr:uid="{00000000-0005-0000-0000-0000A0000000}"/>
    <cellStyle name="40% - Énfasis3 2 2 4 2 3" xfId="26023" xr:uid="{00000000-0005-0000-0000-0000A1000000}"/>
    <cellStyle name="40% - Énfasis3 2 2 4 3" xfId="12391" xr:uid="{00000000-0005-0000-0000-0000A2000000}"/>
    <cellStyle name="40% - Énfasis3 2 2 4 3 2" xfId="30573" xr:uid="{00000000-0005-0000-0000-0000A3000000}"/>
    <cellStyle name="40% - Énfasis3 2 2 4 4" xfId="21483" xr:uid="{00000000-0005-0000-0000-0000A4000000}"/>
    <cellStyle name="40% - Énfasis3 2 2 5" xfId="4921" xr:uid="{00000000-0005-0000-0000-0000A5000000}"/>
    <cellStyle name="40% - Énfasis3 2 2 5 2" xfId="14021" xr:uid="{00000000-0005-0000-0000-0000A6000000}"/>
    <cellStyle name="40% - Énfasis3 2 2 5 2 2" xfId="32203" xr:uid="{00000000-0005-0000-0000-0000A7000000}"/>
    <cellStyle name="40% - Énfasis3 2 2 5 3" xfId="23113" xr:uid="{00000000-0005-0000-0000-0000A8000000}"/>
    <cellStyle name="40% - Énfasis3 2 2 6" xfId="9487" xr:uid="{00000000-0005-0000-0000-0000A9000000}"/>
    <cellStyle name="40% - Énfasis3 2 2 6 2" xfId="27669" xr:uid="{00000000-0005-0000-0000-0000AA000000}"/>
    <cellStyle name="40% - Énfasis3 2 2 7" xfId="18578" xr:uid="{00000000-0005-0000-0000-0000AB000000}"/>
    <cellStyle name="40% - Énfasis3 2 3" xfId="225" xr:uid="{00000000-0005-0000-0000-0000AC000000}"/>
    <cellStyle name="40% - Énfasis3 2 3 2" xfId="1826" xr:uid="{00000000-0005-0000-0000-0000AD000000}"/>
    <cellStyle name="40% - Énfasis3 2 3 2 2" xfId="6442" xr:uid="{00000000-0005-0000-0000-0000AE000000}"/>
    <cellStyle name="40% - Énfasis3 2 3 2 2 2" xfId="15542" xr:uid="{00000000-0005-0000-0000-0000AF000000}"/>
    <cellStyle name="40% - Énfasis3 2 3 2 2 2 2" xfId="33724" xr:uid="{00000000-0005-0000-0000-0000B0000000}"/>
    <cellStyle name="40% - Énfasis3 2 3 2 2 3" xfId="24634" xr:uid="{00000000-0005-0000-0000-0000B1000000}"/>
    <cellStyle name="40% - Énfasis3 2 3 2 3" xfId="11007" xr:uid="{00000000-0005-0000-0000-0000B2000000}"/>
    <cellStyle name="40% - Énfasis3 2 3 2 3 2" xfId="29189" xr:uid="{00000000-0005-0000-0000-0000B3000000}"/>
    <cellStyle name="40% - Énfasis3 2 3 2 4" xfId="20099" xr:uid="{00000000-0005-0000-0000-0000B4000000}"/>
    <cellStyle name="40% - Énfasis3 2 3 3" xfId="3277" xr:uid="{00000000-0005-0000-0000-0000B5000000}"/>
    <cellStyle name="40% - Énfasis3 2 3 3 2" xfId="7837" xr:uid="{00000000-0005-0000-0000-0000B6000000}"/>
    <cellStyle name="40% - Énfasis3 2 3 3 2 2" xfId="16933" xr:uid="{00000000-0005-0000-0000-0000B7000000}"/>
    <cellStyle name="40% - Énfasis3 2 3 3 2 2 2" xfId="35115" xr:uid="{00000000-0005-0000-0000-0000B8000000}"/>
    <cellStyle name="40% - Énfasis3 2 3 3 2 3" xfId="26025" xr:uid="{00000000-0005-0000-0000-0000B9000000}"/>
    <cellStyle name="40% - Énfasis3 2 3 3 3" xfId="12393" xr:uid="{00000000-0005-0000-0000-0000BA000000}"/>
    <cellStyle name="40% - Énfasis3 2 3 3 3 2" xfId="30575" xr:uid="{00000000-0005-0000-0000-0000BB000000}"/>
    <cellStyle name="40% - Énfasis3 2 3 3 4" xfId="21485" xr:uid="{00000000-0005-0000-0000-0000BC000000}"/>
    <cellStyle name="40% - Énfasis3 2 3 4" xfId="4923" xr:uid="{00000000-0005-0000-0000-0000BD000000}"/>
    <cellStyle name="40% - Énfasis3 2 3 4 2" xfId="14023" xr:uid="{00000000-0005-0000-0000-0000BE000000}"/>
    <cellStyle name="40% - Énfasis3 2 3 4 2 2" xfId="32205" xr:uid="{00000000-0005-0000-0000-0000BF000000}"/>
    <cellStyle name="40% - Énfasis3 2 3 4 3" xfId="23115" xr:uid="{00000000-0005-0000-0000-0000C0000000}"/>
    <cellStyle name="40% - Énfasis3 2 3 5" xfId="9489" xr:uid="{00000000-0005-0000-0000-0000C1000000}"/>
    <cellStyle name="40% - Énfasis3 2 3 5 2" xfId="27671" xr:uid="{00000000-0005-0000-0000-0000C2000000}"/>
    <cellStyle name="40% - Énfasis3 2 3 6" xfId="18580" xr:uid="{00000000-0005-0000-0000-0000C3000000}"/>
    <cellStyle name="40% - Énfasis3 2 4" xfId="1827" xr:uid="{00000000-0005-0000-0000-0000C4000000}"/>
    <cellStyle name="40% - Énfasis3 2 4 2" xfId="6443" xr:uid="{00000000-0005-0000-0000-0000C5000000}"/>
    <cellStyle name="40% - Énfasis3 2 4 2 2" xfId="15543" xr:uid="{00000000-0005-0000-0000-0000C6000000}"/>
    <cellStyle name="40% - Énfasis3 2 4 2 2 2" xfId="33725" xr:uid="{00000000-0005-0000-0000-0000C7000000}"/>
    <cellStyle name="40% - Énfasis3 2 4 2 3" xfId="24635" xr:uid="{00000000-0005-0000-0000-0000C8000000}"/>
    <cellStyle name="40% - Énfasis3 2 4 3" xfId="11008" xr:uid="{00000000-0005-0000-0000-0000C9000000}"/>
    <cellStyle name="40% - Énfasis3 2 4 3 2" xfId="29190" xr:uid="{00000000-0005-0000-0000-0000CA000000}"/>
    <cellStyle name="40% - Énfasis3 2 4 4" xfId="20100" xr:uid="{00000000-0005-0000-0000-0000CB000000}"/>
    <cellStyle name="40% - Énfasis3 2 5" xfId="1828" xr:uid="{00000000-0005-0000-0000-0000CC000000}"/>
    <cellStyle name="40% - Énfasis3 2 5 2" xfId="6444" xr:uid="{00000000-0005-0000-0000-0000CD000000}"/>
    <cellStyle name="40% - Énfasis3 2 5 2 2" xfId="15544" xr:uid="{00000000-0005-0000-0000-0000CE000000}"/>
    <cellStyle name="40% - Énfasis3 2 5 2 2 2" xfId="33726" xr:uid="{00000000-0005-0000-0000-0000CF000000}"/>
    <cellStyle name="40% - Énfasis3 2 5 2 3" xfId="24636" xr:uid="{00000000-0005-0000-0000-0000D0000000}"/>
    <cellStyle name="40% - Énfasis3 2 5 3" xfId="11009" xr:uid="{00000000-0005-0000-0000-0000D1000000}"/>
    <cellStyle name="40% - Énfasis3 2 5 3 2" xfId="29191" xr:uid="{00000000-0005-0000-0000-0000D2000000}"/>
    <cellStyle name="40% - Énfasis3 2 5 4" xfId="20101" xr:uid="{00000000-0005-0000-0000-0000D3000000}"/>
    <cellStyle name="40% - Énfasis3 2 6" xfId="3274" xr:uid="{00000000-0005-0000-0000-0000D4000000}"/>
    <cellStyle name="40% - Énfasis3 2 6 2" xfId="7834" xr:uid="{00000000-0005-0000-0000-0000D5000000}"/>
    <cellStyle name="40% - Énfasis3 2 6 2 2" xfId="16930" xr:uid="{00000000-0005-0000-0000-0000D6000000}"/>
    <cellStyle name="40% - Énfasis3 2 6 2 2 2" xfId="35112" xr:uid="{00000000-0005-0000-0000-0000D7000000}"/>
    <cellStyle name="40% - Énfasis3 2 6 2 3" xfId="26022" xr:uid="{00000000-0005-0000-0000-0000D8000000}"/>
    <cellStyle name="40% - Énfasis3 2 6 3" xfId="12390" xr:uid="{00000000-0005-0000-0000-0000D9000000}"/>
    <cellStyle name="40% - Énfasis3 2 6 3 2" xfId="30572" xr:uid="{00000000-0005-0000-0000-0000DA000000}"/>
    <cellStyle name="40% - Énfasis3 2 6 4" xfId="21482" xr:uid="{00000000-0005-0000-0000-0000DB000000}"/>
    <cellStyle name="40% - Énfasis3 2 7" xfId="4920" xr:uid="{00000000-0005-0000-0000-0000DC000000}"/>
    <cellStyle name="40% - Énfasis3 2 7 2" xfId="14020" xr:uid="{00000000-0005-0000-0000-0000DD000000}"/>
    <cellStyle name="40% - Énfasis3 2 7 2 2" xfId="32202" xr:uid="{00000000-0005-0000-0000-0000DE000000}"/>
    <cellStyle name="40% - Énfasis3 2 7 3" xfId="23112" xr:uid="{00000000-0005-0000-0000-0000DF000000}"/>
    <cellStyle name="40% - Énfasis3 2 8" xfId="9486" xr:uid="{00000000-0005-0000-0000-0000E0000000}"/>
    <cellStyle name="40% - Énfasis3 2 8 2" xfId="27668" xr:uid="{00000000-0005-0000-0000-0000E1000000}"/>
    <cellStyle name="40% - Énfasis3 2 9" xfId="18577" xr:uid="{00000000-0005-0000-0000-0000E2000000}"/>
    <cellStyle name="60% - Ênfase1" xfId="226" xr:uid="{00000000-0005-0000-0000-0000E3000000}"/>
    <cellStyle name="60% - Ênfase2" xfId="227" xr:uid="{00000000-0005-0000-0000-0000E4000000}"/>
    <cellStyle name="60% - Ênfase3" xfId="228" xr:uid="{00000000-0005-0000-0000-0000E5000000}"/>
    <cellStyle name="60% - Ênfase4" xfId="229" xr:uid="{00000000-0005-0000-0000-0000E6000000}"/>
    <cellStyle name="60% - Ênfase5" xfId="230" xr:uid="{00000000-0005-0000-0000-0000E7000000}"/>
    <cellStyle name="60% - Ênfase6" xfId="231" xr:uid="{00000000-0005-0000-0000-0000E8000000}"/>
    <cellStyle name="A Big heading" xfId="232" xr:uid="{00000000-0005-0000-0000-0000E9000000}"/>
    <cellStyle name="A body text" xfId="233" xr:uid="{00000000-0005-0000-0000-0000EA000000}"/>
    <cellStyle name="A smaller heading" xfId="234" xr:uid="{00000000-0005-0000-0000-0000EB000000}"/>
    <cellStyle name="AeE­ [0]_INQUIRY ¿μ¾÷AßAø " xfId="235" xr:uid="{00000000-0005-0000-0000-0000EC000000}"/>
    <cellStyle name="AeE­_INQUIRY ¿μ¾÷AßAø " xfId="236" xr:uid="{00000000-0005-0000-0000-0000ED000000}"/>
    <cellStyle name="AÞ¸¶ [0]_INQUIRY ¿μ¾÷AßAø " xfId="237" xr:uid="{00000000-0005-0000-0000-0000EE000000}"/>
    <cellStyle name="AÞ¸¶_INQUIRY ¿μ¾÷AßAø " xfId="238" xr:uid="{00000000-0005-0000-0000-0000EF000000}"/>
    <cellStyle name="bold big" xfId="239" xr:uid="{00000000-0005-0000-0000-0000F0000000}"/>
    <cellStyle name="bold bot bord" xfId="240" xr:uid="{00000000-0005-0000-0000-0000F1000000}"/>
    <cellStyle name="bold bot bord 2" xfId="241" xr:uid="{00000000-0005-0000-0000-0000F2000000}"/>
    <cellStyle name="bold bot bord 2 2" xfId="3279" xr:uid="{00000000-0005-0000-0000-0000F3000000}"/>
    <cellStyle name="bold bot bord 3" xfId="3278" xr:uid="{00000000-0005-0000-0000-0000F4000000}"/>
    <cellStyle name="bold underline" xfId="242" xr:uid="{00000000-0005-0000-0000-0000F5000000}"/>
    <cellStyle name="Bom" xfId="243" xr:uid="{00000000-0005-0000-0000-0000F6000000}"/>
    <cellStyle name="Border Bottom Thick" xfId="244" xr:uid="{00000000-0005-0000-0000-0000F7000000}"/>
    <cellStyle name="Border Bottom Thick 2" xfId="245" xr:uid="{00000000-0005-0000-0000-0000F8000000}"/>
    <cellStyle name="Border Top Thin" xfId="246" xr:uid="{00000000-0005-0000-0000-0000F9000000}"/>
    <cellStyle name="Border Top Thin 2" xfId="247" xr:uid="{00000000-0005-0000-0000-0000FA000000}"/>
    <cellStyle name="Border Top Thin 2 2" xfId="3281" xr:uid="{00000000-0005-0000-0000-0000FB000000}"/>
    <cellStyle name="Border Top Thin 2 3" xfId="9359" xr:uid="{00000000-0005-0000-0000-0000FC000000}"/>
    <cellStyle name="Border Top Thin 2 3 2" xfId="18452" xr:uid="{00000000-0005-0000-0000-0000FD000000}"/>
    <cellStyle name="Border Top Thin 2 3 2 2" xfId="36634" xr:uid="{00000000-0005-0000-0000-0000FE000000}"/>
    <cellStyle name="Border Top Thin 2 3 2 3" xfId="36663" xr:uid="{00000000-0005-0000-0000-0000FF000000}"/>
    <cellStyle name="Border Top Thin 2 3 3" xfId="27544" xr:uid="{00000000-0005-0000-0000-000000010000}"/>
    <cellStyle name="Border Top Thin 2 4" xfId="9369" xr:uid="{00000000-0005-0000-0000-000001010000}"/>
    <cellStyle name="Border Top Thin 2 4 2" xfId="18462" xr:uid="{00000000-0005-0000-0000-000002010000}"/>
    <cellStyle name="Border Top Thin 2 4 2 2" xfId="36644" xr:uid="{00000000-0005-0000-0000-000003010000}"/>
    <cellStyle name="Border Top Thin 2 4 2 3" xfId="36672" xr:uid="{00000000-0005-0000-0000-000004010000}"/>
    <cellStyle name="Border Top Thin 2 4 3" xfId="27554" xr:uid="{00000000-0005-0000-0000-000005010000}"/>
    <cellStyle name="Border Top Thin 2 4 4" xfId="36654" xr:uid="{00000000-0005-0000-0000-000006010000}"/>
    <cellStyle name="Border Top Thin 3" xfId="1829" xr:uid="{00000000-0005-0000-0000-000007010000}"/>
    <cellStyle name="Border Top Thin 3 2" xfId="6445" xr:uid="{00000000-0005-0000-0000-000008010000}"/>
    <cellStyle name="Border Top Thin 3 2 2" xfId="15545" xr:uid="{00000000-0005-0000-0000-000009010000}"/>
    <cellStyle name="Border Top Thin 3 2 2 2" xfId="33727" xr:uid="{00000000-0005-0000-0000-00000A010000}"/>
    <cellStyle name="Border Top Thin 3 2 2 3" xfId="36657" xr:uid="{00000000-0005-0000-0000-00000B010000}"/>
    <cellStyle name="Border Top Thin 3 2 3" xfId="24637" xr:uid="{00000000-0005-0000-0000-00000C010000}"/>
    <cellStyle name="Border Top Thin 3 3" xfId="9362" xr:uid="{00000000-0005-0000-0000-00000D010000}"/>
    <cellStyle name="Border Top Thin 3 3 2" xfId="18455" xr:uid="{00000000-0005-0000-0000-00000E010000}"/>
    <cellStyle name="Border Top Thin 3 3 2 2" xfId="36637" xr:uid="{00000000-0005-0000-0000-00000F010000}"/>
    <cellStyle name="Border Top Thin 3 3 2 3" xfId="36665" xr:uid="{00000000-0005-0000-0000-000010010000}"/>
    <cellStyle name="Border Top Thin 3 3 3" xfId="27547" xr:uid="{00000000-0005-0000-0000-000011010000}"/>
    <cellStyle name="Border Top Thin 3 4" xfId="9367" xr:uid="{00000000-0005-0000-0000-000012010000}"/>
    <cellStyle name="Border Top Thin 3 4 2" xfId="18460" xr:uid="{00000000-0005-0000-0000-000013010000}"/>
    <cellStyle name="Border Top Thin 3 4 2 2" xfId="36642" xr:uid="{00000000-0005-0000-0000-000014010000}"/>
    <cellStyle name="Border Top Thin 3 4 2 3" xfId="36670" xr:uid="{00000000-0005-0000-0000-000015010000}"/>
    <cellStyle name="Border Top Thin 3 4 3" xfId="27552" xr:uid="{00000000-0005-0000-0000-000016010000}"/>
    <cellStyle name="Border Top Thin 3 4 4" xfId="36652" xr:uid="{00000000-0005-0000-0000-000017010000}"/>
    <cellStyle name="Border Top Thin 4" xfId="3280" xr:uid="{00000000-0005-0000-0000-000018010000}"/>
    <cellStyle name="Border Top Thin 5" xfId="9358" xr:uid="{00000000-0005-0000-0000-000019010000}"/>
    <cellStyle name="Border Top Thin 5 2" xfId="18451" xr:uid="{00000000-0005-0000-0000-00001A010000}"/>
    <cellStyle name="Border Top Thin 5 2 2" xfId="36633" xr:uid="{00000000-0005-0000-0000-00001B010000}"/>
    <cellStyle name="Border Top Thin 5 2 3" xfId="36662" xr:uid="{00000000-0005-0000-0000-00001C010000}"/>
    <cellStyle name="Border Top Thin 5 3" xfId="27543" xr:uid="{00000000-0005-0000-0000-00001D010000}"/>
    <cellStyle name="Border Top Thin 6" xfId="9365" xr:uid="{00000000-0005-0000-0000-00001E010000}"/>
    <cellStyle name="Border Top Thin 6 2" xfId="18458" xr:uid="{00000000-0005-0000-0000-00001F010000}"/>
    <cellStyle name="Border Top Thin 6 2 2" xfId="36640" xr:uid="{00000000-0005-0000-0000-000020010000}"/>
    <cellStyle name="Border Top Thin 6 2 3" xfId="36668" xr:uid="{00000000-0005-0000-0000-000021010000}"/>
    <cellStyle name="Border Top Thin 6 3" xfId="27550" xr:uid="{00000000-0005-0000-0000-000022010000}"/>
    <cellStyle name="Border Top Thin 6 4" xfId="36651" xr:uid="{00000000-0005-0000-0000-000023010000}"/>
    <cellStyle name="C￥AØ_¿μ¾÷CoE² " xfId="248" xr:uid="{00000000-0005-0000-0000-000024010000}"/>
    <cellStyle name="Cancel" xfId="1" xr:uid="{00000000-0005-0000-0000-000025010000}"/>
    <cellStyle name="Cancel 2" xfId="24" xr:uid="{00000000-0005-0000-0000-000026010000}"/>
    <cellStyle name="Cancel 2 2" xfId="91" xr:uid="{00000000-0005-0000-0000-000027010000}"/>
    <cellStyle name="Cancel 3" xfId="26" xr:uid="{00000000-0005-0000-0000-000028010000}"/>
    <cellStyle name="Cancel 3 2" xfId="92" xr:uid="{00000000-0005-0000-0000-000029010000}"/>
    <cellStyle name="Cancel 4" xfId="191" xr:uid="{00000000-0005-0000-0000-00002A010000}"/>
    <cellStyle name="Cancel 5" xfId="249" xr:uid="{00000000-0005-0000-0000-00002B010000}"/>
    <cellStyle name="Cancel 6" xfId="3143" xr:uid="{00000000-0005-0000-0000-00002C010000}"/>
    <cellStyle name="Célula de Verificação" xfId="250" xr:uid="{00000000-0005-0000-0000-00002D010000}"/>
    <cellStyle name="Célula Vinculada" xfId="251" xr:uid="{00000000-0005-0000-0000-00002E010000}"/>
    <cellStyle name="Comma" xfId="36681" xr:uid="{00000000-0005-0000-0000-00002F010000}"/>
    <cellStyle name="Comma [0] 2" xfId="51" xr:uid="{00000000-0005-0000-0000-000030010000}"/>
    <cellStyle name="Comma [0] 2 2" xfId="52" xr:uid="{00000000-0005-0000-0000-000031010000}"/>
    <cellStyle name="Comma [0] 2 3" xfId="3178" xr:uid="{00000000-0005-0000-0000-000032010000}"/>
    <cellStyle name="Comma [0] 2 3 2" xfId="7738" xr:uid="{00000000-0005-0000-0000-000033010000}"/>
    <cellStyle name="Comma [0] 2 3 2 2" xfId="16834" xr:uid="{00000000-0005-0000-0000-000034010000}"/>
    <cellStyle name="Comma [0] 2 3 2 2 2" xfId="35016" xr:uid="{00000000-0005-0000-0000-000035010000}"/>
    <cellStyle name="Comma [0] 2 3 2 3" xfId="25926" xr:uid="{00000000-0005-0000-0000-000036010000}"/>
    <cellStyle name="Comma [0] 2 3 3" xfId="12294" xr:uid="{00000000-0005-0000-0000-000037010000}"/>
    <cellStyle name="Comma [0] 2 3 3 2" xfId="30476" xr:uid="{00000000-0005-0000-0000-000038010000}"/>
    <cellStyle name="Comma [0] 2 3 4" xfId="21386" xr:uid="{00000000-0005-0000-0000-000039010000}"/>
    <cellStyle name="Comma [0] 2 4" xfId="4803" xr:uid="{00000000-0005-0000-0000-00003A010000}"/>
    <cellStyle name="Comma 2" xfId="158" xr:uid="{00000000-0005-0000-0000-00003B010000}"/>
    <cellStyle name="Comma 2 2" xfId="252" xr:uid="{00000000-0005-0000-0000-00003C010000}"/>
    <cellStyle name="Comma 2 2 2" xfId="3282" xr:uid="{00000000-0005-0000-0000-00003D010000}"/>
    <cellStyle name="Comma 2 2 2 2" xfId="7838" xr:uid="{00000000-0005-0000-0000-00003E010000}"/>
    <cellStyle name="Comma 2 2 2 2 2" xfId="16934" xr:uid="{00000000-0005-0000-0000-00003F010000}"/>
    <cellStyle name="Comma 2 2 2 2 2 2" xfId="35116" xr:uid="{00000000-0005-0000-0000-000040010000}"/>
    <cellStyle name="Comma 2 2 2 2 3" xfId="26026" xr:uid="{00000000-0005-0000-0000-000041010000}"/>
    <cellStyle name="Comma 2 2 2 3" xfId="12394" xr:uid="{00000000-0005-0000-0000-000042010000}"/>
    <cellStyle name="Comma 2 2 2 3 2" xfId="30576" xr:uid="{00000000-0005-0000-0000-000043010000}"/>
    <cellStyle name="Comma 2 2 2 4" xfId="21486" xr:uid="{00000000-0005-0000-0000-000044010000}"/>
    <cellStyle name="Comma 2 2 3" xfId="4924" xr:uid="{00000000-0005-0000-0000-000045010000}"/>
    <cellStyle name="Comma 2 2 3 2" xfId="14024" xr:uid="{00000000-0005-0000-0000-000046010000}"/>
    <cellStyle name="Comma 2 2 3 2 2" xfId="32206" xr:uid="{00000000-0005-0000-0000-000047010000}"/>
    <cellStyle name="Comma 2 2 3 3" xfId="23116" xr:uid="{00000000-0005-0000-0000-000048010000}"/>
    <cellStyle name="Comma 2 2 4" xfId="9490" xr:uid="{00000000-0005-0000-0000-000049010000}"/>
    <cellStyle name="Comma 2 2 4 2" xfId="27672" xr:uid="{00000000-0005-0000-0000-00004A010000}"/>
    <cellStyle name="Comma 2 2 5" xfId="18581" xr:uid="{00000000-0005-0000-0000-00004B010000}"/>
    <cellStyle name="Comma 2 2 6" xfId="36674" xr:uid="{00000000-0005-0000-0000-00004C010000}"/>
    <cellStyle name="Comma 2 3" xfId="3234" xr:uid="{00000000-0005-0000-0000-00004D010000}"/>
    <cellStyle name="Comma 2 3 2" xfId="7794" xr:uid="{00000000-0005-0000-0000-00004E010000}"/>
    <cellStyle name="Comma 2 3 2 2" xfId="16890" xr:uid="{00000000-0005-0000-0000-00004F010000}"/>
    <cellStyle name="Comma 2 3 2 2 2" xfId="35072" xr:uid="{00000000-0005-0000-0000-000050010000}"/>
    <cellStyle name="Comma 2 3 2 3" xfId="25982" xr:uid="{00000000-0005-0000-0000-000051010000}"/>
    <cellStyle name="Comma 2 3 3" xfId="12350" xr:uid="{00000000-0005-0000-0000-000052010000}"/>
    <cellStyle name="Comma 2 3 3 2" xfId="30532" xr:uid="{00000000-0005-0000-0000-000053010000}"/>
    <cellStyle name="Comma 2 3 4" xfId="21442" xr:uid="{00000000-0005-0000-0000-000054010000}"/>
    <cellStyle name="Comma 2 4" xfId="4881" xr:uid="{00000000-0005-0000-0000-000055010000}"/>
    <cellStyle name="Comma 2 4 2" xfId="13981" xr:uid="{00000000-0005-0000-0000-000056010000}"/>
    <cellStyle name="Comma 2 4 2 2" xfId="32163" xr:uid="{00000000-0005-0000-0000-000057010000}"/>
    <cellStyle name="Comma 2 4 3" xfId="23073" xr:uid="{00000000-0005-0000-0000-000058010000}"/>
    <cellStyle name="Comma 2 5" xfId="9447" xr:uid="{00000000-0005-0000-0000-000059010000}"/>
    <cellStyle name="Comma 2 5 2" xfId="27629" xr:uid="{00000000-0005-0000-0000-00005A010000}"/>
    <cellStyle name="Comma 2 6" xfId="18538" xr:uid="{00000000-0005-0000-0000-00005B010000}"/>
    <cellStyle name="Comma 3" xfId="2" xr:uid="{00000000-0005-0000-0000-00005C010000}"/>
    <cellStyle name="Comma0" xfId="62" xr:uid="{00000000-0005-0000-0000-00005D010000}"/>
    <cellStyle name="Currency0" xfId="63" xr:uid="{00000000-0005-0000-0000-00005E010000}"/>
    <cellStyle name="Currency1" xfId="253" xr:uid="{00000000-0005-0000-0000-00005F010000}"/>
    <cellStyle name="Date" xfId="64" xr:uid="{00000000-0005-0000-0000-000060010000}"/>
    <cellStyle name="Ênfase1" xfId="254" xr:uid="{00000000-0005-0000-0000-000061010000}"/>
    <cellStyle name="Ênfase2" xfId="255" xr:uid="{00000000-0005-0000-0000-000062010000}"/>
    <cellStyle name="Ênfase3" xfId="256" xr:uid="{00000000-0005-0000-0000-000063010000}"/>
    <cellStyle name="Ênfase4" xfId="257" xr:uid="{00000000-0005-0000-0000-000064010000}"/>
    <cellStyle name="Ênfase5" xfId="258" xr:uid="{00000000-0005-0000-0000-000065010000}"/>
    <cellStyle name="Ênfase6" xfId="259" xr:uid="{00000000-0005-0000-0000-000066010000}"/>
    <cellStyle name="Estilo 1" xfId="177" xr:uid="{00000000-0005-0000-0000-000067010000}"/>
    <cellStyle name="Euro" xfId="32" xr:uid="{00000000-0005-0000-0000-000068010000}"/>
    <cellStyle name="Euro 2" xfId="260" xr:uid="{00000000-0005-0000-0000-000069010000}"/>
    <cellStyle name="Excel Built-in Normal" xfId="261" xr:uid="{00000000-0005-0000-0000-00006A010000}"/>
    <cellStyle name="F2" xfId="1808" xr:uid="{00000000-0005-0000-0000-00006B010000}"/>
    <cellStyle name="F3" xfId="1809" xr:uid="{00000000-0005-0000-0000-00006C010000}"/>
    <cellStyle name="F4" xfId="1810" xr:uid="{00000000-0005-0000-0000-00006D010000}"/>
    <cellStyle name="F5" xfId="1811" xr:uid="{00000000-0005-0000-0000-00006E010000}"/>
    <cellStyle name="F6" xfId="1812" xr:uid="{00000000-0005-0000-0000-00006F010000}"/>
    <cellStyle name="F7" xfId="1813" xr:uid="{00000000-0005-0000-0000-000070010000}"/>
    <cellStyle name="F8" xfId="1814" xr:uid="{00000000-0005-0000-0000-000071010000}"/>
    <cellStyle name="Fixed" xfId="65" xr:uid="{00000000-0005-0000-0000-000072010000}"/>
    <cellStyle name="Heading 1" xfId="66" xr:uid="{00000000-0005-0000-0000-000073010000}"/>
    <cellStyle name="Heading 2" xfId="67" xr:uid="{00000000-0005-0000-0000-000074010000}"/>
    <cellStyle name="Helv 10 Bold" xfId="262" xr:uid="{00000000-0005-0000-0000-000075010000}"/>
    <cellStyle name="Helv 12 Bold" xfId="263" xr:uid="{00000000-0005-0000-0000-000076010000}"/>
    <cellStyle name="Hipervínculo" xfId="4805" builtinId="8"/>
    <cellStyle name="Hipervínculo 2" xfId="53" xr:uid="{00000000-0005-0000-0000-000078010000}"/>
    <cellStyle name="Hipervínculo 3" xfId="162" xr:uid="{00000000-0005-0000-0000-000079010000}"/>
    <cellStyle name="Hipervínculo 4" xfId="264" xr:uid="{00000000-0005-0000-0000-00007A010000}"/>
    <cellStyle name="Hipervínculo 5" xfId="3146" xr:uid="{00000000-0005-0000-0000-00007B010000}"/>
    <cellStyle name="Incorreto" xfId="265" xr:uid="{00000000-0005-0000-0000-00007C010000}"/>
    <cellStyle name="Millares" xfId="3" builtinId="3"/>
    <cellStyle name="Millares [0] 2" xfId="54" xr:uid="{00000000-0005-0000-0000-00007E010000}"/>
    <cellStyle name="Millares [0] 2 2" xfId="93" xr:uid="{00000000-0005-0000-0000-00007F010000}"/>
    <cellStyle name="Millares [0] 3" xfId="59" xr:uid="{00000000-0005-0000-0000-000080010000}"/>
    <cellStyle name="Millares [0] 3 2" xfId="94" xr:uid="{00000000-0005-0000-0000-000081010000}"/>
    <cellStyle name="Millares 10" xfId="61" xr:uid="{00000000-0005-0000-0000-000082010000}"/>
    <cellStyle name="Millares 10 2" xfId="95" xr:uid="{00000000-0005-0000-0000-000083010000}"/>
    <cellStyle name="Millares 10 2 2" xfId="3198" xr:uid="{00000000-0005-0000-0000-000084010000}"/>
    <cellStyle name="Millares 10 2 2 2" xfId="7758" xr:uid="{00000000-0005-0000-0000-000085010000}"/>
    <cellStyle name="Millares 10 2 2 2 2" xfId="16854" xr:uid="{00000000-0005-0000-0000-000086010000}"/>
    <cellStyle name="Millares 10 2 2 2 2 2" xfId="35036" xr:uid="{00000000-0005-0000-0000-000087010000}"/>
    <cellStyle name="Millares 10 2 2 2 3" xfId="25946" xr:uid="{00000000-0005-0000-0000-000088010000}"/>
    <cellStyle name="Millares 10 2 2 3" xfId="12314" xr:uid="{00000000-0005-0000-0000-000089010000}"/>
    <cellStyle name="Millares 10 2 2 3 2" xfId="30496" xr:uid="{00000000-0005-0000-0000-00008A010000}"/>
    <cellStyle name="Millares 10 2 2 4" xfId="21406" xr:uid="{00000000-0005-0000-0000-00008B010000}"/>
    <cellStyle name="Millares 10 2 3" xfId="4848" xr:uid="{00000000-0005-0000-0000-00008C010000}"/>
    <cellStyle name="Millares 10 2 3 2" xfId="13948" xr:uid="{00000000-0005-0000-0000-00008D010000}"/>
    <cellStyle name="Millares 10 2 3 2 2" xfId="32130" xr:uid="{00000000-0005-0000-0000-00008E010000}"/>
    <cellStyle name="Millares 10 2 3 3" xfId="23040" xr:uid="{00000000-0005-0000-0000-00008F010000}"/>
    <cellStyle name="Millares 10 2 4" xfId="9414" xr:uid="{00000000-0005-0000-0000-000090010000}"/>
    <cellStyle name="Millares 10 2 4 2" xfId="27596" xr:uid="{00000000-0005-0000-0000-000091010000}"/>
    <cellStyle name="Millares 10 2 5" xfId="18505" xr:uid="{00000000-0005-0000-0000-000092010000}"/>
    <cellStyle name="Millares 10 3" xfId="3181" xr:uid="{00000000-0005-0000-0000-000093010000}"/>
    <cellStyle name="Millares 10 3 2" xfId="7741" xr:uid="{00000000-0005-0000-0000-000094010000}"/>
    <cellStyle name="Millares 10 3 2 2" xfId="16837" xr:uid="{00000000-0005-0000-0000-000095010000}"/>
    <cellStyle name="Millares 10 3 2 2 2" xfId="35019" xr:uid="{00000000-0005-0000-0000-000096010000}"/>
    <cellStyle name="Millares 10 3 2 3" xfId="25929" xr:uid="{00000000-0005-0000-0000-000097010000}"/>
    <cellStyle name="Millares 10 3 3" xfId="12297" xr:uid="{00000000-0005-0000-0000-000098010000}"/>
    <cellStyle name="Millares 10 3 3 2" xfId="30479" xr:uid="{00000000-0005-0000-0000-000099010000}"/>
    <cellStyle name="Millares 10 3 4" xfId="21389" xr:uid="{00000000-0005-0000-0000-00009A010000}"/>
    <cellStyle name="Millares 10 4" xfId="4832" xr:uid="{00000000-0005-0000-0000-00009B010000}"/>
    <cellStyle name="Millares 10 4 2" xfId="13932" xr:uid="{00000000-0005-0000-0000-00009C010000}"/>
    <cellStyle name="Millares 10 4 2 2" xfId="32114" xr:uid="{00000000-0005-0000-0000-00009D010000}"/>
    <cellStyle name="Millares 10 4 3" xfId="23024" xr:uid="{00000000-0005-0000-0000-00009E010000}"/>
    <cellStyle name="Millares 10 5" xfId="9398" xr:uid="{00000000-0005-0000-0000-00009F010000}"/>
    <cellStyle name="Millares 10 5 2" xfId="27580" xr:uid="{00000000-0005-0000-0000-0000A0010000}"/>
    <cellStyle name="Millares 10 6" xfId="18489" xr:uid="{00000000-0005-0000-0000-0000A1010000}"/>
    <cellStyle name="Millares 11" xfId="69" xr:uid="{00000000-0005-0000-0000-0000A2010000}"/>
    <cellStyle name="Millares 11 2" xfId="116" xr:uid="{00000000-0005-0000-0000-0000A3010000}"/>
    <cellStyle name="Millares 11 2 2" xfId="3208" xr:uid="{00000000-0005-0000-0000-0000A4010000}"/>
    <cellStyle name="Millares 11 2 2 2" xfId="7768" xr:uid="{00000000-0005-0000-0000-0000A5010000}"/>
    <cellStyle name="Millares 11 2 2 2 2" xfId="16864" xr:uid="{00000000-0005-0000-0000-0000A6010000}"/>
    <cellStyle name="Millares 11 2 2 2 2 2" xfId="35046" xr:uid="{00000000-0005-0000-0000-0000A7010000}"/>
    <cellStyle name="Millares 11 2 2 2 3" xfId="25956" xr:uid="{00000000-0005-0000-0000-0000A8010000}"/>
    <cellStyle name="Millares 11 2 2 3" xfId="12324" xr:uid="{00000000-0005-0000-0000-0000A9010000}"/>
    <cellStyle name="Millares 11 2 2 3 2" xfId="30506" xr:uid="{00000000-0005-0000-0000-0000AA010000}"/>
    <cellStyle name="Millares 11 2 2 4" xfId="21416" xr:uid="{00000000-0005-0000-0000-0000AB010000}"/>
    <cellStyle name="Millares 11 3" xfId="3182" xr:uid="{00000000-0005-0000-0000-0000AC010000}"/>
    <cellStyle name="Millares 11 3 2" xfId="7742" xr:uid="{00000000-0005-0000-0000-0000AD010000}"/>
    <cellStyle name="Millares 11 3 2 2" xfId="16838" xr:uid="{00000000-0005-0000-0000-0000AE010000}"/>
    <cellStyle name="Millares 11 3 2 2 2" xfId="35020" xr:uid="{00000000-0005-0000-0000-0000AF010000}"/>
    <cellStyle name="Millares 11 3 2 3" xfId="25930" xr:uid="{00000000-0005-0000-0000-0000B0010000}"/>
    <cellStyle name="Millares 11 3 3" xfId="12298" xr:uid="{00000000-0005-0000-0000-0000B1010000}"/>
    <cellStyle name="Millares 11 3 3 2" xfId="30480" xr:uid="{00000000-0005-0000-0000-0000B2010000}"/>
    <cellStyle name="Millares 11 3 4" xfId="21390" xr:uid="{00000000-0005-0000-0000-0000B3010000}"/>
    <cellStyle name="Millares 12" xfId="118" xr:uid="{00000000-0005-0000-0000-0000B4010000}"/>
    <cellStyle name="Millares 12 10" xfId="9424" xr:uid="{00000000-0005-0000-0000-0000B5010000}"/>
    <cellStyle name="Millares 12 10 2" xfId="27606" xr:uid="{00000000-0005-0000-0000-0000B6010000}"/>
    <cellStyle name="Millares 12 11" xfId="18515" xr:uid="{00000000-0005-0000-0000-0000B7010000}"/>
    <cellStyle name="Millares 12 2" xfId="266" xr:uid="{00000000-0005-0000-0000-0000B8010000}"/>
    <cellStyle name="Millares 12 2 10" xfId="18582" xr:uid="{00000000-0005-0000-0000-0000B9010000}"/>
    <cellStyle name="Millares 12 2 2" xfId="267" xr:uid="{00000000-0005-0000-0000-0000BA010000}"/>
    <cellStyle name="Millares 12 2 2 2" xfId="268" xr:uid="{00000000-0005-0000-0000-0000BB010000}"/>
    <cellStyle name="Millares 12 2 2 2 2" xfId="269" xr:uid="{00000000-0005-0000-0000-0000BC010000}"/>
    <cellStyle name="Millares 12 2 2 2 2 2" xfId="1830" xr:uid="{00000000-0005-0000-0000-0000BD010000}"/>
    <cellStyle name="Millares 12 2 2 2 2 2 2" xfId="6446" xr:uid="{00000000-0005-0000-0000-0000BE010000}"/>
    <cellStyle name="Millares 12 2 2 2 2 2 2 2" xfId="15546" xr:uid="{00000000-0005-0000-0000-0000BF010000}"/>
    <cellStyle name="Millares 12 2 2 2 2 2 2 2 2" xfId="33728" xr:uid="{00000000-0005-0000-0000-0000C0010000}"/>
    <cellStyle name="Millares 12 2 2 2 2 2 2 3" xfId="24638" xr:uid="{00000000-0005-0000-0000-0000C1010000}"/>
    <cellStyle name="Millares 12 2 2 2 2 2 3" xfId="11010" xr:uid="{00000000-0005-0000-0000-0000C2010000}"/>
    <cellStyle name="Millares 12 2 2 2 2 2 3 2" xfId="29192" xr:uid="{00000000-0005-0000-0000-0000C3010000}"/>
    <cellStyle name="Millares 12 2 2 2 2 2 4" xfId="20102" xr:uid="{00000000-0005-0000-0000-0000C4010000}"/>
    <cellStyle name="Millares 12 2 2 2 2 3" xfId="3286" xr:uid="{00000000-0005-0000-0000-0000C5010000}"/>
    <cellStyle name="Millares 12 2 2 2 2 3 2" xfId="7842" xr:uid="{00000000-0005-0000-0000-0000C6010000}"/>
    <cellStyle name="Millares 12 2 2 2 2 3 2 2" xfId="16938" xr:uid="{00000000-0005-0000-0000-0000C7010000}"/>
    <cellStyle name="Millares 12 2 2 2 2 3 2 2 2" xfId="35120" xr:uid="{00000000-0005-0000-0000-0000C8010000}"/>
    <cellStyle name="Millares 12 2 2 2 2 3 2 3" xfId="26030" xr:uid="{00000000-0005-0000-0000-0000C9010000}"/>
    <cellStyle name="Millares 12 2 2 2 2 3 3" xfId="12398" xr:uid="{00000000-0005-0000-0000-0000CA010000}"/>
    <cellStyle name="Millares 12 2 2 2 2 3 3 2" xfId="30580" xr:uid="{00000000-0005-0000-0000-0000CB010000}"/>
    <cellStyle name="Millares 12 2 2 2 2 3 4" xfId="21490" xr:uid="{00000000-0005-0000-0000-0000CC010000}"/>
    <cellStyle name="Millares 12 2 2 2 2 4" xfId="4928" xr:uid="{00000000-0005-0000-0000-0000CD010000}"/>
    <cellStyle name="Millares 12 2 2 2 2 4 2" xfId="14028" xr:uid="{00000000-0005-0000-0000-0000CE010000}"/>
    <cellStyle name="Millares 12 2 2 2 2 4 2 2" xfId="32210" xr:uid="{00000000-0005-0000-0000-0000CF010000}"/>
    <cellStyle name="Millares 12 2 2 2 2 4 3" xfId="23120" xr:uid="{00000000-0005-0000-0000-0000D0010000}"/>
    <cellStyle name="Millares 12 2 2 2 2 5" xfId="9494" xr:uid="{00000000-0005-0000-0000-0000D1010000}"/>
    <cellStyle name="Millares 12 2 2 2 2 5 2" xfId="27676" xr:uid="{00000000-0005-0000-0000-0000D2010000}"/>
    <cellStyle name="Millares 12 2 2 2 2 6" xfId="18585" xr:uid="{00000000-0005-0000-0000-0000D3010000}"/>
    <cellStyle name="Millares 12 2 2 2 3" xfId="1831" xr:uid="{00000000-0005-0000-0000-0000D4010000}"/>
    <cellStyle name="Millares 12 2 2 2 3 2" xfId="6447" xr:uid="{00000000-0005-0000-0000-0000D5010000}"/>
    <cellStyle name="Millares 12 2 2 2 3 2 2" xfId="15547" xr:uid="{00000000-0005-0000-0000-0000D6010000}"/>
    <cellStyle name="Millares 12 2 2 2 3 2 2 2" xfId="33729" xr:uid="{00000000-0005-0000-0000-0000D7010000}"/>
    <cellStyle name="Millares 12 2 2 2 3 2 3" xfId="24639" xr:uid="{00000000-0005-0000-0000-0000D8010000}"/>
    <cellStyle name="Millares 12 2 2 2 3 3" xfId="11011" xr:uid="{00000000-0005-0000-0000-0000D9010000}"/>
    <cellStyle name="Millares 12 2 2 2 3 3 2" xfId="29193" xr:uid="{00000000-0005-0000-0000-0000DA010000}"/>
    <cellStyle name="Millares 12 2 2 2 3 4" xfId="20103" xr:uid="{00000000-0005-0000-0000-0000DB010000}"/>
    <cellStyle name="Millares 12 2 2 2 4" xfId="3285" xr:uid="{00000000-0005-0000-0000-0000DC010000}"/>
    <cellStyle name="Millares 12 2 2 2 4 2" xfId="7841" xr:uid="{00000000-0005-0000-0000-0000DD010000}"/>
    <cellStyle name="Millares 12 2 2 2 4 2 2" xfId="16937" xr:uid="{00000000-0005-0000-0000-0000DE010000}"/>
    <cellStyle name="Millares 12 2 2 2 4 2 2 2" xfId="35119" xr:uid="{00000000-0005-0000-0000-0000DF010000}"/>
    <cellStyle name="Millares 12 2 2 2 4 2 3" xfId="26029" xr:uid="{00000000-0005-0000-0000-0000E0010000}"/>
    <cellStyle name="Millares 12 2 2 2 4 3" xfId="12397" xr:uid="{00000000-0005-0000-0000-0000E1010000}"/>
    <cellStyle name="Millares 12 2 2 2 4 3 2" xfId="30579" xr:uid="{00000000-0005-0000-0000-0000E2010000}"/>
    <cellStyle name="Millares 12 2 2 2 4 4" xfId="21489" xr:uid="{00000000-0005-0000-0000-0000E3010000}"/>
    <cellStyle name="Millares 12 2 2 2 5" xfId="4927" xr:uid="{00000000-0005-0000-0000-0000E4010000}"/>
    <cellStyle name="Millares 12 2 2 2 5 2" xfId="14027" xr:uid="{00000000-0005-0000-0000-0000E5010000}"/>
    <cellStyle name="Millares 12 2 2 2 5 2 2" xfId="32209" xr:uid="{00000000-0005-0000-0000-0000E6010000}"/>
    <cellStyle name="Millares 12 2 2 2 5 3" xfId="23119" xr:uid="{00000000-0005-0000-0000-0000E7010000}"/>
    <cellStyle name="Millares 12 2 2 2 6" xfId="9493" xr:uid="{00000000-0005-0000-0000-0000E8010000}"/>
    <cellStyle name="Millares 12 2 2 2 6 2" xfId="27675" xr:uid="{00000000-0005-0000-0000-0000E9010000}"/>
    <cellStyle name="Millares 12 2 2 2 7" xfId="18584" xr:uid="{00000000-0005-0000-0000-0000EA010000}"/>
    <cellStyle name="Millares 12 2 2 3" xfId="270" xr:uid="{00000000-0005-0000-0000-0000EB010000}"/>
    <cellStyle name="Millares 12 2 2 3 2" xfId="1832" xr:uid="{00000000-0005-0000-0000-0000EC010000}"/>
    <cellStyle name="Millares 12 2 2 3 2 2" xfId="6448" xr:uid="{00000000-0005-0000-0000-0000ED010000}"/>
    <cellStyle name="Millares 12 2 2 3 2 2 2" xfId="15548" xr:uid="{00000000-0005-0000-0000-0000EE010000}"/>
    <cellStyle name="Millares 12 2 2 3 2 2 2 2" xfId="33730" xr:uid="{00000000-0005-0000-0000-0000EF010000}"/>
    <cellStyle name="Millares 12 2 2 3 2 2 3" xfId="24640" xr:uid="{00000000-0005-0000-0000-0000F0010000}"/>
    <cellStyle name="Millares 12 2 2 3 2 3" xfId="11012" xr:uid="{00000000-0005-0000-0000-0000F1010000}"/>
    <cellStyle name="Millares 12 2 2 3 2 3 2" xfId="29194" xr:uid="{00000000-0005-0000-0000-0000F2010000}"/>
    <cellStyle name="Millares 12 2 2 3 2 4" xfId="20104" xr:uid="{00000000-0005-0000-0000-0000F3010000}"/>
    <cellStyle name="Millares 12 2 2 3 3" xfId="3287" xr:uid="{00000000-0005-0000-0000-0000F4010000}"/>
    <cellStyle name="Millares 12 2 2 3 3 2" xfId="7843" xr:uid="{00000000-0005-0000-0000-0000F5010000}"/>
    <cellStyle name="Millares 12 2 2 3 3 2 2" xfId="16939" xr:uid="{00000000-0005-0000-0000-0000F6010000}"/>
    <cellStyle name="Millares 12 2 2 3 3 2 2 2" xfId="35121" xr:uid="{00000000-0005-0000-0000-0000F7010000}"/>
    <cellStyle name="Millares 12 2 2 3 3 2 3" xfId="26031" xr:uid="{00000000-0005-0000-0000-0000F8010000}"/>
    <cellStyle name="Millares 12 2 2 3 3 3" xfId="12399" xr:uid="{00000000-0005-0000-0000-0000F9010000}"/>
    <cellStyle name="Millares 12 2 2 3 3 3 2" xfId="30581" xr:uid="{00000000-0005-0000-0000-0000FA010000}"/>
    <cellStyle name="Millares 12 2 2 3 3 4" xfId="21491" xr:uid="{00000000-0005-0000-0000-0000FB010000}"/>
    <cellStyle name="Millares 12 2 2 3 4" xfId="4929" xr:uid="{00000000-0005-0000-0000-0000FC010000}"/>
    <cellStyle name="Millares 12 2 2 3 4 2" xfId="14029" xr:uid="{00000000-0005-0000-0000-0000FD010000}"/>
    <cellStyle name="Millares 12 2 2 3 4 2 2" xfId="32211" xr:uid="{00000000-0005-0000-0000-0000FE010000}"/>
    <cellStyle name="Millares 12 2 2 3 4 3" xfId="23121" xr:uid="{00000000-0005-0000-0000-0000FF010000}"/>
    <cellStyle name="Millares 12 2 2 3 5" xfId="9495" xr:uid="{00000000-0005-0000-0000-000000020000}"/>
    <cellStyle name="Millares 12 2 2 3 5 2" xfId="27677" xr:uid="{00000000-0005-0000-0000-000001020000}"/>
    <cellStyle name="Millares 12 2 2 3 6" xfId="18586" xr:uid="{00000000-0005-0000-0000-000002020000}"/>
    <cellStyle name="Millares 12 2 2 4" xfId="271" xr:uid="{00000000-0005-0000-0000-000003020000}"/>
    <cellStyle name="Millares 12 2 2 4 2" xfId="3288" xr:uid="{00000000-0005-0000-0000-000004020000}"/>
    <cellStyle name="Millares 12 2 2 4 2 2" xfId="7844" xr:uid="{00000000-0005-0000-0000-000005020000}"/>
    <cellStyle name="Millares 12 2 2 4 2 2 2" xfId="16940" xr:uid="{00000000-0005-0000-0000-000006020000}"/>
    <cellStyle name="Millares 12 2 2 4 2 2 2 2" xfId="35122" xr:uid="{00000000-0005-0000-0000-000007020000}"/>
    <cellStyle name="Millares 12 2 2 4 2 2 3" xfId="26032" xr:uid="{00000000-0005-0000-0000-000008020000}"/>
    <cellStyle name="Millares 12 2 2 4 2 3" xfId="12400" xr:uid="{00000000-0005-0000-0000-000009020000}"/>
    <cellStyle name="Millares 12 2 2 4 2 3 2" xfId="30582" xr:uid="{00000000-0005-0000-0000-00000A020000}"/>
    <cellStyle name="Millares 12 2 2 4 2 4" xfId="21492" xr:uid="{00000000-0005-0000-0000-00000B020000}"/>
    <cellStyle name="Millares 12 2 2 4 3" xfId="4930" xr:uid="{00000000-0005-0000-0000-00000C020000}"/>
    <cellStyle name="Millares 12 2 2 4 3 2" xfId="14030" xr:uid="{00000000-0005-0000-0000-00000D020000}"/>
    <cellStyle name="Millares 12 2 2 4 3 2 2" xfId="32212" xr:uid="{00000000-0005-0000-0000-00000E020000}"/>
    <cellStyle name="Millares 12 2 2 4 3 3" xfId="23122" xr:uid="{00000000-0005-0000-0000-00000F020000}"/>
    <cellStyle name="Millares 12 2 2 4 4" xfId="9496" xr:uid="{00000000-0005-0000-0000-000010020000}"/>
    <cellStyle name="Millares 12 2 2 4 4 2" xfId="27678" xr:uid="{00000000-0005-0000-0000-000011020000}"/>
    <cellStyle name="Millares 12 2 2 4 5" xfId="18587" xr:uid="{00000000-0005-0000-0000-000012020000}"/>
    <cellStyle name="Millares 12 2 2 5" xfId="1833" xr:uid="{00000000-0005-0000-0000-000013020000}"/>
    <cellStyle name="Millares 12 2 2 6" xfId="3284" xr:uid="{00000000-0005-0000-0000-000014020000}"/>
    <cellStyle name="Millares 12 2 2 6 2" xfId="7840" xr:uid="{00000000-0005-0000-0000-000015020000}"/>
    <cellStyle name="Millares 12 2 2 6 2 2" xfId="16936" xr:uid="{00000000-0005-0000-0000-000016020000}"/>
    <cellStyle name="Millares 12 2 2 6 2 2 2" xfId="35118" xr:uid="{00000000-0005-0000-0000-000017020000}"/>
    <cellStyle name="Millares 12 2 2 6 2 3" xfId="26028" xr:uid="{00000000-0005-0000-0000-000018020000}"/>
    <cellStyle name="Millares 12 2 2 6 3" xfId="12396" xr:uid="{00000000-0005-0000-0000-000019020000}"/>
    <cellStyle name="Millares 12 2 2 6 3 2" xfId="30578" xr:uid="{00000000-0005-0000-0000-00001A020000}"/>
    <cellStyle name="Millares 12 2 2 6 4" xfId="21488" xr:uid="{00000000-0005-0000-0000-00001B020000}"/>
    <cellStyle name="Millares 12 2 2 7" xfId="4926" xr:uid="{00000000-0005-0000-0000-00001C020000}"/>
    <cellStyle name="Millares 12 2 2 7 2" xfId="14026" xr:uid="{00000000-0005-0000-0000-00001D020000}"/>
    <cellStyle name="Millares 12 2 2 7 2 2" xfId="32208" xr:uid="{00000000-0005-0000-0000-00001E020000}"/>
    <cellStyle name="Millares 12 2 2 7 3" xfId="23118" xr:uid="{00000000-0005-0000-0000-00001F020000}"/>
    <cellStyle name="Millares 12 2 2 8" xfId="9492" xr:uid="{00000000-0005-0000-0000-000020020000}"/>
    <cellStyle name="Millares 12 2 2 8 2" xfId="27674" xr:uid="{00000000-0005-0000-0000-000021020000}"/>
    <cellStyle name="Millares 12 2 2 9" xfId="18583" xr:uid="{00000000-0005-0000-0000-000022020000}"/>
    <cellStyle name="Millares 12 2 3" xfId="272" xr:uid="{00000000-0005-0000-0000-000023020000}"/>
    <cellStyle name="Millares 12 2 3 2" xfId="273" xr:uid="{00000000-0005-0000-0000-000024020000}"/>
    <cellStyle name="Millares 12 2 3 2 2" xfId="1834" xr:uid="{00000000-0005-0000-0000-000025020000}"/>
    <cellStyle name="Millares 12 2 3 2 2 2" xfId="6449" xr:uid="{00000000-0005-0000-0000-000026020000}"/>
    <cellStyle name="Millares 12 2 3 2 2 2 2" xfId="15549" xr:uid="{00000000-0005-0000-0000-000027020000}"/>
    <cellStyle name="Millares 12 2 3 2 2 2 2 2" xfId="33731" xr:uid="{00000000-0005-0000-0000-000028020000}"/>
    <cellStyle name="Millares 12 2 3 2 2 2 3" xfId="24641" xr:uid="{00000000-0005-0000-0000-000029020000}"/>
    <cellStyle name="Millares 12 2 3 2 2 3" xfId="11013" xr:uid="{00000000-0005-0000-0000-00002A020000}"/>
    <cellStyle name="Millares 12 2 3 2 2 3 2" xfId="29195" xr:uid="{00000000-0005-0000-0000-00002B020000}"/>
    <cellStyle name="Millares 12 2 3 2 2 4" xfId="20105" xr:uid="{00000000-0005-0000-0000-00002C020000}"/>
    <cellStyle name="Millares 12 2 3 2 3" xfId="3290" xr:uid="{00000000-0005-0000-0000-00002D020000}"/>
    <cellStyle name="Millares 12 2 3 2 3 2" xfId="7846" xr:uid="{00000000-0005-0000-0000-00002E020000}"/>
    <cellStyle name="Millares 12 2 3 2 3 2 2" xfId="16942" xr:uid="{00000000-0005-0000-0000-00002F020000}"/>
    <cellStyle name="Millares 12 2 3 2 3 2 2 2" xfId="35124" xr:uid="{00000000-0005-0000-0000-000030020000}"/>
    <cellStyle name="Millares 12 2 3 2 3 2 3" xfId="26034" xr:uid="{00000000-0005-0000-0000-000031020000}"/>
    <cellStyle name="Millares 12 2 3 2 3 3" xfId="12402" xr:uid="{00000000-0005-0000-0000-000032020000}"/>
    <cellStyle name="Millares 12 2 3 2 3 3 2" xfId="30584" xr:uid="{00000000-0005-0000-0000-000033020000}"/>
    <cellStyle name="Millares 12 2 3 2 3 4" xfId="21494" xr:uid="{00000000-0005-0000-0000-000034020000}"/>
    <cellStyle name="Millares 12 2 3 2 4" xfId="4932" xr:uid="{00000000-0005-0000-0000-000035020000}"/>
    <cellStyle name="Millares 12 2 3 2 4 2" xfId="14032" xr:uid="{00000000-0005-0000-0000-000036020000}"/>
    <cellStyle name="Millares 12 2 3 2 4 2 2" xfId="32214" xr:uid="{00000000-0005-0000-0000-000037020000}"/>
    <cellStyle name="Millares 12 2 3 2 4 3" xfId="23124" xr:uid="{00000000-0005-0000-0000-000038020000}"/>
    <cellStyle name="Millares 12 2 3 2 5" xfId="9498" xr:uid="{00000000-0005-0000-0000-000039020000}"/>
    <cellStyle name="Millares 12 2 3 2 5 2" xfId="27680" xr:uid="{00000000-0005-0000-0000-00003A020000}"/>
    <cellStyle name="Millares 12 2 3 2 6" xfId="18589" xr:uid="{00000000-0005-0000-0000-00003B020000}"/>
    <cellStyle name="Millares 12 2 3 3" xfId="1835" xr:uid="{00000000-0005-0000-0000-00003C020000}"/>
    <cellStyle name="Millares 12 2 3 3 2" xfId="6450" xr:uid="{00000000-0005-0000-0000-00003D020000}"/>
    <cellStyle name="Millares 12 2 3 3 2 2" xfId="15550" xr:uid="{00000000-0005-0000-0000-00003E020000}"/>
    <cellStyle name="Millares 12 2 3 3 2 2 2" xfId="33732" xr:uid="{00000000-0005-0000-0000-00003F020000}"/>
    <cellStyle name="Millares 12 2 3 3 2 3" xfId="24642" xr:uid="{00000000-0005-0000-0000-000040020000}"/>
    <cellStyle name="Millares 12 2 3 3 3" xfId="11014" xr:uid="{00000000-0005-0000-0000-000041020000}"/>
    <cellStyle name="Millares 12 2 3 3 3 2" xfId="29196" xr:uid="{00000000-0005-0000-0000-000042020000}"/>
    <cellStyle name="Millares 12 2 3 3 4" xfId="20106" xr:uid="{00000000-0005-0000-0000-000043020000}"/>
    <cellStyle name="Millares 12 2 3 4" xfId="3289" xr:uid="{00000000-0005-0000-0000-000044020000}"/>
    <cellStyle name="Millares 12 2 3 4 2" xfId="7845" xr:uid="{00000000-0005-0000-0000-000045020000}"/>
    <cellStyle name="Millares 12 2 3 4 2 2" xfId="16941" xr:uid="{00000000-0005-0000-0000-000046020000}"/>
    <cellStyle name="Millares 12 2 3 4 2 2 2" xfId="35123" xr:uid="{00000000-0005-0000-0000-000047020000}"/>
    <cellStyle name="Millares 12 2 3 4 2 3" xfId="26033" xr:uid="{00000000-0005-0000-0000-000048020000}"/>
    <cellStyle name="Millares 12 2 3 4 3" xfId="12401" xr:uid="{00000000-0005-0000-0000-000049020000}"/>
    <cellStyle name="Millares 12 2 3 4 3 2" xfId="30583" xr:uid="{00000000-0005-0000-0000-00004A020000}"/>
    <cellStyle name="Millares 12 2 3 4 4" xfId="21493" xr:uid="{00000000-0005-0000-0000-00004B020000}"/>
    <cellStyle name="Millares 12 2 3 5" xfId="4931" xr:uid="{00000000-0005-0000-0000-00004C020000}"/>
    <cellStyle name="Millares 12 2 3 5 2" xfId="14031" xr:uid="{00000000-0005-0000-0000-00004D020000}"/>
    <cellStyle name="Millares 12 2 3 5 2 2" xfId="32213" xr:uid="{00000000-0005-0000-0000-00004E020000}"/>
    <cellStyle name="Millares 12 2 3 5 3" xfId="23123" xr:uid="{00000000-0005-0000-0000-00004F020000}"/>
    <cellStyle name="Millares 12 2 3 6" xfId="9497" xr:uid="{00000000-0005-0000-0000-000050020000}"/>
    <cellStyle name="Millares 12 2 3 6 2" xfId="27679" xr:uid="{00000000-0005-0000-0000-000051020000}"/>
    <cellStyle name="Millares 12 2 3 7" xfId="18588" xr:uid="{00000000-0005-0000-0000-000052020000}"/>
    <cellStyle name="Millares 12 2 4" xfId="274" xr:uid="{00000000-0005-0000-0000-000053020000}"/>
    <cellStyle name="Millares 12 2 4 2" xfId="1836" xr:uid="{00000000-0005-0000-0000-000054020000}"/>
    <cellStyle name="Millares 12 2 4 2 2" xfId="6451" xr:uid="{00000000-0005-0000-0000-000055020000}"/>
    <cellStyle name="Millares 12 2 4 2 2 2" xfId="15551" xr:uid="{00000000-0005-0000-0000-000056020000}"/>
    <cellStyle name="Millares 12 2 4 2 2 2 2" xfId="33733" xr:uid="{00000000-0005-0000-0000-000057020000}"/>
    <cellStyle name="Millares 12 2 4 2 2 3" xfId="24643" xr:uid="{00000000-0005-0000-0000-000058020000}"/>
    <cellStyle name="Millares 12 2 4 2 3" xfId="11015" xr:uid="{00000000-0005-0000-0000-000059020000}"/>
    <cellStyle name="Millares 12 2 4 2 3 2" xfId="29197" xr:uid="{00000000-0005-0000-0000-00005A020000}"/>
    <cellStyle name="Millares 12 2 4 2 4" xfId="20107" xr:uid="{00000000-0005-0000-0000-00005B020000}"/>
    <cellStyle name="Millares 12 2 4 3" xfId="3291" xr:uid="{00000000-0005-0000-0000-00005C020000}"/>
    <cellStyle name="Millares 12 2 4 3 2" xfId="7847" xr:uid="{00000000-0005-0000-0000-00005D020000}"/>
    <cellStyle name="Millares 12 2 4 3 2 2" xfId="16943" xr:uid="{00000000-0005-0000-0000-00005E020000}"/>
    <cellStyle name="Millares 12 2 4 3 2 2 2" xfId="35125" xr:uid="{00000000-0005-0000-0000-00005F020000}"/>
    <cellStyle name="Millares 12 2 4 3 2 3" xfId="26035" xr:uid="{00000000-0005-0000-0000-000060020000}"/>
    <cellStyle name="Millares 12 2 4 3 3" xfId="12403" xr:uid="{00000000-0005-0000-0000-000061020000}"/>
    <cellStyle name="Millares 12 2 4 3 3 2" xfId="30585" xr:uid="{00000000-0005-0000-0000-000062020000}"/>
    <cellStyle name="Millares 12 2 4 3 4" xfId="21495" xr:uid="{00000000-0005-0000-0000-000063020000}"/>
    <cellStyle name="Millares 12 2 4 4" xfId="4933" xr:uid="{00000000-0005-0000-0000-000064020000}"/>
    <cellStyle name="Millares 12 2 4 4 2" xfId="14033" xr:uid="{00000000-0005-0000-0000-000065020000}"/>
    <cellStyle name="Millares 12 2 4 4 2 2" xfId="32215" xr:uid="{00000000-0005-0000-0000-000066020000}"/>
    <cellStyle name="Millares 12 2 4 4 3" xfId="23125" xr:uid="{00000000-0005-0000-0000-000067020000}"/>
    <cellStyle name="Millares 12 2 4 5" xfId="9499" xr:uid="{00000000-0005-0000-0000-000068020000}"/>
    <cellStyle name="Millares 12 2 4 5 2" xfId="27681" xr:uid="{00000000-0005-0000-0000-000069020000}"/>
    <cellStyle name="Millares 12 2 4 6" xfId="18590" xr:uid="{00000000-0005-0000-0000-00006A020000}"/>
    <cellStyle name="Millares 12 2 5" xfId="275" xr:uid="{00000000-0005-0000-0000-00006B020000}"/>
    <cellStyle name="Millares 12 2 5 2" xfId="3292" xr:uid="{00000000-0005-0000-0000-00006C020000}"/>
    <cellStyle name="Millares 12 2 5 2 2" xfId="7848" xr:uid="{00000000-0005-0000-0000-00006D020000}"/>
    <cellStyle name="Millares 12 2 5 2 2 2" xfId="16944" xr:uid="{00000000-0005-0000-0000-00006E020000}"/>
    <cellStyle name="Millares 12 2 5 2 2 2 2" xfId="35126" xr:uid="{00000000-0005-0000-0000-00006F020000}"/>
    <cellStyle name="Millares 12 2 5 2 2 3" xfId="26036" xr:uid="{00000000-0005-0000-0000-000070020000}"/>
    <cellStyle name="Millares 12 2 5 2 3" xfId="12404" xr:uid="{00000000-0005-0000-0000-000071020000}"/>
    <cellStyle name="Millares 12 2 5 2 3 2" xfId="30586" xr:uid="{00000000-0005-0000-0000-000072020000}"/>
    <cellStyle name="Millares 12 2 5 2 4" xfId="21496" xr:uid="{00000000-0005-0000-0000-000073020000}"/>
    <cellStyle name="Millares 12 2 5 3" xfId="4934" xr:uid="{00000000-0005-0000-0000-000074020000}"/>
    <cellStyle name="Millares 12 2 5 3 2" xfId="14034" xr:uid="{00000000-0005-0000-0000-000075020000}"/>
    <cellStyle name="Millares 12 2 5 3 2 2" xfId="32216" xr:uid="{00000000-0005-0000-0000-000076020000}"/>
    <cellStyle name="Millares 12 2 5 3 3" xfId="23126" xr:uid="{00000000-0005-0000-0000-000077020000}"/>
    <cellStyle name="Millares 12 2 5 4" xfId="9500" xr:uid="{00000000-0005-0000-0000-000078020000}"/>
    <cellStyle name="Millares 12 2 5 4 2" xfId="27682" xr:uid="{00000000-0005-0000-0000-000079020000}"/>
    <cellStyle name="Millares 12 2 5 5" xfId="18591" xr:uid="{00000000-0005-0000-0000-00007A020000}"/>
    <cellStyle name="Millares 12 2 6" xfId="1837" xr:uid="{00000000-0005-0000-0000-00007B020000}"/>
    <cellStyle name="Millares 12 2 6 2" xfId="6452" xr:uid="{00000000-0005-0000-0000-00007C020000}"/>
    <cellStyle name="Millares 12 2 6 2 2" xfId="15552" xr:uid="{00000000-0005-0000-0000-00007D020000}"/>
    <cellStyle name="Millares 12 2 6 2 2 2" xfId="33734" xr:uid="{00000000-0005-0000-0000-00007E020000}"/>
    <cellStyle name="Millares 12 2 6 2 3" xfId="24644" xr:uid="{00000000-0005-0000-0000-00007F020000}"/>
    <cellStyle name="Millares 12 2 6 3" xfId="11016" xr:uid="{00000000-0005-0000-0000-000080020000}"/>
    <cellStyle name="Millares 12 2 6 3 2" xfId="29198" xr:uid="{00000000-0005-0000-0000-000081020000}"/>
    <cellStyle name="Millares 12 2 6 4" xfId="20108" xr:uid="{00000000-0005-0000-0000-000082020000}"/>
    <cellStyle name="Millares 12 2 7" xfId="3283" xr:uid="{00000000-0005-0000-0000-000083020000}"/>
    <cellStyle name="Millares 12 2 7 2" xfId="7839" xr:uid="{00000000-0005-0000-0000-000084020000}"/>
    <cellStyle name="Millares 12 2 7 2 2" xfId="16935" xr:uid="{00000000-0005-0000-0000-000085020000}"/>
    <cellStyle name="Millares 12 2 7 2 2 2" xfId="35117" xr:uid="{00000000-0005-0000-0000-000086020000}"/>
    <cellStyle name="Millares 12 2 7 2 3" xfId="26027" xr:uid="{00000000-0005-0000-0000-000087020000}"/>
    <cellStyle name="Millares 12 2 7 3" xfId="12395" xr:uid="{00000000-0005-0000-0000-000088020000}"/>
    <cellStyle name="Millares 12 2 7 3 2" xfId="30577" xr:uid="{00000000-0005-0000-0000-000089020000}"/>
    <cellStyle name="Millares 12 2 7 4" xfId="21487" xr:uid="{00000000-0005-0000-0000-00008A020000}"/>
    <cellStyle name="Millares 12 2 8" xfId="4925" xr:uid="{00000000-0005-0000-0000-00008B020000}"/>
    <cellStyle name="Millares 12 2 8 2" xfId="14025" xr:uid="{00000000-0005-0000-0000-00008C020000}"/>
    <cellStyle name="Millares 12 2 8 2 2" xfId="32207" xr:uid="{00000000-0005-0000-0000-00008D020000}"/>
    <cellStyle name="Millares 12 2 8 3" xfId="23117" xr:uid="{00000000-0005-0000-0000-00008E020000}"/>
    <cellStyle name="Millares 12 2 9" xfId="9491" xr:uid="{00000000-0005-0000-0000-00008F020000}"/>
    <cellStyle name="Millares 12 2 9 2" xfId="27673" xr:uid="{00000000-0005-0000-0000-000090020000}"/>
    <cellStyle name="Millares 12 3" xfId="276" xr:uid="{00000000-0005-0000-0000-000091020000}"/>
    <cellStyle name="Millares 12 3 2" xfId="277" xr:uid="{00000000-0005-0000-0000-000092020000}"/>
    <cellStyle name="Millares 12 3 2 2" xfId="278" xr:uid="{00000000-0005-0000-0000-000093020000}"/>
    <cellStyle name="Millares 12 3 2 2 2" xfId="1838" xr:uid="{00000000-0005-0000-0000-000094020000}"/>
    <cellStyle name="Millares 12 3 2 2 2 2" xfId="6453" xr:uid="{00000000-0005-0000-0000-000095020000}"/>
    <cellStyle name="Millares 12 3 2 2 2 2 2" xfId="15553" xr:uid="{00000000-0005-0000-0000-000096020000}"/>
    <cellStyle name="Millares 12 3 2 2 2 2 2 2" xfId="33735" xr:uid="{00000000-0005-0000-0000-000097020000}"/>
    <cellStyle name="Millares 12 3 2 2 2 2 3" xfId="24645" xr:uid="{00000000-0005-0000-0000-000098020000}"/>
    <cellStyle name="Millares 12 3 2 2 2 3" xfId="11017" xr:uid="{00000000-0005-0000-0000-000099020000}"/>
    <cellStyle name="Millares 12 3 2 2 2 3 2" xfId="29199" xr:uid="{00000000-0005-0000-0000-00009A020000}"/>
    <cellStyle name="Millares 12 3 2 2 2 4" xfId="20109" xr:uid="{00000000-0005-0000-0000-00009B020000}"/>
    <cellStyle name="Millares 12 3 2 2 3" xfId="3295" xr:uid="{00000000-0005-0000-0000-00009C020000}"/>
    <cellStyle name="Millares 12 3 2 2 3 2" xfId="7851" xr:uid="{00000000-0005-0000-0000-00009D020000}"/>
    <cellStyle name="Millares 12 3 2 2 3 2 2" xfId="16947" xr:uid="{00000000-0005-0000-0000-00009E020000}"/>
    <cellStyle name="Millares 12 3 2 2 3 2 2 2" xfId="35129" xr:uid="{00000000-0005-0000-0000-00009F020000}"/>
    <cellStyle name="Millares 12 3 2 2 3 2 3" xfId="26039" xr:uid="{00000000-0005-0000-0000-0000A0020000}"/>
    <cellStyle name="Millares 12 3 2 2 3 3" xfId="12407" xr:uid="{00000000-0005-0000-0000-0000A1020000}"/>
    <cellStyle name="Millares 12 3 2 2 3 3 2" xfId="30589" xr:uid="{00000000-0005-0000-0000-0000A2020000}"/>
    <cellStyle name="Millares 12 3 2 2 3 4" xfId="21499" xr:uid="{00000000-0005-0000-0000-0000A3020000}"/>
    <cellStyle name="Millares 12 3 2 2 4" xfId="4937" xr:uid="{00000000-0005-0000-0000-0000A4020000}"/>
    <cellStyle name="Millares 12 3 2 2 4 2" xfId="14037" xr:uid="{00000000-0005-0000-0000-0000A5020000}"/>
    <cellStyle name="Millares 12 3 2 2 4 2 2" xfId="32219" xr:uid="{00000000-0005-0000-0000-0000A6020000}"/>
    <cellStyle name="Millares 12 3 2 2 4 3" xfId="23129" xr:uid="{00000000-0005-0000-0000-0000A7020000}"/>
    <cellStyle name="Millares 12 3 2 2 5" xfId="9503" xr:uid="{00000000-0005-0000-0000-0000A8020000}"/>
    <cellStyle name="Millares 12 3 2 2 5 2" xfId="27685" xr:uid="{00000000-0005-0000-0000-0000A9020000}"/>
    <cellStyle name="Millares 12 3 2 2 6" xfId="18594" xr:uid="{00000000-0005-0000-0000-0000AA020000}"/>
    <cellStyle name="Millares 12 3 2 3" xfId="1839" xr:uid="{00000000-0005-0000-0000-0000AB020000}"/>
    <cellStyle name="Millares 12 3 2 3 2" xfId="6454" xr:uid="{00000000-0005-0000-0000-0000AC020000}"/>
    <cellStyle name="Millares 12 3 2 3 2 2" xfId="15554" xr:uid="{00000000-0005-0000-0000-0000AD020000}"/>
    <cellStyle name="Millares 12 3 2 3 2 2 2" xfId="33736" xr:uid="{00000000-0005-0000-0000-0000AE020000}"/>
    <cellStyle name="Millares 12 3 2 3 2 3" xfId="24646" xr:uid="{00000000-0005-0000-0000-0000AF020000}"/>
    <cellStyle name="Millares 12 3 2 3 3" xfId="11018" xr:uid="{00000000-0005-0000-0000-0000B0020000}"/>
    <cellStyle name="Millares 12 3 2 3 3 2" xfId="29200" xr:uid="{00000000-0005-0000-0000-0000B1020000}"/>
    <cellStyle name="Millares 12 3 2 3 4" xfId="20110" xr:uid="{00000000-0005-0000-0000-0000B2020000}"/>
    <cellStyle name="Millares 12 3 2 4" xfId="3294" xr:uid="{00000000-0005-0000-0000-0000B3020000}"/>
    <cellStyle name="Millares 12 3 2 4 2" xfId="7850" xr:uid="{00000000-0005-0000-0000-0000B4020000}"/>
    <cellStyle name="Millares 12 3 2 4 2 2" xfId="16946" xr:uid="{00000000-0005-0000-0000-0000B5020000}"/>
    <cellStyle name="Millares 12 3 2 4 2 2 2" xfId="35128" xr:uid="{00000000-0005-0000-0000-0000B6020000}"/>
    <cellStyle name="Millares 12 3 2 4 2 3" xfId="26038" xr:uid="{00000000-0005-0000-0000-0000B7020000}"/>
    <cellStyle name="Millares 12 3 2 4 3" xfId="12406" xr:uid="{00000000-0005-0000-0000-0000B8020000}"/>
    <cellStyle name="Millares 12 3 2 4 3 2" xfId="30588" xr:uid="{00000000-0005-0000-0000-0000B9020000}"/>
    <cellStyle name="Millares 12 3 2 4 4" xfId="21498" xr:uid="{00000000-0005-0000-0000-0000BA020000}"/>
    <cellStyle name="Millares 12 3 2 5" xfId="4936" xr:uid="{00000000-0005-0000-0000-0000BB020000}"/>
    <cellStyle name="Millares 12 3 2 5 2" xfId="14036" xr:uid="{00000000-0005-0000-0000-0000BC020000}"/>
    <cellStyle name="Millares 12 3 2 5 2 2" xfId="32218" xr:uid="{00000000-0005-0000-0000-0000BD020000}"/>
    <cellStyle name="Millares 12 3 2 5 3" xfId="23128" xr:uid="{00000000-0005-0000-0000-0000BE020000}"/>
    <cellStyle name="Millares 12 3 2 6" xfId="9502" xr:uid="{00000000-0005-0000-0000-0000BF020000}"/>
    <cellStyle name="Millares 12 3 2 6 2" xfId="27684" xr:uid="{00000000-0005-0000-0000-0000C0020000}"/>
    <cellStyle name="Millares 12 3 2 7" xfId="18593" xr:uid="{00000000-0005-0000-0000-0000C1020000}"/>
    <cellStyle name="Millares 12 3 3" xfId="279" xr:uid="{00000000-0005-0000-0000-0000C2020000}"/>
    <cellStyle name="Millares 12 3 3 2" xfId="1840" xr:uid="{00000000-0005-0000-0000-0000C3020000}"/>
    <cellStyle name="Millares 12 3 3 2 2" xfId="6455" xr:uid="{00000000-0005-0000-0000-0000C4020000}"/>
    <cellStyle name="Millares 12 3 3 2 2 2" xfId="15555" xr:uid="{00000000-0005-0000-0000-0000C5020000}"/>
    <cellStyle name="Millares 12 3 3 2 2 2 2" xfId="33737" xr:uid="{00000000-0005-0000-0000-0000C6020000}"/>
    <cellStyle name="Millares 12 3 3 2 2 3" xfId="24647" xr:uid="{00000000-0005-0000-0000-0000C7020000}"/>
    <cellStyle name="Millares 12 3 3 2 3" xfId="11019" xr:uid="{00000000-0005-0000-0000-0000C8020000}"/>
    <cellStyle name="Millares 12 3 3 2 3 2" xfId="29201" xr:uid="{00000000-0005-0000-0000-0000C9020000}"/>
    <cellStyle name="Millares 12 3 3 2 4" xfId="20111" xr:uid="{00000000-0005-0000-0000-0000CA020000}"/>
    <cellStyle name="Millares 12 3 3 3" xfId="3296" xr:uid="{00000000-0005-0000-0000-0000CB020000}"/>
    <cellStyle name="Millares 12 3 3 3 2" xfId="7852" xr:uid="{00000000-0005-0000-0000-0000CC020000}"/>
    <cellStyle name="Millares 12 3 3 3 2 2" xfId="16948" xr:uid="{00000000-0005-0000-0000-0000CD020000}"/>
    <cellStyle name="Millares 12 3 3 3 2 2 2" xfId="35130" xr:uid="{00000000-0005-0000-0000-0000CE020000}"/>
    <cellStyle name="Millares 12 3 3 3 2 3" xfId="26040" xr:uid="{00000000-0005-0000-0000-0000CF020000}"/>
    <cellStyle name="Millares 12 3 3 3 3" xfId="12408" xr:uid="{00000000-0005-0000-0000-0000D0020000}"/>
    <cellStyle name="Millares 12 3 3 3 3 2" xfId="30590" xr:uid="{00000000-0005-0000-0000-0000D1020000}"/>
    <cellStyle name="Millares 12 3 3 3 4" xfId="21500" xr:uid="{00000000-0005-0000-0000-0000D2020000}"/>
    <cellStyle name="Millares 12 3 3 4" xfId="4938" xr:uid="{00000000-0005-0000-0000-0000D3020000}"/>
    <cellStyle name="Millares 12 3 3 4 2" xfId="14038" xr:uid="{00000000-0005-0000-0000-0000D4020000}"/>
    <cellStyle name="Millares 12 3 3 4 2 2" xfId="32220" xr:uid="{00000000-0005-0000-0000-0000D5020000}"/>
    <cellStyle name="Millares 12 3 3 4 3" xfId="23130" xr:uid="{00000000-0005-0000-0000-0000D6020000}"/>
    <cellStyle name="Millares 12 3 3 5" xfId="9504" xr:uid="{00000000-0005-0000-0000-0000D7020000}"/>
    <cellStyle name="Millares 12 3 3 5 2" xfId="27686" xr:uid="{00000000-0005-0000-0000-0000D8020000}"/>
    <cellStyle name="Millares 12 3 3 6" xfId="18595" xr:uid="{00000000-0005-0000-0000-0000D9020000}"/>
    <cellStyle name="Millares 12 3 4" xfId="280" xr:uid="{00000000-0005-0000-0000-0000DA020000}"/>
    <cellStyle name="Millares 12 3 4 2" xfId="3297" xr:uid="{00000000-0005-0000-0000-0000DB020000}"/>
    <cellStyle name="Millares 12 3 4 2 2" xfId="7853" xr:uid="{00000000-0005-0000-0000-0000DC020000}"/>
    <cellStyle name="Millares 12 3 4 2 2 2" xfId="16949" xr:uid="{00000000-0005-0000-0000-0000DD020000}"/>
    <cellStyle name="Millares 12 3 4 2 2 2 2" xfId="35131" xr:uid="{00000000-0005-0000-0000-0000DE020000}"/>
    <cellStyle name="Millares 12 3 4 2 2 3" xfId="26041" xr:uid="{00000000-0005-0000-0000-0000DF020000}"/>
    <cellStyle name="Millares 12 3 4 2 3" xfId="12409" xr:uid="{00000000-0005-0000-0000-0000E0020000}"/>
    <cellStyle name="Millares 12 3 4 2 3 2" xfId="30591" xr:uid="{00000000-0005-0000-0000-0000E1020000}"/>
    <cellStyle name="Millares 12 3 4 2 4" xfId="21501" xr:uid="{00000000-0005-0000-0000-0000E2020000}"/>
    <cellStyle name="Millares 12 3 4 3" xfId="4939" xr:uid="{00000000-0005-0000-0000-0000E3020000}"/>
    <cellStyle name="Millares 12 3 4 3 2" xfId="14039" xr:uid="{00000000-0005-0000-0000-0000E4020000}"/>
    <cellStyle name="Millares 12 3 4 3 2 2" xfId="32221" xr:uid="{00000000-0005-0000-0000-0000E5020000}"/>
    <cellStyle name="Millares 12 3 4 3 3" xfId="23131" xr:uid="{00000000-0005-0000-0000-0000E6020000}"/>
    <cellStyle name="Millares 12 3 4 4" xfId="9505" xr:uid="{00000000-0005-0000-0000-0000E7020000}"/>
    <cellStyle name="Millares 12 3 4 4 2" xfId="27687" xr:uid="{00000000-0005-0000-0000-0000E8020000}"/>
    <cellStyle name="Millares 12 3 4 5" xfId="18596" xr:uid="{00000000-0005-0000-0000-0000E9020000}"/>
    <cellStyle name="Millares 12 3 5" xfId="1841" xr:uid="{00000000-0005-0000-0000-0000EA020000}"/>
    <cellStyle name="Millares 12 3 6" xfId="3293" xr:uid="{00000000-0005-0000-0000-0000EB020000}"/>
    <cellStyle name="Millares 12 3 6 2" xfId="7849" xr:uid="{00000000-0005-0000-0000-0000EC020000}"/>
    <cellStyle name="Millares 12 3 6 2 2" xfId="16945" xr:uid="{00000000-0005-0000-0000-0000ED020000}"/>
    <cellStyle name="Millares 12 3 6 2 2 2" xfId="35127" xr:uid="{00000000-0005-0000-0000-0000EE020000}"/>
    <cellStyle name="Millares 12 3 6 2 3" xfId="26037" xr:uid="{00000000-0005-0000-0000-0000EF020000}"/>
    <cellStyle name="Millares 12 3 6 3" xfId="12405" xr:uid="{00000000-0005-0000-0000-0000F0020000}"/>
    <cellStyle name="Millares 12 3 6 3 2" xfId="30587" xr:uid="{00000000-0005-0000-0000-0000F1020000}"/>
    <cellStyle name="Millares 12 3 6 4" xfId="21497" xr:uid="{00000000-0005-0000-0000-0000F2020000}"/>
    <cellStyle name="Millares 12 3 7" xfId="4935" xr:uid="{00000000-0005-0000-0000-0000F3020000}"/>
    <cellStyle name="Millares 12 3 7 2" xfId="14035" xr:uid="{00000000-0005-0000-0000-0000F4020000}"/>
    <cellStyle name="Millares 12 3 7 2 2" xfId="32217" xr:uid="{00000000-0005-0000-0000-0000F5020000}"/>
    <cellStyle name="Millares 12 3 7 3" xfId="23127" xr:uid="{00000000-0005-0000-0000-0000F6020000}"/>
    <cellStyle name="Millares 12 3 8" xfId="9501" xr:uid="{00000000-0005-0000-0000-0000F7020000}"/>
    <cellStyle name="Millares 12 3 8 2" xfId="27683" xr:uid="{00000000-0005-0000-0000-0000F8020000}"/>
    <cellStyle name="Millares 12 3 9" xfId="18592" xr:uid="{00000000-0005-0000-0000-0000F9020000}"/>
    <cellStyle name="Millares 12 4" xfId="281" xr:uid="{00000000-0005-0000-0000-0000FA020000}"/>
    <cellStyle name="Millares 12 4 2" xfId="282" xr:uid="{00000000-0005-0000-0000-0000FB020000}"/>
    <cellStyle name="Millares 12 4 2 2" xfId="1842" xr:uid="{00000000-0005-0000-0000-0000FC020000}"/>
    <cellStyle name="Millares 12 4 2 2 2" xfId="6456" xr:uid="{00000000-0005-0000-0000-0000FD020000}"/>
    <cellStyle name="Millares 12 4 2 2 2 2" xfId="15556" xr:uid="{00000000-0005-0000-0000-0000FE020000}"/>
    <cellStyle name="Millares 12 4 2 2 2 2 2" xfId="33738" xr:uid="{00000000-0005-0000-0000-0000FF020000}"/>
    <cellStyle name="Millares 12 4 2 2 2 3" xfId="24648" xr:uid="{00000000-0005-0000-0000-000000030000}"/>
    <cellStyle name="Millares 12 4 2 2 3" xfId="11020" xr:uid="{00000000-0005-0000-0000-000001030000}"/>
    <cellStyle name="Millares 12 4 2 2 3 2" xfId="29202" xr:uid="{00000000-0005-0000-0000-000002030000}"/>
    <cellStyle name="Millares 12 4 2 2 4" xfId="20112" xr:uid="{00000000-0005-0000-0000-000003030000}"/>
    <cellStyle name="Millares 12 4 2 3" xfId="3299" xr:uid="{00000000-0005-0000-0000-000004030000}"/>
    <cellStyle name="Millares 12 4 2 3 2" xfId="7855" xr:uid="{00000000-0005-0000-0000-000005030000}"/>
    <cellStyle name="Millares 12 4 2 3 2 2" xfId="16951" xr:uid="{00000000-0005-0000-0000-000006030000}"/>
    <cellStyle name="Millares 12 4 2 3 2 2 2" xfId="35133" xr:uid="{00000000-0005-0000-0000-000007030000}"/>
    <cellStyle name="Millares 12 4 2 3 2 3" xfId="26043" xr:uid="{00000000-0005-0000-0000-000008030000}"/>
    <cellStyle name="Millares 12 4 2 3 3" xfId="12411" xr:uid="{00000000-0005-0000-0000-000009030000}"/>
    <cellStyle name="Millares 12 4 2 3 3 2" xfId="30593" xr:uid="{00000000-0005-0000-0000-00000A030000}"/>
    <cellStyle name="Millares 12 4 2 3 4" xfId="21503" xr:uid="{00000000-0005-0000-0000-00000B030000}"/>
    <cellStyle name="Millares 12 4 2 4" xfId="4941" xr:uid="{00000000-0005-0000-0000-00000C030000}"/>
    <cellStyle name="Millares 12 4 2 4 2" xfId="14041" xr:uid="{00000000-0005-0000-0000-00000D030000}"/>
    <cellStyle name="Millares 12 4 2 4 2 2" xfId="32223" xr:uid="{00000000-0005-0000-0000-00000E030000}"/>
    <cellStyle name="Millares 12 4 2 4 3" xfId="23133" xr:uid="{00000000-0005-0000-0000-00000F030000}"/>
    <cellStyle name="Millares 12 4 2 5" xfId="9507" xr:uid="{00000000-0005-0000-0000-000010030000}"/>
    <cellStyle name="Millares 12 4 2 5 2" xfId="27689" xr:uid="{00000000-0005-0000-0000-000011030000}"/>
    <cellStyle name="Millares 12 4 2 6" xfId="18598" xr:uid="{00000000-0005-0000-0000-000012030000}"/>
    <cellStyle name="Millares 12 4 3" xfId="1843" xr:uid="{00000000-0005-0000-0000-000013030000}"/>
    <cellStyle name="Millares 12 4 3 2" xfId="6457" xr:uid="{00000000-0005-0000-0000-000014030000}"/>
    <cellStyle name="Millares 12 4 3 2 2" xfId="15557" xr:uid="{00000000-0005-0000-0000-000015030000}"/>
    <cellStyle name="Millares 12 4 3 2 2 2" xfId="33739" xr:uid="{00000000-0005-0000-0000-000016030000}"/>
    <cellStyle name="Millares 12 4 3 2 3" xfId="24649" xr:uid="{00000000-0005-0000-0000-000017030000}"/>
    <cellStyle name="Millares 12 4 3 3" xfId="11021" xr:uid="{00000000-0005-0000-0000-000018030000}"/>
    <cellStyle name="Millares 12 4 3 3 2" xfId="29203" xr:uid="{00000000-0005-0000-0000-000019030000}"/>
    <cellStyle name="Millares 12 4 3 4" xfId="20113" xr:uid="{00000000-0005-0000-0000-00001A030000}"/>
    <cellStyle name="Millares 12 4 4" xfId="3298" xr:uid="{00000000-0005-0000-0000-00001B030000}"/>
    <cellStyle name="Millares 12 4 4 2" xfId="7854" xr:uid="{00000000-0005-0000-0000-00001C030000}"/>
    <cellStyle name="Millares 12 4 4 2 2" xfId="16950" xr:uid="{00000000-0005-0000-0000-00001D030000}"/>
    <cellStyle name="Millares 12 4 4 2 2 2" xfId="35132" xr:uid="{00000000-0005-0000-0000-00001E030000}"/>
    <cellStyle name="Millares 12 4 4 2 3" xfId="26042" xr:uid="{00000000-0005-0000-0000-00001F030000}"/>
    <cellStyle name="Millares 12 4 4 3" xfId="12410" xr:uid="{00000000-0005-0000-0000-000020030000}"/>
    <cellStyle name="Millares 12 4 4 3 2" xfId="30592" xr:uid="{00000000-0005-0000-0000-000021030000}"/>
    <cellStyle name="Millares 12 4 4 4" xfId="21502" xr:uid="{00000000-0005-0000-0000-000022030000}"/>
    <cellStyle name="Millares 12 4 5" xfId="4940" xr:uid="{00000000-0005-0000-0000-000023030000}"/>
    <cellStyle name="Millares 12 4 5 2" xfId="14040" xr:uid="{00000000-0005-0000-0000-000024030000}"/>
    <cellStyle name="Millares 12 4 5 2 2" xfId="32222" xr:uid="{00000000-0005-0000-0000-000025030000}"/>
    <cellStyle name="Millares 12 4 5 3" xfId="23132" xr:uid="{00000000-0005-0000-0000-000026030000}"/>
    <cellStyle name="Millares 12 4 6" xfId="9506" xr:uid="{00000000-0005-0000-0000-000027030000}"/>
    <cellStyle name="Millares 12 4 6 2" xfId="27688" xr:uid="{00000000-0005-0000-0000-000028030000}"/>
    <cellStyle name="Millares 12 4 7" xfId="18597" xr:uid="{00000000-0005-0000-0000-000029030000}"/>
    <cellStyle name="Millares 12 5" xfId="283" xr:uid="{00000000-0005-0000-0000-00002A030000}"/>
    <cellStyle name="Millares 12 5 2" xfId="1844" xr:uid="{00000000-0005-0000-0000-00002B030000}"/>
    <cellStyle name="Millares 12 5 2 2" xfId="6458" xr:uid="{00000000-0005-0000-0000-00002C030000}"/>
    <cellStyle name="Millares 12 5 2 2 2" xfId="15558" xr:uid="{00000000-0005-0000-0000-00002D030000}"/>
    <cellStyle name="Millares 12 5 2 2 2 2" xfId="33740" xr:uid="{00000000-0005-0000-0000-00002E030000}"/>
    <cellStyle name="Millares 12 5 2 2 3" xfId="24650" xr:uid="{00000000-0005-0000-0000-00002F030000}"/>
    <cellStyle name="Millares 12 5 2 3" xfId="11022" xr:uid="{00000000-0005-0000-0000-000030030000}"/>
    <cellStyle name="Millares 12 5 2 3 2" xfId="29204" xr:uid="{00000000-0005-0000-0000-000031030000}"/>
    <cellStyle name="Millares 12 5 2 4" xfId="20114" xr:uid="{00000000-0005-0000-0000-000032030000}"/>
    <cellStyle name="Millares 12 5 3" xfId="3300" xr:uid="{00000000-0005-0000-0000-000033030000}"/>
    <cellStyle name="Millares 12 5 3 2" xfId="7856" xr:uid="{00000000-0005-0000-0000-000034030000}"/>
    <cellStyle name="Millares 12 5 3 2 2" xfId="16952" xr:uid="{00000000-0005-0000-0000-000035030000}"/>
    <cellStyle name="Millares 12 5 3 2 2 2" xfId="35134" xr:uid="{00000000-0005-0000-0000-000036030000}"/>
    <cellStyle name="Millares 12 5 3 2 3" xfId="26044" xr:uid="{00000000-0005-0000-0000-000037030000}"/>
    <cellStyle name="Millares 12 5 3 3" xfId="12412" xr:uid="{00000000-0005-0000-0000-000038030000}"/>
    <cellStyle name="Millares 12 5 3 3 2" xfId="30594" xr:uid="{00000000-0005-0000-0000-000039030000}"/>
    <cellStyle name="Millares 12 5 3 4" xfId="21504" xr:uid="{00000000-0005-0000-0000-00003A030000}"/>
    <cellStyle name="Millares 12 5 4" xfId="4942" xr:uid="{00000000-0005-0000-0000-00003B030000}"/>
    <cellStyle name="Millares 12 5 4 2" xfId="14042" xr:uid="{00000000-0005-0000-0000-00003C030000}"/>
    <cellStyle name="Millares 12 5 4 2 2" xfId="32224" xr:uid="{00000000-0005-0000-0000-00003D030000}"/>
    <cellStyle name="Millares 12 5 4 3" xfId="23134" xr:uid="{00000000-0005-0000-0000-00003E030000}"/>
    <cellStyle name="Millares 12 5 5" xfId="9508" xr:uid="{00000000-0005-0000-0000-00003F030000}"/>
    <cellStyle name="Millares 12 5 5 2" xfId="27690" xr:uid="{00000000-0005-0000-0000-000040030000}"/>
    <cellStyle name="Millares 12 5 6" xfId="18599" xr:uid="{00000000-0005-0000-0000-000041030000}"/>
    <cellStyle name="Millares 12 6" xfId="284" xr:uid="{00000000-0005-0000-0000-000042030000}"/>
    <cellStyle name="Millares 12 6 2" xfId="3301" xr:uid="{00000000-0005-0000-0000-000043030000}"/>
    <cellStyle name="Millares 12 6 2 2" xfId="7857" xr:uid="{00000000-0005-0000-0000-000044030000}"/>
    <cellStyle name="Millares 12 6 2 2 2" xfId="16953" xr:uid="{00000000-0005-0000-0000-000045030000}"/>
    <cellStyle name="Millares 12 6 2 2 2 2" xfId="35135" xr:uid="{00000000-0005-0000-0000-000046030000}"/>
    <cellStyle name="Millares 12 6 2 2 3" xfId="26045" xr:uid="{00000000-0005-0000-0000-000047030000}"/>
    <cellStyle name="Millares 12 6 2 3" xfId="12413" xr:uid="{00000000-0005-0000-0000-000048030000}"/>
    <cellStyle name="Millares 12 6 2 3 2" xfId="30595" xr:uid="{00000000-0005-0000-0000-000049030000}"/>
    <cellStyle name="Millares 12 6 2 4" xfId="21505" xr:uid="{00000000-0005-0000-0000-00004A030000}"/>
    <cellStyle name="Millares 12 6 3" xfId="4943" xr:uid="{00000000-0005-0000-0000-00004B030000}"/>
    <cellStyle name="Millares 12 6 3 2" xfId="14043" xr:uid="{00000000-0005-0000-0000-00004C030000}"/>
    <cellStyle name="Millares 12 6 3 2 2" xfId="32225" xr:uid="{00000000-0005-0000-0000-00004D030000}"/>
    <cellStyle name="Millares 12 6 3 3" xfId="23135" xr:uid="{00000000-0005-0000-0000-00004E030000}"/>
    <cellStyle name="Millares 12 6 4" xfId="9509" xr:uid="{00000000-0005-0000-0000-00004F030000}"/>
    <cellStyle name="Millares 12 6 4 2" xfId="27691" xr:uid="{00000000-0005-0000-0000-000050030000}"/>
    <cellStyle name="Millares 12 6 5" xfId="18600" xr:uid="{00000000-0005-0000-0000-000051030000}"/>
    <cellStyle name="Millares 12 7" xfId="1845" xr:uid="{00000000-0005-0000-0000-000052030000}"/>
    <cellStyle name="Millares 12 7 2" xfId="6459" xr:uid="{00000000-0005-0000-0000-000053030000}"/>
    <cellStyle name="Millares 12 7 2 2" xfId="15559" xr:uid="{00000000-0005-0000-0000-000054030000}"/>
    <cellStyle name="Millares 12 7 2 2 2" xfId="33741" xr:uid="{00000000-0005-0000-0000-000055030000}"/>
    <cellStyle name="Millares 12 7 2 3" xfId="24651" xr:uid="{00000000-0005-0000-0000-000056030000}"/>
    <cellStyle name="Millares 12 7 3" xfId="11023" xr:uid="{00000000-0005-0000-0000-000057030000}"/>
    <cellStyle name="Millares 12 7 3 2" xfId="29205" xr:uid="{00000000-0005-0000-0000-000058030000}"/>
    <cellStyle name="Millares 12 7 4" xfId="20115" xr:uid="{00000000-0005-0000-0000-000059030000}"/>
    <cellStyle name="Millares 12 8" xfId="3210" xr:uid="{00000000-0005-0000-0000-00005A030000}"/>
    <cellStyle name="Millares 12 8 2" xfId="7770" xr:uid="{00000000-0005-0000-0000-00005B030000}"/>
    <cellStyle name="Millares 12 8 2 2" xfId="16866" xr:uid="{00000000-0005-0000-0000-00005C030000}"/>
    <cellStyle name="Millares 12 8 2 2 2" xfId="35048" xr:uid="{00000000-0005-0000-0000-00005D030000}"/>
    <cellStyle name="Millares 12 8 2 3" xfId="25958" xr:uid="{00000000-0005-0000-0000-00005E030000}"/>
    <cellStyle name="Millares 12 8 3" xfId="12326" xr:uid="{00000000-0005-0000-0000-00005F030000}"/>
    <cellStyle name="Millares 12 8 3 2" xfId="30508" xr:uid="{00000000-0005-0000-0000-000060030000}"/>
    <cellStyle name="Millares 12 8 4" xfId="21418" xr:uid="{00000000-0005-0000-0000-000061030000}"/>
    <cellStyle name="Millares 12 9" xfId="4858" xr:uid="{00000000-0005-0000-0000-000062030000}"/>
    <cellStyle name="Millares 12 9 2" xfId="13958" xr:uid="{00000000-0005-0000-0000-000063030000}"/>
    <cellStyle name="Millares 12 9 2 2" xfId="32140" xr:uid="{00000000-0005-0000-0000-000064030000}"/>
    <cellStyle name="Millares 12 9 3" xfId="23050" xr:uid="{00000000-0005-0000-0000-000065030000}"/>
    <cellStyle name="Millares 13" xfId="126" xr:uid="{00000000-0005-0000-0000-000066030000}"/>
    <cellStyle name="Millares 13 10" xfId="9431" xr:uid="{00000000-0005-0000-0000-000067030000}"/>
    <cellStyle name="Millares 13 10 2" xfId="27613" xr:uid="{00000000-0005-0000-0000-000068030000}"/>
    <cellStyle name="Millares 13 11" xfId="18522" xr:uid="{00000000-0005-0000-0000-000069030000}"/>
    <cellStyle name="Millares 13 2" xfId="285" xr:uid="{00000000-0005-0000-0000-00006A030000}"/>
    <cellStyle name="Millares 13 2 10" xfId="18601" xr:uid="{00000000-0005-0000-0000-00006B030000}"/>
    <cellStyle name="Millares 13 2 2" xfId="286" xr:uid="{00000000-0005-0000-0000-00006C030000}"/>
    <cellStyle name="Millares 13 2 2 2" xfId="287" xr:uid="{00000000-0005-0000-0000-00006D030000}"/>
    <cellStyle name="Millares 13 2 2 2 2" xfId="288" xr:uid="{00000000-0005-0000-0000-00006E030000}"/>
    <cellStyle name="Millares 13 2 2 2 2 2" xfId="1846" xr:uid="{00000000-0005-0000-0000-00006F030000}"/>
    <cellStyle name="Millares 13 2 2 2 2 2 2" xfId="6460" xr:uid="{00000000-0005-0000-0000-000070030000}"/>
    <cellStyle name="Millares 13 2 2 2 2 2 2 2" xfId="15560" xr:uid="{00000000-0005-0000-0000-000071030000}"/>
    <cellStyle name="Millares 13 2 2 2 2 2 2 2 2" xfId="33742" xr:uid="{00000000-0005-0000-0000-000072030000}"/>
    <cellStyle name="Millares 13 2 2 2 2 2 2 3" xfId="24652" xr:uid="{00000000-0005-0000-0000-000073030000}"/>
    <cellStyle name="Millares 13 2 2 2 2 2 3" xfId="11024" xr:uid="{00000000-0005-0000-0000-000074030000}"/>
    <cellStyle name="Millares 13 2 2 2 2 2 3 2" xfId="29206" xr:uid="{00000000-0005-0000-0000-000075030000}"/>
    <cellStyle name="Millares 13 2 2 2 2 2 4" xfId="20116" xr:uid="{00000000-0005-0000-0000-000076030000}"/>
    <cellStyle name="Millares 13 2 2 2 2 3" xfId="3305" xr:uid="{00000000-0005-0000-0000-000077030000}"/>
    <cellStyle name="Millares 13 2 2 2 2 3 2" xfId="7861" xr:uid="{00000000-0005-0000-0000-000078030000}"/>
    <cellStyle name="Millares 13 2 2 2 2 3 2 2" xfId="16957" xr:uid="{00000000-0005-0000-0000-000079030000}"/>
    <cellStyle name="Millares 13 2 2 2 2 3 2 2 2" xfId="35139" xr:uid="{00000000-0005-0000-0000-00007A030000}"/>
    <cellStyle name="Millares 13 2 2 2 2 3 2 3" xfId="26049" xr:uid="{00000000-0005-0000-0000-00007B030000}"/>
    <cellStyle name="Millares 13 2 2 2 2 3 3" xfId="12417" xr:uid="{00000000-0005-0000-0000-00007C030000}"/>
    <cellStyle name="Millares 13 2 2 2 2 3 3 2" xfId="30599" xr:uid="{00000000-0005-0000-0000-00007D030000}"/>
    <cellStyle name="Millares 13 2 2 2 2 3 4" xfId="21509" xr:uid="{00000000-0005-0000-0000-00007E030000}"/>
    <cellStyle name="Millares 13 2 2 2 2 4" xfId="4947" xr:uid="{00000000-0005-0000-0000-00007F030000}"/>
    <cellStyle name="Millares 13 2 2 2 2 4 2" xfId="14047" xr:uid="{00000000-0005-0000-0000-000080030000}"/>
    <cellStyle name="Millares 13 2 2 2 2 4 2 2" xfId="32229" xr:uid="{00000000-0005-0000-0000-000081030000}"/>
    <cellStyle name="Millares 13 2 2 2 2 4 3" xfId="23139" xr:uid="{00000000-0005-0000-0000-000082030000}"/>
    <cellStyle name="Millares 13 2 2 2 2 5" xfId="9513" xr:uid="{00000000-0005-0000-0000-000083030000}"/>
    <cellStyle name="Millares 13 2 2 2 2 5 2" xfId="27695" xr:uid="{00000000-0005-0000-0000-000084030000}"/>
    <cellStyle name="Millares 13 2 2 2 2 6" xfId="18604" xr:uid="{00000000-0005-0000-0000-000085030000}"/>
    <cellStyle name="Millares 13 2 2 2 3" xfId="1847" xr:uid="{00000000-0005-0000-0000-000086030000}"/>
    <cellStyle name="Millares 13 2 2 2 3 2" xfId="6461" xr:uid="{00000000-0005-0000-0000-000087030000}"/>
    <cellStyle name="Millares 13 2 2 2 3 2 2" xfId="15561" xr:uid="{00000000-0005-0000-0000-000088030000}"/>
    <cellStyle name="Millares 13 2 2 2 3 2 2 2" xfId="33743" xr:uid="{00000000-0005-0000-0000-000089030000}"/>
    <cellStyle name="Millares 13 2 2 2 3 2 3" xfId="24653" xr:uid="{00000000-0005-0000-0000-00008A030000}"/>
    <cellStyle name="Millares 13 2 2 2 3 3" xfId="11025" xr:uid="{00000000-0005-0000-0000-00008B030000}"/>
    <cellStyle name="Millares 13 2 2 2 3 3 2" xfId="29207" xr:uid="{00000000-0005-0000-0000-00008C030000}"/>
    <cellStyle name="Millares 13 2 2 2 3 4" xfId="20117" xr:uid="{00000000-0005-0000-0000-00008D030000}"/>
    <cellStyle name="Millares 13 2 2 2 4" xfId="3304" xr:uid="{00000000-0005-0000-0000-00008E030000}"/>
    <cellStyle name="Millares 13 2 2 2 4 2" xfId="7860" xr:uid="{00000000-0005-0000-0000-00008F030000}"/>
    <cellStyle name="Millares 13 2 2 2 4 2 2" xfId="16956" xr:uid="{00000000-0005-0000-0000-000090030000}"/>
    <cellStyle name="Millares 13 2 2 2 4 2 2 2" xfId="35138" xr:uid="{00000000-0005-0000-0000-000091030000}"/>
    <cellStyle name="Millares 13 2 2 2 4 2 3" xfId="26048" xr:uid="{00000000-0005-0000-0000-000092030000}"/>
    <cellStyle name="Millares 13 2 2 2 4 3" xfId="12416" xr:uid="{00000000-0005-0000-0000-000093030000}"/>
    <cellStyle name="Millares 13 2 2 2 4 3 2" xfId="30598" xr:uid="{00000000-0005-0000-0000-000094030000}"/>
    <cellStyle name="Millares 13 2 2 2 4 4" xfId="21508" xr:uid="{00000000-0005-0000-0000-000095030000}"/>
    <cellStyle name="Millares 13 2 2 2 5" xfId="4946" xr:uid="{00000000-0005-0000-0000-000096030000}"/>
    <cellStyle name="Millares 13 2 2 2 5 2" xfId="14046" xr:uid="{00000000-0005-0000-0000-000097030000}"/>
    <cellStyle name="Millares 13 2 2 2 5 2 2" xfId="32228" xr:uid="{00000000-0005-0000-0000-000098030000}"/>
    <cellStyle name="Millares 13 2 2 2 5 3" xfId="23138" xr:uid="{00000000-0005-0000-0000-000099030000}"/>
    <cellStyle name="Millares 13 2 2 2 6" xfId="9512" xr:uid="{00000000-0005-0000-0000-00009A030000}"/>
    <cellStyle name="Millares 13 2 2 2 6 2" xfId="27694" xr:uid="{00000000-0005-0000-0000-00009B030000}"/>
    <cellStyle name="Millares 13 2 2 2 7" xfId="18603" xr:uid="{00000000-0005-0000-0000-00009C030000}"/>
    <cellStyle name="Millares 13 2 2 3" xfId="289" xr:uid="{00000000-0005-0000-0000-00009D030000}"/>
    <cellStyle name="Millares 13 2 2 3 2" xfId="1848" xr:uid="{00000000-0005-0000-0000-00009E030000}"/>
    <cellStyle name="Millares 13 2 2 3 2 2" xfId="6462" xr:uid="{00000000-0005-0000-0000-00009F030000}"/>
    <cellStyle name="Millares 13 2 2 3 2 2 2" xfId="15562" xr:uid="{00000000-0005-0000-0000-0000A0030000}"/>
    <cellStyle name="Millares 13 2 2 3 2 2 2 2" xfId="33744" xr:uid="{00000000-0005-0000-0000-0000A1030000}"/>
    <cellStyle name="Millares 13 2 2 3 2 2 3" xfId="24654" xr:uid="{00000000-0005-0000-0000-0000A2030000}"/>
    <cellStyle name="Millares 13 2 2 3 2 3" xfId="11026" xr:uid="{00000000-0005-0000-0000-0000A3030000}"/>
    <cellStyle name="Millares 13 2 2 3 2 3 2" xfId="29208" xr:uid="{00000000-0005-0000-0000-0000A4030000}"/>
    <cellStyle name="Millares 13 2 2 3 2 4" xfId="20118" xr:uid="{00000000-0005-0000-0000-0000A5030000}"/>
    <cellStyle name="Millares 13 2 2 3 3" xfId="3306" xr:uid="{00000000-0005-0000-0000-0000A6030000}"/>
    <cellStyle name="Millares 13 2 2 3 3 2" xfId="7862" xr:uid="{00000000-0005-0000-0000-0000A7030000}"/>
    <cellStyle name="Millares 13 2 2 3 3 2 2" xfId="16958" xr:uid="{00000000-0005-0000-0000-0000A8030000}"/>
    <cellStyle name="Millares 13 2 2 3 3 2 2 2" xfId="35140" xr:uid="{00000000-0005-0000-0000-0000A9030000}"/>
    <cellStyle name="Millares 13 2 2 3 3 2 3" xfId="26050" xr:uid="{00000000-0005-0000-0000-0000AA030000}"/>
    <cellStyle name="Millares 13 2 2 3 3 3" xfId="12418" xr:uid="{00000000-0005-0000-0000-0000AB030000}"/>
    <cellStyle name="Millares 13 2 2 3 3 3 2" xfId="30600" xr:uid="{00000000-0005-0000-0000-0000AC030000}"/>
    <cellStyle name="Millares 13 2 2 3 3 4" xfId="21510" xr:uid="{00000000-0005-0000-0000-0000AD030000}"/>
    <cellStyle name="Millares 13 2 2 3 4" xfId="4948" xr:uid="{00000000-0005-0000-0000-0000AE030000}"/>
    <cellStyle name="Millares 13 2 2 3 4 2" xfId="14048" xr:uid="{00000000-0005-0000-0000-0000AF030000}"/>
    <cellStyle name="Millares 13 2 2 3 4 2 2" xfId="32230" xr:uid="{00000000-0005-0000-0000-0000B0030000}"/>
    <cellStyle name="Millares 13 2 2 3 4 3" xfId="23140" xr:uid="{00000000-0005-0000-0000-0000B1030000}"/>
    <cellStyle name="Millares 13 2 2 3 5" xfId="9514" xr:uid="{00000000-0005-0000-0000-0000B2030000}"/>
    <cellStyle name="Millares 13 2 2 3 5 2" xfId="27696" xr:uid="{00000000-0005-0000-0000-0000B3030000}"/>
    <cellStyle name="Millares 13 2 2 3 6" xfId="18605" xr:uid="{00000000-0005-0000-0000-0000B4030000}"/>
    <cellStyle name="Millares 13 2 2 4" xfId="290" xr:uid="{00000000-0005-0000-0000-0000B5030000}"/>
    <cellStyle name="Millares 13 2 2 4 2" xfId="3307" xr:uid="{00000000-0005-0000-0000-0000B6030000}"/>
    <cellStyle name="Millares 13 2 2 4 2 2" xfId="7863" xr:uid="{00000000-0005-0000-0000-0000B7030000}"/>
    <cellStyle name="Millares 13 2 2 4 2 2 2" xfId="16959" xr:uid="{00000000-0005-0000-0000-0000B8030000}"/>
    <cellStyle name="Millares 13 2 2 4 2 2 2 2" xfId="35141" xr:uid="{00000000-0005-0000-0000-0000B9030000}"/>
    <cellStyle name="Millares 13 2 2 4 2 2 3" xfId="26051" xr:uid="{00000000-0005-0000-0000-0000BA030000}"/>
    <cellStyle name="Millares 13 2 2 4 2 3" xfId="12419" xr:uid="{00000000-0005-0000-0000-0000BB030000}"/>
    <cellStyle name="Millares 13 2 2 4 2 3 2" xfId="30601" xr:uid="{00000000-0005-0000-0000-0000BC030000}"/>
    <cellStyle name="Millares 13 2 2 4 2 4" xfId="21511" xr:uid="{00000000-0005-0000-0000-0000BD030000}"/>
    <cellStyle name="Millares 13 2 2 4 3" xfId="4949" xr:uid="{00000000-0005-0000-0000-0000BE030000}"/>
    <cellStyle name="Millares 13 2 2 4 3 2" xfId="14049" xr:uid="{00000000-0005-0000-0000-0000BF030000}"/>
    <cellStyle name="Millares 13 2 2 4 3 2 2" xfId="32231" xr:uid="{00000000-0005-0000-0000-0000C0030000}"/>
    <cellStyle name="Millares 13 2 2 4 3 3" xfId="23141" xr:uid="{00000000-0005-0000-0000-0000C1030000}"/>
    <cellStyle name="Millares 13 2 2 4 4" xfId="9515" xr:uid="{00000000-0005-0000-0000-0000C2030000}"/>
    <cellStyle name="Millares 13 2 2 4 4 2" xfId="27697" xr:uid="{00000000-0005-0000-0000-0000C3030000}"/>
    <cellStyle name="Millares 13 2 2 4 5" xfId="18606" xr:uid="{00000000-0005-0000-0000-0000C4030000}"/>
    <cellStyle name="Millares 13 2 2 5" xfId="1849" xr:uid="{00000000-0005-0000-0000-0000C5030000}"/>
    <cellStyle name="Millares 13 2 2 6" xfId="3303" xr:uid="{00000000-0005-0000-0000-0000C6030000}"/>
    <cellStyle name="Millares 13 2 2 6 2" xfId="7859" xr:uid="{00000000-0005-0000-0000-0000C7030000}"/>
    <cellStyle name="Millares 13 2 2 6 2 2" xfId="16955" xr:uid="{00000000-0005-0000-0000-0000C8030000}"/>
    <cellStyle name="Millares 13 2 2 6 2 2 2" xfId="35137" xr:uid="{00000000-0005-0000-0000-0000C9030000}"/>
    <cellStyle name="Millares 13 2 2 6 2 3" xfId="26047" xr:uid="{00000000-0005-0000-0000-0000CA030000}"/>
    <cellStyle name="Millares 13 2 2 6 3" xfId="12415" xr:uid="{00000000-0005-0000-0000-0000CB030000}"/>
    <cellStyle name="Millares 13 2 2 6 3 2" xfId="30597" xr:uid="{00000000-0005-0000-0000-0000CC030000}"/>
    <cellStyle name="Millares 13 2 2 6 4" xfId="21507" xr:uid="{00000000-0005-0000-0000-0000CD030000}"/>
    <cellStyle name="Millares 13 2 2 7" xfId="4945" xr:uid="{00000000-0005-0000-0000-0000CE030000}"/>
    <cellStyle name="Millares 13 2 2 7 2" xfId="14045" xr:uid="{00000000-0005-0000-0000-0000CF030000}"/>
    <cellStyle name="Millares 13 2 2 7 2 2" xfId="32227" xr:uid="{00000000-0005-0000-0000-0000D0030000}"/>
    <cellStyle name="Millares 13 2 2 7 3" xfId="23137" xr:uid="{00000000-0005-0000-0000-0000D1030000}"/>
    <cellStyle name="Millares 13 2 2 8" xfId="9511" xr:uid="{00000000-0005-0000-0000-0000D2030000}"/>
    <cellStyle name="Millares 13 2 2 8 2" xfId="27693" xr:uid="{00000000-0005-0000-0000-0000D3030000}"/>
    <cellStyle name="Millares 13 2 2 9" xfId="18602" xr:uid="{00000000-0005-0000-0000-0000D4030000}"/>
    <cellStyle name="Millares 13 2 3" xfId="291" xr:uid="{00000000-0005-0000-0000-0000D5030000}"/>
    <cellStyle name="Millares 13 2 3 2" xfId="292" xr:uid="{00000000-0005-0000-0000-0000D6030000}"/>
    <cellStyle name="Millares 13 2 3 2 2" xfId="1850" xr:uid="{00000000-0005-0000-0000-0000D7030000}"/>
    <cellStyle name="Millares 13 2 3 2 2 2" xfId="6463" xr:uid="{00000000-0005-0000-0000-0000D8030000}"/>
    <cellStyle name="Millares 13 2 3 2 2 2 2" xfId="15563" xr:uid="{00000000-0005-0000-0000-0000D9030000}"/>
    <cellStyle name="Millares 13 2 3 2 2 2 2 2" xfId="33745" xr:uid="{00000000-0005-0000-0000-0000DA030000}"/>
    <cellStyle name="Millares 13 2 3 2 2 2 3" xfId="24655" xr:uid="{00000000-0005-0000-0000-0000DB030000}"/>
    <cellStyle name="Millares 13 2 3 2 2 3" xfId="11027" xr:uid="{00000000-0005-0000-0000-0000DC030000}"/>
    <cellStyle name="Millares 13 2 3 2 2 3 2" xfId="29209" xr:uid="{00000000-0005-0000-0000-0000DD030000}"/>
    <cellStyle name="Millares 13 2 3 2 2 4" xfId="20119" xr:uid="{00000000-0005-0000-0000-0000DE030000}"/>
    <cellStyle name="Millares 13 2 3 2 3" xfId="3309" xr:uid="{00000000-0005-0000-0000-0000DF030000}"/>
    <cellStyle name="Millares 13 2 3 2 3 2" xfId="7865" xr:uid="{00000000-0005-0000-0000-0000E0030000}"/>
    <cellStyle name="Millares 13 2 3 2 3 2 2" xfId="16961" xr:uid="{00000000-0005-0000-0000-0000E1030000}"/>
    <cellStyle name="Millares 13 2 3 2 3 2 2 2" xfId="35143" xr:uid="{00000000-0005-0000-0000-0000E2030000}"/>
    <cellStyle name="Millares 13 2 3 2 3 2 3" xfId="26053" xr:uid="{00000000-0005-0000-0000-0000E3030000}"/>
    <cellStyle name="Millares 13 2 3 2 3 3" xfId="12421" xr:uid="{00000000-0005-0000-0000-0000E4030000}"/>
    <cellStyle name="Millares 13 2 3 2 3 3 2" xfId="30603" xr:uid="{00000000-0005-0000-0000-0000E5030000}"/>
    <cellStyle name="Millares 13 2 3 2 3 4" xfId="21513" xr:uid="{00000000-0005-0000-0000-0000E6030000}"/>
    <cellStyle name="Millares 13 2 3 2 4" xfId="4951" xr:uid="{00000000-0005-0000-0000-0000E7030000}"/>
    <cellStyle name="Millares 13 2 3 2 4 2" xfId="14051" xr:uid="{00000000-0005-0000-0000-0000E8030000}"/>
    <cellStyle name="Millares 13 2 3 2 4 2 2" xfId="32233" xr:uid="{00000000-0005-0000-0000-0000E9030000}"/>
    <cellStyle name="Millares 13 2 3 2 4 3" xfId="23143" xr:uid="{00000000-0005-0000-0000-0000EA030000}"/>
    <cellStyle name="Millares 13 2 3 2 5" xfId="9517" xr:uid="{00000000-0005-0000-0000-0000EB030000}"/>
    <cellStyle name="Millares 13 2 3 2 5 2" xfId="27699" xr:uid="{00000000-0005-0000-0000-0000EC030000}"/>
    <cellStyle name="Millares 13 2 3 2 6" xfId="18608" xr:uid="{00000000-0005-0000-0000-0000ED030000}"/>
    <cellStyle name="Millares 13 2 3 3" xfId="1851" xr:uid="{00000000-0005-0000-0000-0000EE030000}"/>
    <cellStyle name="Millares 13 2 3 3 2" xfId="6464" xr:uid="{00000000-0005-0000-0000-0000EF030000}"/>
    <cellStyle name="Millares 13 2 3 3 2 2" xfId="15564" xr:uid="{00000000-0005-0000-0000-0000F0030000}"/>
    <cellStyle name="Millares 13 2 3 3 2 2 2" xfId="33746" xr:uid="{00000000-0005-0000-0000-0000F1030000}"/>
    <cellStyle name="Millares 13 2 3 3 2 3" xfId="24656" xr:uid="{00000000-0005-0000-0000-0000F2030000}"/>
    <cellStyle name="Millares 13 2 3 3 3" xfId="11028" xr:uid="{00000000-0005-0000-0000-0000F3030000}"/>
    <cellStyle name="Millares 13 2 3 3 3 2" xfId="29210" xr:uid="{00000000-0005-0000-0000-0000F4030000}"/>
    <cellStyle name="Millares 13 2 3 3 4" xfId="20120" xr:uid="{00000000-0005-0000-0000-0000F5030000}"/>
    <cellStyle name="Millares 13 2 3 4" xfId="3308" xr:uid="{00000000-0005-0000-0000-0000F6030000}"/>
    <cellStyle name="Millares 13 2 3 4 2" xfId="7864" xr:uid="{00000000-0005-0000-0000-0000F7030000}"/>
    <cellStyle name="Millares 13 2 3 4 2 2" xfId="16960" xr:uid="{00000000-0005-0000-0000-0000F8030000}"/>
    <cellStyle name="Millares 13 2 3 4 2 2 2" xfId="35142" xr:uid="{00000000-0005-0000-0000-0000F9030000}"/>
    <cellStyle name="Millares 13 2 3 4 2 3" xfId="26052" xr:uid="{00000000-0005-0000-0000-0000FA030000}"/>
    <cellStyle name="Millares 13 2 3 4 3" xfId="12420" xr:uid="{00000000-0005-0000-0000-0000FB030000}"/>
    <cellStyle name="Millares 13 2 3 4 3 2" xfId="30602" xr:uid="{00000000-0005-0000-0000-0000FC030000}"/>
    <cellStyle name="Millares 13 2 3 4 4" xfId="21512" xr:uid="{00000000-0005-0000-0000-0000FD030000}"/>
    <cellStyle name="Millares 13 2 3 5" xfId="4950" xr:uid="{00000000-0005-0000-0000-0000FE030000}"/>
    <cellStyle name="Millares 13 2 3 5 2" xfId="14050" xr:uid="{00000000-0005-0000-0000-0000FF030000}"/>
    <cellStyle name="Millares 13 2 3 5 2 2" xfId="32232" xr:uid="{00000000-0005-0000-0000-000000040000}"/>
    <cellStyle name="Millares 13 2 3 5 3" xfId="23142" xr:uid="{00000000-0005-0000-0000-000001040000}"/>
    <cellStyle name="Millares 13 2 3 6" xfId="9516" xr:uid="{00000000-0005-0000-0000-000002040000}"/>
    <cellStyle name="Millares 13 2 3 6 2" xfId="27698" xr:uid="{00000000-0005-0000-0000-000003040000}"/>
    <cellStyle name="Millares 13 2 3 7" xfId="18607" xr:uid="{00000000-0005-0000-0000-000004040000}"/>
    <cellStyle name="Millares 13 2 4" xfId="293" xr:uid="{00000000-0005-0000-0000-000005040000}"/>
    <cellStyle name="Millares 13 2 4 2" xfId="1852" xr:uid="{00000000-0005-0000-0000-000006040000}"/>
    <cellStyle name="Millares 13 2 4 2 2" xfId="6465" xr:uid="{00000000-0005-0000-0000-000007040000}"/>
    <cellStyle name="Millares 13 2 4 2 2 2" xfId="15565" xr:uid="{00000000-0005-0000-0000-000008040000}"/>
    <cellStyle name="Millares 13 2 4 2 2 2 2" xfId="33747" xr:uid="{00000000-0005-0000-0000-000009040000}"/>
    <cellStyle name="Millares 13 2 4 2 2 3" xfId="24657" xr:uid="{00000000-0005-0000-0000-00000A040000}"/>
    <cellStyle name="Millares 13 2 4 2 3" xfId="11029" xr:uid="{00000000-0005-0000-0000-00000B040000}"/>
    <cellStyle name="Millares 13 2 4 2 3 2" xfId="29211" xr:uid="{00000000-0005-0000-0000-00000C040000}"/>
    <cellStyle name="Millares 13 2 4 2 4" xfId="20121" xr:uid="{00000000-0005-0000-0000-00000D040000}"/>
    <cellStyle name="Millares 13 2 4 3" xfId="3310" xr:uid="{00000000-0005-0000-0000-00000E040000}"/>
    <cellStyle name="Millares 13 2 4 3 2" xfId="7866" xr:uid="{00000000-0005-0000-0000-00000F040000}"/>
    <cellStyle name="Millares 13 2 4 3 2 2" xfId="16962" xr:uid="{00000000-0005-0000-0000-000010040000}"/>
    <cellStyle name="Millares 13 2 4 3 2 2 2" xfId="35144" xr:uid="{00000000-0005-0000-0000-000011040000}"/>
    <cellStyle name="Millares 13 2 4 3 2 3" xfId="26054" xr:uid="{00000000-0005-0000-0000-000012040000}"/>
    <cellStyle name="Millares 13 2 4 3 3" xfId="12422" xr:uid="{00000000-0005-0000-0000-000013040000}"/>
    <cellStyle name="Millares 13 2 4 3 3 2" xfId="30604" xr:uid="{00000000-0005-0000-0000-000014040000}"/>
    <cellStyle name="Millares 13 2 4 3 4" xfId="21514" xr:uid="{00000000-0005-0000-0000-000015040000}"/>
    <cellStyle name="Millares 13 2 4 4" xfId="4952" xr:uid="{00000000-0005-0000-0000-000016040000}"/>
    <cellStyle name="Millares 13 2 4 4 2" xfId="14052" xr:uid="{00000000-0005-0000-0000-000017040000}"/>
    <cellStyle name="Millares 13 2 4 4 2 2" xfId="32234" xr:uid="{00000000-0005-0000-0000-000018040000}"/>
    <cellStyle name="Millares 13 2 4 4 3" xfId="23144" xr:uid="{00000000-0005-0000-0000-000019040000}"/>
    <cellStyle name="Millares 13 2 4 5" xfId="9518" xr:uid="{00000000-0005-0000-0000-00001A040000}"/>
    <cellStyle name="Millares 13 2 4 5 2" xfId="27700" xr:uid="{00000000-0005-0000-0000-00001B040000}"/>
    <cellStyle name="Millares 13 2 4 6" xfId="18609" xr:uid="{00000000-0005-0000-0000-00001C040000}"/>
    <cellStyle name="Millares 13 2 5" xfId="294" xr:uid="{00000000-0005-0000-0000-00001D040000}"/>
    <cellStyle name="Millares 13 2 5 2" xfId="3311" xr:uid="{00000000-0005-0000-0000-00001E040000}"/>
    <cellStyle name="Millares 13 2 5 2 2" xfId="7867" xr:uid="{00000000-0005-0000-0000-00001F040000}"/>
    <cellStyle name="Millares 13 2 5 2 2 2" xfId="16963" xr:uid="{00000000-0005-0000-0000-000020040000}"/>
    <cellStyle name="Millares 13 2 5 2 2 2 2" xfId="35145" xr:uid="{00000000-0005-0000-0000-000021040000}"/>
    <cellStyle name="Millares 13 2 5 2 2 3" xfId="26055" xr:uid="{00000000-0005-0000-0000-000022040000}"/>
    <cellStyle name="Millares 13 2 5 2 3" xfId="12423" xr:uid="{00000000-0005-0000-0000-000023040000}"/>
    <cellStyle name="Millares 13 2 5 2 3 2" xfId="30605" xr:uid="{00000000-0005-0000-0000-000024040000}"/>
    <cellStyle name="Millares 13 2 5 2 4" xfId="21515" xr:uid="{00000000-0005-0000-0000-000025040000}"/>
    <cellStyle name="Millares 13 2 5 3" xfId="4953" xr:uid="{00000000-0005-0000-0000-000026040000}"/>
    <cellStyle name="Millares 13 2 5 3 2" xfId="14053" xr:uid="{00000000-0005-0000-0000-000027040000}"/>
    <cellStyle name="Millares 13 2 5 3 2 2" xfId="32235" xr:uid="{00000000-0005-0000-0000-000028040000}"/>
    <cellStyle name="Millares 13 2 5 3 3" xfId="23145" xr:uid="{00000000-0005-0000-0000-000029040000}"/>
    <cellStyle name="Millares 13 2 5 4" xfId="9519" xr:uid="{00000000-0005-0000-0000-00002A040000}"/>
    <cellStyle name="Millares 13 2 5 4 2" xfId="27701" xr:uid="{00000000-0005-0000-0000-00002B040000}"/>
    <cellStyle name="Millares 13 2 5 5" xfId="18610" xr:uid="{00000000-0005-0000-0000-00002C040000}"/>
    <cellStyle name="Millares 13 2 6" xfId="1853" xr:uid="{00000000-0005-0000-0000-00002D040000}"/>
    <cellStyle name="Millares 13 2 6 2" xfId="6466" xr:uid="{00000000-0005-0000-0000-00002E040000}"/>
    <cellStyle name="Millares 13 2 6 2 2" xfId="15566" xr:uid="{00000000-0005-0000-0000-00002F040000}"/>
    <cellStyle name="Millares 13 2 6 2 2 2" xfId="33748" xr:uid="{00000000-0005-0000-0000-000030040000}"/>
    <cellStyle name="Millares 13 2 6 2 3" xfId="24658" xr:uid="{00000000-0005-0000-0000-000031040000}"/>
    <cellStyle name="Millares 13 2 6 3" xfId="11030" xr:uid="{00000000-0005-0000-0000-000032040000}"/>
    <cellStyle name="Millares 13 2 6 3 2" xfId="29212" xr:uid="{00000000-0005-0000-0000-000033040000}"/>
    <cellStyle name="Millares 13 2 6 4" xfId="20122" xr:uid="{00000000-0005-0000-0000-000034040000}"/>
    <cellStyle name="Millares 13 2 7" xfId="3302" xr:uid="{00000000-0005-0000-0000-000035040000}"/>
    <cellStyle name="Millares 13 2 7 2" xfId="7858" xr:uid="{00000000-0005-0000-0000-000036040000}"/>
    <cellStyle name="Millares 13 2 7 2 2" xfId="16954" xr:uid="{00000000-0005-0000-0000-000037040000}"/>
    <cellStyle name="Millares 13 2 7 2 2 2" xfId="35136" xr:uid="{00000000-0005-0000-0000-000038040000}"/>
    <cellStyle name="Millares 13 2 7 2 3" xfId="26046" xr:uid="{00000000-0005-0000-0000-000039040000}"/>
    <cellStyle name="Millares 13 2 7 3" xfId="12414" xr:uid="{00000000-0005-0000-0000-00003A040000}"/>
    <cellStyle name="Millares 13 2 7 3 2" xfId="30596" xr:uid="{00000000-0005-0000-0000-00003B040000}"/>
    <cellStyle name="Millares 13 2 7 4" xfId="21506" xr:uid="{00000000-0005-0000-0000-00003C040000}"/>
    <cellStyle name="Millares 13 2 8" xfId="4944" xr:uid="{00000000-0005-0000-0000-00003D040000}"/>
    <cellStyle name="Millares 13 2 8 2" xfId="14044" xr:uid="{00000000-0005-0000-0000-00003E040000}"/>
    <cellStyle name="Millares 13 2 8 2 2" xfId="32226" xr:uid="{00000000-0005-0000-0000-00003F040000}"/>
    <cellStyle name="Millares 13 2 8 3" xfId="23136" xr:uid="{00000000-0005-0000-0000-000040040000}"/>
    <cellStyle name="Millares 13 2 9" xfId="9510" xr:uid="{00000000-0005-0000-0000-000041040000}"/>
    <cellStyle name="Millares 13 2 9 2" xfId="27692" xr:uid="{00000000-0005-0000-0000-000042040000}"/>
    <cellStyle name="Millares 13 3" xfId="295" xr:uid="{00000000-0005-0000-0000-000043040000}"/>
    <cellStyle name="Millares 13 3 2" xfId="296" xr:uid="{00000000-0005-0000-0000-000044040000}"/>
    <cellStyle name="Millares 13 3 2 2" xfId="297" xr:uid="{00000000-0005-0000-0000-000045040000}"/>
    <cellStyle name="Millares 13 3 2 2 2" xfId="1854" xr:uid="{00000000-0005-0000-0000-000046040000}"/>
    <cellStyle name="Millares 13 3 2 2 2 2" xfId="6467" xr:uid="{00000000-0005-0000-0000-000047040000}"/>
    <cellStyle name="Millares 13 3 2 2 2 2 2" xfId="15567" xr:uid="{00000000-0005-0000-0000-000048040000}"/>
    <cellStyle name="Millares 13 3 2 2 2 2 2 2" xfId="33749" xr:uid="{00000000-0005-0000-0000-000049040000}"/>
    <cellStyle name="Millares 13 3 2 2 2 2 3" xfId="24659" xr:uid="{00000000-0005-0000-0000-00004A040000}"/>
    <cellStyle name="Millares 13 3 2 2 2 3" xfId="11031" xr:uid="{00000000-0005-0000-0000-00004B040000}"/>
    <cellStyle name="Millares 13 3 2 2 2 3 2" xfId="29213" xr:uid="{00000000-0005-0000-0000-00004C040000}"/>
    <cellStyle name="Millares 13 3 2 2 2 4" xfId="20123" xr:uid="{00000000-0005-0000-0000-00004D040000}"/>
    <cellStyle name="Millares 13 3 2 2 3" xfId="3314" xr:uid="{00000000-0005-0000-0000-00004E040000}"/>
    <cellStyle name="Millares 13 3 2 2 3 2" xfId="7870" xr:uid="{00000000-0005-0000-0000-00004F040000}"/>
    <cellStyle name="Millares 13 3 2 2 3 2 2" xfId="16966" xr:uid="{00000000-0005-0000-0000-000050040000}"/>
    <cellStyle name="Millares 13 3 2 2 3 2 2 2" xfId="35148" xr:uid="{00000000-0005-0000-0000-000051040000}"/>
    <cellStyle name="Millares 13 3 2 2 3 2 3" xfId="26058" xr:uid="{00000000-0005-0000-0000-000052040000}"/>
    <cellStyle name="Millares 13 3 2 2 3 3" xfId="12426" xr:uid="{00000000-0005-0000-0000-000053040000}"/>
    <cellStyle name="Millares 13 3 2 2 3 3 2" xfId="30608" xr:uid="{00000000-0005-0000-0000-000054040000}"/>
    <cellStyle name="Millares 13 3 2 2 3 4" xfId="21518" xr:uid="{00000000-0005-0000-0000-000055040000}"/>
    <cellStyle name="Millares 13 3 2 2 4" xfId="4956" xr:uid="{00000000-0005-0000-0000-000056040000}"/>
    <cellStyle name="Millares 13 3 2 2 4 2" xfId="14056" xr:uid="{00000000-0005-0000-0000-000057040000}"/>
    <cellStyle name="Millares 13 3 2 2 4 2 2" xfId="32238" xr:uid="{00000000-0005-0000-0000-000058040000}"/>
    <cellStyle name="Millares 13 3 2 2 4 3" xfId="23148" xr:uid="{00000000-0005-0000-0000-000059040000}"/>
    <cellStyle name="Millares 13 3 2 2 5" xfId="9522" xr:uid="{00000000-0005-0000-0000-00005A040000}"/>
    <cellStyle name="Millares 13 3 2 2 5 2" xfId="27704" xr:uid="{00000000-0005-0000-0000-00005B040000}"/>
    <cellStyle name="Millares 13 3 2 2 6" xfId="18613" xr:uid="{00000000-0005-0000-0000-00005C040000}"/>
    <cellStyle name="Millares 13 3 2 3" xfId="1855" xr:uid="{00000000-0005-0000-0000-00005D040000}"/>
    <cellStyle name="Millares 13 3 2 3 2" xfId="6468" xr:uid="{00000000-0005-0000-0000-00005E040000}"/>
    <cellStyle name="Millares 13 3 2 3 2 2" xfId="15568" xr:uid="{00000000-0005-0000-0000-00005F040000}"/>
    <cellStyle name="Millares 13 3 2 3 2 2 2" xfId="33750" xr:uid="{00000000-0005-0000-0000-000060040000}"/>
    <cellStyle name="Millares 13 3 2 3 2 3" xfId="24660" xr:uid="{00000000-0005-0000-0000-000061040000}"/>
    <cellStyle name="Millares 13 3 2 3 3" xfId="11032" xr:uid="{00000000-0005-0000-0000-000062040000}"/>
    <cellStyle name="Millares 13 3 2 3 3 2" xfId="29214" xr:uid="{00000000-0005-0000-0000-000063040000}"/>
    <cellStyle name="Millares 13 3 2 3 4" xfId="20124" xr:uid="{00000000-0005-0000-0000-000064040000}"/>
    <cellStyle name="Millares 13 3 2 4" xfId="3313" xr:uid="{00000000-0005-0000-0000-000065040000}"/>
    <cellStyle name="Millares 13 3 2 4 2" xfId="7869" xr:uid="{00000000-0005-0000-0000-000066040000}"/>
    <cellStyle name="Millares 13 3 2 4 2 2" xfId="16965" xr:uid="{00000000-0005-0000-0000-000067040000}"/>
    <cellStyle name="Millares 13 3 2 4 2 2 2" xfId="35147" xr:uid="{00000000-0005-0000-0000-000068040000}"/>
    <cellStyle name="Millares 13 3 2 4 2 3" xfId="26057" xr:uid="{00000000-0005-0000-0000-000069040000}"/>
    <cellStyle name="Millares 13 3 2 4 3" xfId="12425" xr:uid="{00000000-0005-0000-0000-00006A040000}"/>
    <cellStyle name="Millares 13 3 2 4 3 2" xfId="30607" xr:uid="{00000000-0005-0000-0000-00006B040000}"/>
    <cellStyle name="Millares 13 3 2 4 4" xfId="21517" xr:uid="{00000000-0005-0000-0000-00006C040000}"/>
    <cellStyle name="Millares 13 3 2 5" xfId="4955" xr:uid="{00000000-0005-0000-0000-00006D040000}"/>
    <cellStyle name="Millares 13 3 2 5 2" xfId="14055" xr:uid="{00000000-0005-0000-0000-00006E040000}"/>
    <cellStyle name="Millares 13 3 2 5 2 2" xfId="32237" xr:uid="{00000000-0005-0000-0000-00006F040000}"/>
    <cellStyle name="Millares 13 3 2 5 3" xfId="23147" xr:uid="{00000000-0005-0000-0000-000070040000}"/>
    <cellStyle name="Millares 13 3 2 6" xfId="9521" xr:uid="{00000000-0005-0000-0000-000071040000}"/>
    <cellStyle name="Millares 13 3 2 6 2" xfId="27703" xr:uid="{00000000-0005-0000-0000-000072040000}"/>
    <cellStyle name="Millares 13 3 2 7" xfId="18612" xr:uid="{00000000-0005-0000-0000-000073040000}"/>
    <cellStyle name="Millares 13 3 3" xfId="298" xr:uid="{00000000-0005-0000-0000-000074040000}"/>
    <cellStyle name="Millares 13 3 3 2" xfId="1856" xr:uid="{00000000-0005-0000-0000-000075040000}"/>
    <cellStyle name="Millares 13 3 3 2 2" xfId="6469" xr:uid="{00000000-0005-0000-0000-000076040000}"/>
    <cellStyle name="Millares 13 3 3 2 2 2" xfId="15569" xr:uid="{00000000-0005-0000-0000-000077040000}"/>
    <cellStyle name="Millares 13 3 3 2 2 2 2" xfId="33751" xr:uid="{00000000-0005-0000-0000-000078040000}"/>
    <cellStyle name="Millares 13 3 3 2 2 3" xfId="24661" xr:uid="{00000000-0005-0000-0000-000079040000}"/>
    <cellStyle name="Millares 13 3 3 2 3" xfId="11033" xr:uid="{00000000-0005-0000-0000-00007A040000}"/>
    <cellStyle name="Millares 13 3 3 2 3 2" xfId="29215" xr:uid="{00000000-0005-0000-0000-00007B040000}"/>
    <cellStyle name="Millares 13 3 3 2 4" xfId="20125" xr:uid="{00000000-0005-0000-0000-00007C040000}"/>
    <cellStyle name="Millares 13 3 3 3" xfId="3315" xr:uid="{00000000-0005-0000-0000-00007D040000}"/>
    <cellStyle name="Millares 13 3 3 3 2" xfId="7871" xr:uid="{00000000-0005-0000-0000-00007E040000}"/>
    <cellStyle name="Millares 13 3 3 3 2 2" xfId="16967" xr:uid="{00000000-0005-0000-0000-00007F040000}"/>
    <cellStyle name="Millares 13 3 3 3 2 2 2" xfId="35149" xr:uid="{00000000-0005-0000-0000-000080040000}"/>
    <cellStyle name="Millares 13 3 3 3 2 3" xfId="26059" xr:uid="{00000000-0005-0000-0000-000081040000}"/>
    <cellStyle name="Millares 13 3 3 3 3" xfId="12427" xr:uid="{00000000-0005-0000-0000-000082040000}"/>
    <cellStyle name="Millares 13 3 3 3 3 2" xfId="30609" xr:uid="{00000000-0005-0000-0000-000083040000}"/>
    <cellStyle name="Millares 13 3 3 3 4" xfId="21519" xr:uid="{00000000-0005-0000-0000-000084040000}"/>
    <cellStyle name="Millares 13 3 3 4" xfId="4957" xr:uid="{00000000-0005-0000-0000-000085040000}"/>
    <cellStyle name="Millares 13 3 3 4 2" xfId="14057" xr:uid="{00000000-0005-0000-0000-000086040000}"/>
    <cellStyle name="Millares 13 3 3 4 2 2" xfId="32239" xr:uid="{00000000-0005-0000-0000-000087040000}"/>
    <cellStyle name="Millares 13 3 3 4 3" xfId="23149" xr:uid="{00000000-0005-0000-0000-000088040000}"/>
    <cellStyle name="Millares 13 3 3 5" xfId="9523" xr:uid="{00000000-0005-0000-0000-000089040000}"/>
    <cellStyle name="Millares 13 3 3 5 2" xfId="27705" xr:uid="{00000000-0005-0000-0000-00008A040000}"/>
    <cellStyle name="Millares 13 3 3 6" xfId="18614" xr:uid="{00000000-0005-0000-0000-00008B040000}"/>
    <cellStyle name="Millares 13 3 4" xfId="299" xr:uid="{00000000-0005-0000-0000-00008C040000}"/>
    <cellStyle name="Millares 13 3 4 2" xfId="3316" xr:uid="{00000000-0005-0000-0000-00008D040000}"/>
    <cellStyle name="Millares 13 3 4 2 2" xfId="7872" xr:uid="{00000000-0005-0000-0000-00008E040000}"/>
    <cellStyle name="Millares 13 3 4 2 2 2" xfId="16968" xr:uid="{00000000-0005-0000-0000-00008F040000}"/>
    <cellStyle name="Millares 13 3 4 2 2 2 2" xfId="35150" xr:uid="{00000000-0005-0000-0000-000090040000}"/>
    <cellStyle name="Millares 13 3 4 2 2 3" xfId="26060" xr:uid="{00000000-0005-0000-0000-000091040000}"/>
    <cellStyle name="Millares 13 3 4 2 3" xfId="12428" xr:uid="{00000000-0005-0000-0000-000092040000}"/>
    <cellStyle name="Millares 13 3 4 2 3 2" xfId="30610" xr:uid="{00000000-0005-0000-0000-000093040000}"/>
    <cellStyle name="Millares 13 3 4 2 4" xfId="21520" xr:uid="{00000000-0005-0000-0000-000094040000}"/>
    <cellStyle name="Millares 13 3 4 3" xfId="4958" xr:uid="{00000000-0005-0000-0000-000095040000}"/>
    <cellStyle name="Millares 13 3 4 3 2" xfId="14058" xr:uid="{00000000-0005-0000-0000-000096040000}"/>
    <cellStyle name="Millares 13 3 4 3 2 2" xfId="32240" xr:uid="{00000000-0005-0000-0000-000097040000}"/>
    <cellStyle name="Millares 13 3 4 3 3" xfId="23150" xr:uid="{00000000-0005-0000-0000-000098040000}"/>
    <cellStyle name="Millares 13 3 4 4" xfId="9524" xr:uid="{00000000-0005-0000-0000-000099040000}"/>
    <cellStyle name="Millares 13 3 4 4 2" xfId="27706" xr:uid="{00000000-0005-0000-0000-00009A040000}"/>
    <cellStyle name="Millares 13 3 4 5" xfId="18615" xr:uid="{00000000-0005-0000-0000-00009B040000}"/>
    <cellStyle name="Millares 13 3 5" xfId="1857" xr:uid="{00000000-0005-0000-0000-00009C040000}"/>
    <cellStyle name="Millares 13 3 6" xfId="3312" xr:uid="{00000000-0005-0000-0000-00009D040000}"/>
    <cellStyle name="Millares 13 3 6 2" xfId="7868" xr:uid="{00000000-0005-0000-0000-00009E040000}"/>
    <cellStyle name="Millares 13 3 6 2 2" xfId="16964" xr:uid="{00000000-0005-0000-0000-00009F040000}"/>
    <cellStyle name="Millares 13 3 6 2 2 2" xfId="35146" xr:uid="{00000000-0005-0000-0000-0000A0040000}"/>
    <cellStyle name="Millares 13 3 6 2 3" xfId="26056" xr:uid="{00000000-0005-0000-0000-0000A1040000}"/>
    <cellStyle name="Millares 13 3 6 3" xfId="12424" xr:uid="{00000000-0005-0000-0000-0000A2040000}"/>
    <cellStyle name="Millares 13 3 6 3 2" xfId="30606" xr:uid="{00000000-0005-0000-0000-0000A3040000}"/>
    <cellStyle name="Millares 13 3 6 4" xfId="21516" xr:uid="{00000000-0005-0000-0000-0000A4040000}"/>
    <cellStyle name="Millares 13 3 7" xfId="4954" xr:uid="{00000000-0005-0000-0000-0000A5040000}"/>
    <cellStyle name="Millares 13 3 7 2" xfId="14054" xr:uid="{00000000-0005-0000-0000-0000A6040000}"/>
    <cellStyle name="Millares 13 3 7 2 2" xfId="32236" xr:uid="{00000000-0005-0000-0000-0000A7040000}"/>
    <cellStyle name="Millares 13 3 7 3" xfId="23146" xr:uid="{00000000-0005-0000-0000-0000A8040000}"/>
    <cellStyle name="Millares 13 3 8" xfId="9520" xr:uid="{00000000-0005-0000-0000-0000A9040000}"/>
    <cellStyle name="Millares 13 3 8 2" xfId="27702" xr:uid="{00000000-0005-0000-0000-0000AA040000}"/>
    <cellStyle name="Millares 13 3 9" xfId="18611" xr:uid="{00000000-0005-0000-0000-0000AB040000}"/>
    <cellStyle name="Millares 13 4" xfId="300" xr:uid="{00000000-0005-0000-0000-0000AC040000}"/>
    <cellStyle name="Millares 13 4 2" xfId="301" xr:uid="{00000000-0005-0000-0000-0000AD040000}"/>
    <cellStyle name="Millares 13 4 2 2" xfId="1858" xr:uid="{00000000-0005-0000-0000-0000AE040000}"/>
    <cellStyle name="Millares 13 4 2 2 2" xfId="6470" xr:uid="{00000000-0005-0000-0000-0000AF040000}"/>
    <cellStyle name="Millares 13 4 2 2 2 2" xfId="15570" xr:uid="{00000000-0005-0000-0000-0000B0040000}"/>
    <cellStyle name="Millares 13 4 2 2 2 2 2" xfId="33752" xr:uid="{00000000-0005-0000-0000-0000B1040000}"/>
    <cellStyle name="Millares 13 4 2 2 2 3" xfId="24662" xr:uid="{00000000-0005-0000-0000-0000B2040000}"/>
    <cellStyle name="Millares 13 4 2 2 3" xfId="11034" xr:uid="{00000000-0005-0000-0000-0000B3040000}"/>
    <cellStyle name="Millares 13 4 2 2 3 2" xfId="29216" xr:uid="{00000000-0005-0000-0000-0000B4040000}"/>
    <cellStyle name="Millares 13 4 2 2 4" xfId="20126" xr:uid="{00000000-0005-0000-0000-0000B5040000}"/>
    <cellStyle name="Millares 13 4 2 3" xfId="3318" xr:uid="{00000000-0005-0000-0000-0000B6040000}"/>
    <cellStyle name="Millares 13 4 2 3 2" xfId="7874" xr:uid="{00000000-0005-0000-0000-0000B7040000}"/>
    <cellStyle name="Millares 13 4 2 3 2 2" xfId="16970" xr:uid="{00000000-0005-0000-0000-0000B8040000}"/>
    <cellStyle name="Millares 13 4 2 3 2 2 2" xfId="35152" xr:uid="{00000000-0005-0000-0000-0000B9040000}"/>
    <cellStyle name="Millares 13 4 2 3 2 3" xfId="26062" xr:uid="{00000000-0005-0000-0000-0000BA040000}"/>
    <cellStyle name="Millares 13 4 2 3 3" xfId="12430" xr:uid="{00000000-0005-0000-0000-0000BB040000}"/>
    <cellStyle name="Millares 13 4 2 3 3 2" xfId="30612" xr:uid="{00000000-0005-0000-0000-0000BC040000}"/>
    <cellStyle name="Millares 13 4 2 3 4" xfId="21522" xr:uid="{00000000-0005-0000-0000-0000BD040000}"/>
    <cellStyle name="Millares 13 4 2 4" xfId="4960" xr:uid="{00000000-0005-0000-0000-0000BE040000}"/>
    <cellStyle name="Millares 13 4 2 4 2" xfId="14060" xr:uid="{00000000-0005-0000-0000-0000BF040000}"/>
    <cellStyle name="Millares 13 4 2 4 2 2" xfId="32242" xr:uid="{00000000-0005-0000-0000-0000C0040000}"/>
    <cellStyle name="Millares 13 4 2 4 3" xfId="23152" xr:uid="{00000000-0005-0000-0000-0000C1040000}"/>
    <cellStyle name="Millares 13 4 2 5" xfId="9526" xr:uid="{00000000-0005-0000-0000-0000C2040000}"/>
    <cellStyle name="Millares 13 4 2 5 2" xfId="27708" xr:uid="{00000000-0005-0000-0000-0000C3040000}"/>
    <cellStyle name="Millares 13 4 2 6" xfId="18617" xr:uid="{00000000-0005-0000-0000-0000C4040000}"/>
    <cellStyle name="Millares 13 4 3" xfId="1859" xr:uid="{00000000-0005-0000-0000-0000C5040000}"/>
    <cellStyle name="Millares 13 4 3 2" xfId="6471" xr:uid="{00000000-0005-0000-0000-0000C6040000}"/>
    <cellStyle name="Millares 13 4 3 2 2" xfId="15571" xr:uid="{00000000-0005-0000-0000-0000C7040000}"/>
    <cellStyle name="Millares 13 4 3 2 2 2" xfId="33753" xr:uid="{00000000-0005-0000-0000-0000C8040000}"/>
    <cellStyle name="Millares 13 4 3 2 3" xfId="24663" xr:uid="{00000000-0005-0000-0000-0000C9040000}"/>
    <cellStyle name="Millares 13 4 3 3" xfId="11035" xr:uid="{00000000-0005-0000-0000-0000CA040000}"/>
    <cellStyle name="Millares 13 4 3 3 2" xfId="29217" xr:uid="{00000000-0005-0000-0000-0000CB040000}"/>
    <cellStyle name="Millares 13 4 3 4" xfId="20127" xr:uid="{00000000-0005-0000-0000-0000CC040000}"/>
    <cellStyle name="Millares 13 4 4" xfId="3317" xr:uid="{00000000-0005-0000-0000-0000CD040000}"/>
    <cellStyle name="Millares 13 4 4 2" xfId="7873" xr:uid="{00000000-0005-0000-0000-0000CE040000}"/>
    <cellStyle name="Millares 13 4 4 2 2" xfId="16969" xr:uid="{00000000-0005-0000-0000-0000CF040000}"/>
    <cellStyle name="Millares 13 4 4 2 2 2" xfId="35151" xr:uid="{00000000-0005-0000-0000-0000D0040000}"/>
    <cellStyle name="Millares 13 4 4 2 3" xfId="26061" xr:uid="{00000000-0005-0000-0000-0000D1040000}"/>
    <cellStyle name="Millares 13 4 4 3" xfId="12429" xr:uid="{00000000-0005-0000-0000-0000D2040000}"/>
    <cellStyle name="Millares 13 4 4 3 2" xfId="30611" xr:uid="{00000000-0005-0000-0000-0000D3040000}"/>
    <cellStyle name="Millares 13 4 4 4" xfId="21521" xr:uid="{00000000-0005-0000-0000-0000D4040000}"/>
    <cellStyle name="Millares 13 4 5" xfId="4959" xr:uid="{00000000-0005-0000-0000-0000D5040000}"/>
    <cellStyle name="Millares 13 4 5 2" xfId="14059" xr:uid="{00000000-0005-0000-0000-0000D6040000}"/>
    <cellStyle name="Millares 13 4 5 2 2" xfId="32241" xr:uid="{00000000-0005-0000-0000-0000D7040000}"/>
    <cellStyle name="Millares 13 4 5 3" xfId="23151" xr:uid="{00000000-0005-0000-0000-0000D8040000}"/>
    <cellStyle name="Millares 13 4 6" xfId="9525" xr:uid="{00000000-0005-0000-0000-0000D9040000}"/>
    <cellStyle name="Millares 13 4 6 2" xfId="27707" xr:uid="{00000000-0005-0000-0000-0000DA040000}"/>
    <cellStyle name="Millares 13 4 7" xfId="18616" xr:uid="{00000000-0005-0000-0000-0000DB040000}"/>
    <cellStyle name="Millares 13 5" xfId="302" xr:uid="{00000000-0005-0000-0000-0000DC040000}"/>
    <cellStyle name="Millares 13 5 2" xfId="1860" xr:uid="{00000000-0005-0000-0000-0000DD040000}"/>
    <cellStyle name="Millares 13 5 2 2" xfId="6472" xr:uid="{00000000-0005-0000-0000-0000DE040000}"/>
    <cellStyle name="Millares 13 5 2 2 2" xfId="15572" xr:uid="{00000000-0005-0000-0000-0000DF040000}"/>
    <cellStyle name="Millares 13 5 2 2 2 2" xfId="33754" xr:uid="{00000000-0005-0000-0000-0000E0040000}"/>
    <cellStyle name="Millares 13 5 2 2 3" xfId="24664" xr:uid="{00000000-0005-0000-0000-0000E1040000}"/>
    <cellStyle name="Millares 13 5 2 3" xfId="11036" xr:uid="{00000000-0005-0000-0000-0000E2040000}"/>
    <cellStyle name="Millares 13 5 2 3 2" xfId="29218" xr:uid="{00000000-0005-0000-0000-0000E3040000}"/>
    <cellStyle name="Millares 13 5 2 4" xfId="20128" xr:uid="{00000000-0005-0000-0000-0000E4040000}"/>
    <cellStyle name="Millares 13 5 3" xfId="3319" xr:uid="{00000000-0005-0000-0000-0000E5040000}"/>
    <cellStyle name="Millares 13 5 3 2" xfId="7875" xr:uid="{00000000-0005-0000-0000-0000E6040000}"/>
    <cellStyle name="Millares 13 5 3 2 2" xfId="16971" xr:uid="{00000000-0005-0000-0000-0000E7040000}"/>
    <cellStyle name="Millares 13 5 3 2 2 2" xfId="35153" xr:uid="{00000000-0005-0000-0000-0000E8040000}"/>
    <cellStyle name="Millares 13 5 3 2 3" xfId="26063" xr:uid="{00000000-0005-0000-0000-0000E9040000}"/>
    <cellStyle name="Millares 13 5 3 3" xfId="12431" xr:uid="{00000000-0005-0000-0000-0000EA040000}"/>
    <cellStyle name="Millares 13 5 3 3 2" xfId="30613" xr:uid="{00000000-0005-0000-0000-0000EB040000}"/>
    <cellStyle name="Millares 13 5 3 4" xfId="21523" xr:uid="{00000000-0005-0000-0000-0000EC040000}"/>
    <cellStyle name="Millares 13 5 4" xfId="4961" xr:uid="{00000000-0005-0000-0000-0000ED040000}"/>
    <cellStyle name="Millares 13 5 4 2" xfId="14061" xr:uid="{00000000-0005-0000-0000-0000EE040000}"/>
    <cellStyle name="Millares 13 5 4 2 2" xfId="32243" xr:uid="{00000000-0005-0000-0000-0000EF040000}"/>
    <cellStyle name="Millares 13 5 4 3" xfId="23153" xr:uid="{00000000-0005-0000-0000-0000F0040000}"/>
    <cellStyle name="Millares 13 5 5" xfId="9527" xr:uid="{00000000-0005-0000-0000-0000F1040000}"/>
    <cellStyle name="Millares 13 5 5 2" xfId="27709" xr:uid="{00000000-0005-0000-0000-0000F2040000}"/>
    <cellStyle name="Millares 13 5 6" xfId="18618" xr:uid="{00000000-0005-0000-0000-0000F3040000}"/>
    <cellStyle name="Millares 13 6" xfId="303" xr:uid="{00000000-0005-0000-0000-0000F4040000}"/>
    <cellStyle name="Millares 13 6 2" xfId="3320" xr:uid="{00000000-0005-0000-0000-0000F5040000}"/>
    <cellStyle name="Millares 13 6 2 2" xfId="7876" xr:uid="{00000000-0005-0000-0000-0000F6040000}"/>
    <cellStyle name="Millares 13 6 2 2 2" xfId="16972" xr:uid="{00000000-0005-0000-0000-0000F7040000}"/>
    <cellStyle name="Millares 13 6 2 2 2 2" xfId="35154" xr:uid="{00000000-0005-0000-0000-0000F8040000}"/>
    <cellStyle name="Millares 13 6 2 2 3" xfId="26064" xr:uid="{00000000-0005-0000-0000-0000F9040000}"/>
    <cellStyle name="Millares 13 6 2 3" xfId="12432" xr:uid="{00000000-0005-0000-0000-0000FA040000}"/>
    <cellStyle name="Millares 13 6 2 3 2" xfId="30614" xr:uid="{00000000-0005-0000-0000-0000FB040000}"/>
    <cellStyle name="Millares 13 6 2 4" xfId="21524" xr:uid="{00000000-0005-0000-0000-0000FC040000}"/>
    <cellStyle name="Millares 13 6 3" xfId="4962" xr:uid="{00000000-0005-0000-0000-0000FD040000}"/>
    <cellStyle name="Millares 13 6 3 2" xfId="14062" xr:uid="{00000000-0005-0000-0000-0000FE040000}"/>
    <cellStyle name="Millares 13 6 3 2 2" xfId="32244" xr:uid="{00000000-0005-0000-0000-0000FF040000}"/>
    <cellStyle name="Millares 13 6 3 3" xfId="23154" xr:uid="{00000000-0005-0000-0000-000000050000}"/>
    <cellStyle name="Millares 13 6 4" xfId="9528" xr:uid="{00000000-0005-0000-0000-000001050000}"/>
    <cellStyle name="Millares 13 6 4 2" xfId="27710" xr:uid="{00000000-0005-0000-0000-000002050000}"/>
    <cellStyle name="Millares 13 6 5" xfId="18619" xr:uid="{00000000-0005-0000-0000-000003050000}"/>
    <cellStyle name="Millares 13 7" xfId="1861" xr:uid="{00000000-0005-0000-0000-000004050000}"/>
    <cellStyle name="Millares 13 7 2" xfId="6473" xr:uid="{00000000-0005-0000-0000-000005050000}"/>
    <cellStyle name="Millares 13 7 2 2" xfId="15573" xr:uid="{00000000-0005-0000-0000-000006050000}"/>
    <cellStyle name="Millares 13 7 2 2 2" xfId="33755" xr:uid="{00000000-0005-0000-0000-000007050000}"/>
    <cellStyle name="Millares 13 7 2 3" xfId="24665" xr:uid="{00000000-0005-0000-0000-000008050000}"/>
    <cellStyle name="Millares 13 7 3" xfId="11037" xr:uid="{00000000-0005-0000-0000-000009050000}"/>
    <cellStyle name="Millares 13 7 3 2" xfId="29219" xr:uid="{00000000-0005-0000-0000-00000A050000}"/>
    <cellStyle name="Millares 13 7 4" xfId="20129" xr:uid="{00000000-0005-0000-0000-00000B050000}"/>
    <cellStyle name="Millares 13 8" xfId="3217" xr:uid="{00000000-0005-0000-0000-00000C050000}"/>
    <cellStyle name="Millares 13 8 2" xfId="7777" xr:uid="{00000000-0005-0000-0000-00000D050000}"/>
    <cellStyle name="Millares 13 8 2 2" xfId="16873" xr:uid="{00000000-0005-0000-0000-00000E050000}"/>
    <cellStyle name="Millares 13 8 2 2 2" xfId="35055" xr:uid="{00000000-0005-0000-0000-00000F050000}"/>
    <cellStyle name="Millares 13 8 2 3" xfId="25965" xr:uid="{00000000-0005-0000-0000-000010050000}"/>
    <cellStyle name="Millares 13 8 3" xfId="12333" xr:uid="{00000000-0005-0000-0000-000011050000}"/>
    <cellStyle name="Millares 13 8 3 2" xfId="30515" xr:uid="{00000000-0005-0000-0000-000012050000}"/>
    <cellStyle name="Millares 13 8 4" xfId="21425" xr:uid="{00000000-0005-0000-0000-000013050000}"/>
    <cellStyle name="Millares 13 9" xfId="4865" xr:uid="{00000000-0005-0000-0000-000014050000}"/>
    <cellStyle name="Millares 13 9 2" xfId="13965" xr:uid="{00000000-0005-0000-0000-000015050000}"/>
    <cellStyle name="Millares 13 9 2 2" xfId="32147" xr:uid="{00000000-0005-0000-0000-000016050000}"/>
    <cellStyle name="Millares 13 9 3" xfId="23057" xr:uid="{00000000-0005-0000-0000-000017050000}"/>
    <cellStyle name="Millares 14" xfId="135" xr:uid="{00000000-0005-0000-0000-000018050000}"/>
    <cellStyle name="Millares 15" xfId="138" xr:uid="{00000000-0005-0000-0000-000019050000}"/>
    <cellStyle name="Millares 16" xfId="140" xr:uid="{00000000-0005-0000-0000-00001A050000}"/>
    <cellStyle name="Millares 16 10" xfId="9436" xr:uid="{00000000-0005-0000-0000-00001B050000}"/>
    <cellStyle name="Millares 16 10 2" xfId="27618" xr:uid="{00000000-0005-0000-0000-00001C050000}"/>
    <cellStyle name="Millares 16 11" xfId="18527" xr:uid="{00000000-0005-0000-0000-00001D050000}"/>
    <cellStyle name="Millares 16 2" xfId="304" xr:uid="{00000000-0005-0000-0000-00001E050000}"/>
    <cellStyle name="Millares 16 2 10" xfId="18620" xr:uid="{00000000-0005-0000-0000-00001F050000}"/>
    <cellStyle name="Millares 16 2 2" xfId="305" xr:uid="{00000000-0005-0000-0000-000020050000}"/>
    <cellStyle name="Millares 16 2 2 2" xfId="306" xr:uid="{00000000-0005-0000-0000-000021050000}"/>
    <cellStyle name="Millares 16 2 2 2 2" xfId="307" xr:uid="{00000000-0005-0000-0000-000022050000}"/>
    <cellStyle name="Millares 16 2 2 2 2 2" xfId="1862" xr:uid="{00000000-0005-0000-0000-000023050000}"/>
    <cellStyle name="Millares 16 2 2 2 2 2 2" xfId="6474" xr:uid="{00000000-0005-0000-0000-000024050000}"/>
    <cellStyle name="Millares 16 2 2 2 2 2 2 2" xfId="15574" xr:uid="{00000000-0005-0000-0000-000025050000}"/>
    <cellStyle name="Millares 16 2 2 2 2 2 2 2 2" xfId="33756" xr:uid="{00000000-0005-0000-0000-000026050000}"/>
    <cellStyle name="Millares 16 2 2 2 2 2 2 3" xfId="24666" xr:uid="{00000000-0005-0000-0000-000027050000}"/>
    <cellStyle name="Millares 16 2 2 2 2 2 3" xfId="11038" xr:uid="{00000000-0005-0000-0000-000028050000}"/>
    <cellStyle name="Millares 16 2 2 2 2 2 3 2" xfId="29220" xr:uid="{00000000-0005-0000-0000-000029050000}"/>
    <cellStyle name="Millares 16 2 2 2 2 2 4" xfId="20130" xr:uid="{00000000-0005-0000-0000-00002A050000}"/>
    <cellStyle name="Millares 16 2 2 2 2 3" xfId="3324" xr:uid="{00000000-0005-0000-0000-00002B050000}"/>
    <cellStyle name="Millares 16 2 2 2 2 3 2" xfId="7880" xr:uid="{00000000-0005-0000-0000-00002C050000}"/>
    <cellStyle name="Millares 16 2 2 2 2 3 2 2" xfId="16976" xr:uid="{00000000-0005-0000-0000-00002D050000}"/>
    <cellStyle name="Millares 16 2 2 2 2 3 2 2 2" xfId="35158" xr:uid="{00000000-0005-0000-0000-00002E050000}"/>
    <cellStyle name="Millares 16 2 2 2 2 3 2 3" xfId="26068" xr:uid="{00000000-0005-0000-0000-00002F050000}"/>
    <cellStyle name="Millares 16 2 2 2 2 3 3" xfId="12436" xr:uid="{00000000-0005-0000-0000-000030050000}"/>
    <cellStyle name="Millares 16 2 2 2 2 3 3 2" xfId="30618" xr:uid="{00000000-0005-0000-0000-000031050000}"/>
    <cellStyle name="Millares 16 2 2 2 2 3 4" xfId="21528" xr:uid="{00000000-0005-0000-0000-000032050000}"/>
    <cellStyle name="Millares 16 2 2 2 2 4" xfId="4966" xr:uid="{00000000-0005-0000-0000-000033050000}"/>
    <cellStyle name="Millares 16 2 2 2 2 4 2" xfId="14066" xr:uid="{00000000-0005-0000-0000-000034050000}"/>
    <cellStyle name="Millares 16 2 2 2 2 4 2 2" xfId="32248" xr:uid="{00000000-0005-0000-0000-000035050000}"/>
    <cellStyle name="Millares 16 2 2 2 2 4 3" xfId="23158" xr:uid="{00000000-0005-0000-0000-000036050000}"/>
    <cellStyle name="Millares 16 2 2 2 2 5" xfId="9532" xr:uid="{00000000-0005-0000-0000-000037050000}"/>
    <cellStyle name="Millares 16 2 2 2 2 5 2" xfId="27714" xr:uid="{00000000-0005-0000-0000-000038050000}"/>
    <cellStyle name="Millares 16 2 2 2 2 6" xfId="18623" xr:uid="{00000000-0005-0000-0000-000039050000}"/>
    <cellStyle name="Millares 16 2 2 2 3" xfId="1863" xr:uid="{00000000-0005-0000-0000-00003A050000}"/>
    <cellStyle name="Millares 16 2 2 2 3 2" xfId="6475" xr:uid="{00000000-0005-0000-0000-00003B050000}"/>
    <cellStyle name="Millares 16 2 2 2 3 2 2" xfId="15575" xr:uid="{00000000-0005-0000-0000-00003C050000}"/>
    <cellStyle name="Millares 16 2 2 2 3 2 2 2" xfId="33757" xr:uid="{00000000-0005-0000-0000-00003D050000}"/>
    <cellStyle name="Millares 16 2 2 2 3 2 3" xfId="24667" xr:uid="{00000000-0005-0000-0000-00003E050000}"/>
    <cellStyle name="Millares 16 2 2 2 3 3" xfId="11039" xr:uid="{00000000-0005-0000-0000-00003F050000}"/>
    <cellStyle name="Millares 16 2 2 2 3 3 2" xfId="29221" xr:uid="{00000000-0005-0000-0000-000040050000}"/>
    <cellStyle name="Millares 16 2 2 2 3 4" xfId="20131" xr:uid="{00000000-0005-0000-0000-000041050000}"/>
    <cellStyle name="Millares 16 2 2 2 4" xfId="3323" xr:uid="{00000000-0005-0000-0000-000042050000}"/>
    <cellStyle name="Millares 16 2 2 2 4 2" xfId="7879" xr:uid="{00000000-0005-0000-0000-000043050000}"/>
    <cellStyle name="Millares 16 2 2 2 4 2 2" xfId="16975" xr:uid="{00000000-0005-0000-0000-000044050000}"/>
    <cellStyle name="Millares 16 2 2 2 4 2 2 2" xfId="35157" xr:uid="{00000000-0005-0000-0000-000045050000}"/>
    <cellStyle name="Millares 16 2 2 2 4 2 3" xfId="26067" xr:uid="{00000000-0005-0000-0000-000046050000}"/>
    <cellStyle name="Millares 16 2 2 2 4 3" xfId="12435" xr:uid="{00000000-0005-0000-0000-000047050000}"/>
    <cellStyle name="Millares 16 2 2 2 4 3 2" xfId="30617" xr:uid="{00000000-0005-0000-0000-000048050000}"/>
    <cellStyle name="Millares 16 2 2 2 4 4" xfId="21527" xr:uid="{00000000-0005-0000-0000-000049050000}"/>
    <cellStyle name="Millares 16 2 2 2 5" xfId="4965" xr:uid="{00000000-0005-0000-0000-00004A050000}"/>
    <cellStyle name="Millares 16 2 2 2 5 2" xfId="14065" xr:uid="{00000000-0005-0000-0000-00004B050000}"/>
    <cellStyle name="Millares 16 2 2 2 5 2 2" xfId="32247" xr:uid="{00000000-0005-0000-0000-00004C050000}"/>
    <cellStyle name="Millares 16 2 2 2 5 3" xfId="23157" xr:uid="{00000000-0005-0000-0000-00004D050000}"/>
    <cellStyle name="Millares 16 2 2 2 6" xfId="9531" xr:uid="{00000000-0005-0000-0000-00004E050000}"/>
    <cellStyle name="Millares 16 2 2 2 6 2" xfId="27713" xr:uid="{00000000-0005-0000-0000-00004F050000}"/>
    <cellStyle name="Millares 16 2 2 2 7" xfId="18622" xr:uid="{00000000-0005-0000-0000-000050050000}"/>
    <cellStyle name="Millares 16 2 2 3" xfId="308" xr:uid="{00000000-0005-0000-0000-000051050000}"/>
    <cellStyle name="Millares 16 2 2 3 2" xfId="1864" xr:uid="{00000000-0005-0000-0000-000052050000}"/>
    <cellStyle name="Millares 16 2 2 3 2 2" xfId="6476" xr:uid="{00000000-0005-0000-0000-000053050000}"/>
    <cellStyle name="Millares 16 2 2 3 2 2 2" xfId="15576" xr:uid="{00000000-0005-0000-0000-000054050000}"/>
    <cellStyle name="Millares 16 2 2 3 2 2 2 2" xfId="33758" xr:uid="{00000000-0005-0000-0000-000055050000}"/>
    <cellStyle name="Millares 16 2 2 3 2 2 3" xfId="24668" xr:uid="{00000000-0005-0000-0000-000056050000}"/>
    <cellStyle name="Millares 16 2 2 3 2 3" xfId="11040" xr:uid="{00000000-0005-0000-0000-000057050000}"/>
    <cellStyle name="Millares 16 2 2 3 2 3 2" xfId="29222" xr:uid="{00000000-0005-0000-0000-000058050000}"/>
    <cellStyle name="Millares 16 2 2 3 2 4" xfId="20132" xr:uid="{00000000-0005-0000-0000-000059050000}"/>
    <cellStyle name="Millares 16 2 2 3 3" xfId="3325" xr:uid="{00000000-0005-0000-0000-00005A050000}"/>
    <cellStyle name="Millares 16 2 2 3 3 2" xfId="7881" xr:uid="{00000000-0005-0000-0000-00005B050000}"/>
    <cellStyle name="Millares 16 2 2 3 3 2 2" xfId="16977" xr:uid="{00000000-0005-0000-0000-00005C050000}"/>
    <cellStyle name="Millares 16 2 2 3 3 2 2 2" xfId="35159" xr:uid="{00000000-0005-0000-0000-00005D050000}"/>
    <cellStyle name="Millares 16 2 2 3 3 2 3" xfId="26069" xr:uid="{00000000-0005-0000-0000-00005E050000}"/>
    <cellStyle name="Millares 16 2 2 3 3 3" xfId="12437" xr:uid="{00000000-0005-0000-0000-00005F050000}"/>
    <cellStyle name="Millares 16 2 2 3 3 3 2" xfId="30619" xr:uid="{00000000-0005-0000-0000-000060050000}"/>
    <cellStyle name="Millares 16 2 2 3 3 4" xfId="21529" xr:uid="{00000000-0005-0000-0000-000061050000}"/>
    <cellStyle name="Millares 16 2 2 3 4" xfId="4967" xr:uid="{00000000-0005-0000-0000-000062050000}"/>
    <cellStyle name="Millares 16 2 2 3 4 2" xfId="14067" xr:uid="{00000000-0005-0000-0000-000063050000}"/>
    <cellStyle name="Millares 16 2 2 3 4 2 2" xfId="32249" xr:uid="{00000000-0005-0000-0000-000064050000}"/>
    <cellStyle name="Millares 16 2 2 3 4 3" xfId="23159" xr:uid="{00000000-0005-0000-0000-000065050000}"/>
    <cellStyle name="Millares 16 2 2 3 5" xfId="9533" xr:uid="{00000000-0005-0000-0000-000066050000}"/>
    <cellStyle name="Millares 16 2 2 3 5 2" xfId="27715" xr:uid="{00000000-0005-0000-0000-000067050000}"/>
    <cellStyle name="Millares 16 2 2 3 6" xfId="18624" xr:uid="{00000000-0005-0000-0000-000068050000}"/>
    <cellStyle name="Millares 16 2 2 4" xfId="309" xr:uid="{00000000-0005-0000-0000-000069050000}"/>
    <cellStyle name="Millares 16 2 2 4 2" xfId="3326" xr:uid="{00000000-0005-0000-0000-00006A050000}"/>
    <cellStyle name="Millares 16 2 2 4 2 2" xfId="7882" xr:uid="{00000000-0005-0000-0000-00006B050000}"/>
    <cellStyle name="Millares 16 2 2 4 2 2 2" xfId="16978" xr:uid="{00000000-0005-0000-0000-00006C050000}"/>
    <cellStyle name="Millares 16 2 2 4 2 2 2 2" xfId="35160" xr:uid="{00000000-0005-0000-0000-00006D050000}"/>
    <cellStyle name="Millares 16 2 2 4 2 2 3" xfId="26070" xr:uid="{00000000-0005-0000-0000-00006E050000}"/>
    <cellStyle name="Millares 16 2 2 4 2 3" xfId="12438" xr:uid="{00000000-0005-0000-0000-00006F050000}"/>
    <cellStyle name="Millares 16 2 2 4 2 3 2" xfId="30620" xr:uid="{00000000-0005-0000-0000-000070050000}"/>
    <cellStyle name="Millares 16 2 2 4 2 4" xfId="21530" xr:uid="{00000000-0005-0000-0000-000071050000}"/>
    <cellStyle name="Millares 16 2 2 4 3" xfId="4968" xr:uid="{00000000-0005-0000-0000-000072050000}"/>
    <cellStyle name="Millares 16 2 2 4 3 2" xfId="14068" xr:uid="{00000000-0005-0000-0000-000073050000}"/>
    <cellStyle name="Millares 16 2 2 4 3 2 2" xfId="32250" xr:uid="{00000000-0005-0000-0000-000074050000}"/>
    <cellStyle name="Millares 16 2 2 4 3 3" xfId="23160" xr:uid="{00000000-0005-0000-0000-000075050000}"/>
    <cellStyle name="Millares 16 2 2 4 4" xfId="9534" xr:uid="{00000000-0005-0000-0000-000076050000}"/>
    <cellStyle name="Millares 16 2 2 4 4 2" xfId="27716" xr:uid="{00000000-0005-0000-0000-000077050000}"/>
    <cellStyle name="Millares 16 2 2 4 5" xfId="18625" xr:uid="{00000000-0005-0000-0000-000078050000}"/>
    <cellStyle name="Millares 16 2 2 5" xfId="1865" xr:uid="{00000000-0005-0000-0000-000079050000}"/>
    <cellStyle name="Millares 16 2 2 6" xfId="3322" xr:uid="{00000000-0005-0000-0000-00007A050000}"/>
    <cellStyle name="Millares 16 2 2 6 2" xfId="7878" xr:uid="{00000000-0005-0000-0000-00007B050000}"/>
    <cellStyle name="Millares 16 2 2 6 2 2" xfId="16974" xr:uid="{00000000-0005-0000-0000-00007C050000}"/>
    <cellStyle name="Millares 16 2 2 6 2 2 2" xfId="35156" xr:uid="{00000000-0005-0000-0000-00007D050000}"/>
    <cellStyle name="Millares 16 2 2 6 2 3" xfId="26066" xr:uid="{00000000-0005-0000-0000-00007E050000}"/>
    <cellStyle name="Millares 16 2 2 6 3" xfId="12434" xr:uid="{00000000-0005-0000-0000-00007F050000}"/>
    <cellStyle name="Millares 16 2 2 6 3 2" xfId="30616" xr:uid="{00000000-0005-0000-0000-000080050000}"/>
    <cellStyle name="Millares 16 2 2 6 4" xfId="21526" xr:uid="{00000000-0005-0000-0000-000081050000}"/>
    <cellStyle name="Millares 16 2 2 7" xfId="4964" xr:uid="{00000000-0005-0000-0000-000082050000}"/>
    <cellStyle name="Millares 16 2 2 7 2" xfId="14064" xr:uid="{00000000-0005-0000-0000-000083050000}"/>
    <cellStyle name="Millares 16 2 2 7 2 2" xfId="32246" xr:uid="{00000000-0005-0000-0000-000084050000}"/>
    <cellStyle name="Millares 16 2 2 7 3" xfId="23156" xr:uid="{00000000-0005-0000-0000-000085050000}"/>
    <cellStyle name="Millares 16 2 2 8" xfId="9530" xr:uid="{00000000-0005-0000-0000-000086050000}"/>
    <cellStyle name="Millares 16 2 2 8 2" xfId="27712" xr:uid="{00000000-0005-0000-0000-000087050000}"/>
    <cellStyle name="Millares 16 2 2 9" xfId="18621" xr:uid="{00000000-0005-0000-0000-000088050000}"/>
    <cellStyle name="Millares 16 2 3" xfId="310" xr:uid="{00000000-0005-0000-0000-000089050000}"/>
    <cellStyle name="Millares 16 2 3 2" xfId="311" xr:uid="{00000000-0005-0000-0000-00008A050000}"/>
    <cellStyle name="Millares 16 2 3 2 2" xfId="1866" xr:uid="{00000000-0005-0000-0000-00008B050000}"/>
    <cellStyle name="Millares 16 2 3 2 2 2" xfId="6477" xr:uid="{00000000-0005-0000-0000-00008C050000}"/>
    <cellStyle name="Millares 16 2 3 2 2 2 2" xfId="15577" xr:uid="{00000000-0005-0000-0000-00008D050000}"/>
    <cellStyle name="Millares 16 2 3 2 2 2 2 2" xfId="33759" xr:uid="{00000000-0005-0000-0000-00008E050000}"/>
    <cellStyle name="Millares 16 2 3 2 2 2 3" xfId="24669" xr:uid="{00000000-0005-0000-0000-00008F050000}"/>
    <cellStyle name="Millares 16 2 3 2 2 3" xfId="11041" xr:uid="{00000000-0005-0000-0000-000090050000}"/>
    <cellStyle name="Millares 16 2 3 2 2 3 2" xfId="29223" xr:uid="{00000000-0005-0000-0000-000091050000}"/>
    <cellStyle name="Millares 16 2 3 2 2 4" xfId="20133" xr:uid="{00000000-0005-0000-0000-000092050000}"/>
    <cellStyle name="Millares 16 2 3 2 3" xfId="3328" xr:uid="{00000000-0005-0000-0000-000093050000}"/>
    <cellStyle name="Millares 16 2 3 2 3 2" xfId="7884" xr:uid="{00000000-0005-0000-0000-000094050000}"/>
    <cellStyle name="Millares 16 2 3 2 3 2 2" xfId="16980" xr:uid="{00000000-0005-0000-0000-000095050000}"/>
    <cellStyle name="Millares 16 2 3 2 3 2 2 2" xfId="35162" xr:uid="{00000000-0005-0000-0000-000096050000}"/>
    <cellStyle name="Millares 16 2 3 2 3 2 3" xfId="26072" xr:uid="{00000000-0005-0000-0000-000097050000}"/>
    <cellStyle name="Millares 16 2 3 2 3 3" xfId="12440" xr:uid="{00000000-0005-0000-0000-000098050000}"/>
    <cellStyle name="Millares 16 2 3 2 3 3 2" xfId="30622" xr:uid="{00000000-0005-0000-0000-000099050000}"/>
    <cellStyle name="Millares 16 2 3 2 3 4" xfId="21532" xr:uid="{00000000-0005-0000-0000-00009A050000}"/>
    <cellStyle name="Millares 16 2 3 2 4" xfId="4970" xr:uid="{00000000-0005-0000-0000-00009B050000}"/>
    <cellStyle name="Millares 16 2 3 2 4 2" xfId="14070" xr:uid="{00000000-0005-0000-0000-00009C050000}"/>
    <cellStyle name="Millares 16 2 3 2 4 2 2" xfId="32252" xr:uid="{00000000-0005-0000-0000-00009D050000}"/>
    <cellStyle name="Millares 16 2 3 2 4 3" xfId="23162" xr:uid="{00000000-0005-0000-0000-00009E050000}"/>
    <cellStyle name="Millares 16 2 3 2 5" xfId="9536" xr:uid="{00000000-0005-0000-0000-00009F050000}"/>
    <cellStyle name="Millares 16 2 3 2 5 2" xfId="27718" xr:uid="{00000000-0005-0000-0000-0000A0050000}"/>
    <cellStyle name="Millares 16 2 3 2 6" xfId="18627" xr:uid="{00000000-0005-0000-0000-0000A1050000}"/>
    <cellStyle name="Millares 16 2 3 3" xfId="1867" xr:uid="{00000000-0005-0000-0000-0000A2050000}"/>
    <cellStyle name="Millares 16 2 3 3 2" xfId="6478" xr:uid="{00000000-0005-0000-0000-0000A3050000}"/>
    <cellStyle name="Millares 16 2 3 3 2 2" xfId="15578" xr:uid="{00000000-0005-0000-0000-0000A4050000}"/>
    <cellStyle name="Millares 16 2 3 3 2 2 2" xfId="33760" xr:uid="{00000000-0005-0000-0000-0000A5050000}"/>
    <cellStyle name="Millares 16 2 3 3 2 3" xfId="24670" xr:uid="{00000000-0005-0000-0000-0000A6050000}"/>
    <cellStyle name="Millares 16 2 3 3 3" xfId="11042" xr:uid="{00000000-0005-0000-0000-0000A7050000}"/>
    <cellStyle name="Millares 16 2 3 3 3 2" xfId="29224" xr:uid="{00000000-0005-0000-0000-0000A8050000}"/>
    <cellStyle name="Millares 16 2 3 3 4" xfId="20134" xr:uid="{00000000-0005-0000-0000-0000A9050000}"/>
    <cellStyle name="Millares 16 2 3 4" xfId="3327" xr:uid="{00000000-0005-0000-0000-0000AA050000}"/>
    <cellStyle name="Millares 16 2 3 4 2" xfId="7883" xr:uid="{00000000-0005-0000-0000-0000AB050000}"/>
    <cellStyle name="Millares 16 2 3 4 2 2" xfId="16979" xr:uid="{00000000-0005-0000-0000-0000AC050000}"/>
    <cellStyle name="Millares 16 2 3 4 2 2 2" xfId="35161" xr:uid="{00000000-0005-0000-0000-0000AD050000}"/>
    <cellStyle name="Millares 16 2 3 4 2 3" xfId="26071" xr:uid="{00000000-0005-0000-0000-0000AE050000}"/>
    <cellStyle name="Millares 16 2 3 4 3" xfId="12439" xr:uid="{00000000-0005-0000-0000-0000AF050000}"/>
    <cellStyle name="Millares 16 2 3 4 3 2" xfId="30621" xr:uid="{00000000-0005-0000-0000-0000B0050000}"/>
    <cellStyle name="Millares 16 2 3 4 4" xfId="21531" xr:uid="{00000000-0005-0000-0000-0000B1050000}"/>
    <cellStyle name="Millares 16 2 3 5" xfId="4969" xr:uid="{00000000-0005-0000-0000-0000B2050000}"/>
    <cellStyle name="Millares 16 2 3 5 2" xfId="14069" xr:uid="{00000000-0005-0000-0000-0000B3050000}"/>
    <cellStyle name="Millares 16 2 3 5 2 2" xfId="32251" xr:uid="{00000000-0005-0000-0000-0000B4050000}"/>
    <cellStyle name="Millares 16 2 3 5 3" xfId="23161" xr:uid="{00000000-0005-0000-0000-0000B5050000}"/>
    <cellStyle name="Millares 16 2 3 6" xfId="9535" xr:uid="{00000000-0005-0000-0000-0000B6050000}"/>
    <cellStyle name="Millares 16 2 3 6 2" xfId="27717" xr:uid="{00000000-0005-0000-0000-0000B7050000}"/>
    <cellStyle name="Millares 16 2 3 7" xfId="18626" xr:uid="{00000000-0005-0000-0000-0000B8050000}"/>
    <cellStyle name="Millares 16 2 4" xfId="312" xr:uid="{00000000-0005-0000-0000-0000B9050000}"/>
    <cellStyle name="Millares 16 2 4 2" xfId="1868" xr:uid="{00000000-0005-0000-0000-0000BA050000}"/>
    <cellStyle name="Millares 16 2 4 2 2" xfId="6479" xr:uid="{00000000-0005-0000-0000-0000BB050000}"/>
    <cellStyle name="Millares 16 2 4 2 2 2" xfId="15579" xr:uid="{00000000-0005-0000-0000-0000BC050000}"/>
    <cellStyle name="Millares 16 2 4 2 2 2 2" xfId="33761" xr:uid="{00000000-0005-0000-0000-0000BD050000}"/>
    <cellStyle name="Millares 16 2 4 2 2 3" xfId="24671" xr:uid="{00000000-0005-0000-0000-0000BE050000}"/>
    <cellStyle name="Millares 16 2 4 2 3" xfId="11043" xr:uid="{00000000-0005-0000-0000-0000BF050000}"/>
    <cellStyle name="Millares 16 2 4 2 3 2" xfId="29225" xr:uid="{00000000-0005-0000-0000-0000C0050000}"/>
    <cellStyle name="Millares 16 2 4 2 4" xfId="20135" xr:uid="{00000000-0005-0000-0000-0000C1050000}"/>
    <cellStyle name="Millares 16 2 4 3" xfId="3329" xr:uid="{00000000-0005-0000-0000-0000C2050000}"/>
    <cellStyle name="Millares 16 2 4 3 2" xfId="7885" xr:uid="{00000000-0005-0000-0000-0000C3050000}"/>
    <cellStyle name="Millares 16 2 4 3 2 2" xfId="16981" xr:uid="{00000000-0005-0000-0000-0000C4050000}"/>
    <cellStyle name="Millares 16 2 4 3 2 2 2" xfId="35163" xr:uid="{00000000-0005-0000-0000-0000C5050000}"/>
    <cellStyle name="Millares 16 2 4 3 2 3" xfId="26073" xr:uid="{00000000-0005-0000-0000-0000C6050000}"/>
    <cellStyle name="Millares 16 2 4 3 3" xfId="12441" xr:uid="{00000000-0005-0000-0000-0000C7050000}"/>
    <cellStyle name="Millares 16 2 4 3 3 2" xfId="30623" xr:uid="{00000000-0005-0000-0000-0000C8050000}"/>
    <cellStyle name="Millares 16 2 4 3 4" xfId="21533" xr:uid="{00000000-0005-0000-0000-0000C9050000}"/>
    <cellStyle name="Millares 16 2 4 4" xfId="4971" xr:uid="{00000000-0005-0000-0000-0000CA050000}"/>
    <cellStyle name="Millares 16 2 4 4 2" xfId="14071" xr:uid="{00000000-0005-0000-0000-0000CB050000}"/>
    <cellStyle name="Millares 16 2 4 4 2 2" xfId="32253" xr:uid="{00000000-0005-0000-0000-0000CC050000}"/>
    <cellStyle name="Millares 16 2 4 4 3" xfId="23163" xr:uid="{00000000-0005-0000-0000-0000CD050000}"/>
    <cellStyle name="Millares 16 2 4 5" xfId="9537" xr:uid="{00000000-0005-0000-0000-0000CE050000}"/>
    <cellStyle name="Millares 16 2 4 5 2" xfId="27719" xr:uid="{00000000-0005-0000-0000-0000CF050000}"/>
    <cellStyle name="Millares 16 2 4 6" xfId="18628" xr:uid="{00000000-0005-0000-0000-0000D0050000}"/>
    <cellStyle name="Millares 16 2 5" xfId="313" xr:uid="{00000000-0005-0000-0000-0000D1050000}"/>
    <cellStyle name="Millares 16 2 5 2" xfId="3330" xr:uid="{00000000-0005-0000-0000-0000D2050000}"/>
    <cellStyle name="Millares 16 2 5 2 2" xfId="7886" xr:uid="{00000000-0005-0000-0000-0000D3050000}"/>
    <cellStyle name="Millares 16 2 5 2 2 2" xfId="16982" xr:uid="{00000000-0005-0000-0000-0000D4050000}"/>
    <cellStyle name="Millares 16 2 5 2 2 2 2" xfId="35164" xr:uid="{00000000-0005-0000-0000-0000D5050000}"/>
    <cellStyle name="Millares 16 2 5 2 2 3" xfId="26074" xr:uid="{00000000-0005-0000-0000-0000D6050000}"/>
    <cellStyle name="Millares 16 2 5 2 3" xfId="12442" xr:uid="{00000000-0005-0000-0000-0000D7050000}"/>
    <cellStyle name="Millares 16 2 5 2 3 2" xfId="30624" xr:uid="{00000000-0005-0000-0000-0000D8050000}"/>
    <cellStyle name="Millares 16 2 5 2 4" xfId="21534" xr:uid="{00000000-0005-0000-0000-0000D9050000}"/>
    <cellStyle name="Millares 16 2 5 3" xfId="4972" xr:uid="{00000000-0005-0000-0000-0000DA050000}"/>
    <cellStyle name="Millares 16 2 5 3 2" xfId="14072" xr:uid="{00000000-0005-0000-0000-0000DB050000}"/>
    <cellStyle name="Millares 16 2 5 3 2 2" xfId="32254" xr:uid="{00000000-0005-0000-0000-0000DC050000}"/>
    <cellStyle name="Millares 16 2 5 3 3" xfId="23164" xr:uid="{00000000-0005-0000-0000-0000DD050000}"/>
    <cellStyle name="Millares 16 2 5 4" xfId="9538" xr:uid="{00000000-0005-0000-0000-0000DE050000}"/>
    <cellStyle name="Millares 16 2 5 4 2" xfId="27720" xr:uid="{00000000-0005-0000-0000-0000DF050000}"/>
    <cellStyle name="Millares 16 2 5 5" xfId="18629" xr:uid="{00000000-0005-0000-0000-0000E0050000}"/>
    <cellStyle name="Millares 16 2 6" xfId="1869" xr:uid="{00000000-0005-0000-0000-0000E1050000}"/>
    <cellStyle name="Millares 16 2 6 2" xfId="6480" xr:uid="{00000000-0005-0000-0000-0000E2050000}"/>
    <cellStyle name="Millares 16 2 6 2 2" xfId="15580" xr:uid="{00000000-0005-0000-0000-0000E3050000}"/>
    <cellStyle name="Millares 16 2 6 2 2 2" xfId="33762" xr:uid="{00000000-0005-0000-0000-0000E4050000}"/>
    <cellStyle name="Millares 16 2 6 2 3" xfId="24672" xr:uid="{00000000-0005-0000-0000-0000E5050000}"/>
    <cellStyle name="Millares 16 2 6 3" xfId="11044" xr:uid="{00000000-0005-0000-0000-0000E6050000}"/>
    <cellStyle name="Millares 16 2 6 3 2" xfId="29226" xr:uid="{00000000-0005-0000-0000-0000E7050000}"/>
    <cellStyle name="Millares 16 2 6 4" xfId="20136" xr:uid="{00000000-0005-0000-0000-0000E8050000}"/>
    <cellStyle name="Millares 16 2 7" xfId="3321" xr:uid="{00000000-0005-0000-0000-0000E9050000}"/>
    <cellStyle name="Millares 16 2 7 2" xfId="7877" xr:uid="{00000000-0005-0000-0000-0000EA050000}"/>
    <cellStyle name="Millares 16 2 7 2 2" xfId="16973" xr:uid="{00000000-0005-0000-0000-0000EB050000}"/>
    <cellStyle name="Millares 16 2 7 2 2 2" xfId="35155" xr:uid="{00000000-0005-0000-0000-0000EC050000}"/>
    <cellStyle name="Millares 16 2 7 2 3" xfId="26065" xr:uid="{00000000-0005-0000-0000-0000ED050000}"/>
    <cellStyle name="Millares 16 2 7 3" xfId="12433" xr:uid="{00000000-0005-0000-0000-0000EE050000}"/>
    <cellStyle name="Millares 16 2 7 3 2" xfId="30615" xr:uid="{00000000-0005-0000-0000-0000EF050000}"/>
    <cellStyle name="Millares 16 2 7 4" xfId="21525" xr:uid="{00000000-0005-0000-0000-0000F0050000}"/>
    <cellStyle name="Millares 16 2 8" xfId="4963" xr:uid="{00000000-0005-0000-0000-0000F1050000}"/>
    <cellStyle name="Millares 16 2 8 2" xfId="14063" xr:uid="{00000000-0005-0000-0000-0000F2050000}"/>
    <cellStyle name="Millares 16 2 8 2 2" xfId="32245" xr:uid="{00000000-0005-0000-0000-0000F3050000}"/>
    <cellStyle name="Millares 16 2 8 3" xfId="23155" xr:uid="{00000000-0005-0000-0000-0000F4050000}"/>
    <cellStyle name="Millares 16 2 9" xfId="9529" xr:uid="{00000000-0005-0000-0000-0000F5050000}"/>
    <cellStyle name="Millares 16 2 9 2" xfId="27711" xr:uid="{00000000-0005-0000-0000-0000F6050000}"/>
    <cellStyle name="Millares 16 3" xfId="314" xr:uid="{00000000-0005-0000-0000-0000F7050000}"/>
    <cellStyle name="Millares 16 3 2" xfId="315" xr:uid="{00000000-0005-0000-0000-0000F8050000}"/>
    <cellStyle name="Millares 16 3 2 2" xfId="316" xr:uid="{00000000-0005-0000-0000-0000F9050000}"/>
    <cellStyle name="Millares 16 3 2 2 2" xfId="1870" xr:uid="{00000000-0005-0000-0000-0000FA050000}"/>
    <cellStyle name="Millares 16 3 2 2 2 2" xfId="6481" xr:uid="{00000000-0005-0000-0000-0000FB050000}"/>
    <cellStyle name="Millares 16 3 2 2 2 2 2" xfId="15581" xr:uid="{00000000-0005-0000-0000-0000FC050000}"/>
    <cellStyle name="Millares 16 3 2 2 2 2 2 2" xfId="33763" xr:uid="{00000000-0005-0000-0000-0000FD050000}"/>
    <cellStyle name="Millares 16 3 2 2 2 2 3" xfId="24673" xr:uid="{00000000-0005-0000-0000-0000FE050000}"/>
    <cellStyle name="Millares 16 3 2 2 2 3" xfId="11045" xr:uid="{00000000-0005-0000-0000-0000FF050000}"/>
    <cellStyle name="Millares 16 3 2 2 2 3 2" xfId="29227" xr:uid="{00000000-0005-0000-0000-000000060000}"/>
    <cellStyle name="Millares 16 3 2 2 2 4" xfId="20137" xr:uid="{00000000-0005-0000-0000-000001060000}"/>
    <cellStyle name="Millares 16 3 2 2 3" xfId="3333" xr:uid="{00000000-0005-0000-0000-000002060000}"/>
    <cellStyle name="Millares 16 3 2 2 3 2" xfId="7889" xr:uid="{00000000-0005-0000-0000-000003060000}"/>
    <cellStyle name="Millares 16 3 2 2 3 2 2" xfId="16985" xr:uid="{00000000-0005-0000-0000-000004060000}"/>
    <cellStyle name="Millares 16 3 2 2 3 2 2 2" xfId="35167" xr:uid="{00000000-0005-0000-0000-000005060000}"/>
    <cellStyle name="Millares 16 3 2 2 3 2 3" xfId="26077" xr:uid="{00000000-0005-0000-0000-000006060000}"/>
    <cellStyle name="Millares 16 3 2 2 3 3" xfId="12445" xr:uid="{00000000-0005-0000-0000-000007060000}"/>
    <cellStyle name="Millares 16 3 2 2 3 3 2" xfId="30627" xr:uid="{00000000-0005-0000-0000-000008060000}"/>
    <cellStyle name="Millares 16 3 2 2 3 4" xfId="21537" xr:uid="{00000000-0005-0000-0000-000009060000}"/>
    <cellStyle name="Millares 16 3 2 2 4" xfId="4975" xr:uid="{00000000-0005-0000-0000-00000A060000}"/>
    <cellStyle name="Millares 16 3 2 2 4 2" xfId="14075" xr:uid="{00000000-0005-0000-0000-00000B060000}"/>
    <cellStyle name="Millares 16 3 2 2 4 2 2" xfId="32257" xr:uid="{00000000-0005-0000-0000-00000C060000}"/>
    <cellStyle name="Millares 16 3 2 2 4 3" xfId="23167" xr:uid="{00000000-0005-0000-0000-00000D060000}"/>
    <cellStyle name="Millares 16 3 2 2 5" xfId="9541" xr:uid="{00000000-0005-0000-0000-00000E060000}"/>
    <cellStyle name="Millares 16 3 2 2 5 2" xfId="27723" xr:uid="{00000000-0005-0000-0000-00000F060000}"/>
    <cellStyle name="Millares 16 3 2 2 6" xfId="18632" xr:uid="{00000000-0005-0000-0000-000010060000}"/>
    <cellStyle name="Millares 16 3 2 3" xfId="1871" xr:uid="{00000000-0005-0000-0000-000011060000}"/>
    <cellStyle name="Millares 16 3 2 3 2" xfId="6482" xr:uid="{00000000-0005-0000-0000-000012060000}"/>
    <cellStyle name="Millares 16 3 2 3 2 2" xfId="15582" xr:uid="{00000000-0005-0000-0000-000013060000}"/>
    <cellStyle name="Millares 16 3 2 3 2 2 2" xfId="33764" xr:uid="{00000000-0005-0000-0000-000014060000}"/>
    <cellStyle name="Millares 16 3 2 3 2 3" xfId="24674" xr:uid="{00000000-0005-0000-0000-000015060000}"/>
    <cellStyle name="Millares 16 3 2 3 3" xfId="11046" xr:uid="{00000000-0005-0000-0000-000016060000}"/>
    <cellStyle name="Millares 16 3 2 3 3 2" xfId="29228" xr:uid="{00000000-0005-0000-0000-000017060000}"/>
    <cellStyle name="Millares 16 3 2 3 4" xfId="20138" xr:uid="{00000000-0005-0000-0000-000018060000}"/>
    <cellStyle name="Millares 16 3 2 4" xfId="3332" xr:uid="{00000000-0005-0000-0000-000019060000}"/>
    <cellStyle name="Millares 16 3 2 4 2" xfId="7888" xr:uid="{00000000-0005-0000-0000-00001A060000}"/>
    <cellStyle name="Millares 16 3 2 4 2 2" xfId="16984" xr:uid="{00000000-0005-0000-0000-00001B060000}"/>
    <cellStyle name="Millares 16 3 2 4 2 2 2" xfId="35166" xr:uid="{00000000-0005-0000-0000-00001C060000}"/>
    <cellStyle name="Millares 16 3 2 4 2 3" xfId="26076" xr:uid="{00000000-0005-0000-0000-00001D060000}"/>
    <cellStyle name="Millares 16 3 2 4 3" xfId="12444" xr:uid="{00000000-0005-0000-0000-00001E060000}"/>
    <cellStyle name="Millares 16 3 2 4 3 2" xfId="30626" xr:uid="{00000000-0005-0000-0000-00001F060000}"/>
    <cellStyle name="Millares 16 3 2 4 4" xfId="21536" xr:uid="{00000000-0005-0000-0000-000020060000}"/>
    <cellStyle name="Millares 16 3 2 5" xfId="4974" xr:uid="{00000000-0005-0000-0000-000021060000}"/>
    <cellStyle name="Millares 16 3 2 5 2" xfId="14074" xr:uid="{00000000-0005-0000-0000-000022060000}"/>
    <cellStyle name="Millares 16 3 2 5 2 2" xfId="32256" xr:uid="{00000000-0005-0000-0000-000023060000}"/>
    <cellStyle name="Millares 16 3 2 5 3" xfId="23166" xr:uid="{00000000-0005-0000-0000-000024060000}"/>
    <cellStyle name="Millares 16 3 2 6" xfId="9540" xr:uid="{00000000-0005-0000-0000-000025060000}"/>
    <cellStyle name="Millares 16 3 2 6 2" xfId="27722" xr:uid="{00000000-0005-0000-0000-000026060000}"/>
    <cellStyle name="Millares 16 3 2 7" xfId="18631" xr:uid="{00000000-0005-0000-0000-000027060000}"/>
    <cellStyle name="Millares 16 3 3" xfId="317" xr:uid="{00000000-0005-0000-0000-000028060000}"/>
    <cellStyle name="Millares 16 3 3 2" xfId="1872" xr:uid="{00000000-0005-0000-0000-000029060000}"/>
    <cellStyle name="Millares 16 3 3 2 2" xfId="6483" xr:uid="{00000000-0005-0000-0000-00002A060000}"/>
    <cellStyle name="Millares 16 3 3 2 2 2" xfId="15583" xr:uid="{00000000-0005-0000-0000-00002B060000}"/>
    <cellStyle name="Millares 16 3 3 2 2 2 2" xfId="33765" xr:uid="{00000000-0005-0000-0000-00002C060000}"/>
    <cellStyle name="Millares 16 3 3 2 2 3" xfId="24675" xr:uid="{00000000-0005-0000-0000-00002D060000}"/>
    <cellStyle name="Millares 16 3 3 2 3" xfId="11047" xr:uid="{00000000-0005-0000-0000-00002E060000}"/>
    <cellStyle name="Millares 16 3 3 2 3 2" xfId="29229" xr:uid="{00000000-0005-0000-0000-00002F060000}"/>
    <cellStyle name="Millares 16 3 3 2 4" xfId="20139" xr:uid="{00000000-0005-0000-0000-000030060000}"/>
    <cellStyle name="Millares 16 3 3 3" xfId="3334" xr:uid="{00000000-0005-0000-0000-000031060000}"/>
    <cellStyle name="Millares 16 3 3 3 2" xfId="7890" xr:uid="{00000000-0005-0000-0000-000032060000}"/>
    <cellStyle name="Millares 16 3 3 3 2 2" xfId="16986" xr:uid="{00000000-0005-0000-0000-000033060000}"/>
    <cellStyle name="Millares 16 3 3 3 2 2 2" xfId="35168" xr:uid="{00000000-0005-0000-0000-000034060000}"/>
    <cellStyle name="Millares 16 3 3 3 2 3" xfId="26078" xr:uid="{00000000-0005-0000-0000-000035060000}"/>
    <cellStyle name="Millares 16 3 3 3 3" xfId="12446" xr:uid="{00000000-0005-0000-0000-000036060000}"/>
    <cellStyle name="Millares 16 3 3 3 3 2" xfId="30628" xr:uid="{00000000-0005-0000-0000-000037060000}"/>
    <cellStyle name="Millares 16 3 3 3 4" xfId="21538" xr:uid="{00000000-0005-0000-0000-000038060000}"/>
    <cellStyle name="Millares 16 3 3 4" xfId="4976" xr:uid="{00000000-0005-0000-0000-000039060000}"/>
    <cellStyle name="Millares 16 3 3 4 2" xfId="14076" xr:uid="{00000000-0005-0000-0000-00003A060000}"/>
    <cellStyle name="Millares 16 3 3 4 2 2" xfId="32258" xr:uid="{00000000-0005-0000-0000-00003B060000}"/>
    <cellStyle name="Millares 16 3 3 4 3" xfId="23168" xr:uid="{00000000-0005-0000-0000-00003C060000}"/>
    <cellStyle name="Millares 16 3 3 5" xfId="9542" xr:uid="{00000000-0005-0000-0000-00003D060000}"/>
    <cellStyle name="Millares 16 3 3 5 2" xfId="27724" xr:uid="{00000000-0005-0000-0000-00003E060000}"/>
    <cellStyle name="Millares 16 3 3 6" xfId="18633" xr:uid="{00000000-0005-0000-0000-00003F060000}"/>
    <cellStyle name="Millares 16 3 4" xfId="318" xr:uid="{00000000-0005-0000-0000-000040060000}"/>
    <cellStyle name="Millares 16 3 4 2" xfId="3335" xr:uid="{00000000-0005-0000-0000-000041060000}"/>
    <cellStyle name="Millares 16 3 4 2 2" xfId="7891" xr:uid="{00000000-0005-0000-0000-000042060000}"/>
    <cellStyle name="Millares 16 3 4 2 2 2" xfId="16987" xr:uid="{00000000-0005-0000-0000-000043060000}"/>
    <cellStyle name="Millares 16 3 4 2 2 2 2" xfId="35169" xr:uid="{00000000-0005-0000-0000-000044060000}"/>
    <cellStyle name="Millares 16 3 4 2 2 3" xfId="26079" xr:uid="{00000000-0005-0000-0000-000045060000}"/>
    <cellStyle name="Millares 16 3 4 2 3" xfId="12447" xr:uid="{00000000-0005-0000-0000-000046060000}"/>
    <cellStyle name="Millares 16 3 4 2 3 2" xfId="30629" xr:uid="{00000000-0005-0000-0000-000047060000}"/>
    <cellStyle name="Millares 16 3 4 2 4" xfId="21539" xr:uid="{00000000-0005-0000-0000-000048060000}"/>
    <cellStyle name="Millares 16 3 4 3" xfId="4977" xr:uid="{00000000-0005-0000-0000-000049060000}"/>
    <cellStyle name="Millares 16 3 4 3 2" xfId="14077" xr:uid="{00000000-0005-0000-0000-00004A060000}"/>
    <cellStyle name="Millares 16 3 4 3 2 2" xfId="32259" xr:uid="{00000000-0005-0000-0000-00004B060000}"/>
    <cellStyle name="Millares 16 3 4 3 3" xfId="23169" xr:uid="{00000000-0005-0000-0000-00004C060000}"/>
    <cellStyle name="Millares 16 3 4 4" xfId="9543" xr:uid="{00000000-0005-0000-0000-00004D060000}"/>
    <cellStyle name="Millares 16 3 4 4 2" xfId="27725" xr:uid="{00000000-0005-0000-0000-00004E060000}"/>
    <cellStyle name="Millares 16 3 4 5" xfId="18634" xr:uid="{00000000-0005-0000-0000-00004F060000}"/>
    <cellStyle name="Millares 16 3 5" xfId="1873" xr:uid="{00000000-0005-0000-0000-000050060000}"/>
    <cellStyle name="Millares 16 3 6" xfId="3331" xr:uid="{00000000-0005-0000-0000-000051060000}"/>
    <cellStyle name="Millares 16 3 6 2" xfId="7887" xr:uid="{00000000-0005-0000-0000-000052060000}"/>
    <cellStyle name="Millares 16 3 6 2 2" xfId="16983" xr:uid="{00000000-0005-0000-0000-000053060000}"/>
    <cellStyle name="Millares 16 3 6 2 2 2" xfId="35165" xr:uid="{00000000-0005-0000-0000-000054060000}"/>
    <cellStyle name="Millares 16 3 6 2 3" xfId="26075" xr:uid="{00000000-0005-0000-0000-000055060000}"/>
    <cellStyle name="Millares 16 3 6 3" xfId="12443" xr:uid="{00000000-0005-0000-0000-000056060000}"/>
    <cellStyle name="Millares 16 3 6 3 2" xfId="30625" xr:uid="{00000000-0005-0000-0000-000057060000}"/>
    <cellStyle name="Millares 16 3 6 4" xfId="21535" xr:uid="{00000000-0005-0000-0000-000058060000}"/>
    <cellStyle name="Millares 16 3 7" xfId="4973" xr:uid="{00000000-0005-0000-0000-000059060000}"/>
    <cellStyle name="Millares 16 3 7 2" xfId="14073" xr:uid="{00000000-0005-0000-0000-00005A060000}"/>
    <cellStyle name="Millares 16 3 7 2 2" xfId="32255" xr:uid="{00000000-0005-0000-0000-00005B060000}"/>
    <cellStyle name="Millares 16 3 7 3" xfId="23165" xr:uid="{00000000-0005-0000-0000-00005C060000}"/>
    <cellStyle name="Millares 16 3 8" xfId="9539" xr:uid="{00000000-0005-0000-0000-00005D060000}"/>
    <cellStyle name="Millares 16 3 8 2" xfId="27721" xr:uid="{00000000-0005-0000-0000-00005E060000}"/>
    <cellStyle name="Millares 16 3 9" xfId="18630" xr:uid="{00000000-0005-0000-0000-00005F060000}"/>
    <cellStyle name="Millares 16 4" xfId="319" xr:uid="{00000000-0005-0000-0000-000060060000}"/>
    <cellStyle name="Millares 16 4 2" xfId="320" xr:uid="{00000000-0005-0000-0000-000061060000}"/>
    <cellStyle name="Millares 16 4 2 2" xfId="1874" xr:uid="{00000000-0005-0000-0000-000062060000}"/>
    <cellStyle name="Millares 16 4 2 2 2" xfId="6484" xr:uid="{00000000-0005-0000-0000-000063060000}"/>
    <cellStyle name="Millares 16 4 2 2 2 2" xfId="15584" xr:uid="{00000000-0005-0000-0000-000064060000}"/>
    <cellStyle name="Millares 16 4 2 2 2 2 2" xfId="33766" xr:uid="{00000000-0005-0000-0000-000065060000}"/>
    <cellStyle name="Millares 16 4 2 2 2 3" xfId="24676" xr:uid="{00000000-0005-0000-0000-000066060000}"/>
    <cellStyle name="Millares 16 4 2 2 3" xfId="11048" xr:uid="{00000000-0005-0000-0000-000067060000}"/>
    <cellStyle name="Millares 16 4 2 2 3 2" xfId="29230" xr:uid="{00000000-0005-0000-0000-000068060000}"/>
    <cellStyle name="Millares 16 4 2 2 4" xfId="20140" xr:uid="{00000000-0005-0000-0000-000069060000}"/>
    <cellStyle name="Millares 16 4 2 3" xfId="3337" xr:uid="{00000000-0005-0000-0000-00006A060000}"/>
    <cellStyle name="Millares 16 4 2 3 2" xfId="7893" xr:uid="{00000000-0005-0000-0000-00006B060000}"/>
    <cellStyle name="Millares 16 4 2 3 2 2" xfId="16989" xr:uid="{00000000-0005-0000-0000-00006C060000}"/>
    <cellStyle name="Millares 16 4 2 3 2 2 2" xfId="35171" xr:uid="{00000000-0005-0000-0000-00006D060000}"/>
    <cellStyle name="Millares 16 4 2 3 2 3" xfId="26081" xr:uid="{00000000-0005-0000-0000-00006E060000}"/>
    <cellStyle name="Millares 16 4 2 3 3" xfId="12449" xr:uid="{00000000-0005-0000-0000-00006F060000}"/>
    <cellStyle name="Millares 16 4 2 3 3 2" xfId="30631" xr:uid="{00000000-0005-0000-0000-000070060000}"/>
    <cellStyle name="Millares 16 4 2 3 4" xfId="21541" xr:uid="{00000000-0005-0000-0000-000071060000}"/>
    <cellStyle name="Millares 16 4 2 4" xfId="4979" xr:uid="{00000000-0005-0000-0000-000072060000}"/>
    <cellStyle name="Millares 16 4 2 4 2" xfId="14079" xr:uid="{00000000-0005-0000-0000-000073060000}"/>
    <cellStyle name="Millares 16 4 2 4 2 2" xfId="32261" xr:uid="{00000000-0005-0000-0000-000074060000}"/>
    <cellStyle name="Millares 16 4 2 4 3" xfId="23171" xr:uid="{00000000-0005-0000-0000-000075060000}"/>
    <cellStyle name="Millares 16 4 2 5" xfId="9545" xr:uid="{00000000-0005-0000-0000-000076060000}"/>
    <cellStyle name="Millares 16 4 2 5 2" xfId="27727" xr:uid="{00000000-0005-0000-0000-000077060000}"/>
    <cellStyle name="Millares 16 4 2 6" xfId="18636" xr:uid="{00000000-0005-0000-0000-000078060000}"/>
    <cellStyle name="Millares 16 4 3" xfId="1875" xr:uid="{00000000-0005-0000-0000-000079060000}"/>
    <cellStyle name="Millares 16 4 3 2" xfId="6485" xr:uid="{00000000-0005-0000-0000-00007A060000}"/>
    <cellStyle name="Millares 16 4 3 2 2" xfId="15585" xr:uid="{00000000-0005-0000-0000-00007B060000}"/>
    <cellStyle name="Millares 16 4 3 2 2 2" xfId="33767" xr:uid="{00000000-0005-0000-0000-00007C060000}"/>
    <cellStyle name="Millares 16 4 3 2 3" xfId="24677" xr:uid="{00000000-0005-0000-0000-00007D060000}"/>
    <cellStyle name="Millares 16 4 3 3" xfId="11049" xr:uid="{00000000-0005-0000-0000-00007E060000}"/>
    <cellStyle name="Millares 16 4 3 3 2" xfId="29231" xr:uid="{00000000-0005-0000-0000-00007F060000}"/>
    <cellStyle name="Millares 16 4 3 4" xfId="20141" xr:uid="{00000000-0005-0000-0000-000080060000}"/>
    <cellStyle name="Millares 16 4 4" xfId="3336" xr:uid="{00000000-0005-0000-0000-000081060000}"/>
    <cellStyle name="Millares 16 4 4 2" xfId="7892" xr:uid="{00000000-0005-0000-0000-000082060000}"/>
    <cellStyle name="Millares 16 4 4 2 2" xfId="16988" xr:uid="{00000000-0005-0000-0000-000083060000}"/>
    <cellStyle name="Millares 16 4 4 2 2 2" xfId="35170" xr:uid="{00000000-0005-0000-0000-000084060000}"/>
    <cellStyle name="Millares 16 4 4 2 3" xfId="26080" xr:uid="{00000000-0005-0000-0000-000085060000}"/>
    <cellStyle name="Millares 16 4 4 3" xfId="12448" xr:uid="{00000000-0005-0000-0000-000086060000}"/>
    <cellStyle name="Millares 16 4 4 3 2" xfId="30630" xr:uid="{00000000-0005-0000-0000-000087060000}"/>
    <cellStyle name="Millares 16 4 4 4" xfId="21540" xr:uid="{00000000-0005-0000-0000-000088060000}"/>
    <cellStyle name="Millares 16 4 5" xfId="4978" xr:uid="{00000000-0005-0000-0000-000089060000}"/>
    <cellStyle name="Millares 16 4 5 2" xfId="14078" xr:uid="{00000000-0005-0000-0000-00008A060000}"/>
    <cellStyle name="Millares 16 4 5 2 2" xfId="32260" xr:uid="{00000000-0005-0000-0000-00008B060000}"/>
    <cellStyle name="Millares 16 4 5 3" xfId="23170" xr:uid="{00000000-0005-0000-0000-00008C060000}"/>
    <cellStyle name="Millares 16 4 6" xfId="9544" xr:uid="{00000000-0005-0000-0000-00008D060000}"/>
    <cellStyle name="Millares 16 4 6 2" xfId="27726" xr:uid="{00000000-0005-0000-0000-00008E060000}"/>
    <cellStyle name="Millares 16 4 7" xfId="18635" xr:uid="{00000000-0005-0000-0000-00008F060000}"/>
    <cellStyle name="Millares 16 5" xfId="321" xr:uid="{00000000-0005-0000-0000-000090060000}"/>
    <cellStyle name="Millares 16 5 2" xfId="1876" xr:uid="{00000000-0005-0000-0000-000091060000}"/>
    <cellStyle name="Millares 16 5 2 2" xfId="6486" xr:uid="{00000000-0005-0000-0000-000092060000}"/>
    <cellStyle name="Millares 16 5 2 2 2" xfId="15586" xr:uid="{00000000-0005-0000-0000-000093060000}"/>
    <cellStyle name="Millares 16 5 2 2 2 2" xfId="33768" xr:uid="{00000000-0005-0000-0000-000094060000}"/>
    <cellStyle name="Millares 16 5 2 2 3" xfId="24678" xr:uid="{00000000-0005-0000-0000-000095060000}"/>
    <cellStyle name="Millares 16 5 2 3" xfId="11050" xr:uid="{00000000-0005-0000-0000-000096060000}"/>
    <cellStyle name="Millares 16 5 2 3 2" xfId="29232" xr:uid="{00000000-0005-0000-0000-000097060000}"/>
    <cellStyle name="Millares 16 5 2 4" xfId="20142" xr:uid="{00000000-0005-0000-0000-000098060000}"/>
    <cellStyle name="Millares 16 5 3" xfId="3338" xr:uid="{00000000-0005-0000-0000-000099060000}"/>
    <cellStyle name="Millares 16 5 3 2" xfId="7894" xr:uid="{00000000-0005-0000-0000-00009A060000}"/>
    <cellStyle name="Millares 16 5 3 2 2" xfId="16990" xr:uid="{00000000-0005-0000-0000-00009B060000}"/>
    <cellStyle name="Millares 16 5 3 2 2 2" xfId="35172" xr:uid="{00000000-0005-0000-0000-00009C060000}"/>
    <cellStyle name="Millares 16 5 3 2 3" xfId="26082" xr:uid="{00000000-0005-0000-0000-00009D060000}"/>
    <cellStyle name="Millares 16 5 3 3" xfId="12450" xr:uid="{00000000-0005-0000-0000-00009E060000}"/>
    <cellStyle name="Millares 16 5 3 3 2" xfId="30632" xr:uid="{00000000-0005-0000-0000-00009F060000}"/>
    <cellStyle name="Millares 16 5 3 4" xfId="21542" xr:uid="{00000000-0005-0000-0000-0000A0060000}"/>
    <cellStyle name="Millares 16 5 4" xfId="4980" xr:uid="{00000000-0005-0000-0000-0000A1060000}"/>
    <cellStyle name="Millares 16 5 4 2" xfId="14080" xr:uid="{00000000-0005-0000-0000-0000A2060000}"/>
    <cellStyle name="Millares 16 5 4 2 2" xfId="32262" xr:uid="{00000000-0005-0000-0000-0000A3060000}"/>
    <cellStyle name="Millares 16 5 4 3" xfId="23172" xr:uid="{00000000-0005-0000-0000-0000A4060000}"/>
    <cellStyle name="Millares 16 5 5" xfId="9546" xr:uid="{00000000-0005-0000-0000-0000A5060000}"/>
    <cellStyle name="Millares 16 5 5 2" xfId="27728" xr:uid="{00000000-0005-0000-0000-0000A6060000}"/>
    <cellStyle name="Millares 16 5 6" xfId="18637" xr:uid="{00000000-0005-0000-0000-0000A7060000}"/>
    <cellStyle name="Millares 16 6" xfId="322" xr:uid="{00000000-0005-0000-0000-0000A8060000}"/>
    <cellStyle name="Millares 16 6 2" xfId="3339" xr:uid="{00000000-0005-0000-0000-0000A9060000}"/>
    <cellStyle name="Millares 16 6 2 2" xfId="7895" xr:uid="{00000000-0005-0000-0000-0000AA060000}"/>
    <cellStyle name="Millares 16 6 2 2 2" xfId="16991" xr:uid="{00000000-0005-0000-0000-0000AB060000}"/>
    <cellStyle name="Millares 16 6 2 2 2 2" xfId="35173" xr:uid="{00000000-0005-0000-0000-0000AC060000}"/>
    <cellStyle name="Millares 16 6 2 2 3" xfId="26083" xr:uid="{00000000-0005-0000-0000-0000AD060000}"/>
    <cellStyle name="Millares 16 6 2 3" xfId="12451" xr:uid="{00000000-0005-0000-0000-0000AE060000}"/>
    <cellStyle name="Millares 16 6 2 3 2" xfId="30633" xr:uid="{00000000-0005-0000-0000-0000AF060000}"/>
    <cellStyle name="Millares 16 6 2 4" xfId="21543" xr:uid="{00000000-0005-0000-0000-0000B0060000}"/>
    <cellStyle name="Millares 16 6 3" xfId="4981" xr:uid="{00000000-0005-0000-0000-0000B1060000}"/>
    <cellStyle name="Millares 16 6 3 2" xfId="14081" xr:uid="{00000000-0005-0000-0000-0000B2060000}"/>
    <cellStyle name="Millares 16 6 3 2 2" xfId="32263" xr:uid="{00000000-0005-0000-0000-0000B3060000}"/>
    <cellStyle name="Millares 16 6 3 3" xfId="23173" xr:uid="{00000000-0005-0000-0000-0000B4060000}"/>
    <cellStyle name="Millares 16 6 4" xfId="9547" xr:uid="{00000000-0005-0000-0000-0000B5060000}"/>
    <cellStyle name="Millares 16 6 4 2" xfId="27729" xr:uid="{00000000-0005-0000-0000-0000B6060000}"/>
    <cellStyle name="Millares 16 6 5" xfId="18638" xr:uid="{00000000-0005-0000-0000-0000B7060000}"/>
    <cellStyle name="Millares 16 7" xfId="1877" xr:uid="{00000000-0005-0000-0000-0000B8060000}"/>
    <cellStyle name="Millares 16 7 2" xfId="6487" xr:uid="{00000000-0005-0000-0000-0000B9060000}"/>
    <cellStyle name="Millares 16 7 2 2" xfId="15587" xr:uid="{00000000-0005-0000-0000-0000BA060000}"/>
    <cellStyle name="Millares 16 7 2 2 2" xfId="33769" xr:uid="{00000000-0005-0000-0000-0000BB060000}"/>
    <cellStyle name="Millares 16 7 2 3" xfId="24679" xr:uid="{00000000-0005-0000-0000-0000BC060000}"/>
    <cellStyle name="Millares 16 7 3" xfId="11051" xr:uid="{00000000-0005-0000-0000-0000BD060000}"/>
    <cellStyle name="Millares 16 7 3 2" xfId="29233" xr:uid="{00000000-0005-0000-0000-0000BE060000}"/>
    <cellStyle name="Millares 16 7 4" xfId="20143" xr:uid="{00000000-0005-0000-0000-0000BF060000}"/>
    <cellStyle name="Millares 16 8" xfId="3222" xr:uid="{00000000-0005-0000-0000-0000C0060000}"/>
    <cellStyle name="Millares 16 8 2" xfId="7782" xr:uid="{00000000-0005-0000-0000-0000C1060000}"/>
    <cellStyle name="Millares 16 8 2 2" xfId="16878" xr:uid="{00000000-0005-0000-0000-0000C2060000}"/>
    <cellStyle name="Millares 16 8 2 2 2" xfId="35060" xr:uid="{00000000-0005-0000-0000-0000C3060000}"/>
    <cellStyle name="Millares 16 8 2 3" xfId="25970" xr:uid="{00000000-0005-0000-0000-0000C4060000}"/>
    <cellStyle name="Millares 16 8 3" xfId="12338" xr:uid="{00000000-0005-0000-0000-0000C5060000}"/>
    <cellStyle name="Millares 16 8 3 2" xfId="30520" xr:uid="{00000000-0005-0000-0000-0000C6060000}"/>
    <cellStyle name="Millares 16 8 4" xfId="21430" xr:uid="{00000000-0005-0000-0000-0000C7060000}"/>
    <cellStyle name="Millares 16 9" xfId="4870" xr:uid="{00000000-0005-0000-0000-0000C8060000}"/>
    <cellStyle name="Millares 16 9 2" xfId="13970" xr:uid="{00000000-0005-0000-0000-0000C9060000}"/>
    <cellStyle name="Millares 16 9 2 2" xfId="32152" xr:uid="{00000000-0005-0000-0000-0000CA060000}"/>
    <cellStyle name="Millares 16 9 3" xfId="23062" xr:uid="{00000000-0005-0000-0000-0000CB060000}"/>
    <cellStyle name="Millares 17" xfId="141" xr:uid="{00000000-0005-0000-0000-0000CC060000}"/>
    <cellStyle name="Millares 17 2" xfId="323" xr:uid="{00000000-0005-0000-0000-0000CD060000}"/>
    <cellStyle name="Millares 17 2 2" xfId="3340" xr:uid="{00000000-0005-0000-0000-0000CE060000}"/>
    <cellStyle name="Millares 17 2 2 2" xfId="7896" xr:uid="{00000000-0005-0000-0000-0000CF060000}"/>
    <cellStyle name="Millares 17 2 2 2 2" xfId="16992" xr:uid="{00000000-0005-0000-0000-0000D0060000}"/>
    <cellStyle name="Millares 17 2 2 2 2 2" xfId="35174" xr:uid="{00000000-0005-0000-0000-0000D1060000}"/>
    <cellStyle name="Millares 17 2 2 2 3" xfId="26084" xr:uid="{00000000-0005-0000-0000-0000D2060000}"/>
    <cellStyle name="Millares 17 2 2 3" xfId="12452" xr:uid="{00000000-0005-0000-0000-0000D3060000}"/>
    <cellStyle name="Millares 17 2 2 3 2" xfId="30634" xr:uid="{00000000-0005-0000-0000-0000D4060000}"/>
    <cellStyle name="Millares 17 2 2 4" xfId="21544" xr:uid="{00000000-0005-0000-0000-0000D5060000}"/>
    <cellStyle name="Millares 17 3" xfId="3223" xr:uid="{00000000-0005-0000-0000-0000D6060000}"/>
    <cellStyle name="Millares 17 3 2" xfId="7783" xr:uid="{00000000-0005-0000-0000-0000D7060000}"/>
    <cellStyle name="Millares 17 3 2 2" xfId="16879" xr:uid="{00000000-0005-0000-0000-0000D8060000}"/>
    <cellStyle name="Millares 17 3 2 2 2" xfId="35061" xr:uid="{00000000-0005-0000-0000-0000D9060000}"/>
    <cellStyle name="Millares 17 3 2 3" xfId="25971" xr:uid="{00000000-0005-0000-0000-0000DA060000}"/>
    <cellStyle name="Millares 17 3 3" xfId="12339" xr:uid="{00000000-0005-0000-0000-0000DB060000}"/>
    <cellStyle name="Millares 17 3 3 2" xfId="30521" xr:uid="{00000000-0005-0000-0000-0000DC060000}"/>
    <cellStyle name="Millares 17 3 4" xfId="21431" xr:uid="{00000000-0005-0000-0000-0000DD060000}"/>
    <cellStyle name="Millares 18" xfId="149" xr:uid="{00000000-0005-0000-0000-0000DE060000}"/>
    <cellStyle name="Millares 18 2" xfId="324" xr:uid="{00000000-0005-0000-0000-0000DF060000}"/>
    <cellStyle name="Millares 18 3" xfId="325" xr:uid="{00000000-0005-0000-0000-0000E0060000}"/>
    <cellStyle name="Millares 18 3 2" xfId="326" xr:uid="{00000000-0005-0000-0000-0000E1060000}"/>
    <cellStyle name="Millares 18 3 2 2" xfId="327" xr:uid="{00000000-0005-0000-0000-0000E2060000}"/>
    <cellStyle name="Millares 18 3 2 2 2" xfId="1878" xr:uid="{00000000-0005-0000-0000-0000E3060000}"/>
    <cellStyle name="Millares 18 3 2 2 2 2" xfId="6488" xr:uid="{00000000-0005-0000-0000-0000E4060000}"/>
    <cellStyle name="Millares 18 3 2 2 2 2 2" xfId="15588" xr:uid="{00000000-0005-0000-0000-0000E5060000}"/>
    <cellStyle name="Millares 18 3 2 2 2 2 2 2" xfId="33770" xr:uid="{00000000-0005-0000-0000-0000E6060000}"/>
    <cellStyle name="Millares 18 3 2 2 2 2 3" xfId="24680" xr:uid="{00000000-0005-0000-0000-0000E7060000}"/>
    <cellStyle name="Millares 18 3 2 2 2 3" xfId="11052" xr:uid="{00000000-0005-0000-0000-0000E8060000}"/>
    <cellStyle name="Millares 18 3 2 2 2 3 2" xfId="29234" xr:uid="{00000000-0005-0000-0000-0000E9060000}"/>
    <cellStyle name="Millares 18 3 2 2 2 4" xfId="20144" xr:uid="{00000000-0005-0000-0000-0000EA060000}"/>
    <cellStyle name="Millares 18 3 2 2 3" xfId="3343" xr:uid="{00000000-0005-0000-0000-0000EB060000}"/>
    <cellStyle name="Millares 18 3 2 2 3 2" xfId="7899" xr:uid="{00000000-0005-0000-0000-0000EC060000}"/>
    <cellStyle name="Millares 18 3 2 2 3 2 2" xfId="16995" xr:uid="{00000000-0005-0000-0000-0000ED060000}"/>
    <cellStyle name="Millares 18 3 2 2 3 2 2 2" xfId="35177" xr:uid="{00000000-0005-0000-0000-0000EE060000}"/>
    <cellStyle name="Millares 18 3 2 2 3 2 3" xfId="26087" xr:uid="{00000000-0005-0000-0000-0000EF060000}"/>
    <cellStyle name="Millares 18 3 2 2 3 3" xfId="12455" xr:uid="{00000000-0005-0000-0000-0000F0060000}"/>
    <cellStyle name="Millares 18 3 2 2 3 3 2" xfId="30637" xr:uid="{00000000-0005-0000-0000-0000F1060000}"/>
    <cellStyle name="Millares 18 3 2 2 3 4" xfId="21547" xr:uid="{00000000-0005-0000-0000-0000F2060000}"/>
    <cellStyle name="Millares 18 3 2 2 4" xfId="4984" xr:uid="{00000000-0005-0000-0000-0000F3060000}"/>
    <cellStyle name="Millares 18 3 2 2 4 2" xfId="14084" xr:uid="{00000000-0005-0000-0000-0000F4060000}"/>
    <cellStyle name="Millares 18 3 2 2 4 2 2" xfId="32266" xr:uid="{00000000-0005-0000-0000-0000F5060000}"/>
    <cellStyle name="Millares 18 3 2 2 4 3" xfId="23176" xr:uid="{00000000-0005-0000-0000-0000F6060000}"/>
    <cellStyle name="Millares 18 3 2 2 5" xfId="9550" xr:uid="{00000000-0005-0000-0000-0000F7060000}"/>
    <cellStyle name="Millares 18 3 2 2 5 2" xfId="27732" xr:uid="{00000000-0005-0000-0000-0000F8060000}"/>
    <cellStyle name="Millares 18 3 2 2 6" xfId="18641" xr:uid="{00000000-0005-0000-0000-0000F9060000}"/>
    <cellStyle name="Millares 18 3 2 3" xfId="1879" xr:uid="{00000000-0005-0000-0000-0000FA060000}"/>
    <cellStyle name="Millares 18 3 2 3 2" xfId="6489" xr:uid="{00000000-0005-0000-0000-0000FB060000}"/>
    <cellStyle name="Millares 18 3 2 3 2 2" xfId="15589" xr:uid="{00000000-0005-0000-0000-0000FC060000}"/>
    <cellStyle name="Millares 18 3 2 3 2 2 2" xfId="33771" xr:uid="{00000000-0005-0000-0000-0000FD060000}"/>
    <cellStyle name="Millares 18 3 2 3 2 3" xfId="24681" xr:uid="{00000000-0005-0000-0000-0000FE060000}"/>
    <cellStyle name="Millares 18 3 2 3 3" xfId="11053" xr:uid="{00000000-0005-0000-0000-0000FF060000}"/>
    <cellStyle name="Millares 18 3 2 3 3 2" xfId="29235" xr:uid="{00000000-0005-0000-0000-000000070000}"/>
    <cellStyle name="Millares 18 3 2 3 4" xfId="20145" xr:uid="{00000000-0005-0000-0000-000001070000}"/>
    <cellStyle name="Millares 18 3 2 4" xfId="3342" xr:uid="{00000000-0005-0000-0000-000002070000}"/>
    <cellStyle name="Millares 18 3 2 4 2" xfId="7898" xr:uid="{00000000-0005-0000-0000-000003070000}"/>
    <cellStyle name="Millares 18 3 2 4 2 2" xfId="16994" xr:uid="{00000000-0005-0000-0000-000004070000}"/>
    <cellStyle name="Millares 18 3 2 4 2 2 2" xfId="35176" xr:uid="{00000000-0005-0000-0000-000005070000}"/>
    <cellStyle name="Millares 18 3 2 4 2 3" xfId="26086" xr:uid="{00000000-0005-0000-0000-000006070000}"/>
    <cellStyle name="Millares 18 3 2 4 3" xfId="12454" xr:uid="{00000000-0005-0000-0000-000007070000}"/>
    <cellStyle name="Millares 18 3 2 4 3 2" xfId="30636" xr:uid="{00000000-0005-0000-0000-000008070000}"/>
    <cellStyle name="Millares 18 3 2 4 4" xfId="21546" xr:uid="{00000000-0005-0000-0000-000009070000}"/>
    <cellStyle name="Millares 18 3 2 5" xfId="4983" xr:uid="{00000000-0005-0000-0000-00000A070000}"/>
    <cellStyle name="Millares 18 3 2 5 2" xfId="14083" xr:uid="{00000000-0005-0000-0000-00000B070000}"/>
    <cellStyle name="Millares 18 3 2 5 2 2" xfId="32265" xr:uid="{00000000-0005-0000-0000-00000C070000}"/>
    <cellStyle name="Millares 18 3 2 5 3" xfId="23175" xr:uid="{00000000-0005-0000-0000-00000D070000}"/>
    <cellStyle name="Millares 18 3 2 6" xfId="9549" xr:uid="{00000000-0005-0000-0000-00000E070000}"/>
    <cellStyle name="Millares 18 3 2 6 2" xfId="27731" xr:uid="{00000000-0005-0000-0000-00000F070000}"/>
    <cellStyle name="Millares 18 3 2 7" xfId="18640" xr:uid="{00000000-0005-0000-0000-000010070000}"/>
    <cellStyle name="Millares 18 3 3" xfId="328" xr:uid="{00000000-0005-0000-0000-000011070000}"/>
    <cellStyle name="Millares 18 3 3 2" xfId="1880" xr:uid="{00000000-0005-0000-0000-000012070000}"/>
    <cellStyle name="Millares 18 3 3 2 2" xfId="6490" xr:uid="{00000000-0005-0000-0000-000013070000}"/>
    <cellStyle name="Millares 18 3 3 2 2 2" xfId="15590" xr:uid="{00000000-0005-0000-0000-000014070000}"/>
    <cellStyle name="Millares 18 3 3 2 2 2 2" xfId="33772" xr:uid="{00000000-0005-0000-0000-000015070000}"/>
    <cellStyle name="Millares 18 3 3 2 2 3" xfId="24682" xr:uid="{00000000-0005-0000-0000-000016070000}"/>
    <cellStyle name="Millares 18 3 3 2 3" xfId="11054" xr:uid="{00000000-0005-0000-0000-000017070000}"/>
    <cellStyle name="Millares 18 3 3 2 3 2" xfId="29236" xr:uid="{00000000-0005-0000-0000-000018070000}"/>
    <cellStyle name="Millares 18 3 3 2 4" xfId="20146" xr:uid="{00000000-0005-0000-0000-000019070000}"/>
    <cellStyle name="Millares 18 3 3 3" xfId="3344" xr:uid="{00000000-0005-0000-0000-00001A070000}"/>
    <cellStyle name="Millares 18 3 3 3 2" xfId="7900" xr:uid="{00000000-0005-0000-0000-00001B070000}"/>
    <cellStyle name="Millares 18 3 3 3 2 2" xfId="16996" xr:uid="{00000000-0005-0000-0000-00001C070000}"/>
    <cellStyle name="Millares 18 3 3 3 2 2 2" xfId="35178" xr:uid="{00000000-0005-0000-0000-00001D070000}"/>
    <cellStyle name="Millares 18 3 3 3 2 3" xfId="26088" xr:uid="{00000000-0005-0000-0000-00001E070000}"/>
    <cellStyle name="Millares 18 3 3 3 3" xfId="12456" xr:uid="{00000000-0005-0000-0000-00001F070000}"/>
    <cellStyle name="Millares 18 3 3 3 3 2" xfId="30638" xr:uid="{00000000-0005-0000-0000-000020070000}"/>
    <cellStyle name="Millares 18 3 3 3 4" xfId="21548" xr:uid="{00000000-0005-0000-0000-000021070000}"/>
    <cellStyle name="Millares 18 3 3 4" xfId="4985" xr:uid="{00000000-0005-0000-0000-000022070000}"/>
    <cellStyle name="Millares 18 3 3 4 2" xfId="14085" xr:uid="{00000000-0005-0000-0000-000023070000}"/>
    <cellStyle name="Millares 18 3 3 4 2 2" xfId="32267" xr:uid="{00000000-0005-0000-0000-000024070000}"/>
    <cellStyle name="Millares 18 3 3 4 3" xfId="23177" xr:uid="{00000000-0005-0000-0000-000025070000}"/>
    <cellStyle name="Millares 18 3 3 5" xfId="9551" xr:uid="{00000000-0005-0000-0000-000026070000}"/>
    <cellStyle name="Millares 18 3 3 5 2" xfId="27733" xr:uid="{00000000-0005-0000-0000-000027070000}"/>
    <cellStyle name="Millares 18 3 3 6" xfId="18642" xr:uid="{00000000-0005-0000-0000-000028070000}"/>
    <cellStyle name="Millares 18 3 4" xfId="329" xr:uid="{00000000-0005-0000-0000-000029070000}"/>
    <cellStyle name="Millares 18 3 4 2" xfId="3345" xr:uid="{00000000-0005-0000-0000-00002A070000}"/>
    <cellStyle name="Millares 18 3 4 2 2" xfId="7901" xr:uid="{00000000-0005-0000-0000-00002B070000}"/>
    <cellStyle name="Millares 18 3 4 2 2 2" xfId="16997" xr:uid="{00000000-0005-0000-0000-00002C070000}"/>
    <cellStyle name="Millares 18 3 4 2 2 2 2" xfId="35179" xr:uid="{00000000-0005-0000-0000-00002D070000}"/>
    <cellStyle name="Millares 18 3 4 2 2 3" xfId="26089" xr:uid="{00000000-0005-0000-0000-00002E070000}"/>
    <cellStyle name="Millares 18 3 4 2 3" xfId="12457" xr:uid="{00000000-0005-0000-0000-00002F070000}"/>
    <cellStyle name="Millares 18 3 4 2 3 2" xfId="30639" xr:uid="{00000000-0005-0000-0000-000030070000}"/>
    <cellStyle name="Millares 18 3 4 2 4" xfId="21549" xr:uid="{00000000-0005-0000-0000-000031070000}"/>
    <cellStyle name="Millares 18 3 4 3" xfId="4986" xr:uid="{00000000-0005-0000-0000-000032070000}"/>
    <cellStyle name="Millares 18 3 4 3 2" xfId="14086" xr:uid="{00000000-0005-0000-0000-000033070000}"/>
    <cellStyle name="Millares 18 3 4 3 2 2" xfId="32268" xr:uid="{00000000-0005-0000-0000-000034070000}"/>
    <cellStyle name="Millares 18 3 4 3 3" xfId="23178" xr:uid="{00000000-0005-0000-0000-000035070000}"/>
    <cellStyle name="Millares 18 3 4 4" xfId="9552" xr:uid="{00000000-0005-0000-0000-000036070000}"/>
    <cellStyle name="Millares 18 3 4 4 2" xfId="27734" xr:uid="{00000000-0005-0000-0000-000037070000}"/>
    <cellStyle name="Millares 18 3 4 5" xfId="18643" xr:uid="{00000000-0005-0000-0000-000038070000}"/>
    <cellStyle name="Millares 18 3 5" xfId="1881" xr:uid="{00000000-0005-0000-0000-000039070000}"/>
    <cellStyle name="Millares 18 3 6" xfId="3341" xr:uid="{00000000-0005-0000-0000-00003A070000}"/>
    <cellStyle name="Millares 18 3 6 2" xfId="7897" xr:uid="{00000000-0005-0000-0000-00003B070000}"/>
    <cellStyle name="Millares 18 3 6 2 2" xfId="16993" xr:uid="{00000000-0005-0000-0000-00003C070000}"/>
    <cellStyle name="Millares 18 3 6 2 2 2" xfId="35175" xr:uid="{00000000-0005-0000-0000-00003D070000}"/>
    <cellStyle name="Millares 18 3 6 2 3" xfId="26085" xr:uid="{00000000-0005-0000-0000-00003E070000}"/>
    <cellStyle name="Millares 18 3 6 3" xfId="12453" xr:uid="{00000000-0005-0000-0000-00003F070000}"/>
    <cellStyle name="Millares 18 3 6 3 2" xfId="30635" xr:uid="{00000000-0005-0000-0000-000040070000}"/>
    <cellStyle name="Millares 18 3 6 4" xfId="21545" xr:uid="{00000000-0005-0000-0000-000041070000}"/>
    <cellStyle name="Millares 18 3 7" xfId="4982" xr:uid="{00000000-0005-0000-0000-000042070000}"/>
    <cellStyle name="Millares 18 3 7 2" xfId="14082" xr:uid="{00000000-0005-0000-0000-000043070000}"/>
    <cellStyle name="Millares 18 3 7 2 2" xfId="32264" xr:uid="{00000000-0005-0000-0000-000044070000}"/>
    <cellStyle name="Millares 18 3 7 3" xfId="23174" xr:uid="{00000000-0005-0000-0000-000045070000}"/>
    <cellStyle name="Millares 18 3 8" xfId="9548" xr:uid="{00000000-0005-0000-0000-000046070000}"/>
    <cellStyle name="Millares 18 3 8 2" xfId="27730" xr:uid="{00000000-0005-0000-0000-000047070000}"/>
    <cellStyle name="Millares 18 3 9" xfId="18639" xr:uid="{00000000-0005-0000-0000-000048070000}"/>
    <cellStyle name="Millares 18 4" xfId="330" xr:uid="{00000000-0005-0000-0000-000049070000}"/>
    <cellStyle name="Millares 18 4 2" xfId="331" xr:uid="{00000000-0005-0000-0000-00004A070000}"/>
    <cellStyle name="Millares 18 4 2 2" xfId="1882" xr:uid="{00000000-0005-0000-0000-00004B070000}"/>
    <cellStyle name="Millares 18 4 2 2 2" xfId="6491" xr:uid="{00000000-0005-0000-0000-00004C070000}"/>
    <cellStyle name="Millares 18 4 2 2 2 2" xfId="15591" xr:uid="{00000000-0005-0000-0000-00004D070000}"/>
    <cellStyle name="Millares 18 4 2 2 2 2 2" xfId="33773" xr:uid="{00000000-0005-0000-0000-00004E070000}"/>
    <cellStyle name="Millares 18 4 2 2 2 3" xfId="24683" xr:uid="{00000000-0005-0000-0000-00004F070000}"/>
    <cellStyle name="Millares 18 4 2 2 3" xfId="11055" xr:uid="{00000000-0005-0000-0000-000050070000}"/>
    <cellStyle name="Millares 18 4 2 2 3 2" xfId="29237" xr:uid="{00000000-0005-0000-0000-000051070000}"/>
    <cellStyle name="Millares 18 4 2 2 4" xfId="20147" xr:uid="{00000000-0005-0000-0000-000052070000}"/>
    <cellStyle name="Millares 18 4 2 3" xfId="3347" xr:uid="{00000000-0005-0000-0000-000053070000}"/>
    <cellStyle name="Millares 18 4 2 3 2" xfId="7903" xr:uid="{00000000-0005-0000-0000-000054070000}"/>
    <cellStyle name="Millares 18 4 2 3 2 2" xfId="16999" xr:uid="{00000000-0005-0000-0000-000055070000}"/>
    <cellStyle name="Millares 18 4 2 3 2 2 2" xfId="35181" xr:uid="{00000000-0005-0000-0000-000056070000}"/>
    <cellStyle name="Millares 18 4 2 3 2 3" xfId="26091" xr:uid="{00000000-0005-0000-0000-000057070000}"/>
    <cellStyle name="Millares 18 4 2 3 3" xfId="12459" xr:uid="{00000000-0005-0000-0000-000058070000}"/>
    <cellStyle name="Millares 18 4 2 3 3 2" xfId="30641" xr:uid="{00000000-0005-0000-0000-000059070000}"/>
    <cellStyle name="Millares 18 4 2 3 4" xfId="21551" xr:uid="{00000000-0005-0000-0000-00005A070000}"/>
    <cellStyle name="Millares 18 4 2 4" xfId="4988" xr:uid="{00000000-0005-0000-0000-00005B070000}"/>
    <cellStyle name="Millares 18 4 2 4 2" xfId="14088" xr:uid="{00000000-0005-0000-0000-00005C070000}"/>
    <cellStyle name="Millares 18 4 2 4 2 2" xfId="32270" xr:uid="{00000000-0005-0000-0000-00005D070000}"/>
    <cellStyle name="Millares 18 4 2 4 3" xfId="23180" xr:uid="{00000000-0005-0000-0000-00005E070000}"/>
    <cellStyle name="Millares 18 4 2 5" xfId="9554" xr:uid="{00000000-0005-0000-0000-00005F070000}"/>
    <cellStyle name="Millares 18 4 2 5 2" xfId="27736" xr:uid="{00000000-0005-0000-0000-000060070000}"/>
    <cellStyle name="Millares 18 4 2 6" xfId="18645" xr:uid="{00000000-0005-0000-0000-000061070000}"/>
    <cellStyle name="Millares 18 4 3" xfId="1883" xr:uid="{00000000-0005-0000-0000-000062070000}"/>
    <cellStyle name="Millares 18 4 3 2" xfId="6492" xr:uid="{00000000-0005-0000-0000-000063070000}"/>
    <cellStyle name="Millares 18 4 3 2 2" xfId="15592" xr:uid="{00000000-0005-0000-0000-000064070000}"/>
    <cellStyle name="Millares 18 4 3 2 2 2" xfId="33774" xr:uid="{00000000-0005-0000-0000-000065070000}"/>
    <cellStyle name="Millares 18 4 3 2 3" xfId="24684" xr:uid="{00000000-0005-0000-0000-000066070000}"/>
    <cellStyle name="Millares 18 4 3 3" xfId="11056" xr:uid="{00000000-0005-0000-0000-000067070000}"/>
    <cellStyle name="Millares 18 4 3 3 2" xfId="29238" xr:uid="{00000000-0005-0000-0000-000068070000}"/>
    <cellStyle name="Millares 18 4 3 4" xfId="20148" xr:uid="{00000000-0005-0000-0000-000069070000}"/>
    <cellStyle name="Millares 18 4 4" xfId="3346" xr:uid="{00000000-0005-0000-0000-00006A070000}"/>
    <cellStyle name="Millares 18 4 4 2" xfId="7902" xr:uid="{00000000-0005-0000-0000-00006B070000}"/>
    <cellStyle name="Millares 18 4 4 2 2" xfId="16998" xr:uid="{00000000-0005-0000-0000-00006C070000}"/>
    <cellStyle name="Millares 18 4 4 2 2 2" xfId="35180" xr:uid="{00000000-0005-0000-0000-00006D070000}"/>
    <cellStyle name="Millares 18 4 4 2 3" xfId="26090" xr:uid="{00000000-0005-0000-0000-00006E070000}"/>
    <cellStyle name="Millares 18 4 4 3" xfId="12458" xr:uid="{00000000-0005-0000-0000-00006F070000}"/>
    <cellStyle name="Millares 18 4 4 3 2" xfId="30640" xr:uid="{00000000-0005-0000-0000-000070070000}"/>
    <cellStyle name="Millares 18 4 4 4" xfId="21550" xr:uid="{00000000-0005-0000-0000-000071070000}"/>
    <cellStyle name="Millares 18 4 5" xfId="4987" xr:uid="{00000000-0005-0000-0000-000072070000}"/>
    <cellStyle name="Millares 18 4 5 2" xfId="14087" xr:uid="{00000000-0005-0000-0000-000073070000}"/>
    <cellStyle name="Millares 18 4 5 2 2" xfId="32269" xr:uid="{00000000-0005-0000-0000-000074070000}"/>
    <cellStyle name="Millares 18 4 5 3" xfId="23179" xr:uid="{00000000-0005-0000-0000-000075070000}"/>
    <cellStyle name="Millares 18 4 6" xfId="9553" xr:uid="{00000000-0005-0000-0000-000076070000}"/>
    <cellStyle name="Millares 18 4 6 2" xfId="27735" xr:uid="{00000000-0005-0000-0000-000077070000}"/>
    <cellStyle name="Millares 18 4 7" xfId="18644" xr:uid="{00000000-0005-0000-0000-000078070000}"/>
    <cellStyle name="Millares 18 5" xfId="332" xr:uid="{00000000-0005-0000-0000-000079070000}"/>
    <cellStyle name="Millares 18 5 2" xfId="1884" xr:uid="{00000000-0005-0000-0000-00007A070000}"/>
    <cellStyle name="Millares 18 5 2 2" xfId="6493" xr:uid="{00000000-0005-0000-0000-00007B070000}"/>
    <cellStyle name="Millares 18 5 2 2 2" xfId="15593" xr:uid="{00000000-0005-0000-0000-00007C070000}"/>
    <cellStyle name="Millares 18 5 2 2 2 2" xfId="33775" xr:uid="{00000000-0005-0000-0000-00007D070000}"/>
    <cellStyle name="Millares 18 5 2 2 3" xfId="24685" xr:uid="{00000000-0005-0000-0000-00007E070000}"/>
    <cellStyle name="Millares 18 5 2 3" xfId="11057" xr:uid="{00000000-0005-0000-0000-00007F070000}"/>
    <cellStyle name="Millares 18 5 2 3 2" xfId="29239" xr:uid="{00000000-0005-0000-0000-000080070000}"/>
    <cellStyle name="Millares 18 5 2 4" xfId="20149" xr:uid="{00000000-0005-0000-0000-000081070000}"/>
    <cellStyle name="Millares 18 5 3" xfId="3348" xr:uid="{00000000-0005-0000-0000-000082070000}"/>
    <cellStyle name="Millares 18 5 3 2" xfId="7904" xr:uid="{00000000-0005-0000-0000-000083070000}"/>
    <cellStyle name="Millares 18 5 3 2 2" xfId="17000" xr:uid="{00000000-0005-0000-0000-000084070000}"/>
    <cellStyle name="Millares 18 5 3 2 2 2" xfId="35182" xr:uid="{00000000-0005-0000-0000-000085070000}"/>
    <cellStyle name="Millares 18 5 3 2 3" xfId="26092" xr:uid="{00000000-0005-0000-0000-000086070000}"/>
    <cellStyle name="Millares 18 5 3 3" xfId="12460" xr:uid="{00000000-0005-0000-0000-000087070000}"/>
    <cellStyle name="Millares 18 5 3 3 2" xfId="30642" xr:uid="{00000000-0005-0000-0000-000088070000}"/>
    <cellStyle name="Millares 18 5 3 4" xfId="21552" xr:uid="{00000000-0005-0000-0000-000089070000}"/>
    <cellStyle name="Millares 18 5 4" xfId="4989" xr:uid="{00000000-0005-0000-0000-00008A070000}"/>
    <cellStyle name="Millares 18 5 4 2" xfId="14089" xr:uid="{00000000-0005-0000-0000-00008B070000}"/>
    <cellStyle name="Millares 18 5 4 2 2" xfId="32271" xr:uid="{00000000-0005-0000-0000-00008C070000}"/>
    <cellStyle name="Millares 18 5 4 3" xfId="23181" xr:uid="{00000000-0005-0000-0000-00008D070000}"/>
    <cellStyle name="Millares 18 5 5" xfId="9555" xr:uid="{00000000-0005-0000-0000-00008E070000}"/>
    <cellStyle name="Millares 18 5 5 2" xfId="27737" xr:uid="{00000000-0005-0000-0000-00008F070000}"/>
    <cellStyle name="Millares 18 5 6" xfId="18646" xr:uid="{00000000-0005-0000-0000-000090070000}"/>
    <cellStyle name="Millares 18 6" xfId="333" xr:uid="{00000000-0005-0000-0000-000091070000}"/>
    <cellStyle name="Millares 18 6 2" xfId="3349" xr:uid="{00000000-0005-0000-0000-000092070000}"/>
    <cellStyle name="Millares 18 6 2 2" xfId="7905" xr:uid="{00000000-0005-0000-0000-000093070000}"/>
    <cellStyle name="Millares 18 6 2 2 2" xfId="17001" xr:uid="{00000000-0005-0000-0000-000094070000}"/>
    <cellStyle name="Millares 18 6 2 2 2 2" xfId="35183" xr:uid="{00000000-0005-0000-0000-000095070000}"/>
    <cellStyle name="Millares 18 6 2 2 3" xfId="26093" xr:uid="{00000000-0005-0000-0000-000096070000}"/>
    <cellStyle name="Millares 18 6 2 3" xfId="12461" xr:uid="{00000000-0005-0000-0000-000097070000}"/>
    <cellStyle name="Millares 18 6 2 3 2" xfId="30643" xr:uid="{00000000-0005-0000-0000-000098070000}"/>
    <cellStyle name="Millares 18 6 2 4" xfId="21553" xr:uid="{00000000-0005-0000-0000-000099070000}"/>
    <cellStyle name="Millares 18 6 3" xfId="4990" xr:uid="{00000000-0005-0000-0000-00009A070000}"/>
    <cellStyle name="Millares 18 6 3 2" xfId="14090" xr:uid="{00000000-0005-0000-0000-00009B070000}"/>
    <cellStyle name="Millares 18 6 3 2 2" xfId="32272" xr:uid="{00000000-0005-0000-0000-00009C070000}"/>
    <cellStyle name="Millares 18 6 3 3" xfId="23182" xr:uid="{00000000-0005-0000-0000-00009D070000}"/>
    <cellStyle name="Millares 18 6 4" xfId="9556" xr:uid="{00000000-0005-0000-0000-00009E070000}"/>
    <cellStyle name="Millares 18 6 4 2" xfId="27738" xr:uid="{00000000-0005-0000-0000-00009F070000}"/>
    <cellStyle name="Millares 18 6 5" xfId="18647" xr:uid="{00000000-0005-0000-0000-0000A0070000}"/>
    <cellStyle name="Millares 19" xfId="183" xr:uid="{00000000-0005-0000-0000-0000A1070000}"/>
    <cellStyle name="Millares 19 2" xfId="188" xr:uid="{00000000-0005-0000-0000-0000A2070000}"/>
    <cellStyle name="Millares 19 2 10" xfId="18565" xr:uid="{00000000-0005-0000-0000-0000A3070000}"/>
    <cellStyle name="Millares 19 2 2" xfId="334" xr:uid="{00000000-0005-0000-0000-0000A4070000}"/>
    <cellStyle name="Millares 19 2 2 2" xfId="335" xr:uid="{00000000-0005-0000-0000-0000A5070000}"/>
    <cellStyle name="Millares 19 2 2 2 2" xfId="336" xr:uid="{00000000-0005-0000-0000-0000A6070000}"/>
    <cellStyle name="Millares 19 2 2 2 2 2" xfId="1885" xr:uid="{00000000-0005-0000-0000-0000A7070000}"/>
    <cellStyle name="Millares 19 2 2 2 2 2 2" xfId="6494" xr:uid="{00000000-0005-0000-0000-0000A8070000}"/>
    <cellStyle name="Millares 19 2 2 2 2 2 2 2" xfId="15594" xr:uid="{00000000-0005-0000-0000-0000A9070000}"/>
    <cellStyle name="Millares 19 2 2 2 2 2 2 2 2" xfId="33776" xr:uid="{00000000-0005-0000-0000-0000AA070000}"/>
    <cellStyle name="Millares 19 2 2 2 2 2 2 3" xfId="24686" xr:uid="{00000000-0005-0000-0000-0000AB070000}"/>
    <cellStyle name="Millares 19 2 2 2 2 2 3" xfId="11058" xr:uid="{00000000-0005-0000-0000-0000AC070000}"/>
    <cellStyle name="Millares 19 2 2 2 2 2 3 2" xfId="29240" xr:uid="{00000000-0005-0000-0000-0000AD070000}"/>
    <cellStyle name="Millares 19 2 2 2 2 2 4" xfId="20150" xr:uid="{00000000-0005-0000-0000-0000AE070000}"/>
    <cellStyle name="Millares 19 2 2 2 2 3" xfId="3352" xr:uid="{00000000-0005-0000-0000-0000AF070000}"/>
    <cellStyle name="Millares 19 2 2 2 2 3 2" xfId="7908" xr:uid="{00000000-0005-0000-0000-0000B0070000}"/>
    <cellStyle name="Millares 19 2 2 2 2 3 2 2" xfId="17004" xr:uid="{00000000-0005-0000-0000-0000B1070000}"/>
    <cellStyle name="Millares 19 2 2 2 2 3 2 2 2" xfId="35186" xr:uid="{00000000-0005-0000-0000-0000B2070000}"/>
    <cellStyle name="Millares 19 2 2 2 2 3 2 3" xfId="26096" xr:uid="{00000000-0005-0000-0000-0000B3070000}"/>
    <cellStyle name="Millares 19 2 2 2 2 3 3" xfId="12464" xr:uid="{00000000-0005-0000-0000-0000B4070000}"/>
    <cellStyle name="Millares 19 2 2 2 2 3 3 2" xfId="30646" xr:uid="{00000000-0005-0000-0000-0000B5070000}"/>
    <cellStyle name="Millares 19 2 2 2 2 3 4" xfId="21556" xr:uid="{00000000-0005-0000-0000-0000B6070000}"/>
    <cellStyle name="Millares 19 2 2 2 2 4" xfId="4993" xr:uid="{00000000-0005-0000-0000-0000B7070000}"/>
    <cellStyle name="Millares 19 2 2 2 2 4 2" xfId="14093" xr:uid="{00000000-0005-0000-0000-0000B8070000}"/>
    <cellStyle name="Millares 19 2 2 2 2 4 2 2" xfId="32275" xr:uid="{00000000-0005-0000-0000-0000B9070000}"/>
    <cellStyle name="Millares 19 2 2 2 2 4 3" xfId="23185" xr:uid="{00000000-0005-0000-0000-0000BA070000}"/>
    <cellStyle name="Millares 19 2 2 2 2 5" xfId="9559" xr:uid="{00000000-0005-0000-0000-0000BB070000}"/>
    <cellStyle name="Millares 19 2 2 2 2 5 2" xfId="27741" xr:uid="{00000000-0005-0000-0000-0000BC070000}"/>
    <cellStyle name="Millares 19 2 2 2 2 6" xfId="18650" xr:uid="{00000000-0005-0000-0000-0000BD070000}"/>
    <cellStyle name="Millares 19 2 2 2 3" xfId="1886" xr:uid="{00000000-0005-0000-0000-0000BE070000}"/>
    <cellStyle name="Millares 19 2 2 2 3 2" xfId="6495" xr:uid="{00000000-0005-0000-0000-0000BF070000}"/>
    <cellStyle name="Millares 19 2 2 2 3 2 2" xfId="15595" xr:uid="{00000000-0005-0000-0000-0000C0070000}"/>
    <cellStyle name="Millares 19 2 2 2 3 2 2 2" xfId="33777" xr:uid="{00000000-0005-0000-0000-0000C1070000}"/>
    <cellStyle name="Millares 19 2 2 2 3 2 3" xfId="24687" xr:uid="{00000000-0005-0000-0000-0000C2070000}"/>
    <cellStyle name="Millares 19 2 2 2 3 3" xfId="11059" xr:uid="{00000000-0005-0000-0000-0000C3070000}"/>
    <cellStyle name="Millares 19 2 2 2 3 3 2" xfId="29241" xr:uid="{00000000-0005-0000-0000-0000C4070000}"/>
    <cellStyle name="Millares 19 2 2 2 3 4" xfId="20151" xr:uid="{00000000-0005-0000-0000-0000C5070000}"/>
    <cellStyle name="Millares 19 2 2 2 4" xfId="3351" xr:uid="{00000000-0005-0000-0000-0000C6070000}"/>
    <cellStyle name="Millares 19 2 2 2 4 2" xfId="7907" xr:uid="{00000000-0005-0000-0000-0000C7070000}"/>
    <cellStyle name="Millares 19 2 2 2 4 2 2" xfId="17003" xr:uid="{00000000-0005-0000-0000-0000C8070000}"/>
    <cellStyle name="Millares 19 2 2 2 4 2 2 2" xfId="35185" xr:uid="{00000000-0005-0000-0000-0000C9070000}"/>
    <cellStyle name="Millares 19 2 2 2 4 2 3" xfId="26095" xr:uid="{00000000-0005-0000-0000-0000CA070000}"/>
    <cellStyle name="Millares 19 2 2 2 4 3" xfId="12463" xr:uid="{00000000-0005-0000-0000-0000CB070000}"/>
    <cellStyle name="Millares 19 2 2 2 4 3 2" xfId="30645" xr:uid="{00000000-0005-0000-0000-0000CC070000}"/>
    <cellStyle name="Millares 19 2 2 2 4 4" xfId="21555" xr:uid="{00000000-0005-0000-0000-0000CD070000}"/>
    <cellStyle name="Millares 19 2 2 2 5" xfId="4992" xr:uid="{00000000-0005-0000-0000-0000CE070000}"/>
    <cellStyle name="Millares 19 2 2 2 5 2" xfId="14092" xr:uid="{00000000-0005-0000-0000-0000CF070000}"/>
    <cellStyle name="Millares 19 2 2 2 5 2 2" xfId="32274" xr:uid="{00000000-0005-0000-0000-0000D0070000}"/>
    <cellStyle name="Millares 19 2 2 2 5 3" xfId="23184" xr:uid="{00000000-0005-0000-0000-0000D1070000}"/>
    <cellStyle name="Millares 19 2 2 2 6" xfId="9558" xr:uid="{00000000-0005-0000-0000-0000D2070000}"/>
    <cellStyle name="Millares 19 2 2 2 6 2" xfId="27740" xr:uid="{00000000-0005-0000-0000-0000D3070000}"/>
    <cellStyle name="Millares 19 2 2 2 7" xfId="18649" xr:uid="{00000000-0005-0000-0000-0000D4070000}"/>
    <cellStyle name="Millares 19 2 2 3" xfId="337" xr:uid="{00000000-0005-0000-0000-0000D5070000}"/>
    <cellStyle name="Millares 19 2 2 3 2" xfId="1887" xr:uid="{00000000-0005-0000-0000-0000D6070000}"/>
    <cellStyle name="Millares 19 2 2 3 2 2" xfId="6496" xr:uid="{00000000-0005-0000-0000-0000D7070000}"/>
    <cellStyle name="Millares 19 2 2 3 2 2 2" xfId="15596" xr:uid="{00000000-0005-0000-0000-0000D8070000}"/>
    <cellStyle name="Millares 19 2 2 3 2 2 2 2" xfId="33778" xr:uid="{00000000-0005-0000-0000-0000D9070000}"/>
    <cellStyle name="Millares 19 2 2 3 2 2 3" xfId="24688" xr:uid="{00000000-0005-0000-0000-0000DA070000}"/>
    <cellStyle name="Millares 19 2 2 3 2 3" xfId="11060" xr:uid="{00000000-0005-0000-0000-0000DB070000}"/>
    <cellStyle name="Millares 19 2 2 3 2 3 2" xfId="29242" xr:uid="{00000000-0005-0000-0000-0000DC070000}"/>
    <cellStyle name="Millares 19 2 2 3 2 4" xfId="20152" xr:uid="{00000000-0005-0000-0000-0000DD070000}"/>
    <cellStyle name="Millares 19 2 2 3 3" xfId="3353" xr:uid="{00000000-0005-0000-0000-0000DE070000}"/>
    <cellStyle name="Millares 19 2 2 3 3 2" xfId="7909" xr:uid="{00000000-0005-0000-0000-0000DF070000}"/>
    <cellStyle name="Millares 19 2 2 3 3 2 2" xfId="17005" xr:uid="{00000000-0005-0000-0000-0000E0070000}"/>
    <cellStyle name="Millares 19 2 2 3 3 2 2 2" xfId="35187" xr:uid="{00000000-0005-0000-0000-0000E1070000}"/>
    <cellStyle name="Millares 19 2 2 3 3 2 3" xfId="26097" xr:uid="{00000000-0005-0000-0000-0000E2070000}"/>
    <cellStyle name="Millares 19 2 2 3 3 3" xfId="12465" xr:uid="{00000000-0005-0000-0000-0000E3070000}"/>
    <cellStyle name="Millares 19 2 2 3 3 3 2" xfId="30647" xr:uid="{00000000-0005-0000-0000-0000E4070000}"/>
    <cellStyle name="Millares 19 2 2 3 3 4" xfId="21557" xr:uid="{00000000-0005-0000-0000-0000E5070000}"/>
    <cellStyle name="Millares 19 2 2 3 4" xfId="4994" xr:uid="{00000000-0005-0000-0000-0000E6070000}"/>
    <cellStyle name="Millares 19 2 2 3 4 2" xfId="14094" xr:uid="{00000000-0005-0000-0000-0000E7070000}"/>
    <cellStyle name="Millares 19 2 2 3 4 2 2" xfId="32276" xr:uid="{00000000-0005-0000-0000-0000E8070000}"/>
    <cellStyle name="Millares 19 2 2 3 4 3" xfId="23186" xr:uid="{00000000-0005-0000-0000-0000E9070000}"/>
    <cellStyle name="Millares 19 2 2 3 5" xfId="9560" xr:uid="{00000000-0005-0000-0000-0000EA070000}"/>
    <cellStyle name="Millares 19 2 2 3 5 2" xfId="27742" xr:uid="{00000000-0005-0000-0000-0000EB070000}"/>
    <cellStyle name="Millares 19 2 2 3 6" xfId="18651" xr:uid="{00000000-0005-0000-0000-0000EC070000}"/>
    <cellStyle name="Millares 19 2 2 4" xfId="338" xr:uid="{00000000-0005-0000-0000-0000ED070000}"/>
    <cellStyle name="Millares 19 2 2 4 2" xfId="3354" xr:uid="{00000000-0005-0000-0000-0000EE070000}"/>
    <cellStyle name="Millares 19 2 2 4 2 2" xfId="7910" xr:uid="{00000000-0005-0000-0000-0000EF070000}"/>
    <cellStyle name="Millares 19 2 2 4 2 2 2" xfId="17006" xr:uid="{00000000-0005-0000-0000-0000F0070000}"/>
    <cellStyle name="Millares 19 2 2 4 2 2 2 2" xfId="35188" xr:uid="{00000000-0005-0000-0000-0000F1070000}"/>
    <cellStyle name="Millares 19 2 2 4 2 2 3" xfId="26098" xr:uid="{00000000-0005-0000-0000-0000F2070000}"/>
    <cellStyle name="Millares 19 2 2 4 2 3" xfId="12466" xr:uid="{00000000-0005-0000-0000-0000F3070000}"/>
    <cellStyle name="Millares 19 2 2 4 2 3 2" xfId="30648" xr:uid="{00000000-0005-0000-0000-0000F4070000}"/>
    <cellStyle name="Millares 19 2 2 4 2 4" xfId="21558" xr:uid="{00000000-0005-0000-0000-0000F5070000}"/>
    <cellStyle name="Millares 19 2 2 4 3" xfId="4995" xr:uid="{00000000-0005-0000-0000-0000F6070000}"/>
    <cellStyle name="Millares 19 2 2 4 3 2" xfId="14095" xr:uid="{00000000-0005-0000-0000-0000F7070000}"/>
    <cellStyle name="Millares 19 2 2 4 3 2 2" xfId="32277" xr:uid="{00000000-0005-0000-0000-0000F8070000}"/>
    <cellStyle name="Millares 19 2 2 4 3 3" xfId="23187" xr:uid="{00000000-0005-0000-0000-0000F9070000}"/>
    <cellStyle name="Millares 19 2 2 4 4" xfId="9561" xr:uid="{00000000-0005-0000-0000-0000FA070000}"/>
    <cellStyle name="Millares 19 2 2 4 4 2" xfId="27743" xr:uid="{00000000-0005-0000-0000-0000FB070000}"/>
    <cellStyle name="Millares 19 2 2 4 5" xfId="18652" xr:uid="{00000000-0005-0000-0000-0000FC070000}"/>
    <cellStyle name="Millares 19 2 2 5" xfId="1888" xr:uid="{00000000-0005-0000-0000-0000FD070000}"/>
    <cellStyle name="Millares 19 2 2 6" xfId="3350" xr:uid="{00000000-0005-0000-0000-0000FE070000}"/>
    <cellStyle name="Millares 19 2 2 6 2" xfId="7906" xr:uid="{00000000-0005-0000-0000-0000FF070000}"/>
    <cellStyle name="Millares 19 2 2 6 2 2" xfId="17002" xr:uid="{00000000-0005-0000-0000-000000080000}"/>
    <cellStyle name="Millares 19 2 2 6 2 2 2" xfId="35184" xr:uid="{00000000-0005-0000-0000-000001080000}"/>
    <cellStyle name="Millares 19 2 2 6 2 3" xfId="26094" xr:uid="{00000000-0005-0000-0000-000002080000}"/>
    <cellStyle name="Millares 19 2 2 6 3" xfId="12462" xr:uid="{00000000-0005-0000-0000-000003080000}"/>
    <cellStyle name="Millares 19 2 2 6 3 2" xfId="30644" xr:uid="{00000000-0005-0000-0000-000004080000}"/>
    <cellStyle name="Millares 19 2 2 6 4" xfId="21554" xr:uid="{00000000-0005-0000-0000-000005080000}"/>
    <cellStyle name="Millares 19 2 2 7" xfId="4991" xr:uid="{00000000-0005-0000-0000-000006080000}"/>
    <cellStyle name="Millares 19 2 2 7 2" xfId="14091" xr:uid="{00000000-0005-0000-0000-000007080000}"/>
    <cellStyle name="Millares 19 2 2 7 2 2" xfId="32273" xr:uid="{00000000-0005-0000-0000-000008080000}"/>
    <cellStyle name="Millares 19 2 2 7 3" xfId="23183" xr:uid="{00000000-0005-0000-0000-000009080000}"/>
    <cellStyle name="Millares 19 2 2 8" xfId="9557" xr:uid="{00000000-0005-0000-0000-00000A080000}"/>
    <cellStyle name="Millares 19 2 2 8 2" xfId="27739" xr:uid="{00000000-0005-0000-0000-00000B080000}"/>
    <cellStyle name="Millares 19 2 2 9" xfId="18648" xr:uid="{00000000-0005-0000-0000-00000C080000}"/>
    <cellStyle name="Millares 19 2 3" xfId="339" xr:uid="{00000000-0005-0000-0000-00000D080000}"/>
    <cellStyle name="Millares 19 2 3 2" xfId="340" xr:uid="{00000000-0005-0000-0000-00000E080000}"/>
    <cellStyle name="Millares 19 2 3 2 2" xfId="1889" xr:uid="{00000000-0005-0000-0000-00000F080000}"/>
    <cellStyle name="Millares 19 2 3 2 2 2" xfId="6497" xr:uid="{00000000-0005-0000-0000-000010080000}"/>
    <cellStyle name="Millares 19 2 3 2 2 2 2" xfId="15597" xr:uid="{00000000-0005-0000-0000-000011080000}"/>
    <cellStyle name="Millares 19 2 3 2 2 2 2 2" xfId="33779" xr:uid="{00000000-0005-0000-0000-000012080000}"/>
    <cellStyle name="Millares 19 2 3 2 2 2 3" xfId="24689" xr:uid="{00000000-0005-0000-0000-000013080000}"/>
    <cellStyle name="Millares 19 2 3 2 2 3" xfId="11061" xr:uid="{00000000-0005-0000-0000-000014080000}"/>
    <cellStyle name="Millares 19 2 3 2 2 3 2" xfId="29243" xr:uid="{00000000-0005-0000-0000-000015080000}"/>
    <cellStyle name="Millares 19 2 3 2 2 4" xfId="20153" xr:uid="{00000000-0005-0000-0000-000016080000}"/>
    <cellStyle name="Millares 19 2 3 2 3" xfId="3356" xr:uid="{00000000-0005-0000-0000-000017080000}"/>
    <cellStyle name="Millares 19 2 3 2 3 2" xfId="7912" xr:uid="{00000000-0005-0000-0000-000018080000}"/>
    <cellStyle name="Millares 19 2 3 2 3 2 2" xfId="17008" xr:uid="{00000000-0005-0000-0000-000019080000}"/>
    <cellStyle name="Millares 19 2 3 2 3 2 2 2" xfId="35190" xr:uid="{00000000-0005-0000-0000-00001A080000}"/>
    <cellStyle name="Millares 19 2 3 2 3 2 3" xfId="26100" xr:uid="{00000000-0005-0000-0000-00001B080000}"/>
    <cellStyle name="Millares 19 2 3 2 3 3" xfId="12468" xr:uid="{00000000-0005-0000-0000-00001C080000}"/>
    <cellStyle name="Millares 19 2 3 2 3 3 2" xfId="30650" xr:uid="{00000000-0005-0000-0000-00001D080000}"/>
    <cellStyle name="Millares 19 2 3 2 3 4" xfId="21560" xr:uid="{00000000-0005-0000-0000-00001E080000}"/>
    <cellStyle name="Millares 19 2 3 2 4" xfId="4997" xr:uid="{00000000-0005-0000-0000-00001F080000}"/>
    <cellStyle name="Millares 19 2 3 2 4 2" xfId="14097" xr:uid="{00000000-0005-0000-0000-000020080000}"/>
    <cellStyle name="Millares 19 2 3 2 4 2 2" xfId="32279" xr:uid="{00000000-0005-0000-0000-000021080000}"/>
    <cellStyle name="Millares 19 2 3 2 4 3" xfId="23189" xr:uid="{00000000-0005-0000-0000-000022080000}"/>
    <cellStyle name="Millares 19 2 3 2 5" xfId="9563" xr:uid="{00000000-0005-0000-0000-000023080000}"/>
    <cellStyle name="Millares 19 2 3 2 5 2" xfId="27745" xr:uid="{00000000-0005-0000-0000-000024080000}"/>
    <cellStyle name="Millares 19 2 3 2 6" xfId="18654" xr:uid="{00000000-0005-0000-0000-000025080000}"/>
    <cellStyle name="Millares 19 2 3 3" xfId="1890" xr:uid="{00000000-0005-0000-0000-000026080000}"/>
    <cellStyle name="Millares 19 2 3 3 2" xfId="6498" xr:uid="{00000000-0005-0000-0000-000027080000}"/>
    <cellStyle name="Millares 19 2 3 3 2 2" xfId="15598" xr:uid="{00000000-0005-0000-0000-000028080000}"/>
    <cellStyle name="Millares 19 2 3 3 2 2 2" xfId="33780" xr:uid="{00000000-0005-0000-0000-000029080000}"/>
    <cellStyle name="Millares 19 2 3 3 2 3" xfId="24690" xr:uid="{00000000-0005-0000-0000-00002A080000}"/>
    <cellStyle name="Millares 19 2 3 3 3" xfId="11062" xr:uid="{00000000-0005-0000-0000-00002B080000}"/>
    <cellStyle name="Millares 19 2 3 3 3 2" xfId="29244" xr:uid="{00000000-0005-0000-0000-00002C080000}"/>
    <cellStyle name="Millares 19 2 3 3 4" xfId="20154" xr:uid="{00000000-0005-0000-0000-00002D080000}"/>
    <cellStyle name="Millares 19 2 3 4" xfId="3355" xr:uid="{00000000-0005-0000-0000-00002E080000}"/>
    <cellStyle name="Millares 19 2 3 4 2" xfId="7911" xr:uid="{00000000-0005-0000-0000-00002F080000}"/>
    <cellStyle name="Millares 19 2 3 4 2 2" xfId="17007" xr:uid="{00000000-0005-0000-0000-000030080000}"/>
    <cellStyle name="Millares 19 2 3 4 2 2 2" xfId="35189" xr:uid="{00000000-0005-0000-0000-000031080000}"/>
    <cellStyle name="Millares 19 2 3 4 2 3" xfId="26099" xr:uid="{00000000-0005-0000-0000-000032080000}"/>
    <cellStyle name="Millares 19 2 3 4 3" xfId="12467" xr:uid="{00000000-0005-0000-0000-000033080000}"/>
    <cellStyle name="Millares 19 2 3 4 3 2" xfId="30649" xr:uid="{00000000-0005-0000-0000-000034080000}"/>
    <cellStyle name="Millares 19 2 3 4 4" xfId="21559" xr:uid="{00000000-0005-0000-0000-000035080000}"/>
    <cellStyle name="Millares 19 2 3 5" xfId="4996" xr:uid="{00000000-0005-0000-0000-000036080000}"/>
    <cellStyle name="Millares 19 2 3 5 2" xfId="14096" xr:uid="{00000000-0005-0000-0000-000037080000}"/>
    <cellStyle name="Millares 19 2 3 5 2 2" xfId="32278" xr:uid="{00000000-0005-0000-0000-000038080000}"/>
    <cellStyle name="Millares 19 2 3 5 3" xfId="23188" xr:uid="{00000000-0005-0000-0000-000039080000}"/>
    <cellStyle name="Millares 19 2 3 6" xfId="9562" xr:uid="{00000000-0005-0000-0000-00003A080000}"/>
    <cellStyle name="Millares 19 2 3 6 2" xfId="27744" xr:uid="{00000000-0005-0000-0000-00003B080000}"/>
    <cellStyle name="Millares 19 2 3 7" xfId="18653" xr:uid="{00000000-0005-0000-0000-00003C080000}"/>
    <cellStyle name="Millares 19 2 4" xfId="341" xr:uid="{00000000-0005-0000-0000-00003D080000}"/>
    <cellStyle name="Millares 19 2 4 2" xfId="1891" xr:uid="{00000000-0005-0000-0000-00003E080000}"/>
    <cellStyle name="Millares 19 2 4 2 2" xfId="6499" xr:uid="{00000000-0005-0000-0000-00003F080000}"/>
    <cellStyle name="Millares 19 2 4 2 2 2" xfId="15599" xr:uid="{00000000-0005-0000-0000-000040080000}"/>
    <cellStyle name="Millares 19 2 4 2 2 2 2" xfId="33781" xr:uid="{00000000-0005-0000-0000-000041080000}"/>
    <cellStyle name="Millares 19 2 4 2 2 3" xfId="24691" xr:uid="{00000000-0005-0000-0000-000042080000}"/>
    <cellStyle name="Millares 19 2 4 2 3" xfId="11063" xr:uid="{00000000-0005-0000-0000-000043080000}"/>
    <cellStyle name="Millares 19 2 4 2 3 2" xfId="29245" xr:uid="{00000000-0005-0000-0000-000044080000}"/>
    <cellStyle name="Millares 19 2 4 2 4" xfId="20155" xr:uid="{00000000-0005-0000-0000-000045080000}"/>
    <cellStyle name="Millares 19 2 4 3" xfId="3357" xr:uid="{00000000-0005-0000-0000-000046080000}"/>
    <cellStyle name="Millares 19 2 4 3 2" xfId="7913" xr:uid="{00000000-0005-0000-0000-000047080000}"/>
    <cellStyle name="Millares 19 2 4 3 2 2" xfId="17009" xr:uid="{00000000-0005-0000-0000-000048080000}"/>
    <cellStyle name="Millares 19 2 4 3 2 2 2" xfId="35191" xr:uid="{00000000-0005-0000-0000-000049080000}"/>
    <cellStyle name="Millares 19 2 4 3 2 3" xfId="26101" xr:uid="{00000000-0005-0000-0000-00004A080000}"/>
    <cellStyle name="Millares 19 2 4 3 3" xfId="12469" xr:uid="{00000000-0005-0000-0000-00004B080000}"/>
    <cellStyle name="Millares 19 2 4 3 3 2" xfId="30651" xr:uid="{00000000-0005-0000-0000-00004C080000}"/>
    <cellStyle name="Millares 19 2 4 3 4" xfId="21561" xr:uid="{00000000-0005-0000-0000-00004D080000}"/>
    <cellStyle name="Millares 19 2 4 4" xfId="4998" xr:uid="{00000000-0005-0000-0000-00004E080000}"/>
    <cellStyle name="Millares 19 2 4 4 2" xfId="14098" xr:uid="{00000000-0005-0000-0000-00004F080000}"/>
    <cellStyle name="Millares 19 2 4 4 2 2" xfId="32280" xr:uid="{00000000-0005-0000-0000-000050080000}"/>
    <cellStyle name="Millares 19 2 4 4 3" xfId="23190" xr:uid="{00000000-0005-0000-0000-000051080000}"/>
    <cellStyle name="Millares 19 2 4 5" xfId="9564" xr:uid="{00000000-0005-0000-0000-000052080000}"/>
    <cellStyle name="Millares 19 2 4 5 2" xfId="27746" xr:uid="{00000000-0005-0000-0000-000053080000}"/>
    <cellStyle name="Millares 19 2 4 6" xfId="18655" xr:uid="{00000000-0005-0000-0000-000054080000}"/>
    <cellStyle name="Millares 19 2 5" xfId="342" xr:uid="{00000000-0005-0000-0000-000055080000}"/>
    <cellStyle name="Millares 19 2 5 2" xfId="3358" xr:uid="{00000000-0005-0000-0000-000056080000}"/>
    <cellStyle name="Millares 19 2 5 2 2" xfId="7914" xr:uid="{00000000-0005-0000-0000-000057080000}"/>
    <cellStyle name="Millares 19 2 5 2 2 2" xfId="17010" xr:uid="{00000000-0005-0000-0000-000058080000}"/>
    <cellStyle name="Millares 19 2 5 2 2 2 2" xfId="35192" xr:uid="{00000000-0005-0000-0000-000059080000}"/>
    <cellStyle name="Millares 19 2 5 2 2 3" xfId="26102" xr:uid="{00000000-0005-0000-0000-00005A080000}"/>
    <cellStyle name="Millares 19 2 5 2 3" xfId="12470" xr:uid="{00000000-0005-0000-0000-00005B080000}"/>
    <cellStyle name="Millares 19 2 5 2 3 2" xfId="30652" xr:uid="{00000000-0005-0000-0000-00005C080000}"/>
    <cellStyle name="Millares 19 2 5 2 4" xfId="21562" xr:uid="{00000000-0005-0000-0000-00005D080000}"/>
    <cellStyle name="Millares 19 2 5 3" xfId="4999" xr:uid="{00000000-0005-0000-0000-00005E080000}"/>
    <cellStyle name="Millares 19 2 5 3 2" xfId="14099" xr:uid="{00000000-0005-0000-0000-00005F080000}"/>
    <cellStyle name="Millares 19 2 5 3 2 2" xfId="32281" xr:uid="{00000000-0005-0000-0000-000060080000}"/>
    <cellStyle name="Millares 19 2 5 3 3" xfId="23191" xr:uid="{00000000-0005-0000-0000-000061080000}"/>
    <cellStyle name="Millares 19 2 5 4" xfId="9565" xr:uid="{00000000-0005-0000-0000-000062080000}"/>
    <cellStyle name="Millares 19 2 5 4 2" xfId="27747" xr:uid="{00000000-0005-0000-0000-000063080000}"/>
    <cellStyle name="Millares 19 2 5 5" xfId="18656" xr:uid="{00000000-0005-0000-0000-000064080000}"/>
    <cellStyle name="Millares 19 2 6" xfId="1892" xr:uid="{00000000-0005-0000-0000-000065080000}"/>
    <cellStyle name="Millares 19 2 6 2" xfId="6500" xr:uid="{00000000-0005-0000-0000-000066080000}"/>
    <cellStyle name="Millares 19 2 6 2 2" xfId="15600" xr:uid="{00000000-0005-0000-0000-000067080000}"/>
    <cellStyle name="Millares 19 2 6 2 2 2" xfId="33782" xr:uid="{00000000-0005-0000-0000-000068080000}"/>
    <cellStyle name="Millares 19 2 6 2 3" xfId="24692" xr:uid="{00000000-0005-0000-0000-000069080000}"/>
    <cellStyle name="Millares 19 2 6 3" xfId="11064" xr:uid="{00000000-0005-0000-0000-00006A080000}"/>
    <cellStyle name="Millares 19 2 6 3 2" xfId="29246" xr:uid="{00000000-0005-0000-0000-00006B080000}"/>
    <cellStyle name="Millares 19 2 6 4" xfId="20156" xr:uid="{00000000-0005-0000-0000-00006C080000}"/>
    <cellStyle name="Millares 19 2 7" xfId="3261" xr:uid="{00000000-0005-0000-0000-00006D080000}"/>
    <cellStyle name="Millares 19 2 7 2" xfId="7821" xr:uid="{00000000-0005-0000-0000-00006E080000}"/>
    <cellStyle name="Millares 19 2 7 2 2" xfId="16917" xr:uid="{00000000-0005-0000-0000-00006F080000}"/>
    <cellStyle name="Millares 19 2 7 2 2 2" xfId="35099" xr:uid="{00000000-0005-0000-0000-000070080000}"/>
    <cellStyle name="Millares 19 2 7 2 3" xfId="26009" xr:uid="{00000000-0005-0000-0000-000071080000}"/>
    <cellStyle name="Millares 19 2 7 3" xfId="12377" xr:uid="{00000000-0005-0000-0000-000072080000}"/>
    <cellStyle name="Millares 19 2 7 3 2" xfId="30559" xr:uid="{00000000-0005-0000-0000-000073080000}"/>
    <cellStyle name="Millares 19 2 7 4" xfId="21469" xr:uid="{00000000-0005-0000-0000-000074080000}"/>
    <cellStyle name="Millares 19 2 8" xfId="4908" xr:uid="{00000000-0005-0000-0000-000075080000}"/>
    <cellStyle name="Millares 19 2 8 2" xfId="14008" xr:uid="{00000000-0005-0000-0000-000076080000}"/>
    <cellStyle name="Millares 19 2 8 2 2" xfId="32190" xr:uid="{00000000-0005-0000-0000-000077080000}"/>
    <cellStyle name="Millares 19 2 8 3" xfId="23100" xr:uid="{00000000-0005-0000-0000-000078080000}"/>
    <cellStyle name="Millares 19 2 9" xfId="9474" xr:uid="{00000000-0005-0000-0000-000079080000}"/>
    <cellStyle name="Millares 19 2 9 2" xfId="27656" xr:uid="{00000000-0005-0000-0000-00007A080000}"/>
    <cellStyle name="Millares 19 3" xfId="3256" xr:uid="{00000000-0005-0000-0000-00007B080000}"/>
    <cellStyle name="Millares 19 3 2" xfId="7816" xr:uid="{00000000-0005-0000-0000-00007C080000}"/>
    <cellStyle name="Millares 19 3 2 2" xfId="16912" xr:uid="{00000000-0005-0000-0000-00007D080000}"/>
    <cellStyle name="Millares 19 3 2 2 2" xfId="35094" xr:uid="{00000000-0005-0000-0000-00007E080000}"/>
    <cellStyle name="Millares 19 3 2 3" xfId="26004" xr:uid="{00000000-0005-0000-0000-00007F080000}"/>
    <cellStyle name="Millares 19 3 3" xfId="12372" xr:uid="{00000000-0005-0000-0000-000080080000}"/>
    <cellStyle name="Millares 19 3 3 2" xfId="30554" xr:uid="{00000000-0005-0000-0000-000081080000}"/>
    <cellStyle name="Millares 19 3 4" xfId="21464" xr:uid="{00000000-0005-0000-0000-000082080000}"/>
    <cellStyle name="Millares 19 4" xfId="4903" xr:uid="{00000000-0005-0000-0000-000083080000}"/>
    <cellStyle name="Millares 19 4 2" xfId="14003" xr:uid="{00000000-0005-0000-0000-000084080000}"/>
    <cellStyle name="Millares 19 4 2 2" xfId="32185" xr:uid="{00000000-0005-0000-0000-000085080000}"/>
    <cellStyle name="Millares 19 4 3" xfId="23095" xr:uid="{00000000-0005-0000-0000-000086080000}"/>
    <cellStyle name="Millares 19 5" xfId="9469" xr:uid="{00000000-0005-0000-0000-000087080000}"/>
    <cellStyle name="Millares 19 5 2" xfId="27651" xr:uid="{00000000-0005-0000-0000-000088080000}"/>
    <cellStyle name="Millares 19 6" xfId="18560" xr:uid="{00000000-0005-0000-0000-000089080000}"/>
    <cellStyle name="Millares 2" xfId="4" xr:uid="{00000000-0005-0000-0000-00008A080000}"/>
    <cellStyle name="Millares 2 10" xfId="4800" xr:uid="{00000000-0005-0000-0000-00008B080000}"/>
    <cellStyle name="Millares 2 11" xfId="4811" xr:uid="{00000000-0005-0000-0000-00008C080000}"/>
    <cellStyle name="Millares 2 11 2" xfId="13911" xr:uid="{00000000-0005-0000-0000-00008D080000}"/>
    <cellStyle name="Millares 2 11 2 2" xfId="32093" xr:uid="{00000000-0005-0000-0000-00008E080000}"/>
    <cellStyle name="Millares 2 11 3" xfId="23003" xr:uid="{00000000-0005-0000-0000-00008F080000}"/>
    <cellStyle name="Millares 2 12" xfId="9377" xr:uid="{00000000-0005-0000-0000-000090080000}"/>
    <cellStyle name="Millares 2 12 2" xfId="27559" xr:uid="{00000000-0005-0000-0000-000091080000}"/>
    <cellStyle name="Millares 2 13" xfId="18468" xr:uid="{00000000-0005-0000-0000-000092080000}"/>
    <cellStyle name="Millares 2 2" xfId="71" xr:uid="{00000000-0005-0000-0000-000093080000}"/>
    <cellStyle name="Millares 2 2 2" xfId="343" xr:uid="{00000000-0005-0000-0000-000094080000}"/>
    <cellStyle name="Millares 2 2 2 2" xfId="3359" xr:uid="{00000000-0005-0000-0000-000095080000}"/>
    <cellStyle name="Millares 2 2 2 2 2" xfId="7915" xr:uid="{00000000-0005-0000-0000-000096080000}"/>
    <cellStyle name="Millares 2 2 2 2 2 2" xfId="17011" xr:uid="{00000000-0005-0000-0000-000097080000}"/>
    <cellStyle name="Millares 2 2 2 2 2 2 2" xfId="35193" xr:uid="{00000000-0005-0000-0000-000098080000}"/>
    <cellStyle name="Millares 2 2 2 2 2 3" xfId="26103" xr:uid="{00000000-0005-0000-0000-000099080000}"/>
    <cellStyle name="Millares 2 2 2 2 3" xfId="12471" xr:uid="{00000000-0005-0000-0000-00009A080000}"/>
    <cellStyle name="Millares 2 2 2 2 3 2" xfId="30653" xr:uid="{00000000-0005-0000-0000-00009B080000}"/>
    <cellStyle name="Millares 2 2 2 2 4" xfId="21563" xr:uid="{00000000-0005-0000-0000-00009C080000}"/>
    <cellStyle name="Millares 2 2 2 3" xfId="5000" xr:uid="{00000000-0005-0000-0000-00009D080000}"/>
    <cellStyle name="Millares 2 2 2 3 2" xfId="14100" xr:uid="{00000000-0005-0000-0000-00009E080000}"/>
    <cellStyle name="Millares 2 2 2 3 2 2" xfId="32282" xr:uid="{00000000-0005-0000-0000-00009F080000}"/>
    <cellStyle name="Millares 2 2 2 3 3" xfId="23192" xr:uid="{00000000-0005-0000-0000-0000A0080000}"/>
    <cellStyle name="Millares 2 2 2 4" xfId="9566" xr:uid="{00000000-0005-0000-0000-0000A1080000}"/>
    <cellStyle name="Millares 2 2 2 4 2" xfId="27748" xr:uid="{00000000-0005-0000-0000-0000A2080000}"/>
    <cellStyle name="Millares 2 2 2 5" xfId="18657" xr:uid="{00000000-0005-0000-0000-0000A3080000}"/>
    <cellStyle name="Millares 2 2 3" xfId="344" xr:uid="{00000000-0005-0000-0000-0000A4080000}"/>
    <cellStyle name="Millares 2 2 3 10" xfId="18658" xr:uid="{00000000-0005-0000-0000-0000A5080000}"/>
    <cellStyle name="Millares 2 2 3 2" xfId="345" xr:uid="{00000000-0005-0000-0000-0000A6080000}"/>
    <cellStyle name="Millares 2 2 3 2 2" xfId="346" xr:uid="{00000000-0005-0000-0000-0000A7080000}"/>
    <cellStyle name="Millares 2 2 3 2 2 2" xfId="347" xr:uid="{00000000-0005-0000-0000-0000A8080000}"/>
    <cellStyle name="Millares 2 2 3 2 2 2 2" xfId="1893" xr:uid="{00000000-0005-0000-0000-0000A9080000}"/>
    <cellStyle name="Millares 2 2 3 2 2 2 2 2" xfId="6501" xr:uid="{00000000-0005-0000-0000-0000AA080000}"/>
    <cellStyle name="Millares 2 2 3 2 2 2 2 2 2" xfId="15601" xr:uid="{00000000-0005-0000-0000-0000AB080000}"/>
    <cellStyle name="Millares 2 2 3 2 2 2 2 2 2 2" xfId="33783" xr:uid="{00000000-0005-0000-0000-0000AC080000}"/>
    <cellStyle name="Millares 2 2 3 2 2 2 2 2 3" xfId="24693" xr:uid="{00000000-0005-0000-0000-0000AD080000}"/>
    <cellStyle name="Millares 2 2 3 2 2 2 2 3" xfId="11065" xr:uid="{00000000-0005-0000-0000-0000AE080000}"/>
    <cellStyle name="Millares 2 2 3 2 2 2 2 3 2" xfId="29247" xr:uid="{00000000-0005-0000-0000-0000AF080000}"/>
    <cellStyle name="Millares 2 2 3 2 2 2 2 4" xfId="20157" xr:uid="{00000000-0005-0000-0000-0000B0080000}"/>
    <cellStyle name="Millares 2 2 3 2 2 2 3" xfId="3363" xr:uid="{00000000-0005-0000-0000-0000B1080000}"/>
    <cellStyle name="Millares 2 2 3 2 2 2 3 2" xfId="7919" xr:uid="{00000000-0005-0000-0000-0000B2080000}"/>
    <cellStyle name="Millares 2 2 3 2 2 2 3 2 2" xfId="17015" xr:uid="{00000000-0005-0000-0000-0000B3080000}"/>
    <cellStyle name="Millares 2 2 3 2 2 2 3 2 2 2" xfId="35197" xr:uid="{00000000-0005-0000-0000-0000B4080000}"/>
    <cellStyle name="Millares 2 2 3 2 2 2 3 2 3" xfId="26107" xr:uid="{00000000-0005-0000-0000-0000B5080000}"/>
    <cellStyle name="Millares 2 2 3 2 2 2 3 3" xfId="12475" xr:uid="{00000000-0005-0000-0000-0000B6080000}"/>
    <cellStyle name="Millares 2 2 3 2 2 2 3 3 2" xfId="30657" xr:uid="{00000000-0005-0000-0000-0000B7080000}"/>
    <cellStyle name="Millares 2 2 3 2 2 2 3 4" xfId="21567" xr:uid="{00000000-0005-0000-0000-0000B8080000}"/>
    <cellStyle name="Millares 2 2 3 2 2 2 4" xfId="5004" xr:uid="{00000000-0005-0000-0000-0000B9080000}"/>
    <cellStyle name="Millares 2 2 3 2 2 2 4 2" xfId="14104" xr:uid="{00000000-0005-0000-0000-0000BA080000}"/>
    <cellStyle name="Millares 2 2 3 2 2 2 4 2 2" xfId="32286" xr:uid="{00000000-0005-0000-0000-0000BB080000}"/>
    <cellStyle name="Millares 2 2 3 2 2 2 4 3" xfId="23196" xr:uid="{00000000-0005-0000-0000-0000BC080000}"/>
    <cellStyle name="Millares 2 2 3 2 2 2 5" xfId="9570" xr:uid="{00000000-0005-0000-0000-0000BD080000}"/>
    <cellStyle name="Millares 2 2 3 2 2 2 5 2" xfId="27752" xr:uid="{00000000-0005-0000-0000-0000BE080000}"/>
    <cellStyle name="Millares 2 2 3 2 2 2 6" xfId="18661" xr:uid="{00000000-0005-0000-0000-0000BF080000}"/>
    <cellStyle name="Millares 2 2 3 2 2 3" xfId="1894" xr:uid="{00000000-0005-0000-0000-0000C0080000}"/>
    <cellStyle name="Millares 2 2 3 2 2 3 2" xfId="6502" xr:uid="{00000000-0005-0000-0000-0000C1080000}"/>
    <cellStyle name="Millares 2 2 3 2 2 3 2 2" xfId="15602" xr:uid="{00000000-0005-0000-0000-0000C2080000}"/>
    <cellStyle name="Millares 2 2 3 2 2 3 2 2 2" xfId="33784" xr:uid="{00000000-0005-0000-0000-0000C3080000}"/>
    <cellStyle name="Millares 2 2 3 2 2 3 2 3" xfId="24694" xr:uid="{00000000-0005-0000-0000-0000C4080000}"/>
    <cellStyle name="Millares 2 2 3 2 2 3 3" xfId="11066" xr:uid="{00000000-0005-0000-0000-0000C5080000}"/>
    <cellStyle name="Millares 2 2 3 2 2 3 3 2" xfId="29248" xr:uid="{00000000-0005-0000-0000-0000C6080000}"/>
    <cellStyle name="Millares 2 2 3 2 2 3 4" xfId="20158" xr:uid="{00000000-0005-0000-0000-0000C7080000}"/>
    <cellStyle name="Millares 2 2 3 2 2 4" xfId="3362" xr:uid="{00000000-0005-0000-0000-0000C8080000}"/>
    <cellStyle name="Millares 2 2 3 2 2 4 2" xfId="7918" xr:uid="{00000000-0005-0000-0000-0000C9080000}"/>
    <cellStyle name="Millares 2 2 3 2 2 4 2 2" xfId="17014" xr:uid="{00000000-0005-0000-0000-0000CA080000}"/>
    <cellStyle name="Millares 2 2 3 2 2 4 2 2 2" xfId="35196" xr:uid="{00000000-0005-0000-0000-0000CB080000}"/>
    <cellStyle name="Millares 2 2 3 2 2 4 2 3" xfId="26106" xr:uid="{00000000-0005-0000-0000-0000CC080000}"/>
    <cellStyle name="Millares 2 2 3 2 2 4 3" xfId="12474" xr:uid="{00000000-0005-0000-0000-0000CD080000}"/>
    <cellStyle name="Millares 2 2 3 2 2 4 3 2" xfId="30656" xr:uid="{00000000-0005-0000-0000-0000CE080000}"/>
    <cellStyle name="Millares 2 2 3 2 2 4 4" xfId="21566" xr:uid="{00000000-0005-0000-0000-0000CF080000}"/>
    <cellStyle name="Millares 2 2 3 2 2 5" xfId="5003" xr:uid="{00000000-0005-0000-0000-0000D0080000}"/>
    <cellStyle name="Millares 2 2 3 2 2 5 2" xfId="14103" xr:uid="{00000000-0005-0000-0000-0000D1080000}"/>
    <cellStyle name="Millares 2 2 3 2 2 5 2 2" xfId="32285" xr:uid="{00000000-0005-0000-0000-0000D2080000}"/>
    <cellStyle name="Millares 2 2 3 2 2 5 3" xfId="23195" xr:uid="{00000000-0005-0000-0000-0000D3080000}"/>
    <cellStyle name="Millares 2 2 3 2 2 6" xfId="9569" xr:uid="{00000000-0005-0000-0000-0000D4080000}"/>
    <cellStyle name="Millares 2 2 3 2 2 6 2" xfId="27751" xr:uid="{00000000-0005-0000-0000-0000D5080000}"/>
    <cellStyle name="Millares 2 2 3 2 2 7" xfId="18660" xr:uid="{00000000-0005-0000-0000-0000D6080000}"/>
    <cellStyle name="Millares 2 2 3 2 3" xfId="348" xr:uid="{00000000-0005-0000-0000-0000D7080000}"/>
    <cellStyle name="Millares 2 2 3 2 3 2" xfId="1895" xr:uid="{00000000-0005-0000-0000-0000D8080000}"/>
    <cellStyle name="Millares 2 2 3 2 3 2 2" xfId="6503" xr:uid="{00000000-0005-0000-0000-0000D9080000}"/>
    <cellStyle name="Millares 2 2 3 2 3 2 2 2" xfId="15603" xr:uid="{00000000-0005-0000-0000-0000DA080000}"/>
    <cellStyle name="Millares 2 2 3 2 3 2 2 2 2" xfId="33785" xr:uid="{00000000-0005-0000-0000-0000DB080000}"/>
    <cellStyle name="Millares 2 2 3 2 3 2 2 3" xfId="24695" xr:uid="{00000000-0005-0000-0000-0000DC080000}"/>
    <cellStyle name="Millares 2 2 3 2 3 2 3" xfId="11067" xr:uid="{00000000-0005-0000-0000-0000DD080000}"/>
    <cellStyle name="Millares 2 2 3 2 3 2 3 2" xfId="29249" xr:uid="{00000000-0005-0000-0000-0000DE080000}"/>
    <cellStyle name="Millares 2 2 3 2 3 2 4" xfId="20159" xr:uid="{00000000-0005-0000-0000-0000DF080000}"/>
    <cellStyle name="Millares 2 2 3 2 3 3" xfId="3364" xr:uid="{00000000-0005-0000-0000-0000E0080000}"/>
    <cellStyle name="Millares 2 2 3 2 3 3 2" xfId="7920" xr:uid="{00000000-0005-0000-0000-0000E1080000}"/>
    <cellStyle name="Millares 2 2 3 2 3 3 2 2" xfId="17016" xr:uid="{00000000-0005-0000-0000-0000E2080000}"/>
    <cellStyle name="Millares 2 2 3 2 3 3 2 2 2" xfId="35198" xr:uid="{00000000-0005-0000-0000-0000E3080000}"/>
    <cellStyle name="Millares 2 2 3 2 3 3 2 3" xfId="26108" xr:uid="{00000000-0005-0000-0000-0000E4080000}"/>
    <cellStyle name="Millares 2 2 3 2 3 3 3" xfId="12476" xr:uid="{00000000-0005-0000-0000-0000E5080000}"/>
    <cellStyle name="Millares 2 2 3 2 3 3 3 2" xfId="30658" xr:uid="{00000000-0005-0000-0000-0000E6080000}"/>
    <cellStyle name="Millares 2 2 3 2 3 3 4" xfId="21568" xr:uid="{00000000-0005-0000-0000-0000E7080000}"/>
    <cellStyle name="Millares 2 2 3 2 3 4" xfId="5005" xr:uid="{00000000-0005-0000-0000-0000E8080000}"/>
    <cellStyle name="Millares 2 2 3 2 3 4 2" xfId="14105" xr:uid="{00000000-0005-0000-0000-0000E9080000}"/>
    <cellStyle name="Millares 2 2 3 2 3 4 2 2" xfId="32287" xr:uid="{00000000-0005-0000-0000-0000EA080000}"/>
    <cellStyle name="Millares 2 2 3 2 3 4 3" xfId="23197" xr:uid="{00000000-0005-0000-0000-0000EB080000}"/>
    <cellStyle name="Millares 2 2 3 2 3 5" xfId="9571" xr:uid="{00000000-0005-0000-0000-0000EC080000}"/>
    <cellStyle name="Millares 2 2 3 2 3 5 2" xfId="27753" xr:uid="{00000000-0005-0000-0000-0000ED080000}"/>
    <cellStyle name="Millares 2 2 3 2 3 6" xfId="18662" xr:uid="{00000000-0005-0000-0000-0000EE080000}"/>
    <cellStyle name="Millares 2 2 3 2 4" xfId="349" xr:uid="{00000000-0005-0000-0000-0000EF080000}"/>
    <cellStyle name="Millares 2 2 3 2 4 2" xfId="3365" xr:uid="{00000000-0005-0000-0000-0000F0080000}"/>
    <cellStyle name="Millares 2 2 3 2 4 2 2" xfId="7921" xr:uid="{00000000-0005-0000-0000-0000F1080000}"/>
    <cellStyle name="Millares 2 2 3 2 4 2 2 2" xfId="17017" xr:uid="{00000000-0005-0000-0000-0000F2080000}"/>
    <cellStyle name="Millares 2 2 3 2 4 2 2 2 2" xfId="35199" xr:uid="{00000000-0005-0000-0000-0000F3080000}"/>
    <cellStyle name="Millares 2 2 3 2 4 2 2 3" xfId="26109" xr:uid="{00000000-0005-0000-0000-0000F4080000}"/>
    <cellStyle name="Millares 2 2 3 2 4 2 3" xfId="12477" xr:uid="{00000000-0005-0000-0000-0000F5080000}"/>
    <cellStyle name="Millares 2 2 3 2 4 2 3 2" xfId="30659" xr:uid="{00000000-0005-0000-0000-0000F6080000}"/>
    <cellStyle name="Millares 2 2 3 2 4 2 4" xfId="21569" xr:uid="{00000000-0005-0000-0000-0000F7080000}"/>
    <cellStyle name="Millares 2 2 3 2 4 3" xfId="5006" xr:uid="{00000000-0005-0000-0000-0000F8080000}"/>
    <cellStyle name="Millares 2 2 3 2 4 3 2" xfId="14106" xr:uid="{00000000-0005-0000-0000-0000F9080000}"/>
    <cellStyle name="Millares 2 2 3 2 4 3 2 2" xfId="32288" xr:uid="{00000000-0005-0000-0000-0000FA080000}"/>
    <cellStyle name="Millares 2 2 3 2 4 3 3" xfId="23198" xr:uid="{00000000-0005-0000-0000-0000FB080000}"/>
    <cellStyle name="Millares 2 2 3 2 4 4" xfId="9572" xr:uid="{00000000-0005-0000-0000-0000FC080000}"/>
    <cellStyle name="Millares 2 2 3 2 4 4 2" xfId="27754" xr:uid="{00000000-0005-0000-0000-0000FD080000}"/>
    <cellStyle name="Millares 2 2 3 2 4 5" xfId="18663" xr:uid="{00000000-0005-0000-0000-0000FE080000}"/>
    <cellStyle name="Millares 2 2 3 2 5" xfId="1896" xr:uid="{00000000-0005-0000-0000-0000FF080000}"/>
    <cellStyle name="Millares 2 2 3 2 6" xfId="3361" xr:uid="{00000000-0005-0000-0000-000000090000}"/>
    <cellStyle name="Millares 2 2 3 2 6 2" xfId="7917" xr:uid="{00000000-0005-0000-0000-000001090000}"/>
    <cellStyle name="Millares 2 2 3 2 6 2 2" xfId="17013" xr:uid="{00000000-0005-0000-0000-000002090000}"/>
    <cellStyle name="Millares 2 2 3 2 6 2 2 2" xfId="35195" xr:uid="{00000000-0005-0000-0000-000003090000}"/>
    <cellStyle name="Millares 2 2 3 2 6 2 3" xfId="26105" xr:uid="{00000000-0005-0000-0000-000004090000}"/>
    <cellStyle name="Millares 2 2 3 2 6 3" xfId="12473" xr:uid="{00000000-0005-0000-0000-000005090000}"/>
    <cellStyle name="Millares 2 2 3 2 6 3 2" xfId="30655" xr:uid="{00000000-0005-0000-0000-000006090000}"/>
    <cellStyle name="Millares 2 2 3 2 6 4" xfId="21565" xr:uid="{00000000-0005-0000-0000-000007090000}"/>
    <cellStyle name="Millares 2 2 3 2 7" xfId="5002" xr:uid="{00000000-0005-0000-0000-000008090000}"/>
    <cellStyle name="Millares 2 2 3 2 7 2" xfId="14102" xr:uid="{00000000-0005-0000-0000-000009090000}"/>
    <cellStyle name="Millares 2 2 3 2 7 2 2" xfId="32284" xr:uid="{00000000-0005-0000-0000-00000A090000}"/>
    <cellStyle name="Millares 2 2 3 2 7 3" xfId="23194" xr:uid="{00000000-0005-0000-0000-00000B090000}"/>
    <cellStyle name="Millares 2 2 3 2 8" xfId="9568" xr:uid="{00000000-0005-0000-0000-00000C090000}"/>
    <cellStyle name="Millares 2 2 3 2 8 2" xfId="27750" xr:uid="{00000000-0005-0000-0000-00000D090000}"/>
    <cellStyle name="Millares 2 2 3 2 9" xfId="18659" xr:uid="{00000000-0005-0000-0000-00000E090000}"/>
    <cellStyle name="Millares 2 2 3 3" xfId="350" xr:uid="{00000000-0005-0000-0000-00000F090000}"/>
    <cellStyle name="Millares 2 2 3 3 2" xfId="351" xr:uid="{00000000-0005-0000-0000-000010090000}"/>
    <cellStyle name="Millares 2 2 3 3 2 2" xfId="1897" xr:uid="{00000000-0005-0000-0000-000011090000}"/>
    <cellStyle name="Millares 2 2 3 3 2 2 2" xfId="6504" xr:uid="{00000000-0005-0000-0000-000012090000}"/>
    <cellStyle name="Millares 2 2 3 3 2 2 2 2" xfId="15604" xr:uid="{00000000-0005-0000-0000-000013090000}"/>
    <cellStyle name="Millares 2 2 3 3 2 2 2 2 2" xfId="33786" xr:uid="{00000000-0005-0000-0000-000014090000}"/>
    <cellStyle name="Millares 2 2 3 3 2 2 2 3" xfId="24696" xr:uid="{00000000-0005-0000-0000-000015090000}"/>
    <cellStyle name="Millares 2 2 3 3 2 2 3" xfId="11068" xr:uid="{00000000-0005-0000-0000-000016090000}"/>
    <cellStyle name="Millares 2 2 3 3 2 2 3 2" xfId="29250" xr:uid="{00000000-0005-0000-0000-000017090000}"/>
    <cellStyle name="Millares 2 2 3 3 2 2 4" xfId="20160" xr:uid="{00000000-0005-0000-0000-000018090000}"/>
    <cellStyle name="Millares 2 2 3 3 2 3" xfId="3367" xr:uid="{00000000-0005-0000-0000-000019090000}"/>
    <cellStyle name="Millares 2 2 3 3 2 3 2" xfId="7923" xr:uid="{00000000-0005-0000-0000-00001A090000}"/>
    <cellStyle name="Millares 2 2 3 3 2 3 2 2" xfId="17019" xr:uid="{00000000-0005-0000-0000-00001B090000}"/>
    <cellStyle name="Millares 2 2 3 3 2 3 2 2 2" xfId="35201" xr:uid="{00000000-0005-0000-0000-00001C090000}"/>
    <cellStyle name="Millares 2 2 3 3 2 3 2 3" xfId="26111" xr:uid="{00000000-0005-0000-0000-00001D090000}"/>
    <cellStyle name="Millares 2 2 3 3 2 3 3" xfId="12479" xr:uid="{00000000-0005-0000-0000-00001E090000}"/>
    <cellStyle name="Millares 2 2 3 3 2 3 3 2" xfId="30661" xr:uid="{00000000-0005-0000-0000-00001F090000}"/>
    <cellStyle name="Millares 2 2 3 3 2 3 4" xfId="21571" xr:uid="{00000000-0005-0000-0000-000020090000}"/>
    <cellStyle name="Millares 2 2 3 3 2 4" xfId="5008" xr:uid="{00000000-0005-0000-0000-000021090000}"/>
    <cellStyle name="Millares 2 2 3 3 2 4 2" xfId="14108" xr:uid="{00000000-0005-0000-0000-000022090000}"/>
    <cellStyle name="Millares 2 2 3 3 2 4 2 2" xfId="32290" xr:uid="{00000000-0005-0000-0000-000023090000}"/>
    <cellStyle name="Millares 2 2 3 3 2 4 3" xfId="23200" xr:uid="{00000000-0005-0000-0000-000024090000}"/>
    <cellStyle name="Millares 2 2 3 3 2 5" xfId="9574" xr:uid="{00000000-0005-0000-0000-000025090000}"/>
    <cellStyle name="Millares 2 2 3 3 2 5 2" xfId="27756" xr:uid="{00000000-0005-0000-0000-000026090000}"/>
    <cellStyle name="Millares 2 2 3 3 2 6" xfId="18665" xr:uid="{00000000-0005-0000-0000-000027090000}"/>
    <cellStyle name="Millares 2 2 3 3 3" xfId="1898" xr:uid="{00000000-0005-0000-0000-000028090000}"/>
    <cellStyle name="Millares 2 2 3 3 3 2" xfId="6505" xr:uid="{00000000-0005-0000-0000-000029090000}"/>
    <cellStyle name="Millares 2 2 3 3 3 2 2" xfId="15605" xr:uid="{00000000-0005-0000-0000-00002A090000}"/>
    <cellStyle name="Millares 2 2 3 3 3 2 2 2" xfId="33787" xr:uid="{00000000-0005-0000-0000-00002B090000}"/>
    <cellStyle name="Millares 2 2 3 3 3 2 3" xfId="24697" xr:uid="{00000000-0005-0000-0000-00002C090000}"/>
    <cellStyle name="Millares 2 2 3 3 3 3" xfId="11069" xr:uid="{00000000-0005-0000-0000-00002D090000}"/>
    <cellStyle name="Millares 2 2 3 3 3 3 2" xfId="29251" xr:uid="{00000000-0005-0000-0000-00002E090000}"/>
    <cellStyle name="Millares 2 2 3 3 3 4" xfId="20161" xr:uid="{00000000-0005-0000-0000-00002F090000}"/>
    <cellStyle name="Millares 2 2 3 3 4" xfId="3366" xr:uid="{00000000-0005-0000-0000-000030090000}"/>
    <cellStyle name="Millares 2 2 3 3 4 2" xfId="7922" xr:uid="{00000000-0005-0000-0000-000031090000}"/>
    <cellStyle name="Millares 2 2 3 3 4 2 2" xfId="17018" xr:uid="{00000000-0005-0000-0000-000032090000}"/>
    <cellStyle name="Millares 2 2 3 3 4 2 2 2" xfId="35200" xr:uid="{00000000-0005-0000-0000-000033090000}"/>
    <cellStyle name="Millares 2 2 3 3 4 2 3" xfId="26110" xr:uid="{00000000-0005-0000-0000-000034090000}"/>
    <cellStyle name="Millares 2 2 3 3 4 3" xfId="12478" xr:uid="{00000000-0005-0000-0000-000035090000}"/>
    <cellStyle name="Millares 2 2 3 3 4 3 2" xfId="30660" xr:uid="{00000000-0005-0000-0000-000036090000}"/>
    <cellStyle name="Millares 2 2 3 3 4 4" xfId="21570" xr:uid="{00000000-0005-0000-0000-000037090000}"/>
    <cellStyle name="Millares 2 2 3 3 5" xfId="5007" xr:uid="{00000000-0005-0000-0000-000038090000}"/>
    <cellStyle name="Millares 2 2 3 3 5 2" xfId="14107" xr:uid="{00000000-0005-0000-0000-000039090000}"/>
    <cellStyle name="Millares 2 2 3 3 5 2 2" xfId="32289" xr:uid="{00000000-0005-0000-0000-00003A090000}"/>
    <cellStyle name="Millares 2 2 3 3 5 3" xfId="23199" xr:uid="{00000000-0005-0000-0000-00003B090000}"/>
    <cellStyle name="Millares 2 2 3 3 6" xfId="9573" xr:uid="{00000000-0005-0000-0000-00003C090000}"/>
    <cellStyle name="Millares 2 2 3 3 6 2" xfId="27755" xr:uid="{00000000-0005-0000-0000-00003D090000}"/>
    <cellStyle name="Millares 2 2 3 3 7" xfId="18664" xr:uid="{00000000-0005-0000-0000-00003E090000}"/>
    <cellStyle name="Millares 2 2 3 4" xfId="352" xr:uid="{00000000-0005-0000-0000-00003F090000}"/>
    <cellStyle name="Millares 2 2 3 4 2" xfId="1899" xr:uid="{00000000-0005-0000-0000-000040090000}"/>
    <cellStyle name="Millares 2 2 3 4 2 2" xfId="6506" xr:uid="{00000000-0005-0000-0000-000041090000}"/>
    <cellStyle name="Millares 2 2 3 4 2 2 2" xfId="15606" xr:uid="{00000000-0005-0000-0000-000042090000}"/>
    <cellStyle name="Millares 2 2 3 4 2 2 2 2" xfId="33788" xr:uid="{00000000-0005-0000-0000-000043090000}"/>
    <cellStyle name="Millares 2 2 3 4 2 2 3" xfId="24698" xr:uid="{00000000-0005-0000-0000-000044090000}"/>
    <cellStyle name="Millares 2 2 3 4 2 3" xfId="11070" xr:uid="{00000000-0005-0000-0000-000045090000}"/>
    <cellStyle name="Millares 2 2 3 4 2 3 2" xfId="29252" xr:uid="{00000000-0005-0000-0000-000046090000}"/>
    <cellStyle name="Millares 2 2 3 4 2 4" xfId="20162" xr:uid="{00000000-0005-0000-0000-000047090000}"/>
    <cellStyle name="Millares 2 2 3 4 3" xfId="3368" xr:uid="{00000000-0005-0000-0000-000048090000}"/>
    <cellStyle name="Millares 2 2 3 4 3 2" xfId="7924" xr:uid="{00000000-0005-0000-0000-000049090000}"/>
    <cellStyle name="Millares 2 2 3 4 3 2 2" xfId="17020" xr:uid="{00000000-0005-0000-0000-00004A090000}"/>
    <cellStyle name="Millares 2 2 3 4 3 2 2 2" xfId="35202" xr:uid="{00000000-0005-0000-0000-00004B090000}"/>
    <cellStyle name="Millares 2 2 3 4 3 2 3" xfId="26112" xr:uid="{00000000-0005-0000-0000-00004C090000}"/>
    <cellStyle name="Millares 2 2 3 4 3 3" xfId="12480" xr:uid="{00000000-0005-0000-0000-00004D090000}"/>
    <cellStyle name="Millares 2 2 3 4 3 3 2" xfId="30662" xr:uid="{00000000-0005-0000-0000-00004E090000}"/>
    <cellStyle name="Millares 2 2 3 4 3 4" xfId="21572" xr:uid="{00000000-0005-0000-0000-00004F090000}"/>
    <cellStyle name="Millares 2 2 3 4 4" xfId="5009" xr:uid="{00000000-0005-0000-0000-000050090000}"/>
    <cellStyle name="Millares 2 2 3 4 4 2" xfId="14109" xr:uid="{00000000-0005-0000-0000-000051090000}"/>
    <cellStyle name="Millares 2 2 3 4 4 2 2" xfId="32291" xr:uid="{00000000-0005-0000-0000-000052090000}"/>
    <cellStyle name="Millares 2 2 3 4 4 3" xfId="23201" xr:uid="{00000000-0005-0000-0000-000053090000}"/>
    <cellStyle name="Millares 2 2 3 4 5" xfId="9575" xr:uid="{00000000-0005-0000-0000-000054090000}"/>
    <cellStyle name="Millares 2 2 3 4 5 2" xfId="27757" xr:uid="{00000000-0005-0000-0000-000055090000}"/>
    <cellStyle name="Millares 2 2 3 4 6" xfId="18666" xr:uid="{00000000-0005-0000-0000-000056090000}"/>
    <cellStyle name="Millares 2 2 3 5" xfId="353" xr:uid="{00000000-0005-0000-0000-000057090000}"/>
    <cellStyle name="Millares 2 2 3 5 2" xfId="3369" xr:uid="{00000000-0005-0000-0000-000058090000}"/>
    <cellStyle name="Millares 2 2 3 5 2 2" xfId="7925" xr:uid="{00000000-0005-0000-0000-000059090000}"/>
    <cellStyle name="Millares 2 2 3 5 2 2 2" xfId="17021" xr:uid="{00000000-0005-0000-0000-00005A090000}"/>
    <cellStyle name="Millares 2 2 3 5 2 2 2 2" xfId="35203" xr:uid="{00000000-0005-0000-0000-00005B090000}"/>
    <cellStyle name="Millares 2 2 3 5 2 2 3" xfId="26113" xr:uid="{00000000-0005-0000-0000-00005C090000}"/>
    <cellStyle name="Millares 2 2 3 5 2 3" xfId="12481" xr:uid="{00000000-0005-0000-0000-00005D090000}"/>
    <cellStyle name="Millares 2 2 3 5 2 3 2" xfId="30663" xr:uid="{00000000-0005-0000-0000-00005E090000}"/>
    <cellStyle name="Millares 2 2 3 5 2 4" xfId="21573" xr:uid="{00000000-0005-0000-0000-00005F090000}"/>
    <cellStyle name="Millares 2 2 3 5 3" xfId="5010" xr:uid="{00000000-0005-0000-0000-000060090000}"/>
    <cellStyle name="Millares 2 2 3 5 3 2" xfId="14110" xr:uid="{00000000-0005-0000-0000-000061090000}"/>
    <cellStyle name="Millares 2 2 3 5 3 2 2" xfId="32292" xr:uid="{00000000-0005-0000-0000-000062090000}"/>
    <cellStyle name="Millares 2 2 3 5 3 3" xfId="23202" xr:uid="{00000000-0005-0000-0000-000063090000}"/>
    <cellStyle name="Millares 2 2 3 5 4" xfId="9576" xr:uid="{00000000-0005-0000-0000-000064090000}"/>
    <cellStyle name="Millares 2 2 3 5 4 2" xfId="27758" xr:uid="{00000000-0005-0000-0000-000065090000}"/>
    <cellStyle name="Millares 2 2 3 5 5" xfId="18667" xr:uid="{00000000-0005-0000-0000-000066090000}"/>
    <cellStyle name="Millares 2 2 3 6" xfId="1900" xr:uid="{00000000-0005-0000-0000-000067090000}"/>
    <cellStyle name="Millares 2 2 3 6 2" xfId="6507" xr:uid="{00000000-0005-0000-0000-000068090000}"/>
    <cellStyle name="Millares 2 2 3 6 2 2" xfId="15607" xr:uid="{00000000-0005-0000-0000-000069090000}"/>
    <cellStyle name="Millares 2 2 3 6 2 2 2" xfId="33789" xr:uid="{00000000-0005-0000-0000-00006A090000}"/>
    <cellStyle name="Millares 2 2 3 6 2 3" xfId="24699" xr:uid="{00000000-0005-0000-0000-00006B090000}"/>
    <cellStyle name="Millares 2 2 3 6 3" xfId="11071" xr:uid="{00000000-0005-0000-0000-00006C090000}"/>
    <cellStyle name="Millares 2 2 3 6 3 2" xfId="29253" xr:uid="{00000000-0005-0000-0000-00006D090000}"/>
    <cellStyle name="Millares 2 2 3 6 4" xfId="20163" xr:uid="{00000000-0005-0000-0000-00006E090000}"/>
    <cellStyle name="Millares 2 2 3 7" xfId="3360" xr:uid="{00000000-0005-0000-0000-00006F090000}"/>
    <cellStyle name="Millares 2 2 3 7 2" xfId="7916" xr:uid="{00000000-0005-0000-0000-000070090000}"/>
    <cellStyle name="Millares 2 2 3 7 2 2" xfId="17012" xr:uid="{00000000-0005-0000-0000-000071090000}"/>
    <cellStyle name="Millares 2 2 3 7 2 2 2" xfId="35194" xr:uid="{00000000-0005-0000-0000-000072090000}"/>
    <cellStyle name="Millares 2 2 3 7 2 3" xfId="26104" xr:uid="{00000000-0005-0000-0000-000073090000}"/>
    <cellStyle name="Millares 2 2 3 7 3" xfId="12472" xr:uid="{00000000-0005-0000-0000-000074090000}"/>
    <cellStyle name="Millares 2 2 3 7 3 2" xfId="30654" xr:uid="{00000000-0005-0000-0000-000075090000}"/>
    <cellStyle name="Millares 2 2 3 7 4" xfId="21564" xr:uid="{00000000-0005-0000-0000-000076090000}"/>
    <cellStyle name="Millares 2 2 3 8" xfId="5001" xr:uid="{00000000-0005-0000-0000-000077090000}"/>
    <cellStyle name="Millares 2 2 3 8 2" xfId="14101" xr:uid="{00000000-0005-0000-0000-000078090000}"/>
    <cellStyle name="Millares 2 2 3 8 2 2" xfId="32283" xr:uid="{00000000-0005-0000-0000-000079090000}"/>
    <cellStyle name="Millares 2 2 3 8 3" xfId="23193" xr:uid="{00000000-0005-0000-0000-00007A090000}"/>
    <cellStyle name="Millares 2 2 3 9" xfId="9567" xr:uid="{00000000-0005-0000-0000-00007B090000}"/>
    <cellStyle name="Millares 2 2 3 9 2" xfId="27749" xr:uid="{00000000-0005-0000-0000-00007C090000}"/>
    <cellStyle name="Millares 2 2 4" xfId="354" xr:uid="{00000000-0005-0000-0000-00007D090000}"/>
    <cellStyle name="Millares 2 2 4 10" xfId="18668" xr:uid="{00000000-0005-0000-0000-00007E090000}"/>
    <cellStyle name="Millares 2 2 4 2" xfId="355" xr:uid="{00000000-0005-0000-0000-00007F090000}"/>
    <cellStyle name="Millares 2 2 4 2 2" xfId="356" xr:uid="{00000000-0005-0000-0000-000080090000}"/>
    <cellStyle name="Millares 2 2 4 2 2 2" xfId="357" xr:uid="{00000000-0005-0000-0000-000081090000}"/>
    <cellStyle name="Millares 2 2 4 2 2 2 2" xfId="1901" xr:uid="{00000000-0005-0000-0000-000082090000}"/>
    <cellStyle name="Millares 2 2 4 2 2 2 2 2" xfId="6508" xr:uid="{00000000-0005-0000-0000-000083090000}"/>
    <cellStyle name="Millares 2 2 4 2 2 2 2 2 2" xfId="15608" xr:uid="{00000000-0005-0000-0000-000084090000}"/>
    <cellStyle name="Millares 2 2 4 2 2 2 2 2 2 2" xfId="33790" xr:uid="{00000000-0005-0000-0000-000085090000}"/>
    <cellStyle name="Millares 2 2 4 2 2 2 2 2 3" xfId="24700" xr:uid="{00000000-0005-0000-0000-000086090000}"/>
    <cellStyle name="Millares 2 2 4 2 2 2 2 3" xfId="11072" xr:uid="{00000000-0005-0000-0000-000087090000}"/>
    <cellStyle name="Millares 2 2 4 2 2 2 2 3 2" xfId="29254" xr:uid="{00000000-0005-0000-0000-000088090000}"/>
    <cellStyle name="Millares 2 2 4 2 2 2 2 4" xfId="20164" xr:uid="{00000000-0005-0000-0000-000089090000}"/>
    <cellStyle name="Millares 2 2 4 2 2 2 3" xfId="3373" xr:uid="{00000000-0005-0000-0000-00008A090000}"/>
    <cellStyle name="Millares 2 2 4 2 2 2 3 2" xfId="7929" xr:uid="{00000000-0005-0000-0000-00008B090000}"/>
    <cellStyle name="Millares 2 2 4 2 2 2 3 2 2" xfId="17025" xr:uid="{00000000-0005-0000-0000-00008C090000}"/>
    <cellStyle name="Millares 2 2 4 2 2 2 3 2 2 2" xfId="35207" xr:uid="{00000000-0005-0000-0000-00008D090000}"/>
    <cellStyle name="Millares 2 2 4 2 2 2 3 2 3" xfId="26117" xr:uid="{00000000-0005-0000-0000-00008E090000}"/>
    <cellStyle name="Millares 2 2 4 2 2 2 3 3" xfId="12485" xr:uid="{00000000-0005-0000-0000-00008F090000}"/>
    <cellStyle name="Millares 2 2 4 2 2 2 3 3 2" xfId="30667" xr:uid="{00000000-0005-0000-0000-000090090000}"/>
    <cellStyle name="Millares 2 2 4 2 2 2 3 4" xfId="21577" xr:uid="{00000000-0005-0000-0000-000091090000}"/>
    <cellStyle name="Millares 2 2 4 2 2 2 4" xfId="5014" xr:uid="{00000000-0005-0000-0000-000092090000}"/>
    <cellStyle name="Millares 2 2 4 2 2 2 4 2" xfId="14114" xr:uid="{00000000-0005-0000-0000-000093090000}"/>
    <cellStyle name="Millares 2 2 4 2 2 2 4 2 2" xfId="32296" xr:uid="{00000000-0005-0000-0000-000094090000}"/>
    <cellStyle name="Millares 2 2 4 2 2 2 4 3" xfId="23206" xr:uid="{00000000-0005-0000-0000-000095090000}"/>
    <cellStyle name="Millares 2 2 4 2 2 2 5" xfId="9580" xr:uid="{00000000-0005-0000-0000-000096090000}"/>
    <cellStyle name="Millares 2 2 4 2 2 2 5 2" xfId="27762" xr:uid="{00000000-0005-0000-0000-000097090000}"/>
    <cellStyle name="Millares 2 2 4 2 2 2 6" xfId="18671" xr:uid="{00000000-0005-0000-0000-000098090000}"/>
    <cellStyle name="Millares 2 2 4 2 2 3" xfId="1902" xr:uid="{00000000-0005-0000-0000-000099090000}"/>
    <cellStyle name="Millares 2 2 4 2 2 3 2" xfId="6509" xr:uid="{00000000-0005-0000-0000-00009A090000}"/>
    <cellStyle name="Millares 2 2 4 2 2 3 2 2" xfId="15609" xr:uid="{00000000-0005-0000-0000-00009B090000}"/>
    <cellStyle name="Millares 2 2 4 2 2 3 2 2 2" xfId="33791" xr:uid="{00000000-0005-0000-0000-00009C090000}"/>
    <cellStyle name="Millares 2 2 4 2 2 3 2 3" xfId="24701" xr:uid="{00000000-0005-0000-0000-00009D090000}"/>
    <cellStyle name="Millares 2 2 4 2 2 3 3" xfId="11073" xr:uid="{00000000-0005-0000-0000-00009E090000}"/>
    <cellStyle name="Millares 2 2 4 2 2 3 3 2" xfId="29255" xr:uid="{00000000-0005-0000-0000-00009F090000}"/>
    <cellStyle name="Millares 2 2 4 2 2 3 4" xfId="20165" xr:uid="{00000000-0005-0000-0000-0000A0090000}"/>
    <cellStyle name="Millares 2 2 4 2 2 4" xfId="3372" xr:uid="{00000000-0005-0000-0000-0000A1090000}"/>
    <cellStyle name="Millares 2 2 4 2 2 4 2" xfId="7928" xr:uid="{00000000-0005-0000-0000-0000A2090000}"/>
    <cellStyle name="Millares 2 2 4 2 2 4 2 2" xfId="17024" xr:uid="{00000000-0005-0000-0000-0000A3090000}"/>
    <cellStyle name="Millares 2 2 4 2 2 4 2 2 2" xfId="35206" xr:uid="{00000000-0005-0000-0000-0000A4090000}"/>
    <cellStyle name="Millares 2 2 4 2 2 4 2 3" xfId="26116" xr:uid="{00000000-0005-0000-0000-0000A5090000}"/>
    <cellStyle name="Millares 2 2 4 2 2 4 3" xfId="12484" xr:uid="{00000000-0005-0000-0000-0000A6090000}"/>
    <cellStyle name="Millares 2 2 4 2 2 4 3 2" xfId="30666" xr:uid="{00000000-0005-0000-0000-0000A7090000}"/>
    <cellStyle name="Millares 2 2 4 2 2 4 4" xfId="21576" xr:uid="{00000000-0005-0000-0000-0000A8090000}"/>
    <cellStyle name="Millares 2 2 4 2 2 5" xfId="5013" xr:uid="{00000000-0005-0000-0000-0000A9090000}"/>
    <cellStyle name="Millares 2 2 4 2 2 5 2" xfId="14113" xr:uid="{00000000-0005-0000-0000-0000AA090000}"/>
    <cellStyle name="Millares 2 2 4 2 2 5 2 2" xfId="32295" xr:uid="{00000000-0005-0000-0000-0000AB090000}"/>
    <cellStyle name="Millares 2 2 4 2 2 5 3" xfId="23205" xr:uid="{00000000-0005-0000-0000-0000AC090000}"/>
    <cellStyle name="Millares 2 2 4 2 2 6" xfId="9579" xr:uid="{00000000-0005-0000-0000-0000AD090000}"/>
    <cellStyle name="Millares 2 2 4 2 2 6 2" xfId="27761" xr:uid="{00000000-0005-0000-0000-0000AE090000}"/>
    <cellStyle name="Millares 2 2 4 2 2 7" xfId="18670" xr:uid="{00000000-0005-0000-0000-0000AF090000}"/>
    <cellStyle name="Millares 2 2 4 2 3" xfId="358" xr:uid="{00000000-0005-0000-0000-0000B0090000}"/>
    <cellStyle name="Millares 2 2 4 2 3 2" xfId="1903" xr:uid="{00000000-0005-0000-0000-0000B1090000}"/>
    <cellStyle name="Millares 2 2 4 2 3 2 2" xfId="6510" xr:uid="{00000000-0005-0000-0000-0000B2090000}"/>
    <cellStyle name="Millares 2 2 4 2 3 2 2 2" xfId="15610" xr:uid="{00000000-0005-0000-0000-0000B3090000}"/>
    <cellStyle name="Millares 2 2 4 2 3 2 2 2 2" xfId="33792" xr:uid="{00000000-0005-0000-0000-0000B4090000}"/>
    <cellStyle name="Millares 2 2 4 2 3 2 2 3" xfId="24702" xr:uid="{00000000-0005-0000-0000-0000B5090000}"/>
    <cellStyle name="Millares 2 2 4 2 3 2 3" xfId="11074" xr:uid="{00000000-0005-0000-0000-0000B6090000}"/>
    <cellStyle name="Millares 2 2 4 2 3 2 3 2" xfId="29256" xr:uid="{00000000-0005-0000-0000-0000B7090000}"/>
    <cellStyle name="Millares 2 2 4 2 3 2 4" xfId="20166" xr:uid="{00000000-0005-0000-0000-0000B8090000}"/>
    <cellStyle name="Millares 2 2 4 2 3 3" xfId="3374" xr:uid="{00000000-0005-0000-0000-0000B9090000}"/>
    <cellStyle name="Millares 2 2 4 2 3 3 2" xfId="7930" xr:uid="{00000000-0005-0000-0000-0000BA090000}"/>
    <cellStyle name="Millares 2 2 4 2 3 3 2 2" xfId="17026" xr:uid="{00000000-0005-0000-0000-0000BB090000}"/>
    <cellStyle name="Millares 2 2 4 2 3 3 2 2 2" xfId="35208" xr:uid="{00000000-0005-0000-0000-0000BC090000}"/>
    <cellStyle name="Millares 2 2 4 2 3 3 2 3" xfId="26118" xr:uid="{00000000-0005-0000-0000-0000BD090000}"/>
    <cellStyle name="Millares 2 2 4 2 3 3 3" xfId="12486" xr:uid="{00000000-0005-0000-0000-0000BE090000}"/>
    <cellStyle name="Millares 2 2 4 2 3 3 3 2" xfId="30668" xr:uid="{00000000-0005-0000-0000-0000BF090000}"/>
    <cellStyle name="Millares 2 2 4 2 3 3 4" xfId="21578" xr:uid="{00000000-0005-0000-0000-0000C0090000}"/>
    <cellStyle name="Millares 2 2 4 2 3 4" xfId="5015" xr:uid="{00000000-0005-0000-0000-0000C1090000}"/>
    <cellStyle name="Millares 2 2 4 2 3 4 2" xfId="14115" xr:uid="{00000000-0005-0000-0000-0000C2090000}"/>
    <cellStyle name="Millares 2 2 4 2 3 4 2 2" xfId="32297" xr:uid="{00000000-0005-0000-0000-0000C3090000}"/>
    <cellStyle name="Millares 2 2 4 2 3 4 3" xfId="23207" xr:uid="{00000000-0005-0000-0000-0000C4090000}"/>
    <cellStyle name="Millares 2 2 4 2 3 5" xfId="9581" xr:uid="{00000000-0005-0000-0000-0000C5090000}"/>
    <cellStyle name="Millares 2 2 4 2 3 5 2" xfId="27763" xr:uid="{00000000-0005-0000-0000-0000C6090000}"/>
    <cellStyle name="Millares 2 2 4 2 3 6" xfId="18672" xr:uid="{00000000-0005-0000-0000-0000C7090000}"/>
    <cellStyle name="Millares 2 2 4 2 4" xfId="359" xr:uid="{00000000-0005-0000-0000-0000C8090000}"/>
    <cellStyle name="Millares 2 2 4 2 4 2" xfId="3375" xr:uid="{00000000-0005-0000-0000-0000C9090000}"/>
    <cellStyle name="Millares 2 2 4 2 4 2 2" xfId="7931" xr:uid="{00000000-0005-0000-0000-0000CA090000}"/>
    <cellStyle name="Millares 2 2 4 2 4 2 2 2" xfId="17027" xr:uid="{00000000-0005-0000-0000-0000CB090000}"/>
    <cellStyle name="Millares 2 2 4 2 4 2 2 2 2" xfId="35209" xr:uid="{00000000-0005-0000-0000-0000CC090000}"/>
    <cellStyle name="Millares 2 2 4 2 4 2 2 3" xfId="26119" xr:uid="{00000000-0005-0000-0000-0000CD090000}"/>
    <cellStyle name="Millares 2 2 4 2 4 2 3" xfId="12487" xr:uid="{00000000-0005-0000-0000-0000CE090000}"/>
    <cellStyle name="Millares 2 2 4 2 4 2 3 2" xfId="30669" xr:uid="{00000000-0005-0000-0000-0000CF090000}"/>
    <cellStyle name="Millares 2 2 4 2 4 2 4" xfId="21579" xr:uid="{00000000-0005-0000-0000-0000D0090000}"/>
    <cellStyle name="Millares 2 2 4 2 4 3" xfId="5016" xr:uid="{00000000-0005-0000-0000-0000D1090000}"/>
    <cellStyle name="Millares 2 2 4 2 4 3 2" xfId="14116" xr:uid="{00000000-0005-0000-0000-0000D2090000}"/>
    <cellStyle name="Millares 2 2 4 2 4 3 2 2" xfId="32298" xr:uid="{00000000-0005-0000-0000-0000D3090000}"/>
    <cellStyle name="Millares 2 2 4 2 4 3 3" xfId="23208" xr:uid="{00000000-0005-0000-0000-0000D4090000}"/>
    <cellStyle name="Millares 2 2 4 2 4 4" xfId="9582" xr:uid="{00000000-0005-0000-0000-0000D5090000}"/>
    <cellStyle name="Millares 2 2 4 2 4 4 2" xfId="27764" xr:uid="{00000000-0005-0000-0000-0000D6090000}"/>
    <cellStyle name="Millares 2 2 4 2 4 5" xfId="18673" xr:uid="{00000000-0005-0000-0000-0000D7090000}"/>
    <cellStyle name="Millares 2 2 4 2 5" xfId="1904" xr:uid="{00000000-0005-0000-0000-0000D8090000}"/>
    <cellStyle name="Millares 2 2 4 2 6" xfId="3371" xr:uid="{00000000-0005-0000-0000-0000D9090000}"/>
    <cellStyle name="Millares 2 2 4 2 6 2" xfId="7927" xr:uid="{00000000-0005-0000-0000-0000DA090000}"/>
    <cellStyle name="Millares 2 2 4 2 6 2 2" xfId="17023" xr:uid="{00000000-0005-0000-0000-0000DB090000}"/>
    <cellStyle name="Millares 2 2 4 2 6 2 2 2" xfId="35205" xr:uid="{00000000-0005-0000-0000-0000DC090000}"/>
    <cellStyle name="Millares 2 2 4 2 6 2 3" xfId="26115" xr:uid="{00000000-0005-0000-0000-0000DD090000}"/>
    <cellStyle name="Millares 2 2 4 2 6 3" xfId="12483" xr:uid="{00000000-0005-0000-0000-0000DE090000}"/>
    <cellStyle name="Millares 2 2 4 2 6 3 2" xfId="30665" xr:uid="{00000000-0005-0000-0000-0000DF090000}"/>
    <cellStyle name="Millares 2 2 4 2 6 4" xfId="21575" xr:uid="{00000000-0005-0000-0000-0000E0090000}"/>
    <cellStyle name="Millares 2 2 4 2 7" xfId="5012" xr:uid="{00000000-0005-0000-0000-0000E1090000}"/>
    <cellStyle name="Millares 2 2 4 2 7 2" xfId="14112" xr:uid="{00000000-0005-0000-0000-0000E2090000}"/>
    <cellStyle name="Millares 2 2 4 2 7 2 2" xfId="32294" xr:uid="{00000000-0005-0000-0000-0000E3090000}"/>
    <cellStyle name="Millares 2 2 4 2 7 3" xfId="23204" xr:uid="{00000000-0005-0000-0000-0000E4090000}"/>
    <cellStyle name="Millares 2 2 4 2 8" xfId="9578" xr:uid="{00000000-0005-0000-0000-0000E5090000}"/>
    <cellStyle name="Millares 2 2 4 2 8 2" xfId="27760" xr:uid="{00000000-0005-0000-0000-0000E6090000}"/>
    <cellStyle name="Millares 2 2 4 2 9" xfId="18669" xr:uid="{00000000-0005-0000-0000-0000E7090000}"/>
    <cellStyle name="Millares 2 2 4 3" xfId="360" xr:uid="{00000000-0005-0000-0000-0000E8090000}"/>
    <cellStyle name="Millares 2 2 4 3 2" xfId="361" xr:uid="{00000000-0005-0000-0000-0000E9090000}"/>
    <cellStyle name="Millares 2 2 4 3 2 2" xfId="1905" xr:uid="{00000000-0005-0000-0000-0000EA090000}"/>
    <cellStyle name="Millares 2 2 4 3 2 2 2" xfId="6511" xr:uid="{00000000-0005-0000-0000-0000EB090000}"/>
    <cellStyle name="Millares 2 2 4 3 2 2 2 2" xfId="15611" xr:uid="{00000000-0005-0000-0000-0000EC090000}"/>
    <cellStyle name="Millares 2 2 4 3 2 2 2 2 2" xfId="33793" xr:uid="{00000000-0005-0000-0000-0000ED090000}"/>
    <cellStyle name="Millares 2 2 4 3 2 2 2 3" xfId="24703" xr:uid="{00000000-0005-0000-0000-0000EE090000}"/>
    <cellStyle name="Millares 2 2 4 3 2 2 3" xfId="11075" xr:uid="{00000000-0005-0000-0000-0000EF090000}"/>
    <cellStyle name="Millares 2 2 4 3 2 2 3 2" xfId="29257" xr:uid="{00000000-0005-0000-0000-0000F0090000}"/>
    <cellStyle name="Millares 2 2 4 3 2 2 4" xfId="20167" xr:uid="{00000000-0005-0000-0000-0000F1090000}"/>
    <cellStyle name="Millares 2 2 4 3 2 3" xfId="3377" xr:uid="{00000000-0005-0000-0000-0000F2090000}"/>
    <cellStyle name="Millares 2 2 4 3 2 3 2" xfId="7933" xr:uid="{00000000-0005-0000-0000-0000F3090000}"/>
    <cellStyle name="Millares 2 2 4 3 2 3 2 2" xfId="17029" xr:uid="{00000000-0005-0000-0000-0000F4090000}"/>
    <cellStyle name="Millares 2 2 4 3 2 3 2 2 2" xfId="35211" xr:uid="{00000000-0005-0000-0000-0000F5090000}"/>
    <cellStyle name="Millares 2 2 4 3 2 3 2 3" xfId="26121" xr:uid="{00000000-0005-0000-0000-0000F6090000}"/>
    <cellStyle name="Millares 2 2 4 3 2 3 3" xfId="12489" xr:uid="{00000000-0005-0000-0000-0000F7090000}"/>
    <cellStyle name="Millares 2 2 4 3 2 3 3 2" xfId="30671" xr:uid="{00000000-0005-0000-0000-0000F8090000}"/>
    <cellStyle name="Millares 2 2 4 3 2 3 4" xfId="21581" xr:uid="{00000000-0005-0000-0000-0000F9090000}"/>
    <cellStyle name="Millares 2 2 4 3 2 4" xfId="5018" xr:uid="{00000000-0005-0000-0000-0000FA090000}"/>
    <cellStyle name="Millares 2 2 4 3 2 4 2" xfId="14118" xr:uid="{00000000-0005-0000-0000-0000FB090000}"/>
    <cellStyle name="Millares 2 2 4 3 2 4 2 2" xfId="32300" xr:uid="{00000000-0005-0000-0000-0000FC090000}"/>
    <cellStyle name="Millares 2 2 4 3 2 4 3" xfId="23210" xr:uid="{00000000-0005-0000-0000-0000FD090000}"/>
    <cellStyle name="Millares 2 2 4 3 2 5" xfId="9584" xr:uid="{00000000-0005-0000-0000-0000FE090000}"/>
    <cellStyle name="Millares 2 2 4 3 2 5 2" xfId="27766" xr:uid="{00000000-0005-0000-0000-0000FF090000}"/>
    <cellStyle name="Millares 2 2 4 3 2 6" xfId="18675" xr:uid="{00000000-0005-0000-0000-0000000A0000}"/>
    <cellStyle name="Millares 2 2 4 3 3" xfId="1906" xr:uid="{00000000-0005-0000-0000-0000010A0000}"/>
    <cellStyle name="Millares 2 2 4 3 3 2" xfId="6512" xr:uid="{00000000-0005-0000-0000-0000020A0000}"/>
    <cellStyle name="Millares 2 2 4 3 3 2 2" xfId="15612" xr:uid="{00000000-0005-0000-0000-0000030A0000}"/>
    <cellStyle name="Millares 2 2 4 3 3 2 2 2" xfId="33794" xr:uid="{00000000-0005-0000-0000-0000040A0000}"/>
    <cellStyle name="Millares 2 2 4 3 3 2 3" xfId="24704" xr:uid="{00000000-0005-0000-0000-0000050A0000}"/>
    <cellStyle name="Millares 2 2 4 3 3 3" xfId="11076" xr:uid="{00000000-0005-0000-0000-0000060A0000}"/>
    <cellStyle name="Millares 2 2 4 3 3 3 2" xfId="29258" xr:uid="{00000000-0005-0000-0000-0000070A0000}"/>
    <cellStyle name="Millares 2 2 4 3 3 4" xfId="20168" xr:uid="{00000000-0005-0000-0000-0000080A0000}"/>
    <cellStyle name="Millares 2 2 4 3 4" xfId="3376" xr:uid="{00000000-0005-0000-0000-0000090A0000}"/>
    <cellStyle name="Millares 2 2 4 3 4 2" xfId="7932" xr:uid="{00000000-0005-0000-0000-00000A0A0000}"/>
    <cellStyle name="Millares 2 2 4 3 4 2 2" xfId="17028" xr:uid="{00000000-0005-0000-0000-00000B0A0000}"/>
    <cellStyle name="Millares 2 2 4 3 4 2 2 2" xfId="35210" xr:uid="{00000000-0005-0000-0000-00000C0A0000}"/>
    <cellStyle name="Millares 2 2 4 3 4 2 3" xfId="26120" xr:uid="{00000000-0005-0000-0000-00000D0A0000}"/>
    <cellStyle name="Millares 2 2 4 3 4 3" xfId="12488" xr:uid="{00000000-0005-0000-0000-00000E0A0000}"/>
    <cellStyle name="Millares 2 2 4 3 4 3 2" xfId="30670" xr:uid="{00000000-0005-0000-0000-00000F0A0000}"/>
    <cellStyle name="Millares 2 2 4 3 4 4" xfId="21580" xr:uid="{00000000-0005-0000-0000-0000100A0000}"/>
    <cellStyle name="Millares 2 2 4 3 5" xfId="5017" xr:uid="{00000000-0005-0000-0000-0000110A0000}"/>
    <cellStyle name="Millares 2 2 4 3 5 2" xfId="14117" xr:uid="{00000000-0005-0000-0000-0000120A0000}"/>
    <cellStyle name="Millares 2 2 4 3 5 2 2" xfId="32299" xr:uid="{00000000-0005-0000-0000-0000130A0000}"/>
    <cellStyle name="Millares 2 2 4 3 5 3" xfId="23209" xr:uid="{00000000-0005-0000-0000-0000140A0000}"/>
    <cellStyle name="Millares 2 2 4 3 6" xfId="9583" xr:uid="{00000000-0005-0000-0000-0000150A0000}"/>
    <cellStyle name="Millares 2 2 4 3 6 2" xfId="27765" xr:uid="{00000000-0005-0000-0000-0000160A0000}"/>
    <cellStyle name="Millares 2 2 4 3 7" xfId="18674" xr:uid="{00000000-0005-0000-0000-0000170A0000}"/>
    <cellStyle name="Millares 2 2 4 4" xfId="362" xr:uid="{00000000-0005-0000-0000-0000180A0000}"/>
    <cellStyle name="Millares 2 2 4 4 2" xfId="1907" xr:uid="{00000000-0005-0000-0000-0000190A0000}"/>
    <cellStyle name="Millares 2 2 4 4 2 2" xfId="6513" xr:uid="{00000000-0005-0000-0000-00001A0A0000}"/>
    <cellStyle name="Millares 2 2 4 4 2 2 2" xfId="15613" xr:uid="{00000000-0005-0000-0000-00001B0A0000}"/>
    <cellStyle name="Millares 2 2 4 4 2 2 2 2" xfId="33795" xr:uid="{00000000-0005-0000-0000-00001C0A0000}"/>
    <cellStyle name="Millares 2 2 4 4 2 2 3" xfId="24705" xr:uid="{00000000-0005-0000-0000-00001D0A0000}"/>
    <cellStyle name="Millares 2 2 4 4 2 3" xfId="11077" xr:uid="{00000000-0005-0000-0000-00001E0A0000}"/>
    <cellStyle name="Millares 2 2 4 4 2 3 2" xfId="29259" xr:uid="{00000000-0005-0000-0000-00001F0A0000}"/>
    <cellStyle name="Millares 2 2 4 4 2 4" xfId="20169" xr:uid="{00000000-0005-0000-0000-0000200A0000}"/>
    <cellStyle name="Millares 2 2 4 4 3" xfId="3378" xr:uid="{00000000-0005-0000-0000-0000210A0000}"/>
    <cellStyle name="Millares 2 2 4 4 3 2" xfId="7934" xr:uid="{00000000-0005-0000-0000-0000220A0000}"/>
    <cellStyle name="Millares 2 2 4 4 3 2 2" xfId="17030" xr:uid="{00000000-0005-0000-0000-0000230A0000}"/>
    <cellStyle name="Millares 2 2 4 4 3 2 2 2" xfId="35212" xr:uid="{00000000-0005-0000-0000-0000240A0000}"/>
    <cellStyle name="Millares 2 2 4 4 3 2 3" xfId="26122" xr:uid="{00000000-0005-0000-0000-0000250A0000}"/>
    <cellStyle name="Millares 2 2 4 4 3 3" xfId="12490" xr:uid="{00000000-0005-0000-0000-0000260A0000}"/>
    <cellStyle name="Millares 2 2 4 4 3 3 2" xfId="30672" xr:uid="{00000000-0005-0000-0000-0000270A0000}"/>
    <cellStyle name="Millares 2 2 4 4 3 4" xfId="21582" xr:uid="{00000000-0005-0000-0000-0000280A0000}"/>
    <cellStyle name="Millares 2 2 4 4 4" xfId="5019" xr:uid="{00000000-0005-0000-0000-0000290A0000}"/>
    <cellStyle name="Millares 2 2 4 4 4 2" xfId="14119" xr:uid="{00000000-0005-0000-0000-00002A0A0000}"/>
    <cellStyle name="Millares 2 2 4 4 4 2 2" xfId="32301" xr:uid="{00000000-0005-0000-0000-00002B0A0000}"/>
    <cellStyle name="Millares 2 2 4 4 4 3" xfId="23211" xr:uid="{00000000-0005-0000-0000-00002C0A0000}"/>
    <cellStyle name="Millares 2 2 4 4 5" xfId="9585" xr:uid="{00000000-0005-0000-0000-00002D0A0000}"/>
    <cellStyle name="Millares 2 2 4 4 5 2" xfId="27767" xr:uid="{00000000-0005-0000-0000-00002E0A0000}"/>
    <cellStyle name="Millares 2 2 4 4 6" xfId="18676" xr:uid="{00000000-0005-0000-0000-00002F0A0000}"/>
    <cellStyle name="Millares 2 2 4 5" xfId="363" xr:uid="{00000000-0005-0000-0000-0000300A0000}"/>
    <cellStyle name="Millares 2 2 4 5 2" xfId="3379" xr:uid="{00000000-0005-0000-0000-0000310A0000}"/>
    <cellStyle name="Millares 2 2 4 5 2 2" xfId="7935" xr:uid="{00000000-0005-0000-0000-0000320A0000}"/>
    <cellStyle name="Millares 2 2 4 5 2 2 2" xfId="17031" xr:uid="{00000000-0005-0000-0000-0000330A0000}"/>
    <cellStyle name="Millares 2 2 4 5 2 2 2 2" xfId="35213" xr:uid="{00000000-0005-0000-0000-0000340A0000}"/>
    <cellStyle name="Millares 2 2 4 5 2 2 3" xfId="26123" xr:uid="{00000000-0005-0000-0000-0000350A0000}"/>
    <cellStyle name="Millares 2 2 4 5 2 3" xfId="12491" xr:uid="{00000000-0005-0000-0000-0000360A0000}"/>
    <cellStyle name="Millares 2 2 4 5 2 3 2" xfId="30673" xr:uid="{00000000-0005-0000-0000-0000370A0000}"/>
    <cellStyle name="Millares 2 2 4 5 2 4" xfId="21583" xr:uid="{00000000-0005-0000-0000-0000380A0000}"/>
    <cellStyle name="Millares 2 2 4 5 3" xfId="5020" xr:uid="{00000000-0005-0000-0000-0000390A0000}"/>
    <cellStyle name="Millares 2 2 4 5 3 2" xfId="14120" xr:uid="{00000000-0005-0000-0000-00003A0A0000}"/>
    <cellStyle name="Millares 2 2 4 5 3 2 2" xfId="32302" xr:uid="{00000000-0005-0000-0000-00003B0A0000}"/>
    <cellStyle name="Millares 2 2 4 5 3 3" xfId="23212" xr:uid="{00000000-0005-0000-0000-00003C0A0000}"/>
    <cellStyle name="Millares 2 2 4 5 4" xfId="9586" xr:uid="{00000000-0005-0000-0000-00003D0A0000}"/>
    <cellStyle name="Millares 2 2 4 5 4 2" xfId="27768" xr:uid="{00000000-0005-0000-0000-00003E0A0000}"/>
    <cellStyle name="Millares 2 2 4 5 5" xfId="18677" xr:uid="{00000000-0005-0000-0000-00003F0A0000}"/>
    <cellStyle name="Millares 2 2 4 6" xfId="1908" xr:uid="{00000000-0005-0000-0000-0000400A0000}"/>
    <cellStyle name="Millares 2 2 4 6 2" xfId="6514" xr:uid="{00000000-0005-0000-0000-0000410A0000}"/>
    <cellStyle name="Millares 2 2 4 6 2 2" xfId="15614" xr:uid="{00000000-0005-0000-0000-0000420A0000}"/>
    <cellStyle name="Millares 2 2 4 6 2 2 2" xfId="33796" xr:uid="{00000000-0005-0000-0000-0000430A0000}"/>
    <cellStyle name="Millares 2 2 4 6 2 3" xfId="24706" xr:uid="{00000000-0005-0000-0000-0000440A0000}"/>
    <cellStyle name="Millares 2 2 4 6 3" xfId="11078" xr:uid="{00000000-0005-0000-0000-0000450A0000}"/>
    <cellStyle name="Millares 2 2 4 6 3 2" xfId="29260" xr:uid="{00000000-0005-0000-0000-0000460A0000}"/>
    <cellStyle name="Millares 2 2 4 6 4" xfId="20170" xr:uid="{00000000-0005-0000-0000-0000470A0000}"/>
    <cellStyle name="Millares 2 2 4 7" xfId="3370" xr:uid="{00000000-0005-0000-0000-0000480A0000}"/>
    <cellStyle name="Millares 2 2 4 7 2" xfId="7926" xr:uid="{00000000-0005-0000-0000-0000490A0000}"/>
    <cellStyle name="Millares 2 2 4 7 2 2" xfId="17022" xr:uid="{00000000-0005-0000-0000-00004A0A0000}"/>
    <cellStyle name="Millares 2 2 4 7 2 2 2" xfId="35204" xr:uid="{00000000-0005-0000-0000-00004B0A0000}"/>
    <cellStyle name="Millares 2 2 4 7 2 3" xfId="26114" xr:uid="{00000000-0005-0000-0000-00004C0A0000}"/>
    <cellStyle name="Millares 2 2 4 7 3" xfId="12482" xr:uid="{00000000-0005-0000-0000-00004D0A0000}"/>
    <cellStyle name="Millares 2 2 4 7 3 2" xfId="30664" xr:uid="{00000000-0005-0000-0000-00004E0A0000}"/>
    <cellStyle name="Millares 2 2 4 7 4" xfId="21574" xr:uid="{00000000-0005-0000-0000-00004F0A0000}"/>
    <cellStyle name="Millares 2 2 4 8" xfId="5011" xr:uid="{00000000-0005-0000-0000-0000500A0000}"/>
    <cellStyle name="Millares 2 2 4 8 2" xfId="14111" xr:uid="{00000000-0005-0000-0000-0000510A0000}"/>
    <cellStyle name="Millares 2 2 4 8 2 2" xfId="32293" xr:uid="{00000000-0005-0000-0000-0000520A0000}"/>
    <cellStyle name="Millares 2 2 4 8 3" xfId="23203" xr:uid="{00000000-0005-0000-0000-0000530A0000}"/>
    <cellStyle name="Millares 2 2 4 9" xfId="9577" xr:uid="{00000000-0005-0000-0000-0000540A0000}"/>
    <cellStyle name="Millares 2 2 4 9 2" xfId="27759" xr:uid="{00000000-0005-0000-0000-0000550A0000}"/>
    <cellStyle name="Millares 2 2 5" xfId="3184" xr:uid="{00000000-0005-0000-0000-0000560A0000}"/>
    <cellStyle name="Millares 2 2 5 2" xfId="7744" xr:uid="{00000000-0005-0000-0000-0000570A0000}"/>
    <cellStyle name="Millares 2 2 5 2 2" xfId="16840" xr:uid="{00000000-0005-0000-0000-0000580A0000}"/>
    <cellStyle name="Millares 2 2 5 2 2 2" xfId="35022" xr:uid="{00000000-0005-0000-0000-0000590A0000}"/>
    <cellStyle name="Millares 2 2 5 2 3" xfId="25932" xr:uid="{00000000-0005-0000-0000-00005A0A0000}"/>
    <cellStyle name="Millares 2 2 5 3" xfId="12300" xr:uid="{00000000-0005-0000-0000-00005B0A0000}"/>
    <cellStyle name="Millares 2 2 5 3 2" xfId="30482" xr:uid="{00000000-0005-0000-0000-00005C0A0000}"/>
    <cellStyle name="Millares 2 2 5 4" xfId="21392" xr:uid="{00000000-0005-0000-0000-00005D0A0000}"/>
    <cellStyle name="Millares 2 2 6" xfId="4834" xr:uid="{00000000-0005-0000-0000-00005E0A0000}"/>
    <cellStyle name="Millares 2 2 6 2" xfId="13934" xr:uid="{00000000-0005-0000-0000-00005F0A0000}"/>
    <cellStyle name="Millares 2 2 6 2 2" xfId="32116" xr:uid="{00000000-0005-0000-0000-0000600A0000}"/>
    <cellStyle name="Millares 2 2 6 3" xfId="23026" xr:uid="{00000000-0005-0000-0000-0000610A0000}"/>
    <cellStyle name="Millares 2 2 7" xfId="9400" xr:uid="{00000000-0005-0000-0000-0000620A0000}"/>
    <cellStyle name="Millares 2 2 7 2" xfId="27582" xr:uid="{00000000-0005-0000-0000-0000630A0000}"/>
    <cellStyle name="Millares 2 2 8" xfId="18491" xr:uid="{00000000-0005-0000-0000-0000640A0000}"/>
    <cellStyle name="Millares 2 3" xfId="129" xr:uid="{00000000-0005-0000-0000-0000650A0000}"/>
    <cellStyle name="Millares 2 4" xfId="364" xr:uid="{00000000-0005-0000-0000-0000660A0000}"/>
    <cellStyle name="Millares 2 5" xfId="365" xr:uid="{00000000-0005-0000-0000-0000670A0000}"/>
    <cellStyle name="Millares 2 5 2" xfId="3380" xr:uid="{00000000-0005-0000-0000-0000680A0000}"/>
    <cellStyle name="Millares 2 5 2 2" xfId="7936" xr:uid="{00000000-0005-0000-0000-0000690A0000}"/>
    <cellStyle name="Millares 2 5 2 2 2" xfId="17032" xr:uid="{00000000-0005-0000-0000-00006A0A0000}"/>
    <cellStyle name="Millares 2 5 2 2 2 2" xfId="35214" xr:uid="{00000000-0005-0000-0000-00006B0A0000}"/>
    <cellStyle name="Millares 2 5 2 2 3" xfId="26124" xr:uid="{00000000-0005-0000-0000-00006C0A0000}"/>
    <cellStyle name="Millares 2 5 2 3" xfId="12492" xr:uid="{00000000-0005-0000-0000-00006D0A0000}"/>
    <cellStyle name="Millares 2 5 2 3 2" xfId="30674" xr:uid="{00000000-0005-0000-0000-00006E0A0000}"/>
    <cellStyle name="Millares 2 5 2 4" xfId="21584" xr:uid="{00000000-0005-0000-0000-00006F0A0000}"/>
    <cellStyle name="Millares 2 5 3" xfId="5021" xr:uid="{00000000-0005-0000-0000-0000700A0000}"/>
    <cellStyle name="Millares 2 5 3 2" xfId="14121" xr:uid="{00000000-0005-0000-0000-0000710A0000}"/>
    <cellStyle name="Millares 2 5 3 2 2" xfId="32303" xr:uid="{00000000-0005-0000-0000-0000720A0000}"/>
    <cellStyle name="Millares 2 5 3 3" xfId="23213" xr:uid="{00000000-0005-0000-0000-0000730A0000}"/>
    <cellStyle name="Millares 2 5 4" xfId="9587" xr:uid="{00000000-0005-0000-0000-0000740A0000}"/>
    <cellStyle name="Millares 2 5 4 2" xfId="27769" xr:uid="{00000000-0005-0000-0000-0000750A0000}"/>
    <cellStyle name="Millares 2 5 5" xfId="18678" xr:uid="{00000000-0005-0000-0000-0000760A0000}"/>
    <cellStyle name="Millares 2 6" xfId="366" xr:uid="{00000000-0005-0000-0000-0000770A0000}"/>
    <cellStyle name="Millares 2 6 2" xfId="3381" xr:uid="{00000000-0005-0000-0000-0000780A0000}"/>
    <cellStyle name="Millares 2 6 2 2" xfId="7937" xr:uid="{00000000-0005-0000-0000-0000790A0000}"/>
    <cellStyle name="Millares 2 6 2 2 2" xfId="17033" xr:uid="{00000000-0005-0000-0000-00007A0A0000}"/>
    <cellStyle name="Millares 2 6 2 2 2 2" xfId="35215" xr:uid="{00000000-0005-0000-0000-00007B0A0000}"/>
    <cellStyle name="Millares 2 6 2 2 3" xfId="26125" xr:uid="{00000000-0005-0000-0000-00007C0A0000}"/>
    <cellStyle name="Millares 2 6 2 3" xfId="12493" xr:uid="{00000000-0005-0000-0000-00007D0A0000}"/>
    <cellStyle name="Millares 2 6 2 3 2" xfId="30675" xr:uid="{00000000-0005-0000-0000-00007E0A0000}"/>
    <cellStyle name="Millares 2 6 2 4" xfId="21585" xr:uid="{00000000-0005-0000-0000-00007F0A0000}"/>
    <cellStyle name="Millares 2 7" xfId="367" xr:uid="{00000000-0005-0000-0000-0000800A0000}"/>
    <cellStyle name="Millares 2 7 2" xfId="3382" xr:uid="{00000000-0005-0000-0000-0000810A0000}"/>
    <cellStyle name="Millares 2 7 2 2" xfId="7938" xr:uid="{00000000-0005-0000-0000-0000820A0000}"/>
    <cellStyle name="Millares 2 7 2 2 2" xfId="17034" xr:uid="{00000000-0005-0000-0000-0000830A0000}"/>
    <cellStyle name="Millares 2 7 2 2 2 2" xfId="35216" xr:uid="{00000000-0005-0000-0000-0000840A0000}"/>
    <cellStyle name="Millares 2 7 2 2 3" xfId="26126" xr:uid="{00000000-0005-0000-0000-0000850A0000}"/>
    <cellStyle name="Millares 2 7 2 3" xfId="12494" xr:uid="{00000000-0005-0000-0000-0000860A0000}"/>
    <cellStyle name="Millares 2 7 2 3 2" xfId="30676" xr:uid="{00000000-0005-0000-0000-0000870A0000}"/>
    <cellStyle name="Millares 2 7 2 4" xfId="21586" xr:uid="{00000000-0005-0000-0000-0000880A0000}"/>
    <cellStyle name="Millares 2 8" xfId="368" xr:uid="{00000000-0005-0000-0000-0000890A0000}"/>
    <cellStyle name="Millares 2 9" xfId="3156" xr:uid="{00000000-0005-0000-0000-00008A0A0000}"/>
    <cellStyle name="Millares 2 9 2" xfId="7716" xr:uid="{00000000-0005-0000-0000-00008B0A0000}"/>
    <cellStyle name="Millares 2 9 2 2" xfId="16812" xr:uid="{00000000-0005-0000-0000-00008C0A0000}"/>
    <cellStyle name="Millares 2 9 2 2 2" xfId="34994" xr:uid="{00000000-0005-0000-0000-00008D0A0000}"/>
    <cellStyle name="Millares 2 9 2 3" xfId="25904" xr:uid="{00000000-0005-0000-0000-00008E0A0000}"/>
    <cellStyle name="Millares 2 9 3" xfId="12272" xr:uid="{00000000-0005-0000-0000-00008F0A0000}"/>
    <cellStyle name="Millares 2 9 3 2" xfId="30454" xr:uid="{00000000-0005-0000-0000-0000900A0000}"/>
    <cellStyle name="Millares 2 9 4" xfId="21364" xr:uid="{00000000-0005-0000-0000-0000910A0000}"/>
    <cellStyle name="Millares 20" xfId="196" xr:uid="{00000000-0005-0000-0000-0000920A0000}"/>
    <cellStyle name="Millares 20 2" xfId="3267" xr:uid="{00000000-0005-0000-0000-0000930A0000}"/>
    <cellStyle name="Millares 20 2 2" xfId="7827" xr:uid="{00000000-0005-0000-0000-0000940A0000}"/>
    <cellStyle name="Millares 20 2 2 2" xfId="16923" xr:uid="{00000000-0005-0000-0000-0000950A0000}"/>
    <cellStyle name="Millares 20 2 2 2 2" xfId="35105" xr:uid="{00000000-0005-0000-0000-0000960A0000}"/>
    <cellStyle name="Millares 20 2 2 3" xfId="26015" xr:uid="{00000000-0005-0000-0000-0000970A0000}"/>
    <cellStyle name="Millares 20 2 3" xfId="12383" xr:uid="{00000000-0005-0000-0000-0000980A0000}"/>
    <cellStyle name="Millares 20 2 3 2" xfId="30565" xr:uid="{00000000-0005-0000-0000-0000990A0000}"/>
    <cellStyle name="Millares 20 2 4" xfId="21475" xr:uid="{00000000-0005-0000-0000-00009A0A0000}"/>
    <cellStyle name="Millares 21" xfId="369" xr:uid="{00000000-0005-0000-0000-00009B0A0000}"/>
    <cellStyle name="Millares 21 2" xfId="370" xr:uid="{00000000-0005-0000-0000-00009C0A0000}"/>
    <cellStyle name="Millares 21 2 2" xfId="1909" xr:uid="{00000000-0005-0000-0000-00009D0A0000}"/>
    <cellStyle name="Millares 21 2 2 2" xfId="6515" xr:uid="{00000000-0005-0000-0000-00009E0A0000}"/>
    <cellStyle name="Millares 21 2 2 2 2" xfId="15615" xr:uid="{00000000-0005-0000-0000-00009F0A0000}"/>
    <cellStyle name="Millares 21 2 2 2 2 2" xfId="33797" xr:uid="{00000000-0005-0000-0000-0000A00A0000}"/>
    <cellStyle name="Millares 21 2 2 2 3" xfId="24707" xr:uid="{00000000-0005-0000-0000-0000A10A0000}"/>
    <cellStyle name="Millares 21 2 2 3" xfId="11079" xr:uid="{00000000-0005-0000-0000-0000A20A0000}"/>
    <cellStyle name="Millares 21 2 2 3 2" xfId="29261" xr:uid="{00000000-0005-0000-0000-0000A30A0000}"/>
    <cellStyle name="Millares 21 2 2 4" xfId="20171" xr:uid="{00000000-0005-0000-0000-0000A40A0000}"/>
    <cellStyle name="Millares 21 2 3" xfId="3384" xr:uid="{00000000-0005-0000-0000-0000A50A0000}"/>
    <cellStyle name="Millares 21 2 3 2" xfId="7940" xr:uid="{00000000-0005-0000-0000-0000A60A0000}"/>
    <cellStyle name="Millares 21 2 3 2 2" xfId="17036" xr:uid="{00000000-0005-0000-0000-0000A70A0000}"/>
    <cellStyle name="Millares 21 2 3 2 2 2" xfId="35218" xr:uid="{00000000-0005-0000-0000-0000A80A0000}"/>
    <cellStyle name="Millares 21 2 3 2 3" xfId="26128" xr:uid="{00000000-0005-0000-0000-0000A90A0000}"/>
    <cellStyle name="Millares 21 2 3 3" xfId="12496" xr:uid="{00000000-0005-0000-0000-0000AA0A0000}"/>
    <cellStyle name="Millares 21 2 3 3 2" xfId="30678" xr:uid="{00000000-0005-0000-0000-0000AB0A0000}"/>
    <cellStyle name="Millares 21 2 3 4" xfId="21588" xr:uid="{00000000-0005-0000-0000-0000AC0A0000}"/>
    <cellStyle name="Millares 21 2 4" xfId="5023" xr:uid="{00000000-0005-0000-0000-0000AD0A0000}"/>
    <cellStyle name="Millares 21 2 4 2" xfId="14123" xr:uid="{00000000-0005-0000-0000-0000AE0A0000}"/>
    <cellStyle name="Millares 21 2 4 2 2" xfId="32305" xr:uid="{00000000-0005-0000-0000-0000AF0A0000}"/>
    <cellStyle name="Millares 21 2 4 3" xfId="23215" xr:uid="{00000000-0005-0000-0000-0000B00A0000}"/>
    <cellStyle name="Millares 21 2 5" xfId="9589" xr:uid="{00000000-0005-0000-0000-0000B10A0000}"/>
    <cellStyle name="Millares 21 2 5 2" xfId="27771" xr:uid="{00000000-0005-0000-0000-0000B20A0000}"/>
    <cellStyle name="Millares 21 2 6" xfId="18680" xr:uid="{00000000-0005-0000-0000-0000B30A0000}"/>
    <cellStyle name="Millares 21 3" xfId="1910" xr:uid="{00000000-0005-0000-0000-0000B40A0000}"/>
    <cellStyle name="Millares 21 3 2" xfId="6516" xr:uid="{00000000-0005-0000-0000-0000B50A0000}"/>
    <cellStyle name="Millares 21 3 2 2" xfId="15616" xr:uid="{00000000-0005-0000-0000-0000B60A0000}"/>
    <cellStyle name="Millares 21 3 2 2 2" xfId="33798" xr:uid="{00000000-0005-0000-0000-0000B70A0000}"/>
    <cellStyle name="Millares 21 3 2 3" xfId="24708" xr:uid="{00000000-0005-0000-0000-0000B80A0000}"/>
    <cellStyle name="Millares 21 3 3" xfId="11080" xr:uid="{00000000-0005-0000-0000-0000B90A0000}"/>
    <cellStyle name="Millares 21 3 3 2" xfId="29262" xr:uid="{00000000-0005-0000-0000-0000BA0A0000}"/>
    <cellStyle name="Millares 21 3 4" xfId="20172" xr:uid="{00000000-0005-0000-0000-0000BB0A0000}"/>
    <cellStyle name="Millares 21 4" xfId="1911" xr:uid="{00000000-0005-0000-0000-0000BC0A0000}"/>
    <cellStyle name="Millares 21 4 2" xfId="6517" xr:uid="{00000000-0005-0000-0000-0000BD0A0000}"/>
    <cellStyle name="Millares 21 4 2 2" xfId="15617" xr:uid="{00000000-0005-0000-0000-0000BE0A0000}"/>
    <cellStyle name="Millares 21 4 2 2 2" xfId="33799" xr:uid="{00000000-0005-0000-0000-0000BF0A0000}"/>
    <cellStyle name="Millares 21 4 2 3" xfId="24709" xr:uid="{00000000-0005-0000-0000-0000C00A0000}"/>
    <cellStyle name="Millares 21 4 3" xfId="11081" xr:uid="{00000000-0005-0000-0000-0000C10A0000}"/>
    <cellStyle name="Millares 21 4 3 2" xfId="29263" xr:uid="{00000000-0005-0000-0000-0000C20A0000}"/>
    <cellStyle name="Millares 21 4 4" xfId="20173" xr:uid="{00000000-0005-0000-0000-0000C30A0000}"/>
    <cellStyle name="Millares 21 5" xfId="3383" xr:uid="{00000000-0005-0000-0000-0000C40A0000}"/>
    <cellStyle name="Millares 21 5 2" xfId="7939" xr:uid="{00000000-0005-0000-0000-0000C50A0000}"/>
    <cellStyle name="Millares 21 5 2 2" xfId="17035" xr:uid="{00000000-0005-0000-0000-0000C60A0000}"/>
    <cellStyle name="Millares 21 5 2 2 2" xfId="35217" xr:uid="{00000000-0005-0000-0000-0000C70A0000}"/>
    <cellStyle name="Millares 21 5 2 3" xfId="26127" xr:uid="{00000000-0005-0000-0000-0000C80A0000}"/>
    <cellStyle name="Millares 21 5 3" xfId="12495" xr:uid="{00000000-0005-0000-0000-0000C90A0000}"/>
    <cellStyle name="Millares 21 5 3 2" xfId="30677" xr:uid="{00000000-0005-0000-0000-0000CA0A0000}"/>
    <cellStyle name="Millares 21 5 4" xfId="21587" xr:uid="{00000000-0005-0000-0000-0000CB0A0000}"/>
    <cellStyle name="Millares 21 6" xfId="5022" xr:uid="{00000000-0005-0000-0000-0000CC0A0000}"/>
    <cellStyle name="Millares 21 6 2" xfId="14122" xr:uid="{00000000-0005-0000-0000-0000CD0A0000}"/>
    <cellStyle name="Millares 21 6 2 2" xfId="32304" xr:uid="{00000000-0005-0000-0000-0000CE0A0000}"/>
    <cellStyle name="Millares 21 6 3" xfId="23214" xr:uid="{00000000-0005-0000-0000-0000CF0A0000}"/>
    <cellStyle name="Millares 21 7" xfId="9588" xr:uid="{00000000-0005-0000-0000-0000D00A0000}"/>
    <cellStyle name="Millares 21 7 2" xfId="27770" xr:uid="{00000000-0005-0000-0000-0000D10A0000}"/>
    <cellStyle name="Millares 21 8" xfId="18679" xr:uid="{00000000-0005-0000-0000-0000D20A0000}"/>
    <cellStyle name="Millares 22" xfId="371" xr:uid="{00000000-0005-0000-0000-0000D30A0000}"/>
    <cellStyle name="Millares 22 2" xfId="1912" xr:uid="{00000000-0005-0000-0000-0000D40A0000}"/>
    <cellStyle name="Millares 22 2 2" xfId="6518" xr:uid="{00000000-0005-0000-0000-0000D50A0000}"/>
    <cellStyle name="Millares 22 2 2 2" xfId="15618" xr:uid="{00000000-0005-0000-0000-0000D60A0000}"/>
    <cellStyle name="Millares 22 2 2 2 2" xfId="33800" xr:uid="{00000000-0005-0000-0000-0000D70A0000}"/>
    <cellStyle name="Millares 22 2 2 3" xfId="24710" xr:uid="{00000000-0005-0000-0000-0000D80A0000}"/>
    <cellStyle name="Millares 22 2 3" xfId="11082" xr:uid="{00000000-0005-0000-0000-0000D90A0000}"/>
    <cellStyle name="Millares 22 2 3 2" xfId="29264" xr:uid="{00000000-0005-0000-0000-0000DA0A0000}"/>
    <cellStyle name="Millares 22 2 4" xfId="20174" xr:uid="{00000000-0005-0000-0000-0000DB0A0000}"/>
    <cellStyle name="Millares 22 3" xfId="1913" xr:uid="{00000000-0005-0000-0000-0000DC0A0000}"/>
    <cellStyle name="Millares 22 3 2" xfId="6519" xr:uid="{00000000-0005-0000-0000-0000DD0A0000}"/>
    <cellStyle name="Millares 22 3 2 2" xfId="15619" xr:uid="{00000000-0005-0000-0000-0000DE0A0000}"/>
    <cellStyle name="Millares 22 3 2 2 2" xfId="33801" xr:uid="{00000000-0005-0000-0000-0000DF0A0000}"/>
    <cellStyle name="Millares 22 3 2 3" xfId="24711" xr:uid="{00000000-0005-0000-0000-0000E00A0000}"/>
    <cellStyle name="Millares 22 3 3" xfId="11083" xr:uid="{00000000-0005-0000-0000-0000E10A0000}"/>
    <cellStyle name="Millares 22 3 3 2" xfId="29265" xr:uid="{00000000-0005-0000-0000-0000E20A0000}"/>
    <cellStyle name="Millares 22 3 4" xfId="20175" xr:uid="{00000000-0005-0000-0000-0000E30A0000}"/>
    <cellStyle name="Millares 22 4" xfId="3385" xr:uid="{00000000-0005-0000-0000-0000E40A0000}"/>
    <cellStyle name="Millares 22 4 2" xfId="7941" xr:uid="{00000000-0005-0000-0000-0000E50A0000}"/>
    <cellStyle name="Millares 22 4 2 2" xfId="17037" xr:uid="{00000000-0005-0000-0000-0000E60A0000}"/>
    <cellStyle name="Millares 22 4 2 2 2" xfId="35219" xr:uid="{00000000-0005-0000-0000-0000E70A0000}"/>
    <cellStyle name="Millares 22 4 2 3" xfId="26129" xr:uid="{00000000-0005-0000-0000-0000E80A0000}"/>
    <cellStyle name="Millares 22 4 3" xfId="12497" xr:uid="{00000000-0005-0000-0000-0000E90A0000}"/>
    <cellStyle name="Millares 22 4 3 2" xfId="30679" xr:uid="{00000000-0005-0000-0000-0000EA0A0000}"/>
    <cellStyle name="Millares 22 4 4" xfId="21589" xr:uid="{00000000-0005-0000-0000-0000EB0A0000}"/>
    <cellStyle name="Millares 22 5" xfId="5024" xr:uid="{00000000-0005-0000-0000-0000EC0A0000}"/>
    <cellStyle name="Millares 22 5 2" xfId="14124" xr:uid="{00000000-0005-0000-0000-0000ED0A0000}"/>
    <cellStyle name="Millares 22 5 2 2" xfId="32306" xr:uid="{00000000-0005-0000-0000-0000EE0A0000}"/>
    <cellStyle name="Millares 22 5 3" xfId="23216" xr:uid="{00000000-0005-0000-0000-0000EF0A0000}"/>
    <cellStyle name="Millares 22 6" xfId="9590" xr:uid="{00000000-0005-0000-0000-0000F00A0000}"/>
    <cellStyle name="Millares 22 6 2" xfId="27772" xr:uid="{00000000-0005-0000-0000-0000F10A0000}"/>
    <cellStyle name="Millares 22 7" xfId="18681" xr:uid="{00000000-0005-0000-0000-0000F20A0000}"/>
    <cellStyle name="Millares 23" xfId="372" xr:uid="{00000000-0005-0000-0000-0000F30A0000}"/>
    <cellStyle name="Millares 23 2" xfId="1914" xr:uid="{00000000-0005-0000-0000-0000F40A0000}"/>
    <cellStyle name="Millares 23 3" xfId="3386" xr:uid="{00000000-0005-0000-0000-0000F50A0000}"/>
    <cellStyle name="Millares 23 3 2" xfId="7942" xr:uid="{00000000-0005-0000-0000-0000F60A0000}"/>
    <cellStyle name="Millares 23 3 2 2" xfId="17038" xr:uid="{00000000-0005-0000-0000-0000F70A0000}"/>
    <cellStyle name="Millares 23 3 2 2 2" xfId="35220" xr:uid="{00000000-0005-0000-0000-0000F80A0000}"/>
    <cellStyle name="Millares 23 3 2 3" xfId="26130" xr:uid="{00000000-0005-0000-0000-0000F90A0000}"/>
    <cellStyle name="Millares 23 3 3" xfId="12498" xr:uid="{00000000-0005-0000-0000-0000FA0A0000}"/>
    <cellStyle name="Millares 23 3 3 2" xfId="30680" xr:uid="{00000000-0005-0000-0000-0000FB0A0000}"/>
    <cellStyle name="Millares 23 3 4" xfId="21590" xr:uid="{00000000-0005-0000-0000-0000FC0A0000}"/>
    <cellStyle name="Millares 23 4" xfId="5025" xr:uid="{00000000-0005-0000-0000-0000FD0A0000}"/>
    <cellStyle name="Millares 23 4 2" xfId="14125" xr:uid="{00000000-0005-0000-0000-0000FE0A0000}"/>
    <cellStyle name="Millares 23 4 2 2" xfId="32307" xr:uid="{00000000-0005-0000-0000-0000FF0A0000}"/>
    <cellStyle name="Millares 23 4 3" xfId="23217" xr:uid="{00000000-0005-0000-0000-0000000B0000}"/>
    <cellStyle name="Millares 23 5" xfId="9591" xr:uid="{00000000-0005-0000-0000-0000010B0000}"/>
    <cellStyle name="Millares 23 5 2" xfId="27773" xr:uid="{00000000-0005-0000-0000-0000020B0000}"/>
    <cellStyle name="Millares 23 6" xfId="18682" xr:uid="{00000000-0005-0000-0000-0000030B0000}"/>
    <cellStyle name="Millares 24" xfId="373" xr:uid="{00000000-0005-0000-0000-0000040B0000}"/>
    <cellStyle name="Millares 24 2" xfId="1915" xr:uid="{00000000-0005-0000-0000-0000050B0000}"/>
    <cellStyle name="Millares 24 2 2" xfId="6520" xr:uid="{00000000-0005-0000-0000-0000060B0000}"/>
    <cellStyle name="Millares 24 2 2 2" xfId="15620" xr:uid="{00000000-0005-0000-0000-0000070B0000}"/>
    <cellStyle name="Millares 24 2 2 2 2" xfId="33802" xr:uid="{00000000-0005-0000-0000-0000080B0000}"/>
    <cellStyle name="Millares 24 2 2 3" xfId="24712" xr:uid="{00000000-0005-0000-0000-0000090B0000}"/>
    <cellStyle name="Millares 24 2 3" xfId="11084" xr:uid="{00000000-0005-0000-0000-00000A0B0000}"/>
    <cellStyle name="Millares 24 2 3 2" xfId="29266" xr:uid="{00000000-0005-0000-0000-00000B0B0000}"/>
    <cellStyle name="Millares 24 2 4" xfId="20176" xr:uid="{00000000-0005-0000-0000-00000C0B0000}"/>
    <cellStyle name="Millares 24 3" xfId="3387" xr:uid="{00000000-0005-0000-0000-00000D0B0000}"/>
    <cellStyle name="Millares 24 3 2" xfId="7943" xr:uid="{00000000-0005-0000-0000-00000E0B0000}"/>
    <cellStyle name="Millares 24 3 2 2" xfId="17039" xr:uid="{00000000-0005-0000-0000-00000F0B0000}"/>
    <cellStyle name="Millares 24 3 2 2 2" xfId="35221" xr:uid="{00000000-0005-0000-0000-0000100B0000}"/>
    <cellStyle name="Millares 24 3 2 3" xfId="26131" xr:uid="{00000000-0005-0000-0000-0000110B0000}"/>
    <cellStyle name="Millares 24 3 3" xfId="12499" xr:uid="{00000000-0005-0000-0000-0000120B0000}"/>
    <cellStyle name="Millares 24 3 3 2" xfId="30681" xr:uid="{00000000-0005-0000-0000-0000130B0000}"/>
    <cellStyle name="Millares 24 3 4" xfId="21591" xr:uid="{00000000-0005-0000-0000-0000140B0000}"/>
    <cellStyle name="Millares 24 4" xfId="5026" xr:uid="{00000000-0005-0000-0000-0000150B0000}"/>
    <cellStyle name="Millares 24 4 2" xfId="14126" xr:uid="{00000000-0005-0000-0000-0000160B0000}"/>
    <cellStyle name="Millares 24 4 2 2" xfId="32308" xr:uid="{00000000-0005-0000-0000-0000170B0000}"/>
    <cellStyle name="Millares 24 4 3" xfId="23218" xr:uid="{00000000-0005-0000-0000-0000180B0000}"/>
    <cellStyle name="Millares 24 5" xfId="9592" xr:uid="{00000000-0005-0000-0000-0000190B0000}"/>
    <cellStyle name="Millares 24 5 2" xfId="27774" xr:uid="{00000000-0005-0000-0000-00001A0B0000}"/>
    <cellStyle name="Millares 24 6" xfId="18683" xr:uid="{00000000-0005-0000-0000-00001B0B0000}"/>
    <cellStyle name="Millares 25" xfId="374" xr:uid="{00000000-0005-0000-0000-00001C0B0000}"/>
    <cellStyle name="Millares 26" xfId="1816" xr:uid="{00000000-0005-0000-0000-00001D0B0000}"/>
    <cellStyle name="Millares 26 2" xfId="3152" xr:uid="{00000000-0005-0000-0000-00001E0B0000}"/>
    <cellStyle name="Millares 26 2 2" xfId="7713" xr:uid="{00000000-0005-0000-0000-00001F0B0000}"/>
    <cellStyle name="Millares 26 2 2 2" xfId="16810" xr:uid="{00000000-0005-0000-0000-0000200B0000}"/>
    <cellStyle name="Millares 26 2 2 2 2" xfId="34992" xr:uid="{00000000-0005-0000-0000-0000210B0000}"/>
    <cellStyle name="Millares 26 2 2 3" xfId="25902" xr:uid="{00000000-0005-0000-0000-0000220B0000}"/>
    <cellStyle name="Millares 26 2 3" xfId="12270" xr:uid="{00000000-0005-0000-0000-0000230B0000}"/>
    <cellStyle name="Millares 26 2 3 2" xfId="30452" xr:uid="{00000000-0005-0000-0000-0000240B0000}"/>
    <cellStyle name="Millares 26 2 4" xfId="21362" xr:uid="{00000000-0005-0000-0000-0000250B0000}"/>
    <cellStyle name="Millares 26 3" xfId="4794" xr:uid="{00000000-0005-0000-0000-0000260B0000}"/>
    <cellStyle name="Millares 26 3 2" xfId="9350" xr:uid="{00000000-0005-0000-0000-0000270B0000}"/>
    <cellStyle name="Millares 26 3 2 2" xfId="18446" xr:uid="{00000000-0005-0000-0000-0000280B0000}"/>
    <cellStyle name="Millares 26 3 2 2 2" xfId="36628" xr:uid="{00000000-0005-0000-0000-0000290B0000}"/>
    <cellStyle name="Millares 26 3 2 3" xfId="27538" xr:uid="{00000000-0005-0000-0000-00002A0B0000}"/>
    <cellStyle name="Millares 26 3 3" xfId="13904" xr:uid="{00000000-0005-0000-0000-00002B0B0000}"/>
    <cellStyle name="Millares 26 3 3 2" xfId="32086" xr:uid="{00000000-0005-0000-0000-00002C0B0000}"/>
    <cellStyle name="Millares 26 3 4" xfId="22996" xr:uid="{00000000-0005-0000-0000-00002D0B0000}"/>
    <cellStyle name="Millares 26 4" xfId="6432" xr:uid="{00000000-0005-0000-0000-00002E0B0000}"/>
    <cellStyle name="Millares 26 4 2" xfId="15532" xr:uid="{00000000-0005-0000-0000-00002F0B0000}"/>
    <cellStyle name="Millares 26 4 2 2" xfId="33714" xr:uid="{00000000-0005-0000-0000-0000300B0000}"/>
    <cellStyle name="Millares 26 4 3" xfId="24624" xr:uid="{00000000-0005-0000-0000-0000310B0000}"/>
    <cellStyle name="Millares 26 5" xfId="10997" xr:uid="{00000000-0005-0000-0000-0000320B0000}"/>
    <cellStyle name="Millares 26 5 2" xfId="29179" xr:uid="{00000000-0005-0000-0000-0000330B0000}"/>
    <cellStyle name="Millares 26 6" xfId="20089" xr:uid="{00000000-0005-0000-0000-0000340B0000}"/>
    <cellStyle name="Millares 27" xfId="1916" xr:uid="{00000000-0005-0000-0000-0000350B0000}"/>
    <cellStyle name="Millares 27 2" xfId="4796" xr:uid="{00000000-0005-0000-0000-0000360B0000}"/>
    <cellStyle name="Millares 27 2 2" xfId="9352" xr:uid="{00000000-0005-0000-0000-0000370B0000}"/>
    <cellStyle name="Millares 27 2 2 2" xfId="18448" xr:uid="{00000000-0005-0000-0000-0000380B0000}"/>
    <cellStyle name="Millares 27 2 2 2 2" xfId="36630" xr:uid="{00000000-0005-0000-0000-0000390B0000}"/>
    <cellStyle name="Millares 27 2 2 3" xfId="27540" xr:uid="{00000000-0005-0000-0000-00003A0B0000}"/>
    <cellStyle name="Millares 27 2 3" xfId="13906" xr:uid="{00000000-0005-0000-0000-00003B0B0000}"/>
    <cellStyle name="Millares 27 2 3 2" xfId="32088" xr:uid="{00000000-0005-0000-0000-00003C0B0000}"/>
    <cellStyle name="Millares 27 2 4" xfId="22998" xr:uid="{00000000-0005-0000-0000-00003D0B0000}"/>
    <cellStyle name="Millares 27 3" xfId="6521" xr:uid="{00000000-0005-0000-0000-00003E0B0000}"/>
    <cellStyle name="Millares 27 3 2" xfId="15621" xr:uid="{00000000-0005-0000-0000-00003F0B0000}"/>
    <cellStyle name="Millares 27 3 2 2" xfId="33803" xr:uid="{00000000-0005-0000-0000-0000400B0000}"/>
    <cellStyle name="Millares 27 3 3" xfId="24713" xr:uid="{00000000-0005-0000-0000-0000410B0000}"/>
    <cellStyle name="Millares 27 4" xfId="11085" xr:uid="{00000000-0005-0000-0000-0000420B0000}"/>
    <cellStyle name="Millares 27 4 2" xfId="29267" xr:uid="{00000000-0005-0000-0000-0000430B0000}"/>
    <cellStyle name="Millares 27 5" xfId="20177" xr:uid="{00000000-0005-0000-0000-0000440B0000}"/>
    <cellStyle name="Millares 28" xfId="1917" xr:uid="{00000000-0005-0000-0000-0000450B0000}"/>
    <cellStyle name="Millares 28 2" xfId="6522" xr:uid="{00000000-0005-0000-0000-0000460B0000}"/>
    <cellStyle name="Millares 28 2 2" xfId="15622" xr:uid="{00000000-0005-0000-0000-0000470B0000}"/>
    <cellStyle name="Millares 28 2 2 2" xfId="33804" xr:uid="{00000000-0005-0000-0000-0000480B0000}"/>
    <cellStyle name="Millares 28 2 3" xfId="24714" xr:uid="{00000000-0005-0000-0000-0000490B0000}"/>
    <cellStyle name="Millares 28 3" xfId="11086" xr:uid="{00000000-0005-0000-0000-00004A0B0000}"/>
    <cellStyle name="Millares 28 3 2" xfId="29268" xr:uid="{00000000-0005-0000-0000-00004B0B0000}"/>
    <cellStyle name="Millares 28 4" xfId="20178" xr:uid="{00000000-0005-0000-0000-00004C0B0000}"/>
    <cellStyle name="Millares 29" xfId="1918" xr:uid="{00000000-0005-0000-0000-00004D0B0000}"/>
    <cellStyle name="Millares 29 2" xfId="6523" xr:uid="{00000000-0005-0000-0000-00004E0B0000}"/>
    <cellStyle name="Millares 29 2 2" xfId="15623" xr:uid="{00000000-0005-0000-0000-00004F0B0000}"/>
    <cellStyle name="Millares 29 2 2 2" xfId="33805" xr:uid="{00000000-0005-0000-0000-0000500B0000}"/>
    <cellStyle name="Millares 29 2 3" xfId="24715" xr:uid="{00000000-0005-0000-0000-0000510B0000}"/>
    <cellStyle name="Millares 29 3" xfId="11087" xr:uid="{00000000-0005-0000-0000-0000520B0000}"/>
    <cellStyle name="Millares 29 3 2" xfId="29269" xr:uid="{00000000-0005-0000-0000-0000530B0000}"/>
    <cellStyle name="Millares 29 4" xfId="20179" xr:uid="{00000000-0005-0000-0000-0000540B0000}"/>
    <cellStyle name="Millares 3" xfId="14" xr:uid="{00000000-0005-0000-0000-0000550B0000}"/>
    <cellStyle name="Millares 3 10" xfId="9381" xr:uid="{00000000-0005-0000-0000-0000560B0000}"/>
    <cellStyle name="Millares 3 10 2" xfId="27563" xr:uid="{00000000-0005-0000-0000-0000570B0000}"/>
    <cellStyle name="Millares 3 11" xfId="18472" xr:uid="{00000000-0005-0000-0000-0000580B0000}"/>
    <cellStyle name="Millares 3 2" xfId="35" xr:uid="{00000000-0005-0000-0000-0000590B0000}"/>
    <cellStyle name="Millares 3 2 2" xfId="96" xr:uid="{00000000-0005-0000-0000-00005A0B0000}"/>
    <cellStyle name="Millares 3 3" xfId="72" xr:uid="{00000000-0005-0000-0000-00005B0B0000}"/>
    <cellStyle name="Millares 3 3 2" xfId="3185" xr:uid="{00000000-0005-0000-0000-00005C0B0000}"/>
    <cellStyle name="Millares 3 3 2 2" xfId="7745" xr:uid="{00000000-0005-0000-0000-00005D0B0000}"/>
    <cellStyle name="Millares 3 3 2 2 2" xfId="16841" xr:uid="{00000000-0005-0000-0000-00005E0B0000}"/>
    <cellStyle name="Millares 3 3 2 2 2 2" xfId="35023" xr:uid="{00000000-0005-0000-0000-00005F0B0000}"/>
    <cellStyle name="Millares 3 3 2 2 3" xfId="25933" xr:uid="{00000000-0005-0000-0000-0000600B0000}"/>
    <cellStyle name="Millares 3 3 2 3" xfId="12301" xr:uid="{00000000-0005-0000-0000-0000610B0000}"/>
    <cellStyle name="Millares 3 3 2 3 2" xfId="30483" xr:uid="{00000000-0005-0000-0000-0000620B0000}"/>
    <cellStyle name="Millares 3 3 2 4" xfId="21393" xr:uid="{00000000-0005-0000-0000-0000630B0000}"/>
    <cellStyle name="Millares 3 3 3" xfId="4835" xr:uid="{00000000-0005-0000-0000-0000640B0000}"/>
    <cellStyle name="Millares 3 3 3 2" xfId="13935" xr:uid="{00000000-0005-0000-0000-0000650B0000}"/>
    <cellStyle name="Millares 3 3 3 2 2" xfId="32117" xr:uid="{00000000-0005-0000-0000-0000660B0000}"/>
    <cellStyle name="Millares 3 3 3 3" xfId="23027" xr:uid="{00000000-0005-0000-0000-0000670B0000}"/>
    <cellStyle name="Millares 3 3 4" xfId="9401" xr:uid="{00000000-0005-0000-0000-0000680B0000}"/>
    <cellStyle name="Millares 3 3 4 2" xfId="27583" xr:uid="{00000000-0005-0000-0000-0000690B0000}"/>
    <cellStyle name="Millares 3 3 5" xfId="18492" xr:uid="{00000000-0005-0000-0000-00006A0B0000}"/>
    <cellStyle name="Millares 3 4" xfId="375" xr:uid="{00000000-0005-0000-0000-00006B0B0000}"/>
    <cellStyle name="Millares 3 4 2" xfId="1919" xr:uid="{00000000-0005-0000-0000-00006C0B0000}"/>
    <cellStyle name="Millares 3 4 2 2" xfId="6524" xr:uid="{00000000-0005-0000-0000-00006D0B0000}"/>
    <cellStyle name="Millares 3 4 2 2 2" xfId="15624" xr:uid="{00000000-0005-0000-0000-00006E0B0000}"/>
    <cellStyle name="Millares 3 4 2 2 2 2" xfId="33806" xr:uid="{00000000-0005-0000-0000-00006F0B0000}"/>
    <cellStyle name="Millares 3 4 2 2 3" xfId="24716" xr:uid="{00000000-0005-0000-0000-0000700B0000}"/>
    <cellStyle name="Millares 3 4 2 3" xfId="11088" xr:uid="{00000000-0005-0000-0000-0000710B0000}"/>
    <cellStyle name="Millares 3 4 2 3 2" xfId="29270" xr:uid="{00000000-0005-0000-0000-0000720B0000}"/>
    <cellStyle name="Millares 3 4 2 4" xfId="20180" xr:uid="{00000000-0005-0000-0000-0000730B0000}"/>
    <cellStyle name="Millares 3 5" xfId="376" xr:uid="{00000000-0005-0000-0000-0000740B0000}"/>
    <cellStyle name="Millares 3 5 10" xfId="18684" xr:uid="{00000000-0005-0000-0000-0000750B0000}"/>
    <cellStyle name="Millares 3 5 2" xfId="377" xr:uid="{00000000-0005-0000-0000-0000760B0000}"/>
    <cellStyle name="Millares 3 5 2 2" xfId="378" xr:uid="{00000000-0005-0000-0000-0000770B0000}"/>
    <cellStyle name="Millares 3 5 2 2 2" xfId="379" xr:uid="{00000000-0005-0000-0000-0000780B0000}"/>
    <cellStyle name="Millares 3 5 2 2 2 2" xfId="1920" xr:uid="{00000000-0005-0000-0000-0000790B0000}"/>
    <cellStyle name="Millares 3 5 2 2 2 2 2" xfId="6525" xr:uid="{00000000-0005-0000-0000-00007A0B0000}"/>
    <cellStyle name="Millares 3 5 2 2 2 2 2 2" xfId="15625" xr:uid="{00000000-0005-0000-0000-00007B0B0000}"/>
    <cellStyle name="Millares 3 5 2 2 2 2 2 2 2" xfId="33807" xr:uid="{00000000-0005-0000-0000-00007C0B0000}"/>
    <cellStyle name="Millares 3 5 2 2 2 2 2 3" xfId="24717" xr:uid="{00000000-0005-0000-0000-00007D0B0000}"/>
    <cellStyle name="Millares 3 5 2 2 2 2 3" xfId="11089" xr:uid="{00000000-0005-0000-0000-00007E0B0000}"/>
    <cellStyle name="Millares 3 5 2 2 2 2 3 2" xfId="29271" xr:uid="{00000000-0005-0000-0000-00007F0B0000}"/>
    <cellStyle name="Millares 3 5 2 2 2 2 4" xfId="20181" xr:uid="{00000000-0005-0000-0000-0000800B0000}"/>
    <cellStyle name="Millares 3 5 2 2 2 3" xfId="3391" xr:uid="{00000000-0005-0000-0000-0000810B0000}"/>
    <cellStyle name="Millares 3 5 2 2 2 3 2" xfId="7947" xr:uid="{00000000-0005-0000-0000-0000820B0000}"/>
    <cellStyle name="Millares 3 5 2 2 2 3 2 2" xfId="17043" xr:uid="{00000000-0005-0000-0000-0000830B0000}"/>
    <cellStyle name="Millares 3 5 2 2 2 3 2 2 2" xfId="35225" xr:uid="{00000000-0005-0000-0000-0000840B0000}"/>
    <cellStyle name="Millares 3 5 2 2 2 3 2 3" xfId="26135" xr:uid="{00000000-0005-0000-0000-0000850B0000}"/>
    <cellStyle name="Millares 3 5 2 2 2 3 3" xfId="12503" xr:uid="{00000000-0005-0000-0000-0000860B0000}"/>
    <cellStyle name="Millares 3 5 2 2 2 3 3 2" xfId="30685" xr:uid="{00000000-0005-0000-0000-0000870B0000}"/>
    <cellStyle name="Millares 3 5 2 2 2 3 4" xfId="21595" xr:uid="{00000000-0005-0000-0000-0000880B0000}"/>
    <cellStyle name="Millares 3 5 2 2 2 4" xfId="5030" xr:uid="{00000000-0005-0000-0000-0000890B0000}"/>
    <cellStyle name="Millares 3 5 2 2 2 4 2" xfId="14130" xr:uid="{00000000-0005-0000-0000-00008A0B0000}"/>
    <cellStyle name="Millares 3 5 2 2 2 4 2 2" xfId="32312" xr:uid="{00000000-0005-0000-0000-00008B0B0000}"/>
    <cellStyle name="Millares 3 5 2 2 2 4 3" xfId="23222" xr:uid="{00000000-0005-0000-0000-00008C0B0000}"/>
    <cellStyle name="Millares 3 5 2 2 2 5" xfId="9596" xr:uid="{00000000-0005-0000-0000-00008D0B0000}"/>
    <cellStyle name="Millares 3 5 2 2 2 5 2" xfId="27778" xr:uid="{00000000-0005-0000-0000-00008E0B0000}"/>
    <cellStyle name="Millares 3 5 2 2 2 6" xfId="18687" xr:uid="{00000000-0005-0000-0000-00008F0B0000}"/>
    <cellStyle name="Millares 3 5 2 2 3" xfId="1921" xr:uid="{00000000-0005-0000-0000-0000900B0000}"/>
    <cellStyle name="Millares 3 5 2 2 3 2" xfId="6526" xr:uid="{00000000-0005-0000-0000-0000910B0000}"/>
    <cellStyle name="Millares 3 5 2 2 3 2 2" xfId="15626" xr:uid="{00000000-0005-0000-0000-0000920B0000}"/>
    <cellStyle name="Millares 3 5 2 2 3 2 2 2" xfId="33808" xr:uid="{00000000-0005-0000-0000-0000930B0000}"/>
    <cellStyle name="Millares 3 5 2 2 3 2 3" xfId="24718" xr:uid="{00000000-0005-0000-0000-0000940B0000}"/>
    <cellStyle name="Millares 3 5 2 2 3 3" xfId="11090" xr:uid="{00000000-0005-0000-0000-0000950B0000}"/>
    <cellStyle name="Millares 3 5 2 2 3 3 2" xfId="29272" xr:uid="{00000000-0005-0000-0000-0000960B0000}"/>
    <cellStyle name="Millares 3 5 2 2 3 4" xfId="20182" xr:uid="{00000000-0005-0000-0000-0000970B0000}"/>
    <cellStyle name="Millares 3 5 2 2 4" xfId="3390" xr:uid="{00000000-0005-0000-0000-0000980B0000}"/>
    <cellStyle name="Millares 3 5 2 2 4 2" xfId="7946" xr:uid="{00000000-0005-0000-0000-0000990B0000}"/>
    <cellStyle name="Millares 3 5 2 2 4 2 2" xfId="17042" xr:uid="{00000000-0005-0000-0000-00009A0B0000}"/>
    <cellStyle name="Millares 3 5 2 2 4 2 2 2" xfId="35224" xr:uid="{00000000-0005-0000-0000-00009B0B0000}"/>
    <cellStyle name="Millares 3 5 2 2 4 2 3" xfId="26134" xr:uid="{00000000-0005-0000-0000-00009C0B0000}"/>
    <cellStyle name="Millares 3 5 2 2 4 3" xfId="12502" xr:uid="{00000000-0005-0000-0000-00009D0B0000}"/>
    <cellStyle name="Millares 3 5 2 2 4 3 2" xfId="30684" xr:uid="{00000000-0005-0000-0000-00009E0B0000}"/>
    <cellStyle name="Millares 3 5 2 2 4 4" xfId="21594" xr:uid="{00000000-0005-0000-0000-00009F0B0000}"/>
    <cellStyle name="Millares 3 5 2 2 5" xfId="5029" xr:uid="{00000000-0005-0000-0000-0000A00B0000}"/>
    <cellStyle name="Millares 3 5 2 2 5 2" xfId="14129" xr:uid="{00000000-0005-0000-0000-0000A10B0000}"/>
    <cellStyle name="Millares 3 5 2 2 5 2 2" xfId="32311" xr:uid="{00000000-0005-0000-0000-0000A20B0000}"/>
    <cellStyle name="Millares 3 5 2 2 5 3" xfId="23221" xr:uid="{00000000-0005-0000-0000-0000A30B0000}"/>
    <cellStyle name="Millares 3 5 2 2 6" xfId="9595" xr:uid="{00000000-0005-0000-0000-0000A40B0000}"/>
    <cellStyle name="Millares 3 5 2 2 6 2" xfId="27777" xr:uid="{00000000-0005-0000-0000-0000A50B0000}"/>
    <cellStyle name="Millares 3 5 2 2 7" xfId="18686" xr:uid="{00000000-0005-0000-0000-0000A60B0000}"/>
    <cellStyle name="Millares 3 5 2 3" xfId="380" xr:uid="{00000000-0005-0000-0000-0000A70B0000}"/>
    <cellStyle name="Millares 3 5 2 3 2" xfId="1922" xr:uid="{00000000-0005-0000-0000-0000A80B0000}"/>
    <cellStyle name="Millares 3 5 2 3 2 2" xfId="6527" xr:uid="{00000000-0005-0000-0000-0000A90B0000}"/>
    <cellStyle name="Millares 3 5 2 3 2 2 2" xfId="15627" xr:uid="{00000000-0005-0000-0000-0000AA0B0000}"/>
    <cellStyle name="Millares 3 5 2 3 2 2 2 2" xfId="33809" xr:uid="{00000000-0005-0000-0000-0000AB0B0000}"/>
    <cellStyle name="Millares 3 5 2 3 2 2 3" xfId="24719" xr:uid="{00000000-0005-0000-0000-0000AC0B0000}"/>
    <cellStyle name="Millares 3 5 2 3 2 3" xfId="11091" xr:uid="{00000000-0005-0000-0000-0000AD0B0000}"/>
    <cellStyle name="Millares 3 5 2 3 2 3 2" xfId="29273" xr:uid="{00000000-0005-0000-0000-0000AE0B0000}"/>
    <cellStyle name="Millares 3 5 2 3 2 4" xfId="20183" xr:uid="{00000000-0005-0000-0000-0000AF0B0000}"/>
    <cellStyle name="Millares 3 5 2 3 3" xfId="3392" xr:uid="{00000000-0005-0000-0000-0000B00B0000}"/>
    <cellStyle name="Millares 3 5 2 3 3 2" xfId="7948" xr:uid="{00000000-0005-0000-0000-0000B10B0000}"/>
    <cellStyle name="Millares 3 5 2 3 3 2 2" xfId="17044" xr:uid="{00000000-0005-0000-0000-0000B20B0000}"/>
    <cellStyle name="Millares 3 5 2 3 3 2 2 2" xfId="35226" xr:uid="{00000000-0005-0000-0000-0000B30B0000}"/>
    <cellStyle name="Millares 3 5 2 3 3 2 3" xfId="26136" xr:uid="{00000000-0005-0000-0000-0000B40B0000}"/>
    <cellStyle name="Millares 3 5 2 3 3 3" xfId="12504" xr:uid="{00000000-0005-0000-0000-0000B50B0000}"/>
    <cellStyle name="Millares 3 5 2 3 3 3 2" xfId="30686" xr:uid="{00000000-0005-0000-0000-0000B60B0000}"/>
    <cellStyle name="Millares 3 5 2 3 3 4" xfId="21596" xr:uid="{00000000-0005-0000-0000-0000B70B0000}"/>
    <cellStyle name="Millares 3 5 2 3 4" xfId="5031" xr:uid="{00000000-0005-0000-0000-0000B80B0000}"/>
    <cellStyle name="Millares 3 5 2 3 4 2" xfId="14131" xr:uid="{00000000-0005-0000-0000-0000B90B0000}"/>
    <cellStyle name="Millares 3 5 2 3 4 2 2" xfId="32313" xr:uid="{00000000-0005-0000-0000-0000BA0B0000}"/>
    <cellStyle name="Millares 3 5 2 3 4 3" xfId="23223" xr:uid="{00000000-0005-0000-0000-0000BB0B0000}"/>
    <cellStyle name="Millares 3 5 2 3 5" xfId="9597" xr:uid="{00000000-0005-0000-0000-0000BC0B0000}"/>
    <cellStyle name="Millares 3 5 2 3 5 2" xfId="27779" xr:uid="{00000000-0005-0000-0000-0000BD0B0000}"/>
    <cellStyle name="Millares 3 5 2 3 6" xfId="18688" xr:uid="{00000000-0005-0000-0000-0000BE0B0000}"/>
    <cellStyle name="Millares 3 5 2 4" xfId="381" xr:uid="{00000000-0005-0000-0000-0000BF0B0000}"/>
    <cellStyle name="Millares 3 5 2 4 2" xfId="3393" xr:uid="{00000000-0005-0000-0000-0000C00B0000}"/>
    <cellStyle name="Millares 3 5 2 4 2 2" xfId="7949" xr:uid="{00000000-0005-0000-0000-0000C10B0000}"/>
    <cellStyle name="Millares 3 5 2 4 2 2 2" xfId="17045" xr:uid="{00000000-0005-0000-0000-0000C20B0000}"/>
    <cellStyle name="Millares 3 5 2 4 2 2 2 2" xfId="35227" xr:uid="{00000000-0005-0000-0000-0000C30B0000}"/>
    <cellStyle name="Millares 3 5 2 4 2 2 3" xfId="26137" xr:uid="{00000000-0005-0000-0000-0000C40B0000}"/>
    <cellStyle name="Millares 3 5 2 4 2 3" xfId="12505" xr:uid="{00000000-0005-0000-0000-0000C50B0000}"/>
    <cellStyle name="Millares 3 5 2 4 2 3 2" xfId="30687" xr:uid="{00000000-0005-0000-0000-0000C60B0000}"/>
    <cellStyle name="Millares 3 5 2 4 2 4" xfId="21597" xr:uid="{00000000-0005-0000-0000-0000C70B0000}"/>
    <cellStyle name="Millares 3 5 2 4 3" xfId="5032" xr:uid="{00000000-0005-0000-0000-0000C80B0000}"/>
    <cellStyle name="Millares 3 5 2 4 3 2" xfId="14132" xr:uid="{00000000-0005-0000-0000-0000C90B0000}"/>
    <cellStyle name="Millares 3 5 2 4 3 2 2" xfId="32314" xr:uid="{00000000-0005-0000-0000-0000CA0B0000}"/>
    <cellStyle name="Millares 3 5 2 4 3 3" xfId="23224" xr:uid="{00000000-0005-0000-0000-0000CB0B0000}"/>
    <cellStyle name="Millares 3 5 2 4 4" xfId="9598" xr:uid="{00000000-0005-0000-0000-0000CC0B0000}"/>
    <cellStyle name="Millares 3 5 2 4 4 2" xfId="27780" xr:uid="{00000000-0005-0000-0000-0000CD0B0000}"/>
    <cellStyle name="Millares 3 5 2 4 5" xfId="18689" xr:uid="{00000000-0005-0000-0000-0000CE0B0000}"/>
    <cellStyle name="Millares 3 5 2 5" xfId="1923" xr:uid="{00000000-0005-0000-0000-0000CF0B0000}"/>
    <cellStyle name="Millares 3 5 2 6" xfId="3389" xr:uid="{00000000-0005-0000-0000-0000D00B0000}"/>
    <cellStyle name="Millares 3 5 2 6 2" xfId="7945" xr:uid="{00000000-0005-0000-0000-0000D10B0000}"/>
    <cellStyle name="Millares 3 5 2 6 2 2" xfId="17041" xr:uid="{00000000-0005-0000-0000-0000D20B0000}"/>
    <cellStyle name="Millares 3 5 2 6 2 2 2" xfId="35223" xr:uid="{00000000-0005-0000-0000-0000D30B0000}"/>
    <cellStyle name="Millares 3 5 2 6 2 3" xfId="26133" xr:uid="{00000000-0005-0000-0000-0000D40B0000}"/>
    <cellStyle name="Millares 3 5 2 6 3" xfId="12501" xr:uid="{00000000-0005-0000-0000-0000D50B0000}"/>
    <cellStyle name="Millares 3 5 2 6 3 2" xfId="30683" xr:uid="{00000000-0005-0000-0000-0000D60B0000}"/>
    <cellStyle name="Millares 3 5 2 6 4" xfId="21593" xr:uid="{00000000-0005-0000-0000-0000D70B0000}"/>
    <cellStyle name="Millares 3 5 2 7" xfId="5028" xr:uid="{00000000-0005-0000-0000-0000D80B0000}"/>
    <cellStyle name="Millares 3 5 2 7 2" xfId="14128" xr:uid="{00000000-0005-0000-0000-0000D90B0000}"/>
    <cellStyle name="Millares 3 5 2 7 2 2" xfId="32310" xr:uid="{00000000-0005-0000-0000-0000DA0B0000}"/>
    <cellStyle name="Millares 3 5 2 7 3" xfId="23220" xr:uid="{00000000-0005-0000-0000-0000DB0B0000}"/>
    <cellStyle name="Millares 3 5 2 8" xfId="9594" xr:uid="{00000000-0005-0000-0000-0000DC0B0000}"/>
    <cellStyle name="Millares 3 5 2 8 2" xfId="27776" xr:uid="{00000000-0005-0000-0000-0000DD0B0000}"/>
    <cellStyle name="Millares 3 5 2 9" xfId="18685" xr:uid="{00000000-0005-0000-0000-0000DE0B0000}"/>
    <cellStyle name="Millares 3 5 3" xfId="382" xr:uid="{00000000-0005-0000-0000-0000DF0B0000}"/>
    <cellStyle name="Millares 3 5 3 2" xfId="383" xr:uid="{00000000-0005-0000-0000-0000E00B0000}"/>
    <cellStyle name="Millares 3 5 3 2 2" xfId="1924" xr:uid="{00000000-0005-0000-0000-0000E10B0000}"/>
    <cellStyle name="Millares 3 5 3 2 2 2" xfId="6528" xr:uid="{00000000-0005-0000-0000-0000E20B0000}"/>
    <cellStyle name="Millares 3 5 3 2 2 2 2" xfId="15628" xr:uid="{00000000-0005-0000-0000-0000E30B0000}"/>
    <cellStyle name="Millares 3 5 3 2 2 2 2 2" xfId="33810" xr:uid="{00000000-0005-0000-0000-0000E40B0000}"/>
    <cellStyle name="Millares 3 5 3 2 2 2 3" xfId="24720" xr:uid="{00000000-0005-0000-0000-0000E50B0000}"/>
    <cellStyle name="Millares 3 5 3 2 2 3" xfId="11092" xr:uid="{00000000-0005-0000-0000-0000E60B0000}"/>
    <cellStyle name="Millares 3 5 3 2 2 3 2" xfId="29274" xr:uid="{00000000-0005-0000-0000-0000E70B0000}"/>
    <cellStyle name="Millares 3 5 3 2 2 4" xfId="20184" xr:uid="{00000000-0005-0000-0000-0000E80B0000}"/>
    <cellStyle name="Millares 3 5 3 2 3" xfId="3395" xr:uid="{00000000-0005-0000-0000-0000E90B0000}"/>
    <cellStyle name="Millares 3 5 3 2 3 2" xfId="7951" xr:uid="{00000000-0005-0000-0000-0000EA0B0000}"/>
    <cellStyle name="Millares 3 5 3 2 3 2 2" xfId="17047" xr:uid="{00000000-0005-0000-0000-0000EB0B0000}"/>
    <cellStyle name="Millares 3 5 3 2 3 2 2 2" xfId="35229" xr:uid="{00000000-0005-0000-0000-0000EC0B0000}"/>
    <cellStyle name="Millares 3 5 3 2 3 2 3" xfId="26139" xr:uid="{00000000-0005-0000-0000-0000ED0B0000}"/>
    <cellStyle name="Millares 3 5 3 2 3 3" xfId="12507" xr:uid="{00000000-0005-0000-0000-0000EE0B0000}"/>
    <cellStyle name="Millares 3 5 3 2 3 3 2" xfId="30689" xr:uid="{00000000-0005-0000-0000-0000EF0B0000}"/>
    <cellStyle name="Millares 3 5 3 2 3 4" xfId="21599" xr:uid="{00000000-0005-0000-0000-0000F00B0000}"/>
    <cellStyle name="Millares 3 5 3 2 4" xfId="5034" xr:uid="{00000000-0005-0000-0000-0000F10B0000}"/>
    <cellStyle name="Millares 3 5 3 2 4 2" xfId="14134" xr:uid="{00000000-0005-0000-0000-0000F20B0000}"/>
    <cellStyle name="Millares 3 5 3 2 4 2 2" xfId="32316" xr:uid="{00000000-0005-0000-0000-0000F30B0000}"/>
    <cellStyle name="Millares 3 5 3 2 4 3" xfId="23226" xr:uid="{00000000-0005-0000-0000-0000F40B0000}"/>
    <cellStyle name="Millares 3 5 3 2 5" xfId="9600" xr:uid="{00000000-0005-0000-0000-0000F50B0000}"/>
    <cellStyle name="Millares 3 5 3 2 5 2" xfId="27782" xr:uid="{00000000-0005-0000-0000-0000F60B0000}"/>
    <cellStyle name="Millares 3 5 3 2 6" xfId="18691" xr:uid="{00000000-0005-0000-0000-0000F70B0000}"/>
    <cellStyle name="Millares 3 5 3 3" xfId="1925" xr:uid="{00000000-0005-0000-0000-0000F80B0000}"/>
    <cellStyle name="Millares 3 5 3 3 2" xfId="6529" xr:uid="{00000000-0005-0000-0000-0000F90B0000}"/>
    <cellStyle name="Millares 3 5 3 3 2 2" xfId="15629" xr:uid="{00000000-0005-0000-0000-0000FA0B0000}"/>
    <cellStyle name="Millares 3 5 3 3 2 2 2" xfId="33811" xr:uid="{00000000-0005-0000-0000-0000FB0B0000}"/>
    <cellStyle name="Millares 3 5 3 3 2 3" xfId="24721" xr:uid="{00000000-0005-0000-0000-0000FC0B0000}"/>
    <cellStyle name="Millares 3 5 3 3 3" xfId="11093" xr:uid="{00000000-0005-0000-0000-0000FD0B0000}"/>
    <cellStyle name="Millares 3 5 3 3 3 2" xfId="29275" xr:uid="{00000000-0005-0000-0000-0000FE0B0000}"/>
    <cellStyle name="Millares 3 5 3 3 4" xfId="20185" xr:uid="{00000000-0005-0000-0000-0000FF0B0000}"/>
    <cellStyle name="Millares 3 5 3 4" xfId="3394" xr:uid="{00000000-0005-0000-0000-0000000C0000}"/>
    <cellStyle name="Millares 3 5 3 4 2" xfId="7950" xr:uid="{00000000-0005-0000-0000-0000010C0000}"/>
    <cellStyle name="Millares 3 5 3 4 2 2" xfId="17046" xr:uid="{00000000-0005-0000-0000-0000020C0000}"/>
    <cellStyle name="Millares 3 5 3 4 2 2 2" xfId="35228" xr:uid="{00000000-0005-0000-0000-0000030C0000}"/>
    <cellStyle name="Millares 3 5 3 4 2 3" xfId="26138" xr:uid="{00000000-0005-0000-0000-0000040C0000}"/>
    <cellStyle name="Millares 3 5 3 4 3" xfId="12506" xr:uid="{00000000-0005-0000-0000-0000050C0000}"/>
    <cellStyle name="Millares 3 5 3 4 3 2" xfId="30688" xr:uid="{00000000-0005-0000-0000-0000060C0000}"/>
    <cellStyle name="Millares 3 5 3 4 4" xfId="21598" xr:uid="{00000000-0005-0000-0000-0000070C0000}"/>
    <cellStyle name="Millares 3 5 3 5" xfId="5033" xr:uid="{00000000-0005-0000-0000-0000080C0000}"/>
    <cellStyle name="Millares 3 5 3 5 2" xfId="14133" xr:uid="{00000000-0005-0000-0000-0000090C0000}"/>
    <cellStyle name="Millares 3 5 3 5 2 2" xfId="32315" xr:uid="{00000000-0005-0000-0000-00000A0C0000}"/>
    <cellStyle name="Millares 3 5 3 5 3" xfId="23225" xr:uid="{00000000-0005-0000-0000-00000B0C0000}"/>
    <cellStyle name="Millares 3 5 3 6" xfId="9599" xr:uid="{00000000-0005-0000-0000-00000C0C0000}"/>
    <cellStyle name="Millares 3 5 3 6 2" xfId="27781" xr:uid="{00000000-0005-0000-0000-00000D0C0000}"/>
    <cellStyle name="Millares 3 5 3 7" xfId="18690" xr:uid="{00000000-0005-0000-0000-00000E0C0000}"/>
    <cellStyle name="Millares 3 5 4" xfId="384" xr:uid="{00000000-0005-0000-0000-00000F0C0000}"/>
    <cellStyle name="Millares 3 5 4 2" xfId="1926" xr:uid="{00000000-0005-0000-0000-0000100C0000}"/>
    <cellStyle name="Millares 3 5 4 2 2" xfId="6530" xr:uid="{00000000-0005-0000-0000-0000110C0000}"/>
    <cellStyle name="Millares 3 5 4 2 2 2" xfId="15630" xr:uid="{00000000-0005-0000-0000-0000120C0000}"/>
    <cellStyle name="Millares 3 5 4 2 2 2 2" xfId="33812" xr:uid="{00000000-0005-0000-0000-0000130C0000}"/>
    <cellStyle name="Millares 3 5 4 2 2 3" xfId="24722" xr:uid="{00000000-0005-0000-0000-0000140C0000}"/>
    <cellStyle name="Millares 3 5 4 2 3" xfId="11094" xr:uid="{00000000-0005-0000-0000-0000150C0000}"/>
    <cellStyle name="Millares 3 5 4 2 3 2" xfId="29276" xr:uid="{00000000-0005-0000-0000-0000160C0000}"/>
    <cellStyle name="Millares 3 5 4 2 4" xfId="20186" xr:uid="{00000000-0005-0000-0000-0000170C0000}"/>
    <cellStyle name="Millares 3 5 4 3" xfId="3396" xr:uid="{00000000-0005-0000-0000-0000180C0000}"/>
    <cellStyle name="Millares 3 5 4 3 2" xfId="7952" xr:uid="{00000000-0005-0000-0000-0000190C0000}"/>
    <cellStyle name="Millares 3 5 4 3 2 2" xfId="17048" xr:uid="{00000000-0005-0000-0000-00001A0C0000}"/>
    <cellStyle name="Millares 3 5 4 3 2 2 2" xfId="35230" xr:uid="{00000000-0005-0000-0000-00001B0C0000}"/>
    <cellStyle name="Millares 3 5 4 3 2 3" xfId="26140" xr:uid="{00000000-0005-0000-0000-00001C0C0000}"/>
    <cellStyle name="Millares 3 5 4 3 3" xfId="12508" xr:uid="{00000000-0005-0000-0000-00001D0C0000}"/>
    <cellStyle name="Millares 3 5 4 3 3 2" xfId="30690" xr:uid="{00000000-0005-0000-0000-00001E0C0000}"/>
    <cellStyle name="Millares 3 5 4 3 4" xfId="21600" xr:uid="{00000000-0005-0000-0000-00001F0C0000}"/>
    <cellStyle name="Millares 3 5 4 4" xfId="5035" xr:uid="{00000000-0005-0000-0000-0000200C0000}"/>
    <cellStyle name="Millares 3 5 4 4 2" xfId="14135" xr:uid="{00000000-0005-0000-0000-0000210C0000}"/>
    <cellStyle name="Millares 3 5 4 4 2 2" xfId="32317" xr:uid="{00000000-0005-0000-0000-0000220C0000}"/>
    <cellStyle name="Millares 3 5 4 4 3" xfId="23227" xr:uid="{00000000-0005-0000-0000-0000230C0000}"/>
    <cellStyle name="Millares 3 5 4 5" xfId="9601" xr:uid="{00000000-0005-0000-0000-0000240C0000}"/>
    <cellStyle name="Millares 3 5 4 5 2" xfId="27783" xr:uid="{00000000-0005-0000-0000-0000250C0000}"/>
    <cellStyle name="Millares 3 5 4 6" xfId="18692" xr:uid="{00000000-0005-0000-0000-0000260C0000}"/>
    <cellStyle name="Millares 3 5 5" xfId="385" xr:uid="{00000000-0005-0000-0000-0000270C0000}"/>
    <cellStyle name="Millares 3 5 5 2" xfId="3397" xr:uid="{00000000-0005-0000-0000-0000280C0000}"/>
    <cellStyle name="Millares 3 5 5 2 2" xfId="7953" xr:uid="{00000000-0005-0000-0000-0000290C0000}"/>
    <cellStyle name="Millares 3 5 5 2 2 2" xfId="17049" xr:uid="{00000000-0005-0000-0000-00002A0C0000}"/>
    <cellStyle name="Millares 3 5 5 2 2 2 2" xfId="35231" xr:uid="{00000000-0005-0000-0000-00002B0C0000}"/>
    <cellStyle name="Millares 3 5 5 2 2 3" xfId="26141" xr:uid="{00000000-0005-0000-0000-00002C0C0000}"/>
    <cellStyle name="Millares 3 5 5 2 3" xfId="12509" xr:uid="{00000000-0005-0000-0000-00002D0C0000}"/>
    <cellStyle name="Millares 3 5 5 2 3 2" xfId="30691" xr:uid="{00000000-0005-0000-0000-00002E0C0000}"/>
    <cellStyle name="Millares 3 5 5 2 4" xfId="21601" xr:uid="{00000000-0005-0000-0000-00002F0C0000}"/>
    <cellStyle name="Millares 3 5 5 3" xfId="5036" xr:uid="{00000000-0005-0000-0000-0000300C0000}"/>
    <cellStyle name="Millares 3 5 5 3 2" xfId="14136" xr:uid="{00000000-0005-0000-0000-0000310C0000}"/>
    <cellStyle name="Millares 3 5 5 3 2 2" xfId="32318" xr:uid="{00000000-0005-0000-0000-0000320C0000}"/>
    <cellStyle name="Millares 3 5 5 3 3" xfId="23228" xr:uid="{00000000-0005-0000-0000-0000330C0000}"/>
    <cellStyle name="Millares 3 5 5 4" xfId="9602" xr:uid="{00000000-0005-0000-0000-0000340C0000}"/>
    <cellStyle name="Millares 3 5 5 4 2" xfId="27784" xr:uid="{00000000-0005-0000-0000-0000350C0000}"/>
    <cellStyle name="Millares 3 5 5 5" xfId="18693" xr:uid="{00000000-0005-0000-0000-0000360C0000}"/>
    <cellStyle name="Millares 3 5 6" xfId="1927" xr:uid="{00000000-0005-0000-0000-0000370C0000}"/>
    <cellStyle name="Millares 3 5 6 2" xfId="6531" xr:uid="{00000000-0005-0000-0000-0000380C0000}"/>
    <cellStyle name="Millares 3 5 6 2 2" xfId="15631" xr:uid="{00000000-0005-0000-0000-0000390C0000}"/>
    <cellStyle name="Millares 3 5 6 2 2 2" xfId="33813" xr:uid="{00000000-0005-0000-0000-00003A0C0000}"/>
    <cellStyle name="Millares 3 5 6 2 3" xfId="24723" xr:uid="{00000000-0005-0000-0000-00003B0C0000}"/>
    <cellStyle name="Millares 3 5 6 3" xfId="11095" xr:uid="{00000000-0005-0000-0000-00003C0C0000}"/>
    <cellStyle name="Millares 3 5 6 3 2" xfId="29277" xr:uid="{00000000-0005-0000-0000-00003D0C0000}"/>
    <cellStyle name="Millares 3 5 6 4" xfId="20187" xr:uid="{00000000-0005-0000-0000-00003E0C0000}"/>
    <cellStyle name="Millares 3 5 7" xfId="3388" xr:uid="{00000000-0005-0000-0000-00003F0C0000}"/>
    <cellStyle name="Millares 3 5 7 2" xfId="7944" xr:uid="{00000000-0005-0000-0000-0000400C0000}"/>
    <cellStyle name="Millares 3 5 7 2 2" xfId="17040" xr:uid="{00000000-0005-0000-0000-0000410C0000}"/>
    <cellStyle name="Millares 3 5 7 2 2 2" xfId="35222" xr:uid="{00000000-0005-0000-0000-0000420C0000}"/>
    <cellStyle name="Millares 3 5 7 2 3" xfId="26132" xr:uid="{00000000-0005-0000-0000-0000430C0000}"/>
    <cellStyle name="Millares 3 5 7 3" xfId="12500" xr:uid="{00000000-0005-0000-0000-0000440C0000}"/>
    <cellStyle name="Millares 3 5 7 3 2" xfId="30682" xr:uid="{00000000-0005-0000-0000-0000450C0000}"/>
    <cellStyle name="Millares 3 5 7 4" xfId="21592" xr:uid="{00000000-0005-0000-0000-0000460C0000}"/>
    <cellStyle name="Millares 3 5 8" xfId="5027" xr:uid="{00000000-0005-0000-0000-0000470C0000}"/>
    <cellStyle name="Millares 3 5 8 2" xfId="14127" xr:uid="{00000000-0005-0000-0000-0000480C0000}"/>
    <cellStyle name="Millares 3 5 8 2 2" xfId="32309" xr:uid="{00000000-0005-0000-0000-0000490C0000}"/>
    <cellStyle name="Millares 3 5 8 3" xfId="23219" xr:uid="{00000000-0005-0000-0000-00004A0C0000}"/>
    <cellStyle name="Millares 3 5 9" xfId="9593" xr:uid="{00000000-0005-0000-0000-00004B0C0000}"/>
    <cellStyle name="Millares 3 5 9 2" xfId="27775" xr:uid="{00000000-0005-0000-0000-00004C0C0000}"/>
    <cellStyle name="Millares 3 6" xfId="386" xr:uid="{00000000-0005-0000-0000-00004D0C0000}"/>
    <cellStyle name="Millares 3 6 10" xfId="18694" xr:uid="{00000000-0005-0000-0000-00004E0C0000}"/>
    <cellStyle name="Millares 3 6 2" xfId="387" xr:uid="{00000000-0005-0000-0000-00004F0C0000}"/>
    <cellStyle name="Millares 3 6 2 2" xfId="388" xr:uid="{00000000-0005-0000-0000-0000500C0000}"/>
    <cellStyle name="Millares 3 6 2 2 2" xfId="389" xr:uid="{00000000-0005-0000-0000-0000510C0000}"/>
    <cellStyle name="Millares 3 6 2 2 2 2" xfId="1928" xr:uid="{00000000-0005-0000-0000-0000520C0000}"/>
    <cellStyle name="Millares 3 6 2 2 2 2 2" xfId="6532" xr:uid="{00000000-0005-0000-0000-0000530C0000}"/>
    <cellStyle name="Millares 3 6 2 2 2 2 2 2" xfId="15632" xr:uid="{00000000-0005-0000-0000-0000540C0000}"/>
    <cellStyle name="Millares 3 6 2 2 2 2 2 2 2" xfId="33814" xr:uid="{00000000-0005-0000-0000-0000550C0000}"/>
    <cellStyle name="Millares 3 6 2 2 2 2 2 3" xfId="24724" xr:uid="{00000000-0005-0000-0000-0000560C0000}"/>
    <cellStyle name="Millares 3 6 2 2 2 2 3" xfId="11096" xr:uid="{00000000-0005-0000-0000-0000570C0000}"/>
    <cellStyle name="Millares 3 6 2 2 2 2 3 2" xfId="29278" xr:uid="{00000000-0005-0000-0000-0000580C0000}"/>
    <cellStyle name="Millares 3 6 2 2 2 2 4" xfId="20188" xr:uid="{00000000-0005-0000-0000-0000590C0000}"/>
    <cellStyle name="Millares 3 6 2 2 2 3" xfId="3401" xr:uid="{00000000-0005-0000-0000-00005A0C0000}"/>
    <cellStyle name="Millares 3 6 2 2 2 3 2" xfId="7957" xr:uid="{00000000-0005-0000-0000-00005B0C0000}"/>
    <cellStyle name="Millares 3 6 2 2 2 3 2 2" xfId="17053" xr:uid="{00000000-0005-0000-0000-00005C0C0000}"/>
    <cellStyle name="Millares 3 6 2 2 2 3 2 2 2" xfId="35235" xr:uid="{00000000-0005-0000-0000-00005D0C0000}"/>
    <cellStyle name="Millares 3 6 2 2 2 3 2 3" xfId="26145" xr:uid="{00000000-0005-0000-0000-00005E0C0000}"/>
    <cellStyle name="Millares 3 6 2 2 2 3 3" xfId="12513" xr:uid="{00000000-0005-0000-0000-00005F0C0000}"/>
    <cellStyle name="Millares 3 6 2 2 2 3 3 2" xfId="30695" xr:uid="{00000000-0005-0000-0000-0000600C0000}"/>
    <cellStyle name="Millares 3 6 2 2 2 3 4" xfId="21605" xr:uid="{00000000-0005-0000-0000-0000610C0000}"/>
    <cellStyle name="Millares 3 6 2 2 2 4" xfId="5040" xr:uid="{00000000-0005-0000-0000-0000620C0000}"/>
    <cellStyle name="Millares 3 6 2 2 2 4 2" xfId="14140" xr:uid="{00000000-0005-0000-0000-0000630C0000}"/>
    <cellStyle name="Millares 3 6 2 2 2 4 2 2" xfId="32322" xr:uid="{00000000-0005-0000-0000-0000640C0000}"/>
    <cellStyle name="Millares 3 6 2 2 2 4 3" xfId="23232" xr:uid="{00000000-0005-0000-0000-0000650C0000}"/>
    <cellStyle name="Millares 3 6 2 2 2 5" xfId="9606" xr:uid="{00000000-0005-0000-0000-0000660C0000}"/>
    <cellStyle name="Millares 3 6 2 2 2 5 2" xfId="27788" xr:uid="{00000000-0005-0000-0000-0000670C0000}"/>
    <cellStyle name="Millares 3 6 2 2 2 6" xfId="18697" xr:uid="{00000000-0005-0000-0000-0000680C0000}"/>
    <cellStyle name="Millares 3 6 2 2 3" xfId="1929" xr:uid="{00000000-0005-0000-0000-0000690C0000}"/>
    <cellStyle name="Millares 3 6 2 2 3 2" xfId="6533" xr:uid="{00000000-0005-0000-0000-00006A0C0000}"/>
    <cellStyle name="Millares 3 6 2 2 3 2 2" xfId="15633" xr:uid="{00000000-0005-0000-0000-00006B0C0000}"/>
    <cellStyle name="Millares 3 6 2 2 3 2 2 2" xfId="33815" xr:uid="{00000000-0005-0000-0000-00006C0C0000}"/>
    <cellStyle name="Millares 3 6 2 2 3 2 3" xfId="24725" xr:uid="{00000000-0005-0000-0000-00006D0C0000}"/>
    <cellStyle name="Millares 3 6 2 2 3 3" xfId="11097" xr:uid="{00000000-0005-0000-0000-00006E0C0000}"/>
    <cellStyle name="Millares 3 6 2 2 3 3 2" xfId="29279" xr:uid="{00000000-0005-0000-0000-00006F0C0000}"/>
    <cellStyle name="Millares 3 6 2 2 3 4" xfId="20189" xr:uid="{00000000-0005-0000-0000-0000700C0000}"/>
    <cellStyle name="Millares 3 6 2 2 4" xfId="3400" xr:uid="{00000000-0005-0000-0000-0000710C0000}"/>
    <cellStyle name="Millares 3 6 2 2 4 2" xfId="7956" xr:uid="{00000000-0005-0000-0000-0000720C0000}"/>
    <cellStyle name="Millares 3 6 2 2 4 2 2" xfId="17052" xr:uid="{00000000-0005-0000-0000-0000730C0000}"/>
    <cellStyle name="Millares 3 6 2 2 4 2 2 2" xfId="35234" xr:uid="{00000000-0005-0000-0000-0000740C0000}"/>
    <cellStyle name="Millares 3 6 2 2 4 2 3" xfId="26144" xr:uid="{00000000-0005-0000-0000-0000750C0000}"/>
    <cellStyle name="Millares 3 6 2 2 4 3" xfId="12512" xr:uid="{00000000-0005-0000-0000-0000760C0000}"/>
    <cellStyle name="Millares 3 6 2 2 4 3 2" xfId="30694" xr:uid="{00000000-0005-0000-0000-0000770C0000}"/>
    <cellStyle name="Millares 3 6 2 2 4 4" xfId="21604" xr:uid="{00000000-0005-0000-0000-0000780C0000}"/>
    <cellStyle name="Millares 3 6 2 2 5" xfId="5039" xr:uid="{00000000-0005-0000-0000-0000790C0000}"/>
    <cellStyle name="Millares 3 6 2 2 5 2" xfId="14139" xr:uid="{00000000-0005-0000-0000-00007A0C0000}"/>
    <cellStyle name="Millares 3 6 2 2 5 2 2" xfId="32321" xr:uid="{00000000-0005-0000-0000-00007B0C0000}"/>
    <cellStyle name="Millares 3 6 2 2 5 3" xfId="23231" xr:uid="{00000000-0005-0000-0000-00007C0C0000}"/>
    <cellStyle name="Millares 3 6 2 2 6" xfId="9605" xr:uid="{00000000-0005-0000-0000-00007D0C0000}"/>
    <cellStyle name="Millares 3 6 2 2 6 2" xfId="27787" xr:uid="{00000000-0005-0000-0000-00007E0C0000}"/>
    <cellStyle name="Millares 3 6 2 2 7" xfId="18696" xr:uid="{00000000-0005-0000-0000-00007F0C0000}"/>
    <cellStyle name="Millares 3 6 2 3" xfId="390" xr:uid="{00000000-0005-0000-0000-0000800C0000}"/>
    <cellStyle name="Millares 3 6 2 3 2" xfId="1930" xr:uid="{00000000-0005-0000-0000-0000810C0000}"/>
    <cellStyle name="Millares 3 6 2 3 2 2" xfId="6534" xr:uid="{00000000-0005-0000-0000-0000820C0000}"/>
    <cellStyle name="Millares 3 6 2 3 2 2 2" xfId="15634" xr:uid="{00000000-0005-0000-0000-0000830C0000}"/>
    <cellStyle name="Millares 3 6 2 3 2 2 2 2" xfId="33816" xr:uid="{00000000-0005-0000-0000-0000840C0000}"/>
    <cellStyle name="Millares 3 6 2 3 2 2 3" xfId="24726" xr:uid="{00000000-0005-0000-0000-0000850C0000}"/>
    <cellStyle name="Millares 3 6 2 3 2 3" xfId="11098" xr:uid="{00000000-0005-0000-0000-0000860C0000}"/>
    <cellStyle name="Millares 3 6 2 3 2 3 2" xfId="29280" xr:uid="{00000000-0005-0000-0000-0000870C0000}"/>
    <cellStyle name="Millares 3 6 2 3 2 4" xfId="20190" xr:uid="{00000000-0005-0000-0000-0000880C0000}"/>
    <cellStyle name="Millares 3 6 2 3 3" xfId="3402" xr:uid="{00000000-0005-0000-0000-0000890C0000}"/>
    <cellStyle name="Millares 3 6 2 3 3 2" xfId="7958" xr:uid="{00000000-0005-0000-0000-00008A0C0000}"/>
    <cellStyle name="Millares 3 6 2 3 3 2 2" xfId="17054" xr:uid="{00000000-0005-0000-0000-00008B0C0000}"/>
    <cellStyle name="Millares 3 6 2 3 3 2 2 2" xfId="35236" xr:uid="{00000000-0005-0000-0000-00008C0C0000}"/>
    <cellStyle name="Millares 3 6 2 3 3 2 3" xfId="26146" xr:uid="{00000000-0005-0000-0000-00008D0C0000}"/>
    <cellStyle name="Millares 3 6 2 3 3 3" xfId="12514" xr:uid="{00000000-0005-0000-0000-00008E0C0000}"/>
    <cellStyle name="Millares 3 6 2 3 3 3 2" xfId="30696" xr:uid="{00000000-0005-0000-0000-00008F0C0000}"/>
    <cellStyle name="Millares 3 6 2 3 3 4" xfId="21606" xr:uid="{00000000-0005-0000-0000-0000900C0000}"/>
    <cellStyle name="Millares 3 6 2 3 4" xfId="5041" xr:uid="{00000000-0005-0000-0000-0000910C0000}"/>
    <cellStyle name="Millares 3 6 2 3 4 2" xfId="14141" xr:uid="{00000000-0005-0000-0000-0000920C0000}"/>
    <cellStyle name="Millares 3 6 2 3 4 2 2" xfId="32323" xr:uid="{00000000-0005-0000-0000-0000930C0000}"/>
    <cellStyle name="Millares 3 6 2 3 4 3" xfId="23233" xr:uid="{00000000-0005-0000-0000-0000940C0000}"/>
    <cellStyle name="Millares 3 6 2 3 5" xfId="9607" xr:uid="{00000000-0005-0000-0000-0000950C0000}"/>
    <cellStyle name="Millares 3 6 2 3 5 2" xfId="27789" xr:uid="{00000000-0005-0000-0000-0000960C0000}"/>
    <cellStyle name="Millares 3 6 2 3 6" xfId="18698" xr:uid="{00000000-0005-0000-0000-0000970C0000}"/>
    <cellStyle name="Millares 3 6 2 4" xfId="391" xr:uid="{00000000-0005-0000-0000-0000980C0000}"/>
    <cellStyle name="Millares 3 6 2 4 2" xfId="3403" xr:uid="{00000000-0005-0000-0000-0000990C0000}"/>
    <cellStyle name="Millares 3 6 2 4 2 2" xfId="7959" xr:uid="{00000000-0005-0000-0000-00009A0C0000}"/>
    <cellStyle name="Millares 3 6 2 4 2 2 2" xfId="17055" xr:uid="{00000000-0005-0000-0000-00009B0C0000}"/>
    <cellStyle name="Millares 3 6 2 4 2 2 2 2" xfId="35237" xr:uid="{00000000-0005-0000-0000-00009C0C0000}"/>
    <cellStyle name="Millares 3 6 2 4 2 2 3" xfId="26147" xr:uid="{00000000-0005-0000-0000-00009D0C0000}"/>
    <cellStyle name="Millares 3 6 2 4 2 3" xfId="12515" xr:uid="{00000000-0005-0000-0000-00009E0C0000}"/>
    <cellStyle name="Millares 3 6 2 4 2 3 2" xfId="30697" xr:uid="{00000000-0005-0000-0000-00009F0C0000}"/>
    <cellStyle name="Millares 3 6 2 4 2 4" xfId="21607" xr:uid="{00000000-0005-0000-0000-0000A00C0000}"/>
    <cellStyle name="Millares 3 6 2 4 3" xfId="5042" xr:uid="{00000000-0005-0000-0000-0000A10C0000}"/>
    <cellStyle name="Millares 3 6 2 4 3 2" xfId="14142" xr:uid="{00000000-0005-0000-0000-0000A20C0000}"/>
    <cellStyle name="Millares 3 6 2 4 3 2 2" xfId="32324" xr:uid="{00000000-0005-0000-0000-0000A30C0000}"/>
    <cellStyle name="Millares 3 6 2 4 3 3" xfId="23234" xr:uid="{00000000-0005-0000-0000-0000A40C0000}"/>
    <cellStyle name="Millares 3 6 2 4 4" xfId="9608" xr:uid="{00000000-0005-0000-0000-0000A50C0000}"/>
    <cellStyle name="Millares 3 6 2 4 4 2" xfId="27790" xr:uid="{00000000-0005-0000-0000-0000A60C0000}"/>
    <cellStyle name="Millares 3 6 2 4 5" xfId="18699" xr:uid="{00000000-0005-0000-0000-0000A70C0000}"/>
    <cellStyle name="Millares 3 6 2 5" xfId="1931" xr:uid="{00000000-0005-0000-0000-0000A80C0000}"/>
    <cellStyle name="Millares 3 6 2 6" xfId="3399" xr:uid="{00000000-0005-0000-0000-0000A90C0000}"/>
    <cellStyle name="Millares 3 6 2 6 2" xfId="7955" xr:uid="{00000000-0005-0000-0000-0000AA0C0000}"/>
    <cellStyle name="Millares 3 6 2 6 2 2" xfId="17051" xr:uid="{00000000-0005-0000-0000-0000AB0C0000}"/>
    <cellStyle name="Millares 3 6 2 6 2 2 2" xfId="35233" xr:uid="{00000000-0005-0000-0000-0000AC0C0000}"/>
    <cellStyle name="Millares 3 6 2 6 2 3" xfId="26143" xr:uid="{00000000-0005-0000-0000-0000AD0C0000}"/>
    <cellStyle name="Millares 3 6 2 6 3" xfId="12511" xr:uid="{00000000-0005-0000-0000-0000AE0C0000}"/>
    <cellStyle name="Millares 3 6 2 6 3 2" xfId="30693" xr:uid="{00000000-0005-0000-0000-0000AF0C0000}"/>
    <cellStyle name="Millares 3 6 2 6 4" xfId="21603" xr:uid="{00000000-0005-0000-0000-0000B00C0000}"/>
    <cellStyle name="Millares 3 6 2 7" xfId="5038" xr:uid="{00000000-0005-0000-0000-0000B10C0000}"/>
    <cellStyle name="Millares 3 6 2 7 2" xfId="14138" xr:uid="{00000000-0005-0000-0000-0000B20C0000}"/>
    <cellStyle name="Millares 3 6 2 7 2 2" xfId="32320" xr:uid="{00000000-0005-0000-0000-0000B30C0000}"/>
    <cellStyle name="Millares 3 6 2 7 3" xfId="23230" xr:uid="{00000000-0005-0000-0000-0000B40C0000}"/>
    <cellStyle name="Millares 3 6 2 8" xfId="9604" xr:uid="{00000000-0005-0000-0000-0000B50C0000}"/>
    <cellStyle name="Millares 3 6 2 8 2" xfId="27786" xr:uid="{00000000-0005-0000-0000-0000B60C0000}"/>
    <cellStyle name="Millares 3 6 2 9" xfId="18695" xr:uid="{00000000-0005-0000-0000-0000B70C0000}"/>
    <cellStyle name="Millares 3 6 3" xfId="392" xr:uid="{00000000-0005-0000-0000-0000B80C0000}"/>
    <cellStyle name="Millares 3 6 3 2" xfId="393" xr:uid="{00000000-0005-0000-0000-0000B90C0000}"/>
    <cellStyle name="Millares 3 6 3 2 2" xfId="1932" xr:uid="{00000000-0005-0000-0000-0000BA0C0000}"/>
    <cellStyle name="Millares 3 6 3 2 2 2" xfId="6535" xr:uid="{00000000-0005-0000-0000-0000BB0C0000}"/>
    <cellStyle name="Millares 3 6 3 2 2 2 2" xfId="15635" xr:uid="{00000000-0005-0000-0000-0000BC0C0000}"/>
    <cellStyle name="Millares 3 6 3 2 2 2 2 2" xfId="33817" xr:uid="{00000000-0005-0000-0000-0000BD0C0000}"/>
    <cellStyle name="Millares 3 6 3 2 2 2 3" xfId="24727" xr:uid="{00000000-0005-0000-0000-0000BE0C0000}"/>
    <cellStyle name="Millares 3 6 3 2 2 3" xfId="11099" xr:uid="{00000000-0005-0000-0000-0000BF0C0000}"/>
    <cellStyle name="Millares 3 6 3 2 2 3 2" xfId="29281" xr:uid="{00000000-0005-0000-0000-0000C00C0000}"/>
    <cellStyle name="Millares 3 6 3 2 2 4" xfId="20191" xr:uid="{00000000-0005-0000-0000-0000C10C0000}"/>
    <cellStyle name="Millares 3 6 3 2 3" xfId="3405" xr:uid="{00000000-0005-0000-0000-0000C20C0000}"/>
    <cellStyle name="Millares 3 6 3 2 3 2" xfId="7961" xr:uid="{00000000-0005-0000-0000-0000C30C0000}"/>
    <cellStyle name="Millares 3 6 3 2 3 2 2" xfId="17057" xr:uid="{00000000-0005-0000-0000-0000C40C0000}"/>
    <cellStyle name="Millares 3 6 3 2 3 2 2 2" xfId="35239" xr:uid="{00000000-0005-0000-0000-0000C50C0000}"/>
    <cellStyle name="Millares 3 6 3 2 3 2 3" xfId="26149" xr:uid="{00000000-0005-0000-0000-0000C60C0000}"/>
    <cellStyle name="Millares 3 6 3 2 3 3" xfId="12517" xr:uid="{00000000-0005-0000-0000-0000C70C0000}"/>
    <cellStyle name="Millares 3 6 3 2 3 3 2" xfId="30699" xr:uid="{00000000-0005-0000-0000-0000C80C0000}"/>
    <cellStyle name="Millares 3 6 3 2 3 4" xfId="21609" xr:uid="{00000000-0005-0000-0000-0000C90C0000}"/>
    <cellStyle name="Millares 3 6 3 2 4" xfId="5044" xr:uid="{00000000-0005-0000-0000-0000CA0C0000}"/>
    <cellStyle name="Millares 3 6 3 2 4 2" xfId="14144" xr:uid="{00000000-0005-0000-0000-0000CB0C0000}"/>
    <cellStyle name="Millares 3 6 3 2 4 2 2" xfId="32326" xr:uid="{00000000-0005-0000-0000-0000CC0C0000}"/>
    <cellStyle name="Millares 3 6 3 2 4 3" xfId="23236" xr:uid="{00000000-0005-0000-0000-0000CD0C0000}"/>
    <cellStyle name="Millares 3 6 3 2 5" xfId="9610" xr:uid="{00000000-0005-0000-0000-0000CE0C0000}"/>
    <cellStyle name="Millares 3 6 3 2 5 2" xfId="27792" xr:uid="{00000000-0005-0000-0000-0000CF0C0000}"/>
    <cellStyle name="Millares 3 6 3 2 6" xfId="18701" xr:uid="{00000000-0005-0000-0000-0000D00C0000}"/>
    <cellStyle name="Millares 3 6 3 3" xfId="1933" xr:uid="{00000000-0005-0000-0000-0000D10C0000}"/>
    <cellStyle name="Millares 3 6 3 3 2" xfId="6536" xr:uid="{00000000-0005-0000-0000-0000D20C0000}"/>
    <cellStyle name="Millares 3 6 3 3 2 2" xfId="15636" xr:uid="{00000000-0005-0000-0000-0000D30C0000}"/>
    <cellStyle name="Millares 3 6 3 3 2 2 2" xfId="33818" xr:uid="{00000000-0005-0000-0000-0000D40C0000}"/>
    <cellStyle name="Millares 3 6 3 3 2 3" xfId="24728" xr:uid="{00000000-0005-0000-0000-0000D50C0000}"/>
    <cellStyle name="Millares 3 6 3 3 3" xfId="11100" xr:uid="{00000000-0005-0000-0000-0000D60C0000}"/>
    <cellStyle name="Millares 3 6 3 3 3 2" xfId="29282" xr:uid="{00000000-0005-0000-0000-0000D70C0000}"/>
    <cellStyle name="Millares 3 6 3 3 4" xfId="20192" xr:uid="{00000000-0005-0000-0000-0000D80C0000}"/>
    <cellStyle name="Millares 3 6 3 4" xfId="3404" xr:uid="{00000000-0005-0000-0000-0000D90C0000}"/>
    <cellStyle name="Millares 3 6 3 4 2" xfId="7960" xr:uid="{00000000-0005-0000-0000-0000DA0C0000}"/>
    <cellStyle name="Millares 3 6 3 4 2 2" xfId="17056" xr:uid="{00000000-0005-0000-0000-0000DB0C0000}"/>
    <cellStyle name="Millares 3 6 3 4 2 2 2" xfId="35238" xr:uid="{00000000-0005-0000-0000-0000DC0C0000}"/>
    <cellStyle name="Millares 3 6 3 4 2 3" xfId="26148" xr:uid="{00000000-0005-0000-0000-0000DD0C0000}"/>
    <cellStyle name="Millares 3 6 3 4 3" xfId="12516" xr:uid="{00000000-0005-0000-0000-0000DE0C0000}"/>
    <cellStyle name="Millares 3 6 3 4 3 2" xfId="30698" xr:uid="{00000000-0005-0000-0000-0000DF0C0000}"/>
    <cellStyle name="Millares 3 6 3 4 4" xfId="21608" xr:uid="{00000000-0005-0000-0000-0000E00C0000}"/>
    <cellStyle name="Millares 3 6 3 5" xfId="5043" xr:uid="{00000000-0005-0000-0000-0000E10C0000}"/>
    <cellStyle name="Millares 3 6 3 5 2" xfId="14143" xr:uid="{00000000-0005-0000-0000-0000E20C0000}"/>
    <cellStyle name="Millares 3 6 3 5 2 2" xfId="32325" xr:uid="{00000000-0005-0000-0000-0000E30C0000}"/>
    <cellStyle name="Millares 3 6 3 5 3" xfId="23235" xr:uid="{00000000-0005-0000-0000-0000E40C0000}"/>
    <cellStyle name="Millares 3 6 3 6" xfId="9609" xr:uid="{00000000-0005-0000-0000-0000E50C0000}"/>
    <cellStyle name="Millares 3 6 3 6 2" xfId="27791" xr:uid="{00000000-0005-0000-0000-0000E60C0000}"/>
    <cellStyle name="Millares 3 6 3 7" xfId="18700" xr:uid="{00000000-0005-0000-0000-0000E70C0000}"/>
    <cellStyle name="Millares 3 6 4" xfId="394" xr:uid="{00000000-0005-0000-0000-0000E80C0000}"/>
    <cellStyle name="Millares 3 6 4 2" xfId="1934" xr:uid="{00000000-0005-0000-0000-0000E90C0000}"/>
    <cellStyle name="Millares 3 6 4 2 2" xfId="6537" xr:uid="{00000000-0005-0000-0000-0000EA0C0000}"/>
    <cellStyle name="Millares 3 6 4 2 2 2" xfId="15637" xr:uid="{00000000-0005-0000-0000-0000EB0C0000}"/>
    <cellStyle name="Millares 3 6 4 2 2 2 2" xfId="33819" xr:uid="{00000000-0005-0000-0000-0000EC0C0000}"/>
    <cellStyle name="Millares 3 6 4 2 2 3" xfId="24729" xr:uid="{00000000-0005-0000-0000-0000ED0C0000}"/>
    <cellStyle name="Millares 3 6 4 2 3" xfId="11101" xr:uid="{00000000-0005-0000-0000-0000EE0C0000}"/>
    <cellStyle name="Millares 3 6 4 2 3 2" xfId="29283" xr:uid="{00000000-0005-0000-0000-0000EF0C0000}"/>
    <cellStyle name="Millares 3 6 4 2 4" xfId="20193" xr:uid="{00000000-0005-0000-0000-0000F00C0000}"/>
    <cellStyle name="Millares 3 6 4 3" xfId="3406" xr:uid="{00000000-0005-0000-0000-0000F10C0000}"/>
    <cellStyle name="Millares 3 6 4 3 2" xfId="7962" xr:uid="{00000000-0005-0000-0000-0000F20C0000}"/>
    <cellStyle name="Millares 3 6 4 3 2 2" xfId="17058" xr:uid="{00000000-0005-0000-0000-0000F30C0000}"/>
    <cellStyle name="Millares 3 6 4 3 2 2 2" xfId="35240" xr:uid="{00000000-0005-0000-0000-0000F40C0000}"/>
    <cellStyle name="Millares 3 6 4 3 2 3" xfId="26150" xr:uid="{00000000-0005-0000-0000-0000F50C0000}"/>
    <cellStyle name="Millares 3 6 4 3 3" xfId="12518" xr:uid="{00000000-0005-0000-0000-0000F60C0000}"/>
    <cellStyle name="Millares 3 6 4 3 3 2" xfId="30700" xr:uid="{00000000-0005-0000-0000-0000F70C0000}"/>
    <cellStyle name="Millares 3 6 4 3 4" xfId="21610" xr:uid="{00000000-0005-0000-0000-0000F80C0000}"/>
    <cellStyle name="Millares 3 6 4 4" xfId="5045" xr:uid="{00000000-0005-0000-0000-0000F90C0000}"/>
    <cellStyle name="Millares 3 6 4 4 2" xfId="14145" xr:uid="{00000000-0005-0000-0000-0000FA0C0000}"/>
    <cellStyle name="Millares 3 6 4 4 2 2" xfId="32327" xr:uid="{00000000-0005-0000-0000-0000FB0C0000}"/>
    <cellStyle name="Millares 3 6 4 4 3" xfId="23237" xr:uid="{00000000-0005-0000-0000-0000FC0C0000}"/>
    <cellStyle name="Millares 3 6 4 5" xfId="9611" xr:uid="{00000000-0005-0000-0000-0000FD0C0000}"/>
    <cellStyle name="Millares 3 6 4 5 2" xfId="27793" xr:uid="{00000000-0005-0000-0000-0000FE0C0000}"/>
    <cellStyle name="Millares 3 6 4 6" xfId="18702" xr:uid="{00000000-0005-0000-0000-0000FF0C0000}"/>
    <cellStyle name="Millares 3 6 5" xfId="395" xr:uid="{00000000-0005-0000-0000-0000000D0000}"/>
    <cellStyle name="Millares 3 6 5 2" xfId="3407" xr:uid="{00000000-0005-0000-0000-0000010D0000}"/>
    <cellStyle name="Millares 3 6 5 2 2" xfId="7963" xr:uid="{00000000-0005-0000-0000-0000020D0000}"/>
    <cellStyle name="Millares 3 6 5 2 2 2" xfId="17059" xr:uid="{00000000-0005-0000-0000-0000030D0000}"/>
    <cellStyle name="Millares 3 6 5 2 2 2 2" xfId="35241" xr:uid="{00000000-0005-0000-0000-0000040D0000}"/>
    <cellStyle name="Millares 3 6 5 2 2 3" xfId="26151" xr:uid="{00000000-0005-0000-0000-0000050D0000}"/>
    <cellStyle name="Millares 3 6 5 2 3" xfId="12519" xr:uid="{00000000-0005-0000-0000-0000060D0000}"/>
    <cellStyle name="Millares 3 6 5 2 3 2" xfId="30701" xr:uid="{00000000-0005-0000-0000-0000070D0000}"/>
    <cellStyle name="Millares 3 6 5 2 4" xfId="21611" xr:uid="{00000000-0005-0000-0000-0000080D0000}"/>
    <cellStyle name="Millares 3 6 5 3" xfId="5046" xr:uid="{00000000-0005-0000-0000-0000090D0000}"/>
    <cellStyle name="Millares 3 6 5 3 2" xfId="14146" xr:uid="{00000000-0005-0000-0000-00000A0D0000}"/>
    <cellStyle name="Millares 3 6 5 3 2 2" xfId="32328" xr:uid="{00000000-0005-0000-0000-00000B0D0000}"/>
    <cellStyle name="Millares 3 6 5 3 3" xfId="23238" xr:uid="{00000000-0005-0000-0000-00000C0D0000}"/>
    <cellStyle name="Millares 3 6 5 4" xfId="9612" xr:uid="{00000000-0005-0000-0000-00000D0D0000}"/>
    <cellStyle name="Millares 3 6 5 4 2" xfId="27794" xr:uid="{00000000-0005-0000-0000-00000E0D0000}"/>
    <cellStyle name="Millares 3 6 5 5" xfId="18703" xr:uid="{00000000-0005-0000-0000-00000F0D0000}"/>
    <cellStyle name="Millares 3 6 6" xfId="1935" xr:uid="{00000000-0005-0000-0000-0000100D0000}"/>
    <cellStyle name="Millares 3 6 6 2" xfId="6538" xr:uid="{00000000-0005-0000-0000-0000110D0000}"/>
    <cellStyle name="Millares 3 6 6 2 2" xfId="15638" xr:uid="{00000000-0005-0000-0000-0000120D0000}"/>
    <cellStyle name="Millares 3 6 6 2 2 2" xfId="33820" xr:uid="{00000000-0005-0000-0000-0000130D0000}"/>
    <cellStyle name="Millares 3 6 6 2 3" xfId="24730" xr:uid="{00000000-0005-0000-0000-0000140D0000}"/>
    <cellStyle name="Millares 3 6 6 3" xfId="11102" xr:uid="{00000000-0005-0000-0000-0000150D0000}"/>
    <cellStyle name="Millares 3 6 6 3 2" xfId="29284" xr:uid="{00000000-0005-0000-0000-0000160D0000}"/>
    <cellStyle name="Millares 3 6 6 4" xfId="20194" xr:uid="{00000000-0005-0000-0000-0000170D0000}"/>
    <cellStyle name="Millares 3 6 7" xfId="3398" xr:uid="{00000000-0005-0000-0000-0000180D0000}"/>
    <cellStyle name="Millares 3 6 7 2" xfId="7954" xr:uid="{00000000-0005-0000-0000-0000190D0000}"/>
    <cellStyle name="Millares 3 6 7 2 2" xfId="17050" xr:uid="{00000000-0005-0000-0000-00001A0D0000}"/>
    <cellStyle name="Millares 3 6 7 2 2 2" xfId="35232" xr:uid="{00000000-0005-0000-0000-00001B0D0000}"/>
    <cellStyle name="Millares 3 6 7 2 3" xfId="26142" xr:uid="{00000000-0005-0000-0000-00001C0D0000}"/>
    <cellStyle name="Millares 3 6 7 3" xfId="12510" xr:uid="{00000000-0005-0000-0000-00001D0D0000}"/>
    <cellStyle name="Millares 3 6 7 3 2" xfId="30692" xr:uid="{00000000-0005-0000-0000-00001E0D0000}"/>
    <cellStyle name="Millares 3 6 7 4" xfId="21602" xr:uid="{00000000-0005-0000-0000-00001F0D0000}"/>
    <cellStyle name="Millares 3 6 8" xfId="5037" xr:uid="{00000000-0005-0000-0000-0000200D0000}"/>
    <cellStyle name="Millares 3 6 8 2" xfId="14137" xr:uid="{00000000-0005-0000-0000-0000210D0000}"/>
    <cellStyle name="Millares 3 6 8 2 2" xfId="32319" xr:uid="{00000000-0005-0000-0000-0000220D0000}"/>
    <cellStyle name="Millares 3 6 8 3" xfId="23229" xr:uid="{00000000-0005-0000-0000-0000230D0000}"/>
    <cellStyle name="Millares 3 6 9" xfId="9603" xr:uid="{00000000-0005-0000-0000-0000240D0000}"/>
    <cellStyle name="Millares 3 6 9 2" xfId="27785" xr:uid="{00000000-0005-0000-0000-0000250D0000}"/>
    <cellStyle name="Millares 3 7" xfId="3160" xr:uid="{00000000-0005-0000-0000-0000260D0000}"/>
    <cellStyle name="Millares 3 7 2" xfId="7720" xr:uid="{00000000-0005-0000-0000-0000270D0000}"/>
    <cellStyle name="Millares 3 7 2 2" xfId="16816" xr:uid="{00000000-0005-0000-0000-0000280D0000}"/>
    <cellStyle name="Millares 3 7 2 2 2" xfId="34998" xr:uid="{00000000-0005-0000-0000-0000290D0000}"/>
    <cellStyle name="Millares 3 7 2 3" xfId="25908" xr:uid="{00000000-0005-0000-0000-00002A0D0000}"/>
    <cellStyle name="Millares 3 7 3" xfId="12276" xr:uid="{00000000-0005-0000-0000-00002B0D0000}"/>
    <cellStyle name="Millares 3 7 3 2" xfId="30458" xr:uid="{00000000-0005-0000-0000-00002C0D0000}"/>
    <cellStyle name="Millares 3 7 4" xfId="21368" xr:uid="{00000000-0005-0000-0000-00002D0D0000}"/>
    <cellStyle name="Millares 3 8" xfId="4815" xr:uid="{00000000-0005-0000-0000-00002E0D0000}"/>
    <cellStyle name="Millares 3 8 2" xfId="13915" xr:uid="{00000000-0005-0000-0000-00002F0D0000}"/>
    <cellStyle name="Millares 3 8 2 2" xfId="32097" xr:uid="{00000000-0005-0000-0000-0000300D0000}"/>
    <cellStyle name="Millares 3 8 3" xfId="23007" xr:uid="{00000000-0005-0000-0000-0000310D0000}"/>
    <cellStyle name="Millares 3 9" xfId="9375" xr:uid="{00000000-0005-0000-0000-0000320D0000}"/>
    <cellStyle name="Millares 3 9 2" xfId="18466" xr:uid="{00000000-0005-0000-0000-0000330D0000}"/>
    <cellStyle name="Millares 3 9 2 2" xfId="36648" xr:uid="{00000000-0005-0000-0000-0000340D0000}"/>
    <cellStyle name="Millares 3 9 3" xfId="27557" xr:uid="{00000000-0005-0000-0000-0000350D0000}"/>
    <cellStyle name="Millares 30" xfId="3147" xr:uid="{00000000-0005-0000-0000-0000360D0000}"/>
    <cellStyle name="Millares 30 2" xfId="7708" xr:uid="{00000000-0005-0000-0000-0000370D0000}"/>
    <cellStyle name="Millares 30 2 2" xfId="16807" xr:uid="{00000000-0005-0000-0000-0000380D0000}"/>
    <cellStyle name="Millares 30 2 2 2" xfId="34989" xr:uid="{00000000-0005-0000-0000-0000390D0000}"/>
    <cellStyle name="Millares 30 2 3" xfId="25899" xr:uid="{00000000-0005-0000-0000-00003A0D0000}"/>
    <cellStyle name="Millares 30 3" xfId="9372" xr:uid="{00000000-0005-0000-0000-00003B0D0000}"/>
    <cellStyle name="Millares 30 3 2" xfId="18464" xr:uid="{00000000-0005-0000-0000-00003C0D0000}"/>
    <cellStyle name="Millares 30 3 2 2" xfId="36646" xr:uid="{00000000-0005-0000-0000-00003D0D0000}"/>
    <cellStyle name="Millares 31" xfId="3155" xr:uid="{00000000-0005-0000-0000-00003E0D0000}"/>
    <cellStyle name="Millares 31 2" xfId="7715" xr:uid="{00000000-0005-0000-0000-00003F0D0000}"/>
    <cellStyle name="Millares 31 2 2" xfId="16811" xr:uid="{00000000-0005-0000-0000-0000400D0000}"/>
    <cellStyle name="Millares 31 2 2 2" xfId="34993" xr:uid="{00000000-0005-0000-0000-0000410D0000}"/>
    <cellStyle name="Millares 31 2 3" xfId="25903" xr:uid="{00000000-0005-0000-0000-0000420D0000}"/>
    <cellStyle name="Millares 31 3" xfId="12271" xr:uid="{00000000-0005-0000-0000-0000430D0000}"/>
    <cellStyle name="Millares 31 3 2" xfId="30453" xr:uid="{00000000-0005-0000-0000-0000440D0000}"/>
    <cellStyle name="Millares 31 4" xfId="21363" xr:uid="{00000000-0005-0000-0000-0000450D0000}"/>
    <cellStyle name="Millares 32" xfId="4801" xr:uid="{00000000-0005-0000-0000-0000460D0000}"/>
    <cellStyle name="Millares 32 2" xfId="9356" xr:uid="{00000000-0005-0000-0000-0000470D0000}"/>
    <cellStyle name="Millares 33" xfId="4810" xr:uid="{00000000-0005-0000-0000-0000480D0000}"/>
    <cellStyle name="Millares 33 2" xfId="13910" xr:uid="{00000000-0005-0000-0000-0000490D0000}"/>
    <cellStyle name="Millares 33 2 2" xfId="32092" xr:uid="{00000000-0005-0000-0000-00004A0D0000}"/>
    <cellStyle name="Millares 33 3" xfId="23002" xr:uid="{00000000-0005-0000-0000-00004B0D0000}"/>
    <cellStyle name="Millares 34" xfId="7610" xr:uid="{00000000-0005-0000-0000-00004C0D0000}"/>
    <cellStyle name="Millares 34 2" xfId="16710" xr:uid="{00000000-0005-0000-0000-00004D0D0000}"/>
    <cellStyle name="Millares 34 2 2" xfId="34892" xr:uid="{00000000-0005-0000-0000-00004E0D0000}"/>
    <cellStyle name="Millares 34 3" xfId="25802" xr:uid="{00000000-0005-0000-0000-00004F0D0000}"/>
    <cellStyle name="Millares 35" xfId="9361" xr:uid="{00000000-0005-0000-0000-0000500D0000}"/>
    <cellStyle name="Millares 35 2" xfId="18454" xr:uid="{00000000-0005-0000-0000-0000510D0000}"/>
    <cellStyle name="Millares 35 2 2" xfId="36636" xr:uid="{00000000-0005-0000-0000-0000520D0000}"/>
    <cellStyle name="Millares 35 3" xfId="27546" xr:uid="{00000000-0005-0000-0000-0000530D0000}"/>
    <cellStyle name="Millares 36" xfId="9376" xr:uid="{00000000-0005-0000-0000-0000540D0000}"/>
    <cellStyle name="Millares 36 2" xfId="27558" xr:uid="{00000000-0005-0000-0000-0000550D0000}"/>
    <cellStyle name="Millares 37" xfId="18467" xr:uid="{00000000-0005-0000-0000-0000560D0000}"/>
    <cellStyle name="Millares 38" xfId="20086" xr:uid="{00000000-0005-0000-0000-0000570D0000}"/>
    <cellStyle name="Millares 39" xfId="36677" xr:uid="{00000000-0005-0000-0000-0000580D0000}"/>
    <cellStyle name="Millares 4" xfId="16" xr:uid="{00000000-0005-0000-0000-0000590D0000}"/>
    <cellStyle name="Millares 4 2" xfId="39" xr:uid="{00000000-0005-0000-0000-00005A0D0000}"/>
    <cellStyle name="Millares 4 2 2" xfId="90" xr:uid="{00000000-0005-0000-0000-00005B0D0000}"/>
    <cellStyle name="Millares 4 2 3" xfId="3172" xr:uid="{00000000-0005-0000-0000-00005C0D0000}"/>
    <cellStyle name="Millares 4 2 3 2" xfId="7732" xr:uid="{00000000-0005-0000-0000-00005D0D0000}"/>
    <cellStyle name="Millares 4 2 3 2 2" xfId="16828" xr:uid="{00000000-0005-0000-0000-00005E0D0000}"/>
    <cellStyle name="Millares 4 2 3 2 2 2" xfId="35010" xr:uid="{00000000-0005-0000-0000-00005F0D0000}"/>
    <cellStyle name="Millares 4 2 3 2 3" xfId="25920" xr:uid="{00000000-0005-0000-0000-0000600D0000}"/>
    <cellStyle name="Millares 4 2 3 3" xfId="12288" xr:uid="{00000000-0005-0000-0000-0000610D0000}"/>
    <cellStyle name="Millares 4 2 3 3 2" xfId="30470" xr:uid="{00000000-0005-0000-0000-0000620D0000}"/>
    <cellStyle name="Millares 4 2 3 4" xfId="21380" xr:uid="{00000000-0005-0000-0000-0000630D0000}"/>
    <cellStyle name="Millares 4 3" xfId="3161" xr:uid="{00000000-0005-0000-0000-0000640D0000}"/>
    <cellStyle name="Millares 4 3 2" xfId="7721" xr:uid="{00000000-0005-0000-0000-0000650D0000}"/>
    <cellStyle name="Millares 4 3 2 2" xfId="16817" xr:uid="{00000000-0005-0000-0000-0000660D0000}"/>
    <cellStyle name="Millares 4 3 2 2 2" xfId="34999" xr:uid="{00000000-0005-0000-0000-0000670D0000}"/>
    <cellStyle name="Millares 4 3 2 3" xfId="25909" xr:uid="{00000000-0005-0000-0000-0000680D0000}"/>
    <cellStyle name="Millares 4 3 3" xfId="12277" xr:uid="{00000000-0005-0000-0000-0000690D0000}"/>
    <cellStyle name="Millares 4 3 3 2" xfId="30459" xr:uid="{00000000-0005-0000-0000-00006A0D0000}"/>
    <cellStyle name="Millares 4 3 4" xfId="21369" xr:uid="{00000000-0005-0000-0000-00006B0D0000}"/>
    <cellStyle name="Millares 5" xfId="18" xr:uid="{00000000-0005-0000-0000-00006C0D0000}"/>
    <cellStyle name="Millares 5 10" xfId="3162" xr:uid="{00000000-0005-0000-0000-00006D0D0000}"/>
    <cellStyle name="Millares 5 10 2" xfId="7722" xr:uid="{00000000-0005-0000-0000-00006E0D0000}"/>
    <cellStyle name="Millares 5 10 2 2" xfId="16818" xr:uid="{00000000-0005-0000-0000-00006F0D0000}"/>
    <cellStyle name="Millares 5 10 2 2 2" xfId="35000" xr:uid="{00000000-0005-0000-0000-0000700D0000}"/>
    <cellStyle name="Millares 5 10 2 3" xfId="25910" xr:uid="{00000000-0005-0000-0000-0000710D0000}"/>
    <cellStyle name="Millares 5 10 3" xfId="12278" xr:uid="{00000000-0005-0000-0000-0000720D0000}"/>
    <cellStyle name="Millares 5 10 3 2" xfId="30460" xr:uid="{00000000-0005-0000-0000-0000730D0000}"/>
    <cellStyle name="Millares 5 10 4" xfId="21370" xr:uid="{00000000-0005-0000-0000-0000740D0000}"/>
    <cellStyle name="Millares 5 11" xfId="4816" xr:uid="{00000000-0005-0000-0000-0000750D0000}"/>
    <cellStyle name="Millares 5 11 2" xfId="13916" xr:uid="{00000000-0005-0000-0000-0000760D0000}"/>
    <cellStyle name="Millares 5 11 2 2" xfId="32098" xr:uid="{00000000-0005-0000-0000-0000770D0000}"/>
    <cellStyle name="Millares 5 11 3" xfId="23008" xr:uid="{00000000-0005-0000-0000-0000780D0000}"/>
    <cellStyle name="Millares 5 12" xfId="9382" xr:uid="{00000000-0005-0000-0000-0000790D0000}"/>
    <cellStyle name="Millares 5 12 2" xfId="27564" xr:uid="{00000000-0005-0000-0000-00007A0D0000}"/>
    <cellStyle name="Millares 5 13" xfId="18473" xr:uid="{00000000-0005-0000-0000-00007B0D0000}"/>
    <cellStyle name="Millares 5 2" xfId="43" xr:uid="{00000000-0005-0000-0000-00007C0D0000}"/>
    <cellStyle name="Millares 5 2 10" xfId="4825" xr:uid="{00000000-0005-0000-0000-00007D0D0000}"/>
    <cellStyle name="Millares 5 2 10 2" xfId="13925" xr:uid="{00000000-0005-0000-0000-00007E0D0000}"/>
    <cellStyle name="Millares 5 2 10 2 2" xfId="32107" xr:uid="{00000000-0005-0000-0000-00007F0D0000}"/>
    <cellStyle name="Millares 5 2 10 3" xfId="23017" xr:uid="{00000000-0005-0000-0000-0000800D0000}"/>
    <cellStyle name="Millares 5 2 11" xfId="9391" xr:uid="{00000000-0005-0000-0000-0000810D0000}"/>
    <cellStyle name="Millares 5 2 11 2" xfId="27573" xr:uid="{00000000-0005-0000-0000-0000820D0000}"/>
    <cellStyle name="Millares 5 2 12" xfId="18482" xr:uid="{00000000-0005-0000-0000-0000830D0000}"/>
    <cellStyle name="Millares 5 2 13" xfId="36688" xr:uid="{98B17CA3-31E8-4CD3-8E78-8D235118FAFC}"/>
    <cellStyle name="Millares 5 2 2" xfId="74" xr:uid="{00000000-0005-0000-0000-0000840D0000}"/>
    <cellStyle name="Millares 5 2 2 10" xfId="9403" xr:uid="{00000000-0005-0000-0000-0000850D0000}"/>
    <cellStyle name="Millares 5 2 2 10 2" xfId="27585" xr:uid="{00000000-0005-0000-0000-0000860D0000}"/>
    <cellStyle name="Millares 5 2 2 11" xfId="18494" xr:uid="{00000000-0005-0000-0000-0000870D0000}"/>
    <cellStyle name="Millares 5 2 2 2" xfId="396" xr:uid="{00000000-0005-0000-0000-0000880D0000}"/>
    <cellStyle name="Millares 5 2 2 2 10" xfId="18704" xr:uid="{00000000-0005-0000-0000-0000890D0000}"/>
    <cellStyle name="Millares 5 2 2 2 2" xfId="397" xr:uid="{00000000-0005-0000-0000-00008A0D0000}"/>
    <cellStyle name="Millares 5 2 2 2 2 2" xfId="398" xr:uid="{00000000-0005-0000-0000-00008B0D0000}"/>
    <cellStyle name="Millares 5 2 2 2 2 2 2" xfId="399" xr:uid="{00000000-0005-0000-0000-00008C0D0000}"/>
    <cellStyle name="Millares 5 2 2 2 2 2 2 2" xfId="1936" xr:uid="{00000000-0005-0000-0000-00008D0D0000}"/>
    <cellStyle name="Millares 5 2 2 2 2 2 2 2 2" xfId="6539" xr:uid="{00000000-0005-0000-0000-00008E0D0000}"/>
    <cellStyle name="Millares 5 2 2 2 2 2 2 2 2 2" xfId="15639" xr:uid="{00000000-0005-0000-0000-00008F0D0000}"/>
    <cellStyle name="Millares 5 2 2 2 2 2 2 2 2 2 2" xfId="33821" xr:uid="{00000000-0005-0000-0000-0000900D0000}"/>
    <cellStyle name="Millares 5 2 2 2 2 2 2 2 2 3" xfId="24731" xr:uid="{00000000-0005-0000-0000-0000910D0000}"/>
    <cellStyle name="Millares 5 2 2 2 2 2 2 2 3" xfId="11103" xr:uid="{00000000-0005-0000-0000-0000920D0000}"/>
    <cellStyle name="Millares 5 2 2 2 2 2 2 2 3 2" xfId="29285" xr:uid="{00000000-0005-0000-0000-0000930D0000}"/>
    <cellStyle name="Millares 5 2 2 2 2 2 2 2 4" xfId="20195" xr:uid="{00000000-0005-0000-0000-0000940D0000}"/>
    <cellStyle name="Millares 5 2 2 2 2 2 2 3" xfId="3411" xr:uid="{00000000-0005-0000-0000-0000950D0000}"/>
    <cellStyle name="Millares 5 2 2 2 2 2 2 3 2" xfId="7967" xr:uid="{00000000-0005-0000-0000-0000960D0000}"/>
    <cellStyle name="Millares 5 2 2 2 2 2 2 3 2 2" xfId="17063" xr:uid="{00000000-0005-0000-0000-0000970D0000}"/>
    <cellStyle name="Millares 5 2 2 2 2 2 2 3 2 2 2" xfId="35245" xr:uid="{00000000-0005-0000-0000-0000980D0000}"/>
    <cellStyle name="Millares 5 2 2 2 2 2 2 3 2 3" xfId="26155" xr:uid="{00000000-0005-0000-0000-0000990D0000}"/>
    <cellStyle name="Millares 5 2 2 2 2 2 2 3 3" xfId="12523" xr:uid="{00000000-0005-0000-0000-00009A0D0000}"/>
    <cellStyle name="Millares 5 2 2 2 2 2 2 3 3 2" xfId="30705" xr:uid="{00000000-0005-0000-0000-00009B0D0000}"/>
    <cellStyle name="Millares 5 2 2 2 2 2 2 3 4" xfId="21615" xr:uid="{00000000-0005-0000-0000-00009C0D0000}"/>
    <cellStyle name="Millares 5 2 2 2 2 2 2 4" xfId="5050" xr:uid="{00000000-0005-0000-0000-00009D0D0000}"/>
    <cellStyle name="Millares 5 2 2 2 2 2 2 4 2" xfId="14150" xr:uid="{00000000-0005-0000-0000-00009E0D0000}"/>
    <cellStyle name="Millares 5 2 2 2 2 2 2 4 2 2" xfId="32332" xr:uid="{00000000-0005-0000-0000-00009F0D0000}"/>
    <cellStyle name="Millares 5 2 2 2 2 2 2 4 3" xfId="23242" xr:uid="{00000000-0005-0000-0000-0000A00D0000}"/>
    <cellStyle name="Millares 5 2 2 2 2 2 2 5" xfId="9616" xr:uid="{00000000-0005-0000-0000-0000A10D0000}"/>
    <cellStyle name="Millares 5 2 2 2 2 2 2 5 2" xfId="27798" xr:uid="{00000000-0005-0000-0000-0000A20D0000}"/>
    <cellStyle name="Millares 5 2 2 2 2 2 2 6" xfId="18707" xr:uid="{00000000-0005-0000-0000-0000A30D0000}"/>
    <cellStyle name="Millares 5 2 2 2 2 2 3" xfId="1937" xr:uid="{00000000-0005-0000-0000-0000A40D0000}"/>
    <cellStyle name="Millares 5 2 2 2 2 2 3 2" xfId="6540" xr:uid="{00000000-0005-0000-0000-0000A50D0000}"/>
    <cellStyle name="Millares 5 2 2 2 2 2 3 2 2" xfId="15640" xr:uid="{00000000-0005-0000-0000-0000A60D0000}"/>
    <cellStyle name="Millares 5 2 2 2 2 2 3 2 2 2" xfId="33822" xr:uid="{00000000-0005-0000-0000-0000A70D0000}"/>
    <cellStyle name="Millares 5 2 2 2 2 2 3 2 3" xfId="24732" xr:uid="{00000000-0005-0000-0000-0000A80D0000}"/>
    <cellStyle name="Millares 5 2 2 2 2 2 3 3" xfId="11104" xr:uid="{00000000-0005-0000-0000-0000A90D0000}"/>
    <cellStyle name="Millares 5 2 2 2 2 2 3 3 2" xfId="29286" xr:uid="{00000000-0005-0000-0000-0000AA0D0000}"/>
    <cellStyle name="Millares 5 2 2 2 2 2 3 4" xfId="20196" xr:uid="{00000000-0005-0000-0000-0000AB0D0000}"/>
    <cellStyle name="Millares 5 2 2 2 2 2 4" xfId="3410" xr:uid="{00000000-0005-0000-0000-0000AC0D0000}"/>
    <cellStyle name="Millares 5 2 2 2 2 2 4 2" xfId="7966" xr:uid="{00000000-0005-0000-0000-0000AD0D0000}"/>
    <cellStyle name="Millares 5 2 2 2 2 2 4 2 2" xfId="17062" xr:uid="{00000000-0005-0000-0000-0000AE0D0000}"/>
    <cellStyle name="Millares 5 2 2 2 2 2 4 2 2 2" xfId="35244" xr:uid="{00000000-0005-0000-0000-0000AF0D0000}"/>
    <cellStyle name="Millares 5 2 2 2 2 2 4 2 3" xfId="26154" xr:uid="{00000000-0005-0000-0000-0000B00D0000}"/>
    <cellStyle name="Millares 5 2 2 2 2 2 4 3" xfId="12522" xr:uid="{00000000-0005-0000-0000-0000B10D0000}"/>
    <cellStyle name="Millares 5 2 2 2 2 2 4 3 2" xfId="30704" xr:uid="{00000000-0005-0000-0000-0000B20D0000}"/>
    <cellStyle name="Millares 5 2 2 2 2 2 4 4" xfId="21614" xr:uid="{00000000-0005-0000-0000-0000B30D0000}"/>
    <cellStyle name="Millares 5 2 2 2 2 2 5" xfId="5049" xr:uid="{00000000-0005-0000-0000-0000B40D0000}"/>
    <cellStyle name="Millares 5 2 2 2 2 2 5 2" xfId="14149" xr:uid="{00000000-0005-0000-0000-0000B50D0000}"/>
    <cellStyle name="Millares 5 2 2 2 2 2 5 2 2" xfId="32331" xr:uid="{00000000-0005-0000-0000-0000B60D0000}"/>
    <cellStyle name="Millares 5 2 2 2 2 2 5 3" xfId="23241" xr:uid="{00000000-0005-0000-0000-0000B70D0000}"/>
    <cellStyle name="Millares 5 2 2 2 2 2 6" xfId="9615" xr:uid="{00000000-0005-0000-0000-0000B80D0000}"/>
    <cellStyle name="Millares 5 2 2 2 2 2 6 2" xfId="27797" xr:uid="{00000000-0005-0000-0000-0000B90D0000}"/>
    <cellStyle name="Millares 5 2 2 2 2 2 7" xfId="18706" xr:uid="{00000000-0005-0000-0000-0000BA0D0000}"/>
    <cellStyle name="Millares 5 2 2 2 2 3" xfId="400" xr:uid="{00000000-0005-0000-0000-0000BB0D0000}"/>
    <cellStyle name="Millares 5 2 2 2 2 3 2" xfId="1938" xr:uid="{00000000-0005-0000-0000-0000BC0D0000}"/>
    <cellStyle name="Millares 5 2 2 2 2 3 2 2" xfId="6541" xr:uid="{00000000-0005-0000-0000-0000BD0D0000}"/>
    <cellStyle name="Millares 5 2 2 2 2 3 2 2 2" xfId="15641" xr:uid="{00000000-0005-0000-0000-0000BE0D0000}"/>
    <cellStyle name="Millares 5 2 2 2 2 3 2 2 2 2" xfId="33823" xr:uid="{00000000-0005-0000-0000-0000BF0D0000}"/>
    <cellStyle name="Millares 5 2 2 2 2 3 2 2 3" xfId="24733" xr:uid="{00000000-0005-0000-0000-0000C00D0000}"/>
    <cellStyle name="Millares 5 2 2 2 2 3 2 3" xfId="11105" xr:uid="{00000000-0005-0000-0000-0000C10D0000}"/>
    <cellStyle name="Millares 5 2 2 2 2 3 2 3 2" xfId="29287" xr:uid="{00000000-0005-0000-0000-0000C20D0000}"/>
    <cellStyle name="Millares 5 2 2 2 2 3 2 4" xfId="20197" xr:uid="{00000000-0005-0000-0000-0000C30D0000}"/>
    <cellStyle name="Millares 5 2 2 2 2 3 3" xfId="3412" xr:uid="{00000000-0005-0000-0000-0000C40D0000}"/>
    <cellStyle name="Millares 5 2 2 2 2 3 3 2" xfId="7968" xr:uid="{00000000-0005-0000-0000-0000C50D0000}"/>
    <cellStyle name="Millares 5 2 2 2 2 3 3 2 2" xfId="17064" xr:uid="{00000000-0005-0000-0000-0000C60D0000}"/>
    <cellStyle name="Millares 5 2 2 2 2 3 3 2 2 2" xfId="35246" xr:uid="{00000000-0005-0000-0000-0000C70D0000}"/>
    <cellStyle name="Millares 5 2 2 2 2 3 3 2 3" xfId="26156" xr:uid="{00000000-0005-0000-0000-0000C80D0000}"/>
    <cellStyle name="Millares 5 2 2 2 2 3 3 3" xfId="12524" xr:uid="{00000000-0005-0000-0000-0000C90D0000}"/>
    <cellStyle name="Millares 5 2 2 2 2 3 3 3 2" xfId="30706" xr:uid="{00000000-0005-0000-0000-0000CA0D0000}"/>
    <cellStyle name="Millares 5 2 2 2 2 3 3 4" xfId="21616" xr:uid="{00000000-0005-0000-0000-0000CB0D0000}"/>
    <cellStyle name="Millares 5 2 2 2 2 3 4" xfId="5051" xr:uid="{00000000-0005-0000-0000-0000CC0D0000}"/>
    <cellStyle name="Millares 5 2 2 2 2 3 4 2" xfId="14151" xr:uid="{00000000-0005-0000-0000-0000CD0D0000}"/>
    <cellStyle name="Millares 5 2 2 2 2 3 4 2 2" xfId="32333" xr:uid="{00000000-0005-0000-0000-0000CE0D0000}"/>
    <cellStyle name="Millares 5 2 2 2 2 3 4 3" xfId="23243" xr:uid="{00000000-0005-0000-0000-0000CF0D0000}"/>
    <cellStyle name="Millares 5 2 2 2 2 3 5" xfId="9617" xr:uid="{00000000-0005-0000-0000-0000D00D0000}"/>
    <cellStyle name="Millares 5 2 2 2 2 3 5 2" xfId="27799" xr:uid="{00000000-0005-0000-0000-0000D10D0000}"/>
    <cellStyle name="Millares 5 2 2 2 2 3 6" xfId="18708" xr:uid="{00000000-0005-0000-0000-0000D20D0000}"/>
    <cellStyle name="Millares 5 2 2 2 2 4" xfId="401" xr:uid="{00000000-0005-0000-0000-0000D30D0000}"/>
    <cellStyle name="Millares 5 2 2 2 2 4 2" xfId="3413" xr:uid="{00000000-0005-0000-0000-0000D40D0000}"/>
    <cellStyle name="Millares 5 2 2 2 2 4 2 2" xfId="7969" xr:uid="{00000000-0005-0000-0000-0000D50D0000}"/>
    <cellStyle name="Millares 5 2 2 2 2 4 2 2 2" xfId="17065" xr:uid="{00000000-0005-0000-0000-0000D60D0000}"/>
    <cellStyle name="Millares 5 2 2 2 2 4 2 2 2 2" xfId="35247" xr:uid="{00000000-0005-0000-0000-0000D70D0000}"/>
    <cellStyle name="Millares 5 2 2 2 2 4 2 2 3" xfId="26157" xr:uid="{00000000-0005-0000-0000-0000D80D0000}"/>
    <cellStyle name="Millares 5 2 2 2 2 4 2 3" xfId="12525" xr:uid="{00000000-0005-0000-0000-0000D90D0000}"/>
    <cellStyle name="Millares 5 2 2 2 2 4 2 3 2" xfId="30707" xr:uid="{00000000-0005-0000-0000-0000DA0D0000}"/>
    <cellStyle name="Millares 5 2 2 2 2 4 2 4" xfId="21617" xr:uid="{00000000-0005-0000-0000-0000DB0D0000}"/>
    <cellStyle name="Millares 5 2 2 2 2 4 3" xfId="5052" xr:uid="{00000000-0005-0000-0000-0000DC0D0000}"/>
    <cellStyle name="Millares 5 2 2 2 2 4 3 2" xfId="14152" xr:uid="{00000000-0005-0000-0000-0000DD0D0000}"/>
    <cellStyle name="Millares 5 2 2 2 2 4 3 2 2" xfId="32334" xr:uid="{00000000-0005-0000-0000-0000DE0D0000}"/>
    <cellStyle name="Millares 5 2 2 2 2 4 3 3" xfId="23244" xr:uid="{00000000-0005-0000-0000-0000DF0D0000}"/>
    <cellStyle name="Millares 5 2 2 2 2 4 4" xfId="9618" xr:uid="{00000000-0005-0000-0000-0000E00D0000}"/>
    <cellStyle name="Millares 5 2 2 2 2 4 4 2" xfId="27800" xr:uid="{00000000-0005-0000-0000-0000E10D0000}"/>
    <cellStyle name="Millares 5 2 2 2 2 4 5" xfId="18709" xr:uid="{00000000-0005-0000-0000-0000E20D0000}"/>
    <cellStyle name="Millares 5 2 2 2 2 5" xfId="1939" xr:uid="{00000000-0005-0000-0000-0000E30D0000}"/>
    <cellStyle name="Millares 5 2 2 2 2 6" xfId="3409" xr:uid="{00000000-0005-0000-0000-0000E40D0000}"/>
    <cellStyle name="Millares 5 2 2 2 2 6 2" xfId="7965" xr:uid="{00000000-0005-0000-0000-0000E50D0000}"/>
    <cellStyle name="Millares 5 2 2 2 2 6 2 2" xfId="17061" xr:uid="{00000000-0005-0000-0000-0000E60D0000}"/>
    <cellStyle name="Millares 5 2 2 2 2 6 2 2 2" xfId="35243" xr:uid="{00000000-0005-0000-0000-0000E70D0000}"/>
    <cellStyle name="Millares 5 2 2 2 2 6 2 3" xfId="26153" xr:uid="{00000000-0005-0000-0000-0000E80D0000}"/>
    <cellStyle name="Millares 5 2 2 2 2 6 3" xfId="12521" xr:uid="{00000000-0005-0000-0000-0000E90D0000}"/>
    <cellStyle name="Millares 5 2 2 2 2 6 3 2" xfId="30703" xr:uid="{00000000-0005-0000-0000-0000EA0D0000}"/>
    <cellStyle name="Millares 5 2 2 2 2 6 4" xfId="21613" xr:uid="{00000000-0005-0000-0000-0000EB0D0000}"/>
    <cellStyle name="Millares 5 2 2 2 2 7" xfId="5048" xr:uid="{00000000-0005-0000-0000-0000EC0D0000}"/>
    <cellStyle name="Millares 5 2 2 2 2 7 2" xfId="14148" xr:uid="{00000000-0005-0000-0000-0000ED0D0000}"/>
    <cellStyle name="Millares 5 2 2 2 2 7 2 2" xfId="32330" xr:uid="{00000000-0005-0000-0000-0000EE0D0000}"/>
    <cellStyle name="Millares 5 2 2 2 2 7 3" xfId="23240" xr:uid="{00000000-0005-0000-0000-0000EF0D0000}"/>
    <cellStyle name="Millares 5 2 2 2 2 8" xfId="9614" xr:uid="{00000000-0005-0000-0000-0000F00D0000}"/>
    <cellStyle name="Millares 5 2 2 2 2 8 2" xfId="27796" xr:uid="{00000000-0005-0000-0000-0000F10D0000}"/>
    <cellStyle name="Millares 5 2 2 2 2 9" xfId="18705" xr:uid="{00000000-0005-0000-0000-0000F20D0000}"/>
    <cellStyle name="Millares 5 2 2 2 3" xfId="402" xr:uid="{00000000-0005-0000-0000-0000F30D0000}"/>
    <cellStyle name="Millares 5 2 2 2 3 2" xfId="403" xr:uid="{00000000-0005-0000-0000-0000F40D0000}"/>
    <cellStyle name="Millares 5 2 2 2 3 2 2" xfId="1940" xr:uid="{00000000-0005-0000-0000-0000F50D0000}"/>
    <cellStyle name="Millares 5 2 2 2 3 2 2 2" xfId="6542" xr:uid="{00000000-0005-0000-0000-0000F60D0000}"/>
    <cellStyle name="Millares 5 2 2 2 3 2 2 2 2" xfId="15642" xr:uid="{00000000-0005-0000-0000-0000F70D0000}"/>
    <cellStyle name="Millares 5 2 2 2 3 2 2 2 2 2" xfId="33824" xr:uid="{00000000-0005-0000-0000-0000F80D0000}"/>
    <cellStyle name="Millares 5 2 2 2 3 2 2 2 3" xfId="24734" xr:uid="{00000000-0005-0000-0000-0000F90D0000}"/>
    <cellStyle name="Millares 5 2 2 2 3 2 2 3" xfId="11106" xr:uid="{00000000-0005-0000-0000-0000FA0D0000}"/>
    <cellStyle name="Millares 5 2 2 2 3 2 2 3 2" xfId="29288" xr:uid="{00000000-0005-0000-0000-0000FB0D0000}"/>
    <cellStyle name="Millares 5 2 2 2 3 2 2 4" xfId="20198" xr:uid="{00000000-0005-0000-0000-0000FC0D0000}"/>
    <cellStyle name="Millares 5 2 2 2 3 2 3" xfId="3415" xr:uid="{00000000-0005-0000-0000-0000FD0D0000}"/>
    <cellStyle name="Millares 5 2 2 2 3 2 3 2" xfId="7971" xr:uid="{00000000-0005-0000-0000-0000FE0D0000}"/>
    <cellStyle name="Millares 5 2 2 2 3 2 3 2 2" xfId="17067" xr:uid="{00000000-0005-0000-0000-0000FF0D0000}"/>
    <cellStyle name="Millares 5 2 2 2 3 2 3 2 2 2" xfId="35249" xr:uid="{00000000-0005-0000-0000-0000000E0000}"/>
    <cellStyle name="Millares 5 2 2 2 3 2 3 2 3" xfId="26159" xr:uid="{00000000-0005-0000-0000-0000010E0000}"/>
    <cellStyle name="Millares 5 2 2 2 3 2 3 3" xfId="12527" xr:uid="{00000000-0005-0000-0000-0000020E0000}"/>
    <cellStyle name="Millares 5 2 2 2 3 2 3 3 2" xfId="30709" xr:uid="{00000000-0005-0000-0000-0000030E0000}"/>
    <cellStyle name="Millares 5 2 2 2 3 2 3 4" xfId="21619" xr:uid="{00000000-0005-0000-0000-0000040E0000}"/>
    <cellStyle name="Millares 5 2 2 2 3 2 4" xfId="5054" xr:uid="{00000000-0005-0000-0000-0000050E0000}"/>
    <cellStyle name="Millares 5 2 2 2 3 2 4 2" xfId="14154" xr:uid="{00000000-0005-0000-0000-0000060E0000}"/>
    <cellStyle name="Millares 5 2 2 2 3 2 4 2 2" xfId="32336" xr:uid="{00000000-0005-0000-0000-0000070E0000}"/>
    <cellStyle name="Millares 5 2 2 2 3 2 4 3" xfId="23246" xr:uid="{00000000-0005-0000-0000-0000080E0000}"/>
    <cellStyle name="Millares 5 2 2 2 3 2 5" xfId="9620" xr:uid="{00000000-0005-0000-0000-0000090E0000}"/>
    <cellStyle name="Millares 5 2 2 2 3 2 5 2" xfId="27802" xr:uid="{00000000-0005-0000-0000-00000A0E0000}"/>
    <cellStyle name="Millares 5 2 2 2 3 2 6" xfId="18711" xr:uid="{00000000-0005-0000-0000-00000B0E0000}"/>
    <cellStyle name="Millares 5 2 2 2 3 3" xfId="1941" xr:uid="{00000000-0005-0000-0000-00000C0E0000}"/>
    <cellStyle name="Millares 5 2 2 2 3 3 2" xfId="6543" xr:uid="{00000000-0005-0000-0000-00000D0E0000}"/>
    <cellStyle name="Millares 5 2 2 2 3 3 2 2" xfId="15643" xr:uid="{00000000-0005-0000-0000-00000E0E0000}"/>
    <cellStyle name="Millares 5 2 2 2 3 3 2 2 2" xfId="33825" xr:uid="{00000000-0005-0000-0000-00000F0E0000}"/>
    <cellStyle name="Millares 5 2 2 2 3 3 2 3" xfId="24735" xr:uid="{00000000-0005-0000-0000-0000100E0000}"/>
    <cellStyle name="Millares 5 2 2 2 3 3 3" xfId="11107" xr:uid="{00000000-0005-0000-0000-0000110E0000}"/>
    <cellStyle name="Millares 5 2 2 2 3 3 3 2" xfId="29289" xr:uid="{00000000-0005-0000-0000-0000120E0000}"/>
    <cellStyle name="Millares 5 2 2 2 3 3 4" xfId="20199" xr:uid="{00000000-0005-0000-0000-0000130E0000}"/>
    <cellStyle name="Millares 5 2 2 2 3 4" xfId="3414" xr:uid="{00000000-0005-0000-0000-0000140E0000}"/>
    <cellStyle name="Millares 5 2 2 2 3 4 2" xfId="7970" xr:uid="{00000000-0005-0000-0000-0000150E0000}"/>
    <cellStyle name="Millares 5 2 2 2 3 4 2 2" xfId="17066" xr:uid="{00000000-0005-0000-0000-0000160E0000}"/>
    <cellStyle name="Millares 5 2 2 2 3 4 2 2 2" xfId="35248" xr:uid="{00000000-0005-0000-0000-0000170E0000}"/>
    <cellStyle name="Millares 5 2 2 2 3 4 2 3" xfId="26158" xr:uid="{00000000-0005-0000-0000-0000180E0000}"/>
    <cellStyle name="Millares 5 2 2 2 3 4 3" xfId="12526" xr:uid="{00000000-0005-0000-0000-0000190E0000}"/>
    <cellStyle name="Millares 5 2 2 2 3 4 3 2" xfId="30708" xr:uid="{00000000-0005-0000-0000-00001A0E0000}"/>
    <cellStyle name="Millares 5 2 2 2 3 4 4" xfId="21618" xr:uid="{00000000-0005-0000-0000-00001B0E0000}"/>
    <cellStyle name="Millares 5 2 2 2 3 5" xfId="5053" xr:uid="{00000000-0005-0000-0000-00001C0E0000}"/>
    <cellStyle name="Millares 5 2 2 2 3 5 2" xfId="14153" xr:uid="{00000000-0005-0000-0000-00001D0E0000}"/>
    <cellStyle name="Millares 5 2 2 2 3 5 2 2" xfId="32335" xr:uid="{00000000-0005-0000-0000-00001E0E0000}"/>
    <cellStyle name="Millares 5 2 2 2 3 5 3" xfId="23245" xr:uid="{00000000-0005-0000-0000-00001F0E0000}"/>
    <cellStyle name="Millares 5 2 2 2 3 6" xfId="9619" xr:uid="{00000000-0005-0000-0000-0000200E0000}"/>
    <cellStyle name="Millares 5 2 2 2 3 6 2" xfId="27801" xr:uid="{00000000-0005-0000-0000-0000210E0000}"/>
    <cellStyle name="Millares 5 2 2 2 3 7" xfId="18710" xr:uid="{00000000-0005-0000-0000-0000220E0000}"/>
    <cellStyle name="Millares 5 2 2 2 4" xfId="404" xr:uid="{00000000-0005-0000-0000-0000230E0000}"/>
    <cellStyle name="Millares 5 2 2 2 4 2" xfId="1942" xr:uid="{00000000-0005-0000-0000-0000240E0000}"/>
    <cellStyle name="Millares 5 2 2 2 4 2 2" xfId="6544" xr:uid="{00000000-0005-0000-0000-0000250E0000}"/>
    <cellStyle name="Millares 5 2 2 2 4 2 2 2" xfId="15644" xr:uid="{00000000-0005-0000-0000-0000260E0000}"/>
    <cellStyle name="Millares 5 2 2 2 4 2 2 2 2" xfId="33826" xr:uid="{00000000-0005-0000-0000-0000270E0000}"/>
    <cellStyle name="Millares 5 2 2 2 4 2 2 3" xfId="24736" xr:uid="{00000000-0005-0000-0000-0000280E0000}"/>
    <cellStyle name="Millares 5 2 2 2 4 2 3" xfId="11108" xr:uid="{00000000-0005-0000-0000-0000290E0000}"/>
    <cellStyle name="Millares 5 2 2 2 4 2 3 2" xfId="29290" xr:uid="{00000000-0005-0000-0000-00002A0E0000}"/>
    <cellStyle name="Millares 5 2 2 2 4 2 4" xfId="20200" xr:uid="{00000000-0005-0000-0000-00002B0E0000}"/>
    <cellStyle name="Millares 5 2 2 2 4 3" xfId="3416" xr:uid="{00000000-0005-0000-0000-00002C0E0000}"/>
    <cellStyle name="Millares 5 2 2 2 4 3 2" xfId="7972" xr:uid="{00000000-0005-0000-0000-00002D0E0000}"/>
    <cellStyle name="Millares 5 2 2 2 4 3 2 2" xfId="17068" xr:uid="{00000000-0005-0000-0000-00002E0E0000}"/>
    <cellStyle name="Millares 5 2 2 2 4 3 2 2 2" xfId="35250" xr:uid="{00000000-0005-0000-0000-00002F0E0000}"/>
    <cellStyle name="Millares 5 2 2 2 4 3 2 3" xfId="26160" xr:uid="{00000000-0005-0000-0000-0000300E0000}"/>
    <cellStyle name="Millares 5 2 2 2 4 3 3" xfId="12528" xr:uid="{00000000-0005-0000-0000-0000310E0000}"/>
    <cellStyle name="Millares 5 2 2 2 4 3 3 2" xfId="30710" xr:uid="{00000000-0005-0000-0000-0000320E0000}"/>
    <cellStyle name="Millares 5 2 2 2 4 3 4" xfId="21620" xr:uid="{00000000-0005-0000-0000-0000330E0000}"/>
    <cellStyle name="Millares 5 2 2 2 4 4" xfId="5055" xr:uid="{00000000-0005-0000-0000-0000340E0000}"/>
    <cellStyle name="Millares 5 2 2 2 4 4 2" xfId="14155" xr:uid="{00000000-0005-0000-0000-0000350E0000}"/>
    <cellStyle name="Millares 5 2 2 2 4 4 2 2" xfId="32337" xr:uid="{00000000-0005-0000-0000-0000360E0000}"/>
    <cellStyle name="Millares 5 2 2 2 4 4 3" xfId="23247" xr:uid="{00000000-0005-0000-0000-0000370E0000}"/>
    <cellStyle name="Millares 5 2 2 2 4 5" xfId="9621" xr:uid="{00000000-0005-0000-0000-0000380E0000}"/>
    <cellStyle name="Millares 5 2 2 2 4 5 2" xfId="27803" xr:uid="{00000000-0005-0000-0000-0000390E0000}"/>
    <cellStyle name="Millares 5 2 2 2 4 6" xfId="18712" xr:uid="{00000000-0005-0000-0000-00003A0E0000}"/>
    <cellStyle name="Millares 5 2 2 2 5" xfId="405" xr:uid="{00000000-0005-0000-0000-00003B0E0000}"/>
    <cellStyle name="Millares 5 2 2 2 5 2" xfId="3417" xr:uid="{00000000-0005-0000-0000-00003C0E0000}"/>
    <cellStyle name="Millares 5 2 2 2 5 2 2" xfId="7973" xr:uid="{00000000-0005-0000-0000-00003D0E0000}"/>
    <cellStyle name="Millares 5 2 2 2 5 2 2 2" xfId="17069" xr:uid="{00000000-0005-0000-0000-00003E0E0000}"/>
    <cellStyle name="Millares 5 2 2 2 5 2 2 2 2" xfId="35251" xr:uid="{00000000-0005-0000-0000-00003F0E0000}"/>
    <cellStyle name="Millares 5 2 2 2 5 2 2 3" xfId="26161" xr:uid="{00000000-0005-0000-0000-0000400E0000}"/>
    <cellStyle name="Millares 5 2 2 2 5 2 3" xfId="12529" xr:uid="{00000000-0005-0000-0000-0000410E0000}"/>
    <cellStyle name="Millares 5 2 2 2 5 2 3 2" xfId="30711" xr:uid="{00000000-0005-0000-0000-0000420E0000}"/>
    <cellStyle name="Millares 5 2 2 2 5 2 4" xfId="21621" xr:uid="{00000000-0005-0000-0000-0000430E0000}"/>
    <cellStyle name="Millares 5 2 2 2 5 3" xfId="5056" xr:uid="{00000000-0005-0000-0000-0000440E0000}"/>
    <cellStyle name="Millares 5 2 2 2 5 3 2" xfId="14156" xr:uid="{00000000-0005-0000-0000-0000450E0000}"/>
    <cellStyle name="Millares 5 2 2 2 5 3 2 2" xfId="32338" xr:uid="{00000000-0005-0000-0000-0000460E0000}"/>
    <cellStyle name="Millares 5 2 2 2 5 3 3" xfId="23248" xr:uid="{00000000-0005-0000-0000-0000470E0000}"/>
    <cellStyle name="Millares 5 2 2 2 5 4" xfId="9622" xr:uid="{00000000-0005-0000-0000-0000480E0000}"/>
    <cellStyle name="Millares 5 2 2 2 5 4 2" xfId="27804" xr:uid="{00000000-0005-0000-0000-0000490E0000}"/>
    <cellStyle name="Millares 5 2 2 2 5 5" xfId="18713" xr:uid="{00000000-0005-0000-0000-00004A0E0000}"/>
    <cellStyle name="Millares 5 2 2 2 6" xfId="1943" xr:uid="{00000000-0005-0000-0000-00004B0E0000}"/>
    <cellStyle name="Millares 5 2 2 2 6 2" xfId="6545" xr:uid="{00000000-0005-0000-0000-00004C0E0000}"/>
    <cellStyle name="Millares 5 2 2 2 6 2 2" xfId="15645" xr:uid="{00000000-0005-0000-0000-00004D0E0000}"/>
    <cellStyle name="Millares 5 2 2 2 6 2 2 2" xfId="33827" xr:uid="{00000000-0005-0000-0000-00004E0E0000}"/>
    <cellStyle name="Millares 5 2 2 2 6 2 3" xfId="24737" xr:uid="{00000000-0005-0000-0000-00004F0E0000}"/>
    <cellStyle name="Millares 5 2 2 2 6 3" xfId="11109" xr:uid="{00000000-0005-0000-0000-0000500E0000}"/>
    <cellStyle name="Millares 5 2 2 2 6 3 2" xfId="29291" xr:uid="{00000000-0005-0000-0000-0000510E0000}"/>
    <cellStyle name="Millares 5 2 2 2 6 4" xfId="20201" xr:uid="{00000000-0005-0000-0000-0000520E0000}"/>
    <cellStyle name="Millares 5 2 2 2 7" xfId="3408" xr:uid="{00000000-0005-0000-0000-0000530E0000}"/>
    <cellStyle name="Millares 5 2 2 2 7 2" xfId="7964" xr:uid="{00000000-0005-0000-0000-0000540E0000}"/>
    <cellStyle name="Millares 5 2 2 2 7 2 2" xfId="17060" xr:uid="{00000000-0005-0000-0000-0000550E0000}"/>
    <cellStyle name="Millares 5 2 2 2 7 2 2 2" xfId="35242" xr:uid="{00000000-0005-0000-0000-0000560E0000}"/>
    <cellStyle name="Millares 5 2 2 2 7 2 3" xfId="26152" xr:uid="{00000000-0005-0000-0000-0000570E0000}"/>
    <cellStyle name="Millares 5 2 2 2 7 3" xfId="12520" xr:uid="{00000000-0005-0000-0000-0000580E0000}"/>
    <cellStyle name="Millares 5 2 2 2 7 3 2" xfId="30702" xr:uid="{00000000-0005-0000-0000-0000590E0000}"/>
    <cellStyle name="Millares 5 2 2 2 7 4" xfId="21612" xr:uid="{00000000-0005-0000-0000-00005A0E0000}"/>
    <cellStyle name="Millares 5 2 2 2 8" xfId="5047" xr:uid="{00000000-0005-0000-0000-00005B0E0000}"/>
    <cellStyle name="Millares 5 2 2 2 8 2" xfId="14147" xr:uid="{00000000-0005-0000-0000-00005C0E0000}"/>
    <cellStyle name="Millares 5 2 2 2 8 2 2" xfId="32329" xr:uid="{00000000-0005-0000-0000-00005D0E0000}"/>
    <cellStyle name="Millares 5 2 2 2 8 3" xfId="23239" xr:uid="{00000000-0005-0000-0000-00005E0E0000}"/>
    <cellStyle name="Millares 5 2 2 2 9" xfId="9613" xr:uid="{00000000-0005-0000-0000-00005F0E0000}"/>
    <cellStyle name="Millares 5 2 2 2 9 2" xfId="27795" xr:uid="{00000000-0005-0000-0000-0000600E0000}"/>
    <cellStyle name="Millares 5 2 2 3" xfId="406" xr:uid="{00000000-0005-0000-0000-0000610E0000}"/>
    <cellStyle name="Millares 5 2 2 3 2" xfId="407" xr:uid="{00000000-0005-0000-0000-0000620E0000}"/>
    <cellStyle name="Millares 5 2 2 3 2 2" xfId="408" xr:uid="{00000000-0005-0000-0000-0000630E0000}"/>
    <cellStyle name="Millares 5 2 2 3 2 2 2" xfId="1944" xr:uid="{00000000-0005-0000-0000-0000640E0000}"/>
    <cellStyle name="Millares 5 2 2 3 2 2 2 2" xfId="6546" xr:uid="{00000000-0005-0000-0000-0000650E0000}"/>
    <cellStyle name="Millares 5 2 2 3 2 2 2 2 2" xfId="15646" xr:uid="{00000000-0005-0000-0000-0000660E0000}"/>
    <cellStyle name="Millares 5 2 2 3 2 2 2 2 2 2" xfId="33828" xr:uid="{00000000-0005-0000-0000-0000670E0000}"/>
    <cellStyle name="Millares 5 2 2 3 2 2 2 2 3" xfId="24738" xr:uid="{00000000-0005-0000-0000-0000680E0000}"/>
    <cellStyle name="Millares 5 2 2 3 2 2 2 3" xfId="11110" xr:uid="{00000000-0005-0000-0000-0000690E0000}"/>
    <cellStyle name="Millares 5 2 2 3 2 2 2 3 2" xfId="29292" xr:uid="{00000000-0005-0000-0000-00006A0E0000}"/>
    <cellStyle name="Millares 5 2 2 3 2 2 2 4" xfId="20202" xr:uid="{00000000-0005-0000-0000-00006B0E0000}"/>
    <cellStyle name="Millares 5 2 2 3 2 2 3" xfId="3420" xr:uid="{00000000-0005-0000-0000-00006C0E0000}"/>
    <cellStyle name="Millares 5 2 2 3 2 2 3 2" xfId="7976" xr:uid="{00000000-0005-0000-0000-00006D0E0000}"/>
    <cellStyle name="Millares 5 2 2 3 2 2 3 2 2" xfId="17072" xr:uid="{00000000-0005-0000-0000-00006E0E0000}"/>
    <cellStyle name="Millares 5 2 2 3 2 2 3 2 2 2" xfId="35254" xr:uid="{00000000-0005-0000-0000-00006F0E0000}"/>
    <cellStyle name="Millares 5 2 2 3 2 2 3 2 3" xfId="26164" xr:uid="{00000000-0005-0000-0000-0000700E0000}"/>
    <cellStyle name="Millares 5 2 2 3 2 2 3 3" xfId="12532" xr:uid="{00000000-0005-0000-0000-0000710E0000}"/>
    <cellStyle name="Millares 5 2 2 3 2 2 3 3 2" xfId="30714" xr:uid="{00000000-0005-0000-0000-0000720E0000}"/>
    <cellStyle name="Millares 5 2 2 3 2 2 3 4" xfId="21624" xr:uid="{00000000-0005-0000-0000-0000730E0000}"/>
    <cellStyle name="Millares 5 2 2 3 2 2 4" xfId="5059" xr:uid="{00000000-0005-0000-0000-0000740E0000}"/>
    <cellStyle name="Millares 5 2 2 3 2 2 4 2" xfId="14159" xr:uid="{00000000-0005-0000-0000-0000750E0000}"/>
    <cellStyle name="Millares 5 2 2 3 2 2 4 2 2" xfId="32341" xr:uid="{00000000-0005-0000-0000-0000760E0000}"/>
    <cellStyle name="Millares 5 2 2 3 2 2 4 3" xfId="23251" xr:uid="{00000000-0005-0000-0000-0000770E0000}"/>
    <cellStyle name="Millares 5 2 2 3 2 2 5" xfId="9625" xr:uid="{00000000-0005-0000-0000-0000780E0000}"/>
    <cellStyle name="Millares 5 2 2 3 2 2 5 2" xfId="27807" xr:uid="{00000000-0005-0000-0000-0000790E0000}"/>
    <cellStyle name="Millares 5 2 2 3 2 2 6" xfId="18716" xr:uid="{00000000-0005-0000-0000-00007A0E0000}"/>
    <cellStyle name="Millares 5 2 2 3 2 3" xfId="1945" xr:uid="{00000000-0005-0000-0000-00007B0E0000}"/>
    <cellStyle name="Millares 5 2 2 3 2 3 2" xfId="6547" xr:uid="{00000000-0005-0000-0000-00007C0E0000}"/>
    <cellStyle name="Millares 5 2 2 3 2 3 2 2" xfId="15647" xr:uid="{00000000-0005-0000-0000-00007D0E0000}"/>
    <cellStyle name="Millares 5 2 2 3 2 3 2 2 2" xfId="33829" xr:uid="{00000000-0005-0000-0000-00007E0E0000}"/>
    <cellStyle name="Millares 5 2 2 3 2 3 2 3" xfId="24739" xr:uid="{00000000-0005-0000-0000-00007F0E0000}"/>
    <cellStyle name="Millares 5 2 2 3 2 3 3" xfId="11111" xr:uid="{00000000-0005-0000-0000-0000800E0000}"/>
    <cellStyle name="Millares 5 2 2 3 2 3 3 2" xfId="29293" xr:uid="{00000000-0005-0000-0000-0000810E0000}"/>
    <cellStyle name="Millares 5 2 2 3 2 3 4" xfId="20203" xr:uid="{00000000-0005-0000-0000-0000820E0000}"/>
    <cellStyle name="Millares 5 2 2 3 2 4" xfId="3419" xr:uid="{00000000-0005-0000-0000-0000830E0000}"/>
    <cellStyle name="Millares 5 2 2 3 2 4 2" xfId="7975" xr:uid="{00000000-0005-0000-0000-0000840E0000}"/>
    <cellStyle name="Millares 5 2 2 3 2 4 2 2" xfId="17071" xr:uid="{00000000-0005-0000-0000-0000850E0000}"/>
    <cellStyle name="Millares 5 2 2 3 2 4 2 2 2" xfId="35253" xr:uid="{00000000-0005-0000-0000-0000860E0000}"/>
    <cellStyle name="Millares 5 2 2 3 2 4 2 3" xfId="26163" xr:uid="{00000000-0005-0000-0000-0000870E0000}"/>
    <cellStyle name="Millares 5 2 2 3 2 4 3" xfId="12531" xr:uid="{00000000-0005-0000-0000-0000880E0000}"/>
    <cellStyle name="Millares 5 2 2 3 2 4 3 2" xfId="30713" xr:uid="{00000000-0005-0000-0000-0000890E0000}"/>
    <cellStyle name="Millares 5 2 2 3 2 4 4" xfId="21623" xr:uid="{00000000-0005-0000-0000-00008A0E0000}"/>
    <cellStyle name="Millares 5 2 2 3 2 5" xfId="5058" xr:uid="{00000000-0005-0000-0000-00008B0E0000}"/>
    <cellStyle name="Millares 5 2 2 3 2 5 2" xfId="14158" xr:uid="{00000000-0005-0000-0000-00008C0E0000}"/>
    <cellStyle name="Millares 5 2 2 3 2 5 2 2" xfId="32340" xr:uid="{00000000-0005-0000-0000-00008D0E0000}"/>
    <cellStyle name="Millares 5 2 2 3 2 5 3" xfId="23250" xr:uid="{00000000-0005-0000-0000-00008E0E0000}"/>
    <cellStyle name="Millares 5 2 2 3 2 6" xfId="9624" xr:uid="{00000000-0005-0000-0000-00008F0E0000}"/>
    <cellStyle name="Millares 5 2 2 3 2 6 2" xfId="27806" xr:uid="{00000000-0005-0000-0000-0000900E0000}"/>
    <cellStyle name="Millares 5 2 2 3 2 7" xfId="18715" xr:uid="{00000000-0005-0000-0000-0000910E0000}"/>
    <cellStyle name="Millares 5 2 2 3 3" xfId="409" xr:uid="{00000000-0005-0000-0000-0000920E0000}"/>
    <cellStyle name="Millares 5 2 2 3 3 2" xfId="1946" xr:uid="{00000000-0005-0000-0000-0000930E0000}"/>
    <cellStyle name="Millares 5 2 2 3 3 2 2" xfId="6548" xr:uid="{00000000-0005-0000-0000-0000940E0000}"/>
    <cellStyle name="Millares 5 2 2 3 3 2 2 2" xfId="15648" xr:uid="{00000000-0005-0000-0000-0000950E0000}"/>
    <cellStyle name="Millares 5 2 2 3 3 2 2 2 2" xfId="33830" xr:uid="{00000000-0005-0000-0000-0000960E0000}"/>
    <cellStyle name="Millares 5 2 2 3 3 2 2 3" xfId="24740" xr:uid="{00000000-0005-0000-0000-0000970E0000}"/>
    <cellStyle name="Millares 5 2 2 3 3 2 3" xfId="11112" xr:uid="{00000000-0005-0000-0000-0000980E0000}"/>
    <cellStyle name="Millares 5 2 2 3 3 2 3 2" xfId="29294" xr:uid="{00000000-0005-0000-0000-0000990E0000}"/>
    <cellStyle name="Millares 5 2 2 3 3 2 4" xfId="20204" xr:uid="{00000000-0005-0000-0000-00009A0E0000}"/>
    <cellStyle name="Millares 5 2 2 3 3 3" xfId="3421" xr:uid="{00000000-0005-0000-0000-00009B0E0000}"/>
    <cellStyle name="Millares 5 2 2 3 3 3 2" xfId="7977" xr:uid="{00000000-0005-0000-0000-00009C0E0000}"/>
    <cellStyle name="Millares 5 2 2 3 3 3 2 2" xfId="17073" xr:uid="{00000000-0005-0000-0000-00009D0E0000}"/>
    <cellStyle name="Millares 5 2 2 3 3 3 2 2 2" xfId="35255" xr:uid="{00000000-0005-0000-0000-00009E0E0000}"/>
    <cellStyle name="Millares 5 2 2 3 3 3 2 3" xfId="26165" xr:uid="{00000000-0005-0000-0000-00009F0E0000}"/>
    <cellStyle name="Millares 5 2 2 3 3 3 3" xfId="12533" xr:uid="{00000000-0005-0000-0000-0000A00E0000}"/>
    <cellStyle name="Millares 5 2 2 3 3 3 3 2" xfId="30715" xr:uid="{00000000-0005-0000-0000-0000A10E0000}"/>
    <cellStyle name="Millares 5 2 2 3 3 3 4" xfId="21625" xr:uid="{00000000-0005-0000-0000-0000A20E0000}"/>
    <cellStyle name="Millares 5 2 2 3 3 4" xfId="5060" xr:uid="{00000000-0005-0000-0000-0000A30E0000}"/>
    <cellStyle name="Millares 5 2 2 3 3 4 2" xfId="14160" xr:uid="{00000000-0005-0000-0000-0000A40E0000}"/>
    <cellStyle name="Millares 5 2 2 3 3 4 2 2" xfId="32342" xr:uid="{00000000-0005-0000-0000-0000A50E0000}"/>
    <cellStyle name="Millares 5 2 2 3 3 4 3" xfId="23252" xr:uid="{00000000-0005-0000-0000-0000A60E0000}"/>
    <cellStyle name="Millares 5 2 2 3 3 5" xfId="9626" xr:uid="{00000000-0005-0000-0000-0000A70E0000}"/>
    <cellStyle name="Millares 5 2 2 3 3 5 2" xfId="27808" xr:uid="{00000000-0005-0000-0000-0000A80E0000}"/>
    <cellStyle name="Millares 5 2 2 3 3 6" xfId="18717" xr:uid="{00000000-0005-0000-0000-0000A90E0000}"/>
    <cellStyle name="Millares 5 2 2 3 4" xfId="410" xr:uid="{00000000-0005-0000-0000-0000AA0E0000}"/>
    <cellStyle name="Millares 5 2 2 3 4 2" xfId="3422" xr:uid="{00000000-0005-0000-0000-0000AB0E0000}"/>
    <cellStyle name="Millares 5 2 2 3 4 2 2" xfId="7978" xr:uid="{00000000-0005-0000-0000-0000AC0E0000}"/>
    <cellStyle name="Millares 5 2 2 3 4 2 2 2" xfId="17074" xr:uid="{00000000-0005-0000-0000-0000AD0E0000}"/>
    <cellStyle name="Millares 5 2 2 3 4 2 2 2 2" xfId="35256" xr:uid="{00000000-0005-0000-0000-0000AE0E0000}"/>
    <cellStyle name="Millares 5 2 2 3 4 2 2 3" xfId="26166" xr:uid="{00000000-0005-0000-0000-0000AF0E0000}"/>
    <cellStyle name="Millares 5 2 2 3 4 2 3" xfId="12534" xr:uid="{00000000-0005-0000-0000-0000B00E0000}"/>
    <cellStyle name="Millares 5 2 2 3 4 2 3 2" xfId="30716" xr:uid="{00000000-0005-0000-0000-0000B10E0000}"/>
    <cellStyle name="Millares 5 2 2 3 4 2 4" xfId="21626" xr:uid="{00000000-0005-0000-0000-0000B20E0000}"/>
    <cellStyle name="Millares 5 2 2 3 4 3" xfId="5061" xr:uid="{00000000-0005-0000-0000-0000B30E0000}"/>
    <cellStyle name="Millares 5 2 2 3 4 3 2" xfId="14161" xr:uid="{00000000-0005-0000-0000-0000B40E0000}"/>
    <cellStyle name="Millares 5 2 2 3 4 3 2 2" xfId="32343" xr:uid="{00000000-0005-0000-0000-0000B50E0000}"/>
    <cellStyle name="Millares 5 2 2 3 4 3 3" xfId="23253" xr:uid="{00000000-0005-0000-0000-0000B60E0000}"/>
    <cellStyle name="Millares 5 2 2 3 4 4" xfId="9627" xr:uid="{00000000-0005-0000-0000-0000B70E0000}"/>
    <cellStyle name="Millares 5 2 2 3 4 4 2" xfId="27809" xr:uid="{00000000-0005-0000-0000-0000B80E0000}"/>
    <cellStyle name="Millares 5 2 2 3 4 5" xfId="18718" xr:uid="{00000000-0005-0000-0000-0000B90E0000}"/>
    <cellStyle name="Millares 5 2 2 3 5" xfId="1947" xr:uid="{00000000-0005-0000-0000-0000BA0E0000}"/>
    <cellStyle name="Millares 5 2 2 3 6" xfId="3418" xr:uid="{00000000-0005-0000-0000-0000BB0E0000}"/>
    <cellStyle name="Millares 5 2 2 3 6 2" xfId="7974" xr:uid="{00000000-0005-0000-0000-0000BC0E0000}"/>
    <cellStyle name="Millares 5 2 2 3 6 2 2" xfId="17070" xr:uid="{00000000-0005-0000-0000-0000BD0E0000}"/>
    <cellStyle name="Millares 5 2 2 3 6 2 2 2" xfId="35252" xr:uid="{00000000-0005-0000-0000-0000BE0E0000}"/>
    <cellStyle name="Millares 5 2 2 3 6 2 3" xfId="26162" xr:uid="{00000000-0005-0000-0000-0000BF0E0000}"/>
    <cellStyle name="Millares 5 2 2 3 6 3" xfId="12530" xr:uid="{00000000-0005-0000-0000-0000C00E0000}"/>
    <cellStyle name="Millares 5 2 2 3 6 3 2" xfId="30712" xr:uid="{00000000-0005-0000-0000-0000C10E0000}"/>
    <cellStyle name="Millares 5 2 2 3 6 4" xfId="21622" xr:uid="{00000000-0005-0000-0000-0000C20E0000}"/>
    <cellStyle name="Millares 5 2 2 3 7" xfId="5057" xr:uid="{00000000-0005-0000-0000-0000C30E0000}"/>
    <cellStyle name="Millares 5 2 2 3 7 2" xfId="14157" xr:uid="{00000000-0005-0000-0000-0000C40E0000}"/>
    <cellStyle name="Millares 5 2 2 3 7 2 2" xfId="32339" xr:uid="{00000000-0005-0000-0000-0000C50E0000}"/>
    <cellStyle name="Millares 5 2 2 3 7 3" xfId="23249" xr:uid="{00000000-0005-0000-0000-0000C60E0000}"/>
    <cellStyle name="Millares 5 2 2 3 8" xfId="9623" xr:uid="{00000000-0005-0000-0000-0000C70E0000}"/>
    <cellStyle name="Millares 5 2 2 3 8 2" xfId="27805" xr:uid="{00000000-0005-0000-0000-0000C80E0000}"/>
    <cellStyle name="Millares 5 2 2 3 9" xfId="18714" xr:uid="{00000000-0005-0000-0000-0000C90E0000}"/>
    <cellStyle name="Millares 5 2 2 4" xfId="411" xr:uid="{00000000-0005-0000-0000-0000CA0E0000}"/>
    <cellStyle name="Millares 5 2 2 4 2" xfId="412" xr:uid="{00000000-0005-0000-0000-0000CB0E0000}"/>
    <cellStyle name="Millares 5 2 2 4 2 2" xfId="1948" xr:uid="{00000000-0005-0000-0000-0000CC0E0000}"/>
    <cellStyle name="Millares 5 2 2 4 2 2 2" xfId="6549" xr:uid="{00000000-0005-0000-0000-0000CD0E0000}"/>
    <cellStyle name="Millares 5 2 2 4 2 2 2 2" xfId="15649" xr:uid="{00000000-0005-0000-0000-0000CE0E0000}"/>
    <cellStyle name="Millares 5 2 2 4 2 2 2 2 2" xfId="33831" xr:uid="{00000000-0005-0000-0000-0000CF0E0000}"/>
    <cellStyle name="Millares 5 2 2 4 2 2 2 3" xfId="24741" xr:uid="{00000000-0005-0000-0000-0000D00E0000}"/>
    <cellStyle name="Millares 5 2 2 4 2 2 3" xfId="11113" xr:uid="{00000000-0005-0000-0000-0000D10E0000}"/>
    <cellStyle name="Millares 5 2 2 4 2 2 3 2" xfId="29295" xr:uid="{00000000-0005-0000-0000-0000D20E0000}"/>
    <cellStyle name="Millares 5 2 2 4 2 2 4" xfId="20205" xr:uid="{00000000-0005-0000-0000-0000D30E0000}"/>
    <cellStyle name="Millares 5 2 2 4 2 3" xfId="3424" xr:uid="{00000000-0005-0000-0000-0000D40E0000}"/>
    <cellStyle name="Millares 5 2 2 4 2 3 2" xfId="7980" xr:uid="{00000000-0005-0000-0000-0000D50E0000}"/>
    <cellStyle name="Millares 5 2 2 4 2 3 2 2" xfId="17076" xr:uid="{00000000-0005-0000-0000-0000D60E0000}"/>
    <cellStyle name="Millares 5 2 2 4 2 3 2 2 2" xfId="35258" xr:uid="{00000000-0005-0000-0000-0000D70E0000}"/>
    <cellStyle name="Millares 5 2 2 4 2 3 2 3" xfId="26168" xr:uid="{00000000-0005-0000-0000-0000D80E0000}"/>
    <cellStyle name="Millares 5 2 2 4 2 3 3" xfId="12536" xr:uid="{00000000-0005-0000-0000-0000D90E0000}"/>
    <cellStyle name="Millares 5 2 2 4 2 3 3 2" xfId="30718" xr:uid="{00000000-0005-0000-0000-0000DA0E0000}"/>
    <cellStyle name="Millares 5 2 2 4 2 3 4" xfId="21628" xr:uid="{00000000-0005-0000-0000-0000DB0E0000}"/>
    <cellStyle name="Millares 5 2 2 4 2 4" xfId="5063" xr:uid="{00000000-0005-0000-0000-0000DC0E0000}"/>
    <cellStyle name="Millares 5 2 2 4 2 4 2" xfId="14163" xr:uid="{00000000-0005-0000-0000-0000DD0E0000}"/>
    <cellStyle name="Millares 5 2 2 4 2 4 2 2" xfId="32345" xr:uid="{00000000-0005-0000-0000-0000DE0E0000}"/>
    <cellStyle name="Millares 5 2 2 4 2 4 3" xfId="23255" xr:uid="{00000000-0005-0000-0000-0000DF0E0000}"/>
    <cellStyle name="Millares 5 2 2 4 2 5" xfId="9629" xr:uid="{00000000-0005-0000-0000-0000E00E0000}"/>
    <cellStyle name="Millares 5 2 2 4 2 5 2" xfId="27811" xr:uid="{00000000-0005-0000-0000-0000E10E0000}"/>
    <cellStyle name="Millares 5 2 2 4 2 6" xfId="18720" xr:uid="{00000000-0005-0000-0000-0000E20E0000}"/>
    <cellStyle name="Millares 5 2 2 4 3" xfId="1949" xr:uid="{00000000-0005-0000-0000-0000E30E0000}"/>
    <cellStyle name="Millares 5 2 2 4 3 2" xfId="6550" xr:uid="{00000000-0005-0000-0000-0000E40E0000}"/>
    <cellStyle name="Millares 5 2 2 4 3 2 2" xfId="15650" xr:uid="{00000000-0005-0000-0000-0000E50E0000}"/>
    <cellStyle name="Millares 5 2 2 4 3 2 2 2" xfId="33832" xr:uid="{00000000-0005-0000-0000-0000E60E0000}"/>
    <cellStyle name="Millares 5 2 2 4 3 2 3" xfId="24742" xr:uid="{00000000-0005-0000-0000-0000E70E0000}"/>
    <cellStyle name="Millares 5 2 2 4 3 3" xfId="11114" xr:uid="{00000000-0005-0000-0000-0000E80E0000}"/>
    <cellStyle name="Millares 5 2 2 4 3 3 2" xfId="29296" xr:uid="{00000000-0005-0000-0000-0000E90E0000}"/>
    <cellStyle name="Millares 5 2 2 4 3 4" xfId="20206" xr:uid="{00000000-0005-0000-0000-0000EA0E0000}"/>
    <cellStyle name="Millares 5 2 2 4 4" xfId="3423" xr:uid="{00000000-0005-0000-0000-0000EB0E0000}"/>
    <cellStyle name="Millares 5 2 2 4 4 2" xfId="7979" xr:uid="{00000000-0005-0000-0000-0000EC0E0000}"/>
    <cellStyle name="Millares 5 2 2 4 4 2 2" xfId="17075" xr:uid="{00000000-0005-0000-0000-0000ED0E0000}"/>
    <cellStyle name="Millares 5 2 2 4 4 2 2 2" xfId="35257" xr:uid="{00000000-0005-0000-0000-0000EE0E0000}"/>
    <cellStyle name="Millares 5 2 2 4 4 2 3" xfId="26167" xr:uid="{00000000-0005-0000-0000-0000EF0E0000}"/>
    <cellStyle name="Millares 5 2 2 4 4 3" xfId="12535" xr:uid="{00000000-0005-0000-0000-0000F00E0000}"/>
    <cellStyle name="Millares 5 2 2 4 4 3 2" xfId="30717" xr:uid="{00000000-0005-0000-0000-0000F10E0000}"/>
    <cellStyle name="Millares 5 2 2 4 4 4" xfId="21627" xr:uid="{00000000-0005-0000-0000-0000F20E0000}"/>
    <cellStyle name="Millares 5 2 2 4 5" xfId="5062" xr:uid="{00000000-0005-0000-0000-0000F30E0000}"/>
    <cellStyle name="Millares 5 2 2 4 5 2" xfId="14162" xr:uid="{00000000-0005-0000-0000-0000F40E0000}"/>
    <cellStyle name="Millares 5 2 2 4 5 2 2" xfId="32344" xr:uid="{00000000-0005-0000-0000-0000F50E0000}"/>
    <cellStyle name="Millares 5 2 2 4 5 3" xfId="23254" xr:uid="{00000000-0005-0000-0000-0000F60E0000}"/>
    <cellStyle name="Millares 5 2 2 4 6" xfId="9628" xr:uid="{00000000-0005-0000-0000-0000F70E0000}"/>
    <cellStyle name="Millares 5 2 2 4 6 2" xfId="27810" xr:uid="{00000000-0005-0000-0000-0000F80E0000}"/>
    <cellStyle name="Millares 5 2 2 4 7" xfId="18719" xr:uid="{00000000-0005-0000-0000-0000F90E0000}"/>
    <cellStyle name="Millares 5 2 2 5" xfId="413" xr:uid="{00000000-0005-0000-0000-0000FA0E0000}"/>
    <cellStyle name="Millares 5 2 2 5 2" xfId="1950" xr:uid="{00000000-0005-0000-0000-0000FB0E0000}"/>
    <cellStyle name="Millares 5 2 2 5 2 2" xfId="6551" xr:uid="{00000000-0005-0000-0000-0000FC0E0000}"/>
    <cellStyle name="Millares 5 2 2 5 2 2 2" xfId="15651" xr:uid="{00000000-0005-0000-0000-0000FD0E0000}"/>
    <cellStyle name="Millares 5 2 2 5 2 2 2 2" xfId="33833" xr:uid="{00000000-0005-0000-0000-0000FE0E0000}"/>
    <cellStyle name="Millares 5 2 2 5 2 2 3" xfId="24743" xr:uid="{00000000-0005-0000-0000-0000FF0E0000}"/>
    <cellStyle name="Millares 5 2 2 5 2 3" xfId="11115" xr:uid="{00000000-0005-0000-0000-0000000F0000}"/>
    <cellStyle name="Millares 5 2 2 5 2 3 2" xfId="29297" xr:uid="{00000000-0005-0000-0000-0000010F0000}"/>
    <cellStyle name="Millares 5 2 2 5 2 4" xfId="20207" xr:uid="{00000000-0005-0000-0000-0000020F0000}"/>
    <cellStyle name="Millares 5 2 2 5 3" xfId="3425" xr:uid="{00000000-0005-0000-0000-0000030F0000}"/>
    <cellStyle name="Millares 5 2 2 5 3 2" xfId="7981" xr:uid="{00000000-0005-0000-0000-0000040F0000}"/>
    <cellStyle name="Millares 5 2 2 5 3 2 2" xfId="17077" xr:uid="{00000000-0005-0000-0000-0000050F0000}"/>
    <cellStyle name="Millares 5 2 2 5 3 2 2 2" xfId="35259" xr:uid="{00000000-0005-0000-0000-0000060F0000}"/>
    <cellStyle name="Millares 5 2 2 5 3 2 3" xfId="26169" xr:uid="{00000000-0005-0000-0000-0000070F0000}"/>
    <cellStyle name="Millares 5 2 2 5 3 3" xfId="12537" xr:uid="{00000000-0005-0000-0000-0000080F0000}"/>
    <cellStyle name="Millares 5 2 2 5 3 3 2" xfId="30719" xr:uid="{00000000-0005-0000-0000-0000090F0000}"/>
    <cellStyle name="Millares 5 2 2 5 3 4" xfId="21629" xr:uid="{00000000-0005-0000-0000-00000A0F0000}"/>
    <cellStyle name="Millares 5 2 2 5 4" xfId="5064" xr:uid="{00000000-0005-0000-0000-00000B0F0000}"/>
    <cellStyle name="Millares 5 2 2 5 4 2" xfId="14164" xr:uid="{00000000-0005-0000-0000-00000C0F0000}"/>
    <cellStyle name="Millares 5 2 2 5 4 2 2" xfId="32346" xr:uid="{00000000-0005-0000-0000-00000D0F0000}"/>
    <cellStyle name="Millares 5 2 2 5 4 3" xfId="23256" xr:uid="{00000000-0005-0000-0000-00000E0F0000}"/>
    <cellStyle name="Millares 5 2 2 5 5" xfId="9630" xr:uid="{00000000-0005-0000-0000-00000F0F0000}"/>
    <cellStyle name="Millares 5 2 2 5 5 2" xfId="27812" xr:uid="{00000000-0005-0000-0000-0000100F0000}"/>
    <cellStyle name="Millares 5 2 2 5 6" xfId="18721" xr:uid="{00000000-0005-0000-0000-0000110F0000}"/>
    <cellStyle name="Millares 5 2 2 6" xfId="414" xr:uid="{00000000-0005-0000-0000-0000120F0000}"/>
    <cellStyle name="Millares 5 2 2 6 2" xfId="3426" xr:uid="{00000000-0005-0000-0000-0000130F0000}"/>
    <cellStyle name="Millares 5 2 2 6 2 2" xfId="7982" xr:uid="{00000000-0005-0000-0000-0000140F0000}"/>
    <cellStyle name="Millares 5 2 2 6 2 2 2" xfId="17078" xr:uid="{00000000-0005-0000-0000-0000150F0000}"/>
    <cellStyle name="Millares 5 2 2 6 2 2 2 2" xfId="35260" xr:uid="{00000000-0005-0000-0000-0000160F0000}"/>
    <cellStyle name="Millares 5 2 2 6 2 2 3" xfId="26170" xr:uid="{00000000-0005-0000-0000-0000170F0000}"/>
    <cellStyle name="Millares 5 2 2 6 2 3" xfId="12538" xr:uid="{00000000-0005-0000-0000-0000180F0000}"/>
    <cellStyle name="Millares 5 2 2 6 2 3 2" xfId="30720" xr:uid="{00000000-0005-0000-0000-0000190F0000}"/>
    <cellStyle name="Millares 5 2 2 6 2 4" xfId="21630" xr:uid="{00000000-0005-0000-0000-00001A0F0000}"/>
    <cellStyle name="Millares 5 2 2 6 3" xfId="5065" xr:uid="{00000000-0005-0000-0000-00001B0F0000}"/>
    <cellStyle name="Millares 5 2 2 6 3 2" xfId="14165" xr:uid="{00000000-0005-0000-0000-00001C0F0000}"/>
    <cellStyle name="Millares 5 2 2 6 3 2 2" xfId="32347" xr:uid="{00000000-0005-0000-0000-00001D0F0000}"/>
    <cellStyle name="Millares 5 2 2 6 3 3" xfId="23257" xr:uid="{00000000-0005-0000-0000-00001E0F0000}"/>
    <cellStyle name="Millares 5 2 2 6 4" xfId="9631" xr:uid="{00000000-0005-0000-0000-00001F0F0000}"/>
    <cellStyle name="Millares 5 2 2 6 4 2" xfId="27813" xr:uid="{00000000-0005-0000-0000-0000200F0000}"/>
    <cellStyle name="Millares 5 2 2 6 5" xfId="18722" xr:uid="{00000000-0005-0000-0000-0000210F0000}"/>
    <cellStyle name="Millares 5 2 2 7" xfId="1951" xr:uid="{00000000-0005-0000-0000-0000220F0000}"/>
    <cellStyle name="Millares 5 2 2 7 2" xfId="6552" xr:uid="{00000000-0005-0000-0000-0000230F0000}"/>
    <cellStyle name="Millares 5 2 2 7 2 2" xfId="15652" xr:uid="{00000000-0005-0000-0000-0000240F0000}"/>
    <cellStyle name="Millares 5 2 2 7 2 2 2" xfId="33834" xr:uid="{00000000-0005-0000-0000-0000250F0000}"/>
    <cellStyle name="Millares 5 2 2 7 2 3" xfId="24744" xr:uid="{00000000-0005-0000-0000-0000260F0000}"/>
    <cellStyle name="Millares 5 2 2 7 3" xfId="11116" xr:uid="{00000000-0005-0000-0000-0000270F0000}"/>
    <cellStyle name="Millares 5 2 2 7 3 2" xfId="29298" xr:uid="{00000000-0005-0000-0000-0000280F0000}"/>
    <cellStyle name="Millares 5 2 2 7 4" xfId="20208" xr:uid="{00000000-0005-0000-0000-0000290F0000}"/>
    <cellStyle name="Millares 5 2 2 8" xfId="3187" xr:uid="{00000000-0005-0000-0000-00002A0F0000}"/>
    <cellStyle name="Millares 5 2 2 8 2" xfId="7747" xr:uid="{00000000-0005-0000-0000-00002B0F0000}"/>
    <cellStyle name="Millares 5 2 2 8 2 2" xfId="16843" xr:uid="{00000000-0005-0000-0000-00002C0F0000}"/>
    <cellStyle name="Millares 5 2 2 8 2 2 2" xfId="35025" xr:uid="{00000000-0005-0000-0000-00002D0F0000}"/>
    <cellStyle name="Millares 5 2 2 8 2 3" xfId="25935" xr:uid="{00000000-0005-0000-0000-00002E0F0000}"/>
    <cellStyle name="Millares 5 2 2 8 3" xfId="12303" xr:uid="{00000000-0005-0000-0000-00002F0F0000}"/>
    <cellStyle name="Millares 5 2 2 8 3 2" xfId="30485" xr:uid="{00000000-0005-0000-0000-0000300F0000}"/>
    <cellStyle name="Millares 5 2 2 8 4" xfId="21395" xr:uid="{00000000-0005-0000-0000-0000310F0000}"/>
    <cellStyle name="Millares 5 2 2 9" xfId="4837" xr:uid="{00000000-0005-0000-0000-0000320F0000}"/>
    <cellStyle name="Millares 5 2 2 9 2" xfId="13937" xr:uid="{00000000-0005-0000-0000-0000330F0000}"/>
    <cellStyle name="Millares 5 2 2 9 2 2" xfId="32119" xr:uid="{00000000-0005-0000-0000-0000340F0000}"/>
    <cellStyle name="Millares 5 2 2 9 3" xfId="23029" xr:uid="{00000000-0005-0000-0000-0000350F0000}"/>
    <cellStyle name="Millares 5 2 3" xfId="415" xr:uid="{00000000-0005-0000-0000-0000360F0000}"/>
    <cellStyle name="Millares 5 2 3 10" xfId="18723" xr:uid="{00000000-0005-0000-0000-0000370F0000}"/>
    <cellStyle name="Millares 5 2 3 2" xfId="416" xr:uid="{00000000-0005-0000-0000-0000380F0000}"/>
    <cellStyle name="Millares 5 2 3 2 2" xfId="417" xr:uid="{00000000-0005-0000-0000-0000390F0000}"/>
    <cellStyle name="Millares 5 2 3 2 2 2" xfId="418" xr:uid="{00000000-0005-0000-0000-00003A0F0000}"/>
    <cellStyle name="Millares 5 2 3 2 2 2 2" xfId="1952" xr:uid="{00000000-0005-0000-0000-00003B0F0000}"/>
    <cellStyle name="Millares 5 2 3 2 2 2 2 2" xfId="6553" xr:uid="{00000000-0005-0000-0000-00003C0F0000}"/>
    <cellStyle name="Millares 5 2 3 2 2 2 2 2 2" xfId="15653" xr:uid="{00000000-0005-0000-0000-00003D0F0000}"/>
    <cellStyle name="Millares 5 2 3 2 2 2 2 2 2 2" xfId="33835" xr:uid="{00000000-0005-0000-0000-00003E0F0000}"/>
    <cellStyle name="Millares 5 2 3 2 2 2 2 2 3" xfId="24745" xr:uid="{00000000-0005-0000-0000-00003F0F0000}"/>
    <cellStyle name="Millares 5 2 3 2 2 2 2 3" xfId="11117" xr:uid="{00000000-0005-0000-0000-0000400F0000}"/>
    <cellStyle name="Millares 5 2 3 2 2 2 2 3 2" xfId="29299" xr:uid="{00000000-0005-0000-0000-0000410F0000}"/>
    <cellStyle name="Millares 5 2 3 2 2 2 2 4" xfId="20209" xr:uid="{00000000-0005-0000-0000-0000420F0000}"/>
    <cellStyle name="Millares 5 2 3 2 2 2 3" xfId="3430" xr:uid="{00000000-0005-0000-0000-0000430F0000}"/>
    <cellStyle name="Millares 5 2 3 2 2 2 3 2" xfId="7986" xr:uid="{00000000-0005-0000-0000-0000440F0000}"/>
    <cellStyle name="Millares 5 2 3 2 2 2 3 2 2" xfId="17082" xr:uid="{00000000-0005-0000-0000-0000450F0000}"/>
    <cellStyle name="Millares 5 2 3 2 2 2 3 2 2 2" xfId="35264" xr:uid="{00000000-0005-0000-0000-0000460F0000}"/>
    <cellStyle name="Millares 5 2 3 2 2 2 3 2 3" xfId="26174" xr:uid="{00000000-0005-0000-0000-0000470F0000}"/>
    <cellStyle name="Millares 5 2 3 2 2 2 3 3" xfId="12542" xr:uid="{00000000-0005-0000-0000-0000480F0000}"/>
    <cellStyle name="Millares 5 2 3 2 2 2 3 3 2" xfId="30724" xr:uid="{00000000-0005-0000-0000-0000490F0000}"/>
    <cellStyle name="Millares 5 2 3 2 2 2 3 4" xfId="21634" xr:uid="{00000000-0005-0000-0000-00004A0F0000}"/>
    <cellStyle name="Millares 5 2 3 2 2 2 4" xfId="5069" xr:uid="{00000000-0005-0000-0000-00004B0F0000}"/>
    <cellStyle name="Millares 5 2 3 2 2 2 4 2" xfId="14169" xr:uid="{00000000-0005-0000-0000-00004C0F0000}"/>
    <cellStyle name="Millares 5 2 3 2 2 2 4 2 2" xfId="32351" xr:uid="{00000000-0005-0000-0000-00004D0F0000}"/>
    <cellStyle name="Millares 5 2 3 2 2 2 4 3" xfId="23261" xr:uid="{00000000-0005-0000-0000-00004E0F0000}"/>
    <cellStyle name="Millares 5 2 3 2 2 2 5" xfId="9635" xr:uid="{00000000-0005-0000-0000-00004F0F0000}"/>
    <cellStyle name="Millares 5 2 3 2 2 2 5 2" xfId="27817" xr:uid="{00000000-0005-0000-0000-0000500F0000}"/>
    <cellStyle name="Millares 5 2 3 2 2 2 6" xfId="18726" xr:uid="{00000000-0005-0000-0000-0000510F0000}"/>
    <cellStyle name="Millares 5 2 3 2 2 3" xfId="1953" xr:uid="{00000000-0005-0000-0000-0000520F0000}"/>
    <cellStyle name="Millares 5 2 3 2 2 3 2" xfId="6554" xr:uid="{00000000-0005-0000-0000-0000530F0000}"/>
    <cellStyle name="Millares 5 2 3 2 2 3 2 2" xfId="15654" xr:uid="{00000000-0005-0000-0000-0000540F0000}"/>
    <cellStyle name="Millares 5 2 3 2 2 3 2 2 2" xfId="33836" xr:uid="{00000000-0005-0000-0000-0000550F0000}"/>
    <cellStyle name="Millares 5 2 3 2 2 3 2 3" xfId="24746" xr:uid="{00000000-0005-0000-0000-0000560F0000}"/>
    <cellStyle name="Millares 5 2 3 2 2 3 3" xfId="11118" xr:uid="{00000000-0005-0000-0000-0000570F0000}"/>
    <cellStyle name="Millares 5 2 3 2 2 3 3 2" xfId="29300" xr:uid="{00000000-0005-0000-0000-0000580F0000}"/>
    <cellStyle name="Millares 5 2 3 2 2 3 4" xfId="20210" xr:uid="{00000000-0005-0000-0000-0000590F0000}"/>
    <cellStyle name="Millares 5 2 3 2 2 4" xfId="3429" xr:uid="{00000000-0005-0000-0000-00005A0F0000}"/>
    <cellStyle name="Millares 5 2 3 2 2 4 2" xfId="7985" xr:uid="{00000000-0005-0000-0000-00005B0F0000}"/>
    <cellStyle name="Millares 5 2 3 2 2 4 2 2" xfId="17081" xr:uid="{00000000-0005-0000-0000-00005C0F0000}"/>
    <cellStyle name="Millares 5 2 3 2 2 4 2 2 2" xfId="35263" xr:uid="{00000000-0005-0000-0000-00005D0F0000}"/>
    <cellStyle name="Millares 5 2 3 2 2 4 2 3" xfId="26173" xr:uid="{00000000-0005-0000-0000-00005E0F0000}"/>
    <cellStyle name="Millares 5 2 3 2 2 4 3" xfId="12541" xr:uid="{00000000-0005-0000-0000-00005F0F0000}"/>
    <cellStyle name="Millares 5 2 3 2 2 4 3 2" xfId="30723" xr:uid="{00000000-0005-0000-0000-0000600F0000}"/>
    <cellStyle name="Millares 5 2 3 2 2 4 4" xfId="21633" xr:uid="{00000000-0005-0000-0000-0000610F0000}"/>
    <cellStyle name="Millares 5 2 3 2 2 5" xfId="5068" xr:uid="{00000000-0005-0000-0000-0000620F0000}"/>
    <cellStyle name="Millares 5 2 3 2 2 5 2" xfId="14168" xr:uid="{00000000-0005-0000-0000-0000630F0000}"/>
    <cellStyle name="Millares 5 2 3 2 2 5 2 2" xfId="32350" xr:uid="{00000000-0005-0000-0000-0000640F0000}"/>
    <cellStyle name="Millares 5 2 3 2 2 5 3" xfId="23260" xr:uid="{00000000-0005-0000-0000-0000650F0000}"/>
    <cellStyle name="Millares 5 2 3 2 2 6" xfId="9634" xr:uid="{00000000-0005-0000-0000-0000660F0000}"/>
    <cellStyle name="Millares 5 2 3 2 2 6 2" xfId="27816" xr:uid="{00000000-0005-0000-0000-0000670F0000}"/>
    <cellStyle name="Millares 5 2 3 2 2 7" xfId="18725" xr:uid="{00000000-0005-0000-0000-0000680F0000}"/>
    <cellStyle name="Millares 5 2 3 2 3" xfId="419" xr:uid="{00000000-0005-0000-0000-0000690F0000}"/>
    <cellStyle name="Millares 5 2 3 2 3 2" xfId="1954" xr:uid="{00000000-0005-0000-0000-00006A0F0000}"/>
    <cellStyle name="Millares 5 2 3 2 3 2 2" xfId="6555" xr:uid="{00000000-0005-0000-0000-00006B0F0000}"/>
    <cellStyle name="Millares 5 2 3 2 3 2 2 2" xfId="15655" xr:uid="{00000000-0005-0000-0000-00006C0F0000}"/>
    <cellStyle name="Millares 5 2 3 2 3 2 2 2 2" xfId="33837" xr:uid="{00000000-0005-0000-0000-00006D0F0000}"/>
    <cellStyle name="Millares 5 2 3 2 3 2 2 3" xfId="24747" xr:uid="{00000000-0005-0000-0000-00006E0F0000}"/>
    <cellStyle name="Millares 5 2 3 2 3 2 3" xfId="11119" xr:uid="{00000000-0005-0000-0000-00006F0F0000}"/>
    <cellStyle name="Millares 5 2 3 2 3 2 3 2" xfId="29301" xr:uid="{00000000-0005-0000-0000-0000700F0000}"/>
    <cellStyle name="Millares 5 2 3 2 3 2 4" xfId="20211" xr:uid="{00000000-0005-0000-0000-0000710F0000}"/>
    <cellStyle name="Millares 5 2 3 2 3 3" xfId="3431" xr:uid="{00000000-0005-0000-0000-0000720F0000}"/>
    <cellStyle name="Millares 5 2 3 2 3 3 2" xfId="7987" xr:uid="{00000000-0005-0000-0000-0000730F0000}"/>
    <cellStyle name="Millares 5 2 3 2 3 3 2 2" xfId="17083" xr:uid="{00000000-0005-0000-0000-0000740F0000}"/>
    <cellStyle name="Millares 5 2 3 2 3 3 2 2 2" xfId="35265" xr:uid="{00000000-0005-0000-0000-0000750F0000}"/>
    <cellStyle name="Millares 5 2 3 2 3 3 2 3" xfId="26175" xr:uid="{00000000-0005-0000-0000-0000760F0000}"/>
    <cellStyle name="Millares 5 2 3 2 3 3 3" xfId="12543" xr:uid="{00000000-0005-0000-0000-0000770F0000}"/>
    <cellStyle name="Millares 5 2 3 2 3 3 3 2" xfId="30725" xr:uid="{00000000-0005-0000-0000-0000780F0000}"/>
    <cellStyle name="Millares 5 2 3 2 3 3 4" xfId="21635" xr:uid="{00000000-0005-0000-0000-0000790F0000}"/>
    <cellStyle name="Millares 5 2 3 2 3 4" xfId="5070" xr:uid="{00000000-0005-0000-0000-00007A0F0000}"/>
    <cellStyle name="Millares 5 2 3 2 3 4 2" xfId="14170" xr:uid="{00000000-0005-0000-0000-00007B0F0000}"/>
    <cellStyle name="Millares 5 2 3 2 3 4 2 2" xfId="32352" xr:uid="{00000000-0005-0000-0000-00007C0F0000}"/>
    <cellStyle name="Millares 5 2 3 2 3 4 3" xfId="23262" xr:uid="{00000000-0005-0000-0000-00007D0F0000}"/>
    <cellStyle name="Millares 5 2 3 2 3 5" xfId="9636" xr:uid="{00000000-0005-0000-0000-00007E0F0000}"/>
    <cellStyle name="Millares 5 2 3 2 3 5 2" xfId="27818" xr:uid="{00000000-0005-0000-0000-00007F0F0000}"/>
    <cellStyle name="Millares 5 2 3 2 3 6" xfId="18727" xr:uid="{00000000-0005-0000-0000-0000800F0000}"/>
    <cellStyle name="Millares 5 2 3 2 4" xfId="420" xr:uid="{00000000-0005-0000-0000-0000810F0000}"/>
    <cellStyle name="Millares 5 2 3 2 4 2" xfId="3432" xr:uid="{00000000-0005-0000-0000-0000820F0000}"/>
    <cellStyle name="Millares 5 2 3 2 4 2 2" xfId="7988" xr:uid="{00000000-0005-0000-0000-0000830F0000}"/>
    <cellStyle name="Millares 5 2 3 2 4 2 2 2" xfId="17084" xr:uid="{00000000-0005-0000-0000-0000840F0000}"/>
    <cellStyle name="Millares 5 2 3 2 4 2 2 2 2" xfId="35266" xr:uid="{00000000-0005-0000-0000-0000850F0000}"/>
    <cellStyle name="Millares 5 2 3 2 4 2 2 3" xfId="26176" xr:uid="{00000000-0005-0000-0000-0000860F0000}"/>
    <cellStyle name="Millares 5 2 3 2 4 2 3" xfId="12544" xr:uid="{00000000-0005-0000-0000-0000870F0000}"/>
    <cellStyle name="Millares 5 2 3 2 4 2 3 2" xfId="30726" xr:uid="{00000000-0005-0000-0000-0000880F0000}"/>
    <cellStyle name="Millares 5 2 3 2 4 2 4" xfId="21636" xr:uid="{00000000-0005-0000-0000-0000890F0000}"/>
    <cellStyle name="Millares 5 2 3 2 4 3" xfId="5071" xr:uid="{00000000-0005-0000-0000-00008A0F0000}"/>
    <cellStyle name="Millares 5 2 3 2 4 3 2" xfId="14171" xr:uid="{00000000-0005-0000-0000-00008B0F0000}"/>
    <cellStyle name="Millares 5 2 3 2 4 3 2 2" xfId="32353" xr:uid="{00000000-0005-0000-0000-00008C0F0000}"/>
    <cellStyle name="Millares 5 2 3 2 4 3 3" xfId="23263" xr:uid="{00000000-0005-0000-0000-00008D0F0000}"/>
    <cellStyle name="Millares 5 2 3 2 4 4" xfId="9637" xr:uid="{00000000-0005-0000-0000-00008E0F0000}"/>
    <cellStyle name="Millares 5 2 3 2 4 4 2" xfId="27819" xr:uid="{00000000-0005-0000-0000-00008F0F0000}"/>
    <cellStyle name="Millares 5 2 3 2 4 5" xfId="18728" xr:uid="{00000000-0005-0000-0000-0000900F0000}"/>
    <cellStyle name="Millares 5 2 3 2 5" xfId="1955" xr:uid="{00000000-0005-0000-0000-0000910F0000}"/>
    <cellStyle name="Millares 5 2 3 2 6" xfId="3428" xr:uid="{00000000-0005-0000-0000-0000920F0000}"/>
    <cellStyle name="Millares 5 2 3 2 6 2" xfId="7984" xr:uid="{00000000-0005-0000-0000-0000930F0000}"/>
    <cellStyle name="Millares 5 2 3 2 6 2 2" xfId="17080" xr:uid="{00000000-0005-0000-0000-0000940F0000}"/>
    <cellStyle name="Millares 5 2 3 2 6 2 2 2" xfId="35262" xr:uid="{00000000-0005-0000-0000-0000950F0000}"/>
    <cellStyle name="Millares 5 2 3 2 6 2 3" xfId="26172" xr:uid="{00000000-0005-0000-0000-0000960F0000}"/>
    <cellStyle name="Millares 5 2 3 2 6 3" xfId="12540" xr:uid="{00000000-0005-0000-0000-0000970F0000}"/>
    <cellStyle name="Millares 5 2 3 2 6 3 2" xfId="30722" xr:uid="{00000000-0005-0000-0000-0000980F0000}"/>
    <cellStyle name="Millares 5 2 3 2 6 4" xfId="21632" xr:uid="{00000000-0005-0000-0000-0000990F0000}"/>
    <cellStyle name="Millares 5 2 3 2 7" xfId="5067" xr:uid="{00000000-0005-0000-0000-00009A0F0000}"/>
    <cellStyle name="Millares 5 2 3 2 7 2" xfId="14167" xr:uid="{00000000-0005-0000-0000-00009B0F0000}"/>
    <cellStyle name="Millares 5 2 3 2 7 2 2" xfId="32349" xr:uid="{00000000-0005-0000-0000-00009C0F0000}"/>
    <cellStyle name="Millares 5 2 3 2 7 3" xfId="23259" xr:uid="{00000000-0005-0000-0000-00009D0F0000}"/>
    <cellStyle name="Millares 5 2 3 2 8" xfId="9633" xr:uid="{00000000-0005-0000-0000-00009E0F0000}"/>
    <cellStyle name="Millares 5 2 3 2 8 2" xfId="27815" xr:uid="{00000000-0005-0000-0000-00009F0F0000}"/>
    <cellStyle name="Millares 5 2 3 2 9" xfId="18724" xr:uid="{00000000-0005-0000-0000-0000A00F0000}"/>
    <cellStyle name="Millares 5 2 3 3" xfId="421" xr:uid="{00000000-0005-0000-0000-0000A10F0000}"/>
    <cellStyle name="Millares 5 2 3 3 2" xfId="422" xr:uid="{00000000-0005-0000-0000-0000A20F0000}"/>
    <cellStyle name="Millares 5 2 3 3 2 2" xfId="1956" xr:uid="{00000000-0005-0000-0000-0000A30F0000}"/>
    <cellStyle name="Millares 5 2 3 3 2 2 2" xfId="6556" xr:uid="{00000000-0005-0000-0000-0000A40F0000}"/>
    <cellStyle name="Millares 5 2 3 3 2 2 2 2" xfId="15656" xr:uid="{00000000-0005-0000-0000-0000A50F0000}"/>
    <cellStyle name="Millares 5 2 3 3 2 2 2 2 2" xfId="33838" xr:uid="{00000000-0005-0000-0000-0000A60F0000}"/>
    <cellStyle name="Millares 5 2 3 3 2 2 2 3" xfId="24748" xr:uid="{00000000-0005-0000-0000-0000A70F0000}"/>
    <cellStyle name="Millares 5 2 3 3 2 2 3" xfId="11120" xr:uid="{00000000-0005-0000-0000-0000A80F0000}"/>
    <cellStyle name="Millares 5 2 3 3 2 2 3 2" xfId="29302" xr:uid="{00000000-0005-0000-0000-0000A90F0000}"/>
    <cellStyle name="Millares 5 2 3 3 2 2 4" xfId="20212" xr:uid="{00000000-0005-0000-0000-0000AA0F0000}"/>
    <cellStyle name="Millares 5 2 3 3 2 3" xfId="3434" xr:uid="{00000000-0005-0000-0000-0000AB0F0000}"/>
    <cellStyle name="Millares 5 2 3 3 2 3 2" xfId="7990" xr:uid="{00000000-0005-0000-0000-0000AC0F0000}"/>
    <cellStyle name="Millares 5 2 3 3 2 3 2 2" xfId="17086" xr:uid="{00000000-0005-0000-0000-0000AD0F0000}"/>
    <cellStyle name="Millares 5 2 3 3 2 3 2 2 2" xfId="35268" xr:uid="{00000000-0005-0000-0000-0000AE0F0000}"/>
    <cellStyle name="Millares 5 2 3 3 2 3 2 3" xfId="26178" xr:uid="{00000000-0005-0000-0000-0000AF0F0000}"/>
    <cellStyle name="Millares 5 2 3 3 2 3 3" xfId="12546" xr:uid="{00000000-0005-0000-0000-0000B00F0000}"/>
    <cellStyle name="Millares 5 2 3 3 2 3 3 2" xfId="30728" xr:uid="{00000000-0005-0000-0000-0000B10F0000}"/>
    <cellStyle name="Millares 5 2 3 3 2 3 4" xfId="21638" xr:uid="{00000000-0005-0000-0000-0000B20F0000}"/>
    <cellStyle name="Millares 5 2 3 3 2 4" xfId="5073" xr:uid="{00000000-0005-0000-0000-0000B30F0000}"/>
    <cellStyle name="Millares 5 2 3 3 2 4 2" xfId="14173" xr:uid="{00000000-0005-0000-0000-0000B40F0000}"/>
    <cellStyle name="Millares 5 2 3 3 2 4 2 2" xfId="32355" xr:uid="{00000000-0005-0000-0000-0000B50F0000}"/>
    <cellStyle name="Millares 5 2 3 3 2 4 3" xfId="23265" xr:uid="{00000000-0005-0000-0000-0000B60F0000}"/>
    <cellStyle name="Millares 5 2 3 3 2 5" xfId="9639" xr:uid="{00000000-0005-0000-0000-0000B70F0000}"/>
    <cellStyle name="Millares 5 2 3 3 2 5 2" xfId="27821" xr:uid="{00000000-0005-0000-0000-0000B80F0000}"/>
    <cellStyle name="Millares 5 2 3 3 2 6" xfId="18730" xr:uid="{00000000-0005-0000-0000-0000B90F0000}"/>
    <cellStyle name="Millares 5 2 3 3 3" xfId="1957" xr:uid="{00000000-0005-0000-0000-0000BA0F0000}"/>
    <cellStyle name="Millares 5 2 3 3 3 2" xfId="6557" xr:uid="{00000000-0005-0000-0000-0000BB0F0000}"/>
    <cellStyle name="Millares 5 2 3 3 3 2 2" xfId="15657" xr:uid="{00000000-0005-0000-0000-0000BC0F0000}"/>
    <cellStyle name="Millares 5 2 3 3 3 2 2 2" xfId="33839" xr:uid="{00000000-0005-0000-0000-0000BD0F0000}"/>
    <cellStyle name="Millares 5 2 3 3 3 2 3" xfId="24749" xr:uid="{00000000-0005-0000-0000-0000BE0F0000}"/>
    <cellStyle name="Millares 5 2 3 3 3 3" xfId="11121" xr:uid="{00000000-0005-0000-0000-0000BF0F0000}"/>
    <cellStyle name="Millares 5 2 3 3 3 3 2" xfId="29303" xr:uid="{00000000-0005-0000-0000-0000C00F0000}"/>
    <cellStyle name="Millares 5 2 3 3 3 4" xfId="20213" xr:uid="{00000000-0005-0000-0000-0000C10F0000}"/>
    <cellStyle name="Millares 5 2 3 3 4" xfId="3433" xr:uid="{00000000-0005-0000-0000-0000C20F0000}"/>
    <cellStyle name="Millares 5 2 3 3 4 2" xfId="7989" xr:uid="{00000000-0005-0000-0000-0000C30F0000}"/>
    <cellStyle name="Millares 5 2 3 3 4 2 2" xfId="17085" xr:uid="{00000000-0005-0000-0000-0000C40F0000}"/>
    <cellStyle name="Millares 5 2 3 3 4 2 2 2" xfId="35267" xr:uid="{00000000-0005-0000-0000-0000C50F0000}"/>
    <cellStyle name="Millares 5 2 3 3 4 2 3" xfId="26177" xr:uid="{00000000-0005-0000-0000-0000C60F0000}"/>
    <cellStyle name="Millares 5 2 3 3 4 3" xfId="12545" xr:uid="{00000000-0005-0000-0000-0000C70F0000}"/>
    <cellStyle name="Millares 5 2 3 3 4 3 2" xfId="30727" xr:uid="{00000000-0005-0000-0000-0000C80F0000}"/>
    <cellStyle name="Millares 5 2 3 3 4 4" xfId="21637" xr:uid="{00000000-0005-0000-0000-0000C90F0000}"/>
    <cellStyle name="Millares 5 2 3 3 5" xfId="5072" xr:uid="{00000000-0005-0000-0000-0000CA0F0000}"/>
    <cellStyle name="Millares 5 2 3 3 5 2" xfId="14172" xr:uid="{00000000-0005-0000-0000-0000CB0F0000}"/>
    <cellStyle name="Millares 5 2 3 3 5 2 2" xfId="32354" xr:uid="{00000000-0005-0000-0000-0000CC0F0000}"/>
    <cellStyle name="Millares 5 2 3 3 5 3" xfId="23264" xr:uid="{00000000-0005-0000-0000-0000CD0F0000}"/>
    <cellStyle name="Millares 5 2 3 3 6" xfId="9638" xr:uid="{00000000-0005-0000-0000-0000CE0F0000}"/>
    <cellStyle name="Millares 5 2 3 3 6 2" xfId="27820" xr:uid="{00000000-0005-0000-0000-0000CF0F0000}"/>
    <cellStyle name="Millares 5 2 3 3 7" xfId="18729" xr:uid="{00000000-0005-0000-0000-0000D00F0000}"/>
    <cellStyle name="Millares 5 2 3 4" xfId="423" xr:uid="{00000000-0005-0000-0000-0000D10F0000}"/>
    <cellStyle name="Millares 5 2 3 4 2" xfId="1958" xr:uid="{00000000-0005-0000-0000-0000D20F0000}"/>
    <cellStyle name="Millares 5 2 3 4 2 2" xfId="6558" xr:uid="{00000000-0005-0000-0000-0000D30F0000}"/>
    <cellStyle name="Millares 5 2 3 4 2 2 2" xfId="15658" xr:uid="{00000000-0005-0000-0000-0000D40F0000}"/>
    <cellStyle name="Millares 5 2 3 4 2 2 2 2" xfId="33840" xr:uid="{00000000-0005-0000-0000-0000D50F0000}"/>
    <cellStyle name="Millares 5 2 3 4 2 2 3" xfId="24750" xr:uid="{00000000-0005-0000-0000-0000D60F0000}"/>
    <cellStyle name="Millares 5 2 3 4 2 3" xfId="11122" xr:uid="{00000000-0005-0000-0000-0000D70F0000}"/>
    <cellStyle name="Millares 5 2 3 4 2 3 2" xfId="29304" xr:uid="{00000000-0005-0000-0000-0000D80F0000}"/>
    <cellStyle name="Millares 5 2 3 4 2 4" xfId="20214" xr:uid="{00000000-0005-0000-0000-0000D90F0000}"/>
    <cellStyle name="Millares 5 2 3 4 3" xfId="3435" xr:uid="{00000000-0005-0000-0000-0000DA0F0000}"/>
    <cellStyle name="Millares 5 2 3 4 3 2" xfId="7991" xr:uid="{00000000-0005-0000-0000-0000DB0F0000}"/>
    <cellStyle name="Millares 5 2 3 4 3 2 2" xfId="17087" xr:uid="{00000000-0005-0000-0000-0000DC0F0000}"/>
    <cellStyle name="Millares 5 2 3 4 3 2 2 2" xfId="35269" xr:uid="{00000000-0005-0000-0000-0000DD0F0000}"/>
    <cellStyle name="Millares 5 2 3 4 3 2 3" xfId="26179" xr:uid="{00000000-0005-0000-0000-0000DE0F0000}"/>
    <cellStyle name="Millares 5 2 3 4 3 3" xfId="12547" xr:uid="{00000000-0005-0000-0000-0000DF0F0000}"/>
    <cellStyle name="Millares 5 2 3 4 3 3 2" xfId="30729" xr:uid="{00000000-0005-0000-0000-0000E00F0000}"/>
    <cellStyle name="Millares 5 2 3 4 3 4" xfId="21639" xr:uid="{00000000-0005-0000-0000-0000E10F0000}"/>
    <cellStyle name="Millares 5 2 3 4 4" xfId="5074" xr:uid="{00000000-0005-0000-0000-0000E20F0000}"/>
    <cellStyle name="Millares 5 2 3 4 4 2" xfId="14174" xr:uid="{00000000-0005-0000-0000-0000E30F0000}"/>
    <cellStyle name="Millares 5 2 3 4 4 2 2" xfId="32356" xr:uid="{00000000-0005-0000-0000-0000E40F0000}"/>
    <cellStyle name="Millares 5 2 3 4 4 3" xfId="23266" xr:uid="{00000000-0005-0000-0000-0000E50F0000}"/>
    <cellStyle name="Millares 5 2 3 4 5" xfId="9640" xr:uid="{00000000-0005-0000-0000-0000E60F0000}"/>
    <cellStyle name="Millares 5 2 3 4 5 2" xfId="27822" xr:uid="{00000000-0005-0000-0000-0000E70F0000}"/>
    <cellStyle name="Millares 5 2 3 4 6" xfId="18731" xr:uid="{00000000-0005-0000-0000-0000E80F0000}"/>
    <cellStyle name="Millares 5 2 3 5" xfId="424" xr:uid="{00000000-0005-0000-0000-0000E90F0000}"/>
    <cellStyle name="Millares 5 2 3 5 2" xfId="3436" xr:uid="{00000000-0005-0000-0000-0000EA0F0000}"/>
    <cellStyle name="Millares 5 2 3 5 2 2" xfId="7992" xr:uid="{00000000-0005-0000-0000-0000EB0F0000}"/>
    <cellStyle name="Millares 5 2 3 5 2 2 2" xfId="17088" xr:uid="{00000000-0005-0000-0000-0000EC0F0000}"/>
    <cellStyle name="Millares 5 2 3 5 2 2 2 2" xfId="35270" xr:uid="{00000000-0005-0000-0000-0000ED0F0000}"/>
    <cellStyle name="Millares 5 2 3 5 2 2 3" xfId="26180" xr:uid="{00000000-0005-0000-0000-0000EE0F0000}"/>
    <cellStyle name="Millares 5 2 3 5 2 3" xfId="12548" xr:uid="{00000000-0005-0000-0000-0000EF0F0000}"/>
    <cellStyle name="Millares 5 2 3 5 2 3 2" xfId="30730" xr:uid="{00000000-0005-0000-0000-0000F00F0000}"/>
    <cellStyle name="Millares 5 2 3 5 2 4" xfId="21640" xr:uid="{00000000-0005-0000-0000-0000F10F0000}"/>
    <cellStyle name="Millares 5 2 3 5 3" xfId="5075" xr:uid="{00000000-0005-0000-0000-0000F20F0000}"/>
    <cellStyle name="Millares 5 2 3 5 3 2" xfId="14175" xr:uid="{00000000-0005-0000-0000-0000F30F0000}"/>
    <cellStyle name="Millares 5 2 3 5 3 2 2" xfId="32357" xr:uid="{00000000-0005-0000-0000-0000F40F0000}"/>
    <cellStyle name="Millares 5 2 3 5 3 3" xfId="23267" xr:uid="{00000000-0005-0000-0000-0000F50F0000}"/>
    <cellStyle name="Millares 5 2 3 5 4" xfId="9641" xr:uid="{00000000-0005-0000-0000-0000F60F0000}"/>
    <cellStyle name="Millares 5 2 3 5 4 2" xfId="27823" xr:uid="{00000000-0005-0000-0000-0000F70F0000}"/>
    <cellStyle name="Millares 5 2 3 5 5" xfId="18732" xr:uid="{00000000-0005-0000-0000-0000F80F0000}"/>
    <cellStyle name="Millares 5 2 3 6" xfId="1959" xr:uid="{00000000-0005-0000-0000-0000F90F0000}"/>
    <cellStyle name="Millares 5 2 3 6 2" xfId="6559" xr:uid="{00000000-0005-0000-0000-0000FA0F0000}"/>
    <cellStyle name="Millares 5 2 3 6 2 2" xfId="15659" xr:uid="{00000000-0005-0000-0000-0000FB0F0000}"/>
    <cellStyle name="Millares 5 2 3 6 2 2 2" xfId="33841" xr:uid="{00000000-0005-0000-0000-0000FC0F0000}"/>
    <cellStyle name="Millares 5 2 3 6 2 3" xfId="24751" xr:uid="{00000000-0005-0000-0000-0000FD0F0000}"/>
    <cellStyle name="Millares 5 2 3 6 3" xfId="11123" xr:uid="{00000000-0005-0000-0000-0000FE0F0000}"/>
    <cellStyle name="Millares 5 2 3 6 3 2" xfId="29305" xr:uid="{00000000-0005-0000-0000-0000FF0F0000}"/>
    <cellStyle name="Millares 5 2 3 6 4" xfId="20215" xr:uid="{00000000-0005-0000-0000-000000100000}"/>
    <cellStyle name="Millares 5 2 3 7" xfId="3427" xr:uid="{00000000-0005-0000-0000-000001100000}"/>
    <cellStyle name="Millares 5 2 3 7 2" xfId="7983" xr:uid="{00000000-0005-0000-0000-000002100000}"/>
    <cellStyle name="Millares 5 2 3 7 2 2" xfId="17079" xr:uid="{00000000-0005-0000-0000-000003100000}"/>
    <cellStyle name="Millares 5 2 3 7 2 2 2" xfId="35261" xr:uid="{00000000-0005-0000-0000-000004100000}"/>
    <cellStyle name="Millares 5 2 3 7 2 3" xfId="26171" xr:uid="{00000000-0005-0000-0000-000005100000}"/>
    <cellStyle name="Millares 5 2 3 7 3" xfId="12539" xr:uid="{00000000-0005-0000-0000-000006100000}"/>
    <cellStyle name="Millares 5 2 3 7 3 2" xfId="30721" xr:uid="{00000000-0005-0000-0000-000007100000}"/>
    <cellStyle name="Millares 5 2 3 7 4" xfId="21631" xr:uid="{00000000-0005-0000-0000-000008100000}"/>
    <cellStyle name="Millares 5 2 3 8" xfId="5066" xr:uid="{00000000-0005-0000-0000-000009100000}"/>
    <cellStyle name="Millares 5 2 3 8 2" xfId="14166" xr:uid="{00000000-0005-0000-0000-00000A100000}"/>
    <cellStyle name="Millares 5 2 3 8 2 2" xfId="32348" xr:uid="{00000000-0005-0000-0000-00000B100000}"/>
    <cellStyle name="Millares 5 2 3 8 3" xfId="23258" xr:uid="{00000000-0005-0000-0000-00000C100000}"/>
    <cellStyle name="Millares 5 2 3 9" xfId="9632" xr:uid="{00000000-0005-0000-0000-00000D100000}"/>
    <cellStyle name="Millares 5 2 3 9 2" xfId="27814" xr:uid="{00000000-0005-0000-0000-00000E100000}"/>
    <cellStyle name="Millares 5 2 4" xfId="425" xr:uid="{00000000-0005-0000-0000-00000F100000}"/>
    <cellStyle name="Millares 5 2 4 2" xfId="426" xr:uid="{00000000-0005-0000-0000-000010100000}"/>
    <cellStyle name="Millares 5 2 4 2 2" xfId="427" xr:uid="{00000000-0005-0000-0000-000011100000}"/>
    <cellStyle name="Millares 5 2 4 2 2 2" xfId="1960" xr:uid="{00000000-0005-0000-0000-000012100000}"/>
    <cellStyle name="Millares 5 2 4 2 2 2 2" xfId="6560" xr:uid="{00000000-0005-0000-0000-000013100000}"/>
    <cellStyle name="Millares 5 2 4 2 2 2 2 2" xfId="15660" xr:uid="{00000000-0005-0000-0000-000014100000}"/>
    <cellStyle name="Millares 5 2 4 2 2 2 2 2 2" xfId="33842" xr:uid="{00000000-0005-0000-0000-000015100000}"/>
    <cellStyle name="Millares 5 2 4 2 2 2 2 3" xfId="24752" xr:uid="{00000000-0005-0000-0000-000016100000}"/>
    <cellStyle name="Millares 5 2 4 2 2 2 3" xfId="11124" xr:uid="{00000000-0005-0000-0000-000017100000}"/>
    <cellStyle name="Millares 5 2 4 2 2 2 3 2" xfId="29306" xr:uid="{00000000-0005-0000-0000-000018100000}"/>
    <cellStyle name="Millares 5 2 4 2 2 2 4" xfId="20216" xr:uid="{00000000-0005-0000-0000-000019100000}"/>
    <cellStyle name="Millares 5 2 4 2 2 3" xfId="3439" xr:uid="{00000000-0005-0000-0000-00001A100000}"/>
    <cellStyle name="Millares 5 2 4 2 2 3 2" xfId="7995" xr:uid="{00000000-0005-0000-0000-00001B100000}"/>
    <cellStyle name="Millares 5 2 4 2 2 3 2 2" xfId="17091" xr:uid="{00000000-0005-0000-0000-00001C100000}"/>
    <cellStyle name="Millares 5 2 4 2 2 3 2 2 2" xfId="35273" xr:uid="{00000000-0005-0000-0000-00001D100000}"/>
    <cellStyle name="Millares 5 2 4 2 2 3 2 3" xfId="26183" xr:uid="{00000000-0005-0000-0000-00001E100000}"/>
    <cellStyle name="Millares 5 2 4 2 2 3 3" xfId="12551" xr:uid="{00000000-0005-0000-0000-00001F100000}"/>
    <cellStyle name="Millares 5 2 4 2 2 3 3 2" xfId="30733" xr:uid="{00000000-0005-0000-0000-000020100000}"/>
    <cellStyle name="Millares 5 2 4 2 2 3 4" xfId="21643" xr:uid="{00000000-0005-0000-0000-000021100000}"/>
    <cellStyle name="Millares 5 2 4 2 2 4" xfId="5078" xr:uid="{00000000-0005-0000-0000-000022100000}"/>
    <cellStyle name="Millares 5 2 4 2 2 4 2" xfId="14178" xr:uid="{00000000-0005-0000-0000-000023100000}"/>
    <cellStyle name="Millares 5 2 4 2 2 4 2 2" xfId="32360" xr:uid="{00000000-0005-0000-0000-000024100000}"/>
    <cellStyle name="Millares 5 2 4 2 2 4 3" xfId="23270" xr:uid="{00000000-0005-0000-0000-000025100000}"/>
    <cellStyle name="Millares 5 2 4 2 2 5" xfId="9644" xr:uid="{00000000-0005-0000-0000-000026100000}"/>
    <cellStyle name="Millares 5 2 4 2 2 5 2" xfId="27826" xr:uid="{00000000-0005-0000-0000-000027100000}"/>
    <cellStyle name="Millares 5 2 4 2 2 6" xfId="18735" xr:uid="{00000000-0005-0000-0000-000028100000}"/>
    <cellStyle name="Millares 5 2 4 2 3" xfId="1961" xr:uid="{00000000-0005-0000-0000-000029100000}"/>
    <cellStyle name="Millares 5 2 4 2 3 2" xfId="6561" xr:uid="{00000000-0005-0000-0000-00002A100000}"/>
    <cellStyle name="Millares 5 2 4 2 3 2 2" xfId="15661" xr:uid="{00000000-0005-0000-0000-00002B100000}"/>
    <cellStyle name="Millares 5 2 4 2 3 2 2 2" xfId="33843" xr:uid="{00000000-0005-0000-0000-00002C100000}"/>
    <cellStyle name="Millares 5 2 4 2 3 2 3" xfId="24753" xr:uid="{00000000-0005-0000-0000-00002D100000}"/>
    <cellStyle name="Millares 5 2 4 2 3 3" xfId="11125" xr:uid="{00000000-0005-0000-0000-00002E100000}"/>
    <cellStyle name="Millares 5 2 4 2 3 3 2" xfId="29307" xr:uid="{00000000-0005-0000-0000-00002F100000}"/>
    <cellStyle name="Millares 5 2 4 2 3 4" xfId="20217" xr:uid="{00000000-0005-0000-0000-000030100000}"/>
    <cellStyle name="Millares 5 2 4 2 4" xfId="3438" xr:uid="{00000000-0005-0000-0000-000031100000}"/>
    <cellStyle name="Millares 5 2 4 2 4 2" xfId="7994" xr:uid="{00000000-0005-0000-0000-000032100000}"/>
    <cellStyle name="Millares 5 2 4 2 4 2 2" xfId="17090" xr:uid="{00000000-0005-0000-0000-000033100000}"/>
    <cellStyle name="Millares 5 2 4 2 4 2 2 2" xfId="35272" xr:uid="{00000000-0005-0000-0000-000034100000}"/>
    <cellStyle name="Millares 5 2 4 2 4 2 3" xfId="26182" xr:uid="{00000000-0005-0000-0000-000035100000}"/>
    <cellStyle name="Millares 5 2 4 2 4 3" xfId="12550" xr:uid="{00000000-0005-0000-0000-000036100000}"/>
    <cellStyle name="Millares 5 2 4 2 4 3 2" xfId="30732" xr:uid="{00000000-0005-0000-0000-000037100000}"/>
    <cellStyle name="Millares 5 2 4 2 4 4" xfId="21642" xr:uid="{00000000-0005-0000-0000-000038100000}"/>
    <cellStyle name="Millares 5 2 4 2 5" xfId="5077" xr:uid="{00000000-0005-0000-0000-000039100000}"/>
    <cellStyle name="Millares 5 2 4 2 5 2" xfId="14177" xr:uid="{00000000-0005-0000-0000-00003A100000}"/>
    <cellStyle name="Millares 5 2 4 2 5 2 2" xfId="32359" xr:uid="{00000000-0005-0000-0000-00003B100000}"/>
    <cellStyle name="Millares 5 2 4 2 5 3" xfId="23269" xr:uid="{00000000-0005-0000-0000-00003C100000}"/>
    <cellStyle name="Millares 5 2 4 2 6" xfId="9643" xr:uid="{00000000-0005-0000-0000-00003D100000}"/>
    <cellStyle name="Millares 5 2 4 2 6 2" xfId="27825" xr:uid="{00000000-0005-0000-0000-00003E100000}"/>
    <cellStyle name="Millares 5 2 4 2 7" xfId="18734" xr:uid="{00000000-0005-0000-0000-00003F100000}"/>
    <cellStyle name="Millares 5 2 4 3" xfId="428" xr:uid="{00000000-0005-0000-0000-000040100000}"/>
    <cellStyle name="Millares 5 2 4 3 2" xfId="1962" xr:uid="{00000000-0005-0000-0000-000041100000}"/>
    <cellStyle name="Millares 5 2 4 3 2 2" xfId="6562" xr:uid="{00000000-0005-0000-0000-000042100000}"/>
    <cellStyle name="Millares 5 2 4 3 2 2 2" xfId="15662" xr:uid="{00000000-0005-0000-0000-000043100000}"/>
    <cellStyle name="Millares 5 2 4 3 2 2 2 2" xfId="33844" xr:uid="{00000000-0005-0000-0000-000044100000}"/>
    <cellStyle name="Millares 5 2 4 3 2 2 3" xfId="24754" xr:uid="{00000000-0005-0000-0000-000045100000}"/>
    <cellStyle name="Millares 5 2 4 3 2 3" xfId="11126" xr:uid="{00000000-0005-0000-0000-000046100000}"/>
    <cellStyle name="Millares 5 2 4 3 2 3 2" xfId="29308" xr:uid="{00000000-0005-0000-0000-000047100000}"/>
    <cellStyle name="Millares 5 2 4 3 2 4" xfId="20218" xr:uid="{00000000-0005-0000-0000-000048100000}"/>
    <cellStyle name="Millares 5 2 4 3 3" xfId="3440" xr:uid="{00000000-0005-0000-0000-000049100000}"/>
    <cellStyle name="Millares 5 2 4 3 3 2" xfId="7996" xr:uid="{00000000-0005-0000-0000-00004A100000}"/>
    <cellStyle name="Millares 5 2 4 3 3 2 2" xfId="17092" xr:uid="{00000000-0005-0000-0000-00004B100000}"/>
    <cellStyle name="Millares 5 2 4 3 3 2 2 2" xfId="35274" xr:uid="{00000000-0005-0000-0000-00004C100000}"/>
    <cellStyle name="Millares 5 2 4 3 3 2 3" xfId="26184" xr:uid="{00000000-0005-0000-0000-00004D100000}"/>
    <cellStyle name="Millares 5 2 4 3 3 3" xfId="12552" xr:uid="{00000000-0005-0000-0000-00004E100000}"/>
    <cellStyle name="Millares 5 2 4 3 3 3 2" xfId="30734" xr:uid="{00000000-0005-0000-0000-00004F100000}"/>
    <cellStyle name="Millares 5 2 4 3 3 4" xfId="21644" xr:uid="{00000000-0005-0000-0000-000050100000}"/>
    <cellStyle name="Millares 5 2 4 3 4" xfId="5079" xr:uid="{00000000-0005-0000-0000-000051100000}"/>
    <cellStyle name="Millares 5 2 4 3 4 2" xfId="14179" xr:uid="{00000000-0005-0000-0000-000052100000}"/>
    <cellStyle name="Millares 5 2 4 3 4 2 2" xfId="32361" xr:uid="{00000000-0005-0000-0000-000053100000}"/>
    <cellStyle name="Millares 5 2 4 3 4 3" xfId="23271" xr:uid="{00000000-0005-0000-0000-000054100000}"/>
    <cellStyle name="Millares 5 2 4 3 5" xfId="9645" xr:uid="{00000000-0005-0000-0000-000055100000}"/>
    <cellStyle name="Millares 5 2 4 3 5 2" xfId="27827" xr:uid="{00000000-0005-0000-0000-000056100000}"/>
    <cellStyle name="Millares 5 2 4 3 6" xfId="18736" xr:uid="{00000000-0005-0000-0000-000057100000}"/>
    <cellStyle name="Millares 5 2 4 4" xfId="429" xr:uid="{00000000-0005-0000-0000-000058100000}"/>
    <cellStyle name="Millares 5 2 4 4 2" xfId="3441" xr:uid="{00000000-0005-0000-0000-000059100000}"/>
    <cellStyle name="Millares 5 2 4 4 2 2" xfId="7997" xr:uid="{00000000-0005-0000-0000-00005A100000}"/>
    <cellStyle name="Millares 5 2 4 4 2 2 2" xfId="17093" xr:uid="{00000000-0005-0000-0000-00005B100000}"/>
    <cellStyle name="Millares 5 2 4 4 2 2 2 2" xfId="35275" xr:uid="{00000000-0005-0000-0000-00005C100000}"/>
    <cellStyle name="Millares 5 2 4 4 2 2 3" xfId="26185" xr:uid="{00000000-0005-0000-0000-00005D100000}"/>
    <cellStyle name="Millares 5 2 4 4 2 3" xfId="12553" xr:uid="{00000000-0005-0000-0000-00005E100000}"/>
    <cellStyle name="Millares 5 2 4 4 2 3 2" xfId="30735" xr:uid="{00000000-0005-0000-0000-00005F100000}"/>
    <cellStyle name="Millares 5 2 4 4 2 4" xfId="21645" xr:uid="{00000000-0005-0000-0000-000060100000}"/>
    <cellStyle name="Millares 5 2 4 4 3" xfId="5080" xr:uid="{00000000-0005-0000-0000-000061100000}"/>
    <cellStyle name="Millares 5 2 4 4 3 2" xfId="14180" xr:uid="{00000000-0005-0000-0000-000062100000}"/>
    <cellStyle name="Millares 5 2 4 4 3 2 2" xfId="32362" xr:uid="{00000000-0005-0000-0000-000063100000}"/>
    <cellStyle name="Millares 5 2 4 4 3 3" xfId="23272" xr:uid="{00000000-0005-0000-0000-000064100000}"/>
    <cellStyle name="Millares 5 2 4 4 4" xfId="9646" xr:uid="{00000000-0005-0000-0000-000065100000}"/>
    <cellStyle name="Millares 5 2 4 4 4 2" xfId="27828" xr:uid="{00000000-0005-0000-0000-000066100000}"/>
    <cellStyle name="Millares 5 2 4 4 5" xfId="18737" xr:uid="{00000000-0005-0000-0000-000067100000}"/>
    <cellStyle name="Millares 5 2 4 5" xfId="1963" xr:uid="{00000000-0005-0000-0000-000068100000}"/>
    <cellStyle name="Millares 5 2 4 6" xfId="3437" xr:uid="{00000000-0005-0000-0000-000069100000}"/>
    <cellStyle name="Millares 5 2 4 6 2" xfId="7993" xr:uid="{00000000-0005-0000-0000-00006A100000}"/>
    <cellStyle name="Millares 5 2 4 6 2 2" xfId="17089" xr:uid="{00000000-0005-0000-0000-00006B100000}"/>
    <cellStyle name="Millares 5 2 4 6 2 2 2" xfId="35271" xr:uid="{00000000-0005-0000-0000-00006C100000}"/>
    <cellStyle name="Millares 5 2 4 6 2 3" xfId="26181" xr:uid="{00000000-0005-0000-0000-00006D100000}"/>
    <cellStyle name="Millares 5 2 4 6 3" xfId="12549" xr:uid="{00000000-0005-0000-0000-00006E100000}"/>
    <cellStyle name="Millares 5 2 4 6 3 2" xfId="30731" xr:uid="{00000000-0005-0000-0000-00006F100000}"/>
    <cellStyle name="Millares 5 2 4 6 4" xfId="21641" xr:uid="{00000000-0005-0000-0000-000070100000}"/>
    <cellStyle name="Millares 5 2 4 7" xfId="5076" xr:uid="{00000000-0005-0000-0000-000071100000}"/>
    <cellStyle name="Millares 5 2 4 7 2" xfId="14176" xr:uid="{00000000-0005-0000-0000-000072100000}"/>
    <cellStyle name="Millares 5 2 4 7 2 2" xfId="32358" xr:uid="{00000000-0005-0000-0000-000073100000}"/>
    <cellStyle name="Millares 5 2 4 7 3" xfId="23268" xr:uid="{00000000-0005-0000-0000-000074100000}"/>
    <cellStyle name="Millares 5 2 4 8" xfId="9642" xr:uid="{00000000-0005-0000-0000-000075100000}"/>
    <cellStyle name="Millares 5 2 4 8 2" xfId="27824" xr:uid="{00000000-0005-0000-0000-000076100000}"/>
    <cellStyle name="Millares 5 2 4 9" xfId="18733" xr:uid="{00000000-0005-0000-0000-000077100000}"/>
    <cellStyle name="Millares 5 2 5" xfId="430" xr:uid="{00000000-0005-0000-0000-000078100000}"/>
    <cellStyle name="Millares 5 2 5 2" xfId="431" xr:uid="{00000000-0005-0000-0000-000079100000}"/>
    <cellStyle name="Millares 5 2 5 2 2" xfId="1964" xr:uid="{00000000-0005-0000-0000-00007A100000}"/>
    <cellStyle name="Millares 5 2 5 2 2 2" xfId="6563" xr:uid="{00000000-0005-0000-0000-00007B100000}"/>
    <cellStyle name="Millares 5 2 5 2 2 2 2" xfId="15663" xr:uid="{00000000-0005-0000-0000-00007C100000}"/>
    <cellStyle name="Millares 5 2 5 2 2 2 2 2" xfId="33845" xr:uid="{00000000-0005-0000-0000-00007D100000}"/>
    <cellStyle name="Millares 5 2 5 2 2 2 3" xfId="24755" xr:uid="{00000000-0005-0000-0000-00007E100000}"/>
    <cellStyle name="Millares 5 2 5 2 2 3" xfId="11127" xr:uid="{00000000-0005-0000-0000-00007F100000}"/>
    <cellStyle name="Millares 5 2 5 2 2 3 2" xfId="29309" xr:uid="{00000000-0005-0000-0000-000080100000}"/>
    <cellStyle name="Millares 5 2 5 2 2 4" xfId="20219" xr:uid="{00000000-0005-0000-0000-000081100000}"/>
    <cellStyle name="Millares 5 2 5 2 3" xfId="3443" xr:uid="{00000000-0005-0000-0000-000082100000}"/>
    <cellStyle name="Millares 5 2 5 2 3 2" xfId="7999" xr:uid="{00000000-0005-0000-0000-000083100000}"/>
    <cellStyle name="Millares 5 2 5 2 3 2 2" xfId="17095" xr:uid="{00000000-0005-0000-0000-000084100000}"/>
    <cellStyle name="Millares 5 2 5 2 3 2 2 2" xfId="35277" xr:uid="{00000000-0005-0000-0000-000085100000}"/>
    <cellStyle name="Millares 5 2 5 2 3 2 3" xfId="26187" xr:uid="{00000000-0005-0000-0000-000086100000}"/>
    <cellStyle name="Millares 5 2 5 2 3 3" xfId="12555" xr:uid="{00000000-0005-0000-0000-000087100000}"/>
    <cellStyle name="Millares 5 2 5 2 3 3 2" xfId="30737" xr:uid="{00000000-0005-0000-0000-000088100000}"/>
    <cellStyle name="Millares 5 2 5 2 3 4" xfId="21647" xr:uid="{00000000-0005-0000-0000-000089100000}"/>
    <cellStyle name="Millares 5 2 5 2 4" xfId="5082" xr:uid="{00000000-0005-0000-0000-00008A100000}"/>
    <cellStyle name="Millares 5 2 5 2 4 2" xfId="14182" xr:uid="{00000000-0005-0000-0000-00008B100000}"/>
    <cellStyle name="Millares 5 2 5 2 4 2 2" xfId="32364" xr:uid="{00000000-0005-0000-0000-00008C100000}"/>
    <cellStyle name="Millares 5 2 5 2 4 3" xfId="23274" xr:uid="{00000000-0005-0000-0000-00008D100000}"/>
    <cellStyle name="Millares 5 2 5 2 5" xfId="9648" xr:uid="{00000000-0005-0000-0000-00008E100000}"/>
    <cellStyle name="Millares 5 2 5 2 5 2" xfId="27830" xr:uid="{00000000-0005-0000-0000-00008F100000}"/>
    <cellStyle name="Millares 5 2 5 2 6" xfId="18739" xr:uid="{00000000-0005-0000-0000-000090100000}"/>
    <cellStyle name="Millares 5 2 5 3" xfId="1965" xr:uid="{00000000-0005-0000-0000-000091100000}"/>
    <cellStyle name="Millares 5 2 5 3 2" xfId="6564" xr:uid="{00000000-0005-0000-0000-000092100000}"/>
    <cellStyle name="Millares 5 2 5 3 2 2" xfId="15664" xr:uid="{00000000-0005-0000-0000-000093100000}"/>
    <cellStyle name="Millares 5 2 5 3 2 2 2" xfId="33846" xr:uid="{00000000-0005-0000-0000-000094100000}"/>
    <cellStyle name="Millares 5 2 5 3 2 3" xfId="24756" xr:uid="{00000000-0005-0000-0000-000095100000}"/>
    <cellStyle name="Millares 5 2 5 3 3" xfId="11128" xr:uid="{00000000-0005-0000-0000-000096100000}"/>
    <cellStyle name="Millares 5 2 5 3 3 2" xfId="29310" xr:uid="{00000000-0005-0000-0000-000097100000}"/>
    <cellStyle name="Millares 5 2 5 3 4" xfId="20220" xr:uid="{00000000-0005-0000-0000-000098100000}"/>
    <cellStyle name="Millares 5 2 5 4" xfId="3442" xr:uid="{00000000-0005-0000-0000-000099100000}"/>
    <cellStyle name="Millares 5 2 5 4 2" xfId="7998" xr:uid="{00000000-0005-0000-0000-00009A100000}"/>
    <cellStyle name="Millares 5 2 5 4 2 2" xfId="17094" xr:uid="{00000000-0005-0000-0000-00009B100000}"/>
    <cellStyle name="Millares 5 2 5 4 2 2 2" xfId="35276" xr:uid="{00000000-0005-0000-0000-00009C100000}"/>
    <cellStyle name="Millares 5 2 5 4 2 3" xfId="26186" xr:uid="{00000000-0005-0000-0000-00009D100000}"/>
    <cellStyle name="Millares 5 2 5 4 3" xfId="12554" xr:uid="{00000000-0005-0000-0000-00009E100000}"/>
    <cellStyle name="Millares 5 2 5 4 3 2" xfId="30736" xr:uid="{00000000-0005-0000-0000-00009F100000}"/>
    <cellStyle name="Millares 5 2 5 4 4" xfId="21646" xr:uid="{00000000-0005-0000-0000-0000A0100000}"/>
    <cellStyle name="Millares 5 2 5 5" xfId="5081" xr:uid="{00000000-0005-0000-0000-0000A1100000}"/>
    <cellStyle name="Millares 5 2 5 5 2" xfId="14181" xr:uid="{00000000-0005-0000-0000-0000A2100000}"/>
    <cellStyle name="Millares 5 2 5 5 2 2" xfId="32363" xr:uid="{00000000-0005-0000-0000-0000A3100000}"/>
    <cellStyle name="Millares 5 2 5 5 3" xfId="23273" xr:uid="{00000000-0005-0000-0000-0000A4100000}"/>
    <cellStyle name="Millares 5 2 5 6" xfId="9647" xr:uid="{00000000-0005-0000-0000-0000A5100000}"/>
    <cellStyle name="Millares 5 2 5 6 2" xfId="27829" xr:uid="{00000000-0005-0000-0000-0000A6100000}"/>
    <cellStyle name="Millares 5 2 5 7" xfId="18738" xr:uid="{00000000-0005-0000-0000-0000A7100000}"/>
    <cellStyle name="Millares 5 2 6" xfId="432" xr:uid="{00000000-0005-0000-0000-0000A8100000}"/>
    <cellStyle name="Millares 5 2 6 2" xfId="1966" xr:uid="{00000000-0005-0000-0000-0000A9100000}"/>
    <cellStyle name="Millares 5 2 6 2 2" xfId="6565" xr:uid="{00000000-0005-0000-0000-0000AA100000}"/>
    <cellStyle name="Millares 5 2 6 2 2 2" xfId="15665" xr:uid="{00000000-0005-0000-0000-0000AB100000}"/>
    <cellStyle name="Millares 5 2 6 2 2 2 2" xfId="33847" xr:uid="{00000000-0005-0000-0000-0000AC100000}"/>
    <cellStyle name="Millares 5 2 6 2 2 3" xfId="24757" xr:uid="{00000000-0005-0000-0000-0000AD100000}"/>
    <cellStyle name="Millares 5 2 6 2 3" xfId="11129" xr:uid="{00000000-0005-0000-0000-0000AE100000}"/>
    <cellStyle name="Millares 5 2 6 2 3 2" xfId="29311" xr:uid="{00000000-0005-0000-0000-0000AF100000}"/>
    <cellStyle name="Millares 5 2 6 2 4" xfId="20221" xr:uid="{00000000-0005-0000-0000-0000B0100000}"/>
    <cellStyle name="Millares 5 2 6 3" xfId="3444" xr:uid="{00000000-0005-0000-0000-0000B1100000}"/>
    <cellStyle name="Millares 5 2 6 3 2" xfId="8000" xr:uid="{00000000-0005-0000-0000-0000B2100000}"/>
    <cellStyle name="Millares 5 2 6 3 2 2" xfId="17096" xr:uid="{00000000-0005-0000-0000-0000B3100000}"/>
    <cellStyle name="Millares 5 2 6 3 2 2 2" xfId="35278" xr:uid="{00000000-0005-0000-0000-0000B4100000}"/>
    <cellStyle name="Millares 5 2 6 3 2 3" xfId="26188" xr:uid="{00000000-0005-0000-0000-0000B5100000}"/>
    <cellStyle name="Millares 5 2 6 3 3" xfId="12556" xr:uid="{00000000-0005-0000-0000-0000B6100000}"/>
    <cellStyle name="Millares 5 2 6 3 3 2" xfId="30738" xr:uid="{00000000-0005-0000-0000-0000B7100000}"/>
    <cellStyle name="Millares 5 2 6 3 4" xfId="21648" xr:uid="{00000000-0005-0000-0000-0000B8100000}"/>
    <cellStyle name="Millares 5 2 6 4" xfId="5083" xr:uid="{00000000-0005-0000-0000-0000B9100000}"/>
    <cellStyle name="Millares 5 2 6 4 2" xfId="14183" xr:uid="{00000000-0005-0000-0000-0000BA100000}"/>
    <cellStyle name="Millares 5 2 6 4 2 2" xfId="32365" xr:uid="{00000000-0005-0000-0000-0000BB100000}"/>
    <cellStyle name="Millares 5 2 6 4 3" xfId="23275" xr:uid="{00000000-0005-0000-0000-0000BC100000}"/>
    <cellStyle name="Millares 5 2 6 5" xfId="9649" xr:uid="{00000000-0005-0000-0000-0000BD100000}"/>
    <cellStyle name="Millares 5 2 6 5 2" xfId="27831" xr:uid="{00000000-0005-0000-0000-0000BE100000}"/>
    <cellStyle name="Millares 5 2 6 6" xfId="18740" xr:uid="{00000000-0005-0000-0000-0000BF100000}"/>
    <cellStyle name="Millares 5 2 7" xfId="433" xr:uid="{00000000-0005-0000-0000-0000C0100000}"/>
    <cellStyle name="Millares 5 2 7 2" xfId="3445" xr:uid="{00000000-0005-0000-0000-0000C1100000}"/>
    <cellStyle name="Millares 5 2 7 2 2" xfId="8001" xr:uid="{00000000-0005-0000-0000-0000C2100000}"/>
    <cellStyle name="Millares 5 2 7 2 2 2" xfId="17097" xr:uid="{00000000-0005-0000-0000-0000C3100000}"/>
    <cellStyle name="Millares 5 2 7 2 2 2 2" xfId="35279" xr:uid="{00000000-0005-0000-0000-0000C4100000}"/>
    <cellStyle name="Millares 5 2 7 2 2 3" xfId="26189" xr:uid="{00000000-0005-0000-0000-0000C5100000}"/>
    <cellStyle name="Millares 5 2 7 2 3" xfId="12557" xr:uid="{00000000-0005-0000-0000-0000C6100000}"/>
    <cellStyle name="Millares 5 2 7 2 3 2" xfId="30739" xr:uid="{00000000-0005-0000-0000-0000C7100000}"/>
    <cellStyle name="Millares 5 2 7 2 4" xfId="21649" xr:uid="{00000000-0005-0000-0000-0000C8100000}"/>
    <cellStyle name="Millares 5 2 7 3" xfId="5084" xr:uid="{00000000-0005-0000-0000-0000C9100000}"/>
    <cellStyle name="Millares 5 2 7 3 2" xfId="14184" xr:uid="{00000000-0005-0000-0000-0000CA100000}"/>
    <cellStyle name="Millares 5 2 7 3 2 2" xfId="32366" xr:uid="{00000000-0005-0000-0000-0000CB100000}"/>
    <cellStyle name="Millares 5 2 7 3 3" xfId="23276" xr:uid="{00000000-0005-0000-0000-0000CC100000}"/>
    <cellStyle name="Millares 5 2 7 4" xfId="9650" xr:uid="{00000000-0005-0000-0000-0000CD100000}"/>
    <cellStyle name="Millares 5 2 7 4 2" xfId="27832" xr:uid="{00000000-0005-0000-0000-0000CE100000}"/>
    <cellStyle name="Millares 5 2 7 5" xfId="18741" xr:uid="{00000000-0005-0000-0000-0000CF100000}"/>
    <cellStyle name="Millares 5 2 8" xfId="1967" xr:uid="{00000000-0005-0000-0000-0000D0100000}"/>
    <cellStyle name="Millares 5 2 8 2" xfId="6566" xr:uid="{00000000-0005-0000-0000-0000D1100000}"/>
    <cellStyle name="Millares 5 2 8 2 2" xfId="15666" xr:uid="{00000000-0005-0000-0000-0000D2100000}"/>
    <cellStyle name="Millares 5 2 8 2 2 2" xfId="33848" xr:uid="{00000000-0005-0000-0000-0000D3100000}"/>
    <cellStyle name="Millares 5 2 8 2 3" xfId="24758" xr:uid="{00000000-0005-0000-0000-0000D4100000}"/>
    <cellStyle name="Millares 5 2 8 3" xfId="11130" xr:uid="{00000000-0005-0000-0000-0000D5100000}"/>
    <cellStyle name="Millares 5 2 8 3 2" xfId="29312" xr:uid="{00000000-0005-0000-0000-0000D6100000}"/>
    <cellStyle name="Millares 5 2 8 4" xfId="20222" xr:uid="{00000000-0005-0000-0000-0000D7100000}"/>
    <cellStyle name="Millares 5 2 9" xfId="3173" xr:uid="{00000000-0005-0000-0000-0000D8100000}"/>
    <cellStyle name="Millares 5 2 9 2" xfId="7733" xr:uid="{00000000-0005-0000-0000-0000D9100000}"/>
    <cellStyle name="Millares 5 2 9 2 2" xfId="16829" xr:uid="{00000000-0005-0000-0000-0000DA100000}"/>
    <cellStyle name="Millares 5 2 9 2 2 2" xfId="35011" xr:uid="{00000000-0005-0000-0000-0000DB100000}"/>
    <cellStyle name="Millares 5 2 9 2 3" xfId="25921" xr:uid="{00000000-0005-0000-0000-0000DC100000}"/>
    <cellStyle name="Millares 5 2 9 3" xfId="12289" xr:uid="{00000000-0005-0000-0000-0000DD100000}"/>
    <cellStyle name="Millares 5 2 9 3 2" xfId="30471" xr:uid="{00000000-0005-0000-0000-0000DE100000}"/>
    <cellStyle name="Millares 5 2 9 4" xfId="21381" xr:uid="{00000000-0005-0000-0000-0000DF100000}"/>
    <cellStyle name="Millares 5 3" xfId="73" xr:uid="{00000000-0005-0000-0000-0000E0100000}"/>
    <cellStyle name="Millares 5 3 10" xfId="9402" xr:uid="{00000000-0005-0000-0000-0000E1100000}"/>
    <cellStyle name="Millares 5 3 10 2" xfId="27584" xr:uid="{00000000-0005-0000-0000-0000E2100000}"/>
    <cellStyle name="Millares 5 3 11" xfId="18493" xr:uid="{00000000-0005-0000-0000-0000E3100000}"/>
    <cellStyle name="Millares 5 3 2" xfId="434" xr:uid="{00000000-0005-0000-0000-0000E4100000}"/>
    <cellStyle name="Millares 5 3 2 10" xfId="18742" xr:uid="{00000000-0005-0000-0000-0000E5100000}"/>
    <cellStyle name="Millares 5 3 2 2" xfId="435" xr:uid="{00000000-0005-0000-0000-0000E6100000}"/>
    <cellStyle name="Millares 5 3 2 2 2" xfId="436" xr:uid="{00000000-0005-0000-0000-0000E7100000}"/>
    <cellStyle name="Millares 5 3 2 2 2 2" xfId="437" xr:uid="{00000000-0005-0000-0000-0000E8100000}"/>
    <cellStyle name="Millares 5 3 2 2 2 2 2" xfId="1968" xr:uid="{00000000-0005-0000-0000-0000E9100000}"/>
    <cellStyle name="Millares 5 3 2 2 2 2 2 2" xfId="6567" xr:uid="{00000000-0005-0000-0000-0000EA100000}"/>
    <cellStyle name="Millares 5 3 2 2 2 2 2 2 2" xfId="15667" xr:uid="{00000000-0005-0000-0000-0000EB100000}"/>
    <cellStyle name="Millares 5 3 2 2 2 2 2 2 2 2" xfId="33849" xr:uid="{00000000-0005-0000-0000-0000EC100000}"/>
    <cellStyle name="Millares 5 3 2 2 2 2 2 2 3" xfId="24759" xr:uid="{00000000-0005-0000-0000-0000ED100000}"/>
    <cellStyle name="Millares 5 3 2 2 2 2 2 3" xfId="11131" xr:uid="{00000000-0005-0000-0000-0000EE100000}"/>
    <cellStyle name="Millares 5 3 2 2 2 2 2 3 2" xfId="29313" xr:uid="{00000000-0005-0000-0000-0000EF100000}"/>
    <cellStyle name="Millares 5 3 2 2 2 2 2 4" xfId="20223" xr:uid="{00000000-0005-0000-0000-0000F0100000}"/>
    <cellStyle name="Millares 5 3 2 2 2 2 3" xfId="3449" xr:uid="{00000000-0005-0000-0000-0000F1100000}"/>
    <cellStyle name="Millares 5 3 2 2 2 2 3 2" xfId="8005" xr:uid="{00000000-0005-0000-0000-0000F2100000}"/>
    <cellStyle name="Millares 5 3 2 2 2 2 3 2 2" xfId="17101" xr:uid="{00000000-0005-0000-0000-0000F3100000}"/>
    <cellStyle name="Millares 5 3 2 2 2 2 3 2 2 2" xfId="35283" xr:uid="{00000000-0005-0000-0000-0000F4100000}"/>
    <cellStyle name="Millares 5 3 2 2 2 2 3 2 3" xfId="26193" xr:uid="{00000000-0005-0000-0000-0000F5100000}"/>
    <cellStyle name="Millares 5 3 2 2 2 2 3 3" xfId="12561" xr:uid="{00000000-0005-0000-0000-0000F6100000}"/>
    <cellStyle name="Millares 5 3 2 2 2 2 3 3 2" xfId="30743" xr:uid="{00000000-0005-0000-0000-0000F7100000}"/>
    <cellStyle name="Millares 5 3 2 2 2 2 3 4" xfId="21653" xr:uid="{00000000-0005-0000-0000-0000F8100000}"/>
    <cellStyle name="Millares 5 3 2 2 2 2 4" xfId="5088" xr:uid="{00000000-0005-0000-0000-0000F9100000}"/>
    <cellStyle name="Millares 5 3 2 2 2 2 4 2" xfId="14188" xr:uid="{00000000-0005-0000-0000-0000FA100000}"/>
    <cellStyle name="Millares 5 3 2 2 2 2 4 2 2" xfId="32370" xr:uid="{00000000-0005-0000-0000-0000FB100000}"/>
    <cellStyle name="Millares 5 3 2 2 2 2 4 3" xfId="23280" xr:uid="{00000000-0005-0000-0000-0000FC100000}"/>
    <cellStyle name="Millares 5 3 2 2 2 2 5" xfId="9654" xr:uid="{00000000-0005-0000-0000-0000FD100000}"/>
    <cellStyle name="Millares 5 3 2 2 2 2 5 2" xfId="27836" xr:uid="{00000000-0005-0000-0000-0000FE100000}"/>
    <cellStyle name="Millares 5 3 2 2 2 2 6" xfId="18745" xr:uid="{00000000-0005-0000-0000-0000FF100000}"/>
    <cellStyle name="Millares 5 3 2 2 2 3" xfId="1969" xr:uid="{00000000-0005-0000-0000-000000110000}"/>
    <cellStyle name="Millares 5 3 2 2 2 3 2" xfId="6568" xr:uid="{00000000-0005-0000-0000-000001110000}"/>
    <cellStyle name="Millares 5 3 2 2 2 3 2 2" xfId="15668" xr:uid="{00000000-0005-0000-0000-000002110000}"/>
    <cellStyle name="Millares 5 3 2 2 2 3 2 2 2" xfId="33850" xr:uid="{00000000-0005-0000-0000-000003110000}"/>
    <cellStyle name="Millares 5 3 2 2 2 3 2 3" xfId="24760" xr:uid="{00000000-0005-0000-0000-000004110000}"/>
    <cellStyle name="Millares 5 3 2 2 2 3 3" xfId="11132" xr:uid="{00000000-0005-0000-0000-000005110000}"/>
    <cellStyle name="Millares 5 3 2 2 2 3 3 2" xfId="29314" xr:uid="{00000000-0005-0000-0000-000006110000}"/>
    <cellStyle name="Millares 5 3 2 2 2 3 4" xfId="20224" xr:uid="{00000000-0005-0000-0000-000007110000}"/>
    <cellStyle name="Millares 5 3 2 2 2 4" xfId="3448" xr:uid="{00000000-0005-0000-0000-000008110000}"/>
    <cellStyle name="Millares 5 3 2 2 2 4 2" xfId="8004" xr:uid="{00000000-0005-0000-0000-000009110000}"/>
    <cellStyle name="Millares 5 3 2 2 2 4 2 2" xfId="17100" xr:uid="{00000000-0005-0000-0000-00000A110000}"/>
    <cellStyle name="Millares 5 3 2 2 2 4 2 2 2" xfId="35282" xr:uid="{00000000-0005-0000-0000-00000B110000}"/>
    <cellStyle name="Millares 5 3 2 2 2 4 2 3" xfId="26192" xr:uid="{00000000-0005-0000-0000-00000C110000}"/>
    <cellStyle name="Millares 5 3 2 2 2 4 3" xfId="12560" xr:uid="{00000000-0005-0000-0000-00000D110000}"/>
    <cellStyle name="Millares 5 3 2 2 2 4 3 2" xfId="30742" xr:uid="{00000000-0005-0000-0000-00000E110000}"/>
    <cellStyle name="Millares 5 3 2 2 2 4 4" xfId="21652" xr:uid="{00000000-0005-0000-0000-00000F110000}"/>
    <cellStyle name="Millares 5 3 2 2 2 5" xfId="5087" xr:uid="{00000000-0005-0000-0000-000010110000}"/>
    <cellStyle name="Millares 5 3 2 2 2 5 2" xfId="14187" xr:uid="{00000000-0005-0000-0000-000011110000}"/>
    <cellStyle name="Millares 5 3 2 2 2 5 2 2" xfId="32369" xr:uid="{00000000-0005-0000-0000-000012110000}"/>
    <cellStyle name="Millares 5 3 2 2 2 5 3" xfId="23279" xr:uid="{00000000-0005-0000-0000-000013110000}"/>
    <cellStyle name="Millares 5 3 2 2 2 6" xfId="9653" xr:uid="{00000000-0005-0000-0000-000014110000}"/>
    <cellStyle name="Millares 5 3 2 2 2 6 2" xfId="27835" xr:uid="{00000000-0005-0000-0000-000015110000}"/>
    <cellStyle name="Millares 5 3 2 2 2 7" xfId="18744" xr:uid="{00000000-0005-0000-0000-000016110000}"/>
    <cellStyle name="Millares 5 3 2 2 3" xfId="438" xr:uid="{00000000-0005-0000-0000-000017110000}"/>
    <cellStyle name="Millares 5 3 2 2 3 2" xfId="1970" xr:uid="{00000000-0005-0000-0000-000018110000}"/>
    <cellStyle name="Millares 5 3 2 2 3 2 2" xfId="6569" xr:uid="{00000000-0005-0000-0000-000019110000}"/>
    <cellStyle name="Millares 5 3 2 2 3 2 2 2" xfId="15669" xr:uid="{00000000-0005-0000-0000-00001A110000}"/>
    <cellStyle name="Millares 5 3 2 2 3 2 2 2 2" xfId="33851" xr:uid="{00000000-0005-0000-0000-00001B110000}"/>
    <cellStyle name="Millares 5 3 2 2 3 2 2 3" xfId="24761" xr:uid="{00000000-0005-0000-0000-00001C110000}"/>
    <cellStyle name="Millares 5 3 2 2 3 2 3" xfId="11133" xr:uid="{00000000-0005-0000-0000-00001D110000}"/>
    <cellStyle name="Millares 5 3 2 2 3 2 3 2" xfId="29315" xr:uid="{00000000-0005-0000-0000-00001E110000}"/>
    <cellStyle name="Millares 5 3 2 2 3 2 4" xfId="20225" xr:uid="{00000000-0005-0000-0000-00001F110000}"/>
    <cellStyle name="Millares 5 3 2 2 3 3" xfId="3450" xr:uid="{00000000-0005-0000-0000-000020110000}"/>
    <cellStyle name="Millares 5 3 2 2 3 3 2" xfId="8006" xr:uid="{00000000-0005-0000-0000-000021110000}"/>
    <cellStyle name="Millares 5 3 2 2 3 3 2 2" xfId="17102" xr:uid="{00000000-0005-0000-0000-000022110000}"/>
    <cellStyle name="Millares 5 3 2 2 3 3 2 2 2" xfId="35284" xr:uid="{00000000-0005-0000-0000-000023110000}"/>
    <cellStyle name="Millares 5 3 2 2 3 3 2 3" xfId="26194" xr:uid="{00000000-0005-0000-0000-000024110000}"/>
    <cellStyle name="Millares 5 3 2 2 3 3 3" xfId="12562" xr:uid="{00000000-0005-0000-0000-000025110000}"/>
    <cellStyle name="Millares 5 3 2 2 3 3 3 2" xfId="30744" xr:uid="{00000000-0005-0000-0000-000026110000}"/>
    <cellStyle name="Millares 5 3 2 2 3 3 4" xfId="21654" xr:uid="{00000000-0005-0000-0000-000027110000}"/>
    <cellStyle name="Millares 5 3 2 2 3 4" xfId="5089" xr:uid="{00000000-0005-0000-0000-000028110000}"/>
    <cellStyle name="Millares 5 3 2 2 3 4 2" xfId="14189" xr:uid="{00000000-0005-0000-0000-000029110000}"/>
    <cellStyle name="Millares 5 3 2 2 3 4 2 2" xfId="32371" xr:uid="{00000000-0005-0000-0000-00002A110000}"/>
    <cellStyle name="Millares 5 3 2 2 3 4 3" xfId="23281" xr:uid="{00000000-0005-0000-0000-00002B110000}"/>
    <cellStyle name="Millares 5 3 2 2 3 5" xfId="9655" xr:uid="{00000000-0005-0000-0000-00002C110000}"/>
    <cellStyle name="Millares 5 3 2 2 3 5 2" xfId="27837" xr:uid="{00000000-0005-0000-0000-00002D110000}"/>
    <cellStyle name="Millares 5 3 2 2 3 6" xfId="18746" xr:uid="{00000000-0005-0000-0000-00002E110000}"/>
    <cellStyle name="Millares 5 3 2 2 4" xfId="439" xr:uid="{00000000-0005-0000-0000-00002F110000}"/>
    <cellStyle name="Millares 5 3 2 2 4 2" xfId="3451" xr:uid="{00000000-0005-0000-0000-000030110000}"/>
    <cellStyle name="Millares 5 3 2 2 4 2 2" xfId="8007" xr:uid="{00000000-0005-0000-0000-000031110000}"/>
    <cellStyle name="Millares 5 3 2 2 4 2 2 2" xfId="17103" xr:uid="{00000000-0005-0000-0000-000032110000}"/>
    <cellStyle name="Millares 5 3 2 2 4 2 2 2 2" xfId="35285" xr:uid="{00000000-0005-0000-0000-000033110000}"/>
    <cellStyle name="Millares 5 3 2 2 4 2 2 3" xfId="26195" xr:uid="{00000000-0005-0000-0000-000034110000}"/>
    <cellStyle name="Millares 5 3 2 2 4 2 3" xfId="12563" xr:uid="{00000000-0005-0000-0000-000035110000}"/>
    <cellStyle name="Millares 5 3 2 2 4 2 3 2" xfId="30745" xr:uid="{00000000-0005-0000-0000-000036110000}"/>
    <cellStyle name="Millares 5 3 2 2 4 2 4" xfId="21655" xr:uid="{00000000-0005-0000-0000-000037110000}"/>
    <cellStyle name="Millares 5 3 2 2 4 3" xfId="5090" xr:uid="{00000000-0005-0000-0000-000038110000}"/>
    <cellStyle name="Millares 5 3 2 2 4 3 2" xfId="14190" xr:uid="{00000000-0005-0000-0000-000039110000}"/>
    <cellStyle name="Millares 5 3 2 2 4 3 2 2" xfId="32372" xr:uid="{00000000-0005-0000-0000-00003A110000}"/>
    <cellStyle name="Millares 5 3 2 2 4 3 3" xfId="23282" xr:uid="{00000000-0005-0000-0000-00003B110000}"/>
    <cellStyle name="Millares 5 3 2 2 4 4" xfId="9656" xr:uid="{00000000-0005-0000-0000-00003C110000}"/>
    <cellStyle name="Millares 5 3 2 2 4 4 2" xfId="27838" xr:uid="{00000000-0005-0000-0000-00003D110000}"/>
    <cellStyle name="Millares 5 3 2 2 4 5" xfId="18747" xr:uid="{00000000-0005-0000-0000-00003E110000}"/>
    <cellStyle name="Millares 5 3 2 2 5" xfId="1971" xr:uid="{00000000-0005-0000-0000-00003F110000}"/>
    <cellStyle name="Millares 5 3 2 2 6" xfId="3447" xr:uid="{00000000-0005-0000-0000-000040110000}"/>
    <cellStyle name="Millares 5 3 2 2 6 2" xfId="8003" xr:uid="{00000000-0005-0000-0000-000041110000}"/>
    <cellStyle name="Millares 5 3 2 2 6 2 2" xfId="17099" xr:uid="{00000000-0005-0000-0000-000042110000}"/>
    <cellStyle name="Millares 5 3 2 2 6 2 2 2" xfId="35281" xr:uid="{00000000-0005-0000-0000-000043110000}"/>
    <cellStyle name="Millares 5 3 2 2 6 2 3" xfId="26191" xr:uid="{00000000-0005-0000-0000-000044110000}"/>
    <cellStyle name="Millares 5 3 2 2 6 3" xfId="12559" xr:uid="{00000000-0005-0000-0000-000045110000}"/>
    <cellStyle name="Millares 5 3 2 2 6 3 2" xfId="30741" xr:uid="{00000000-0005-0000-0000-000046110000}"/>
    <cellStyle name="Millares 5 3 2 2 6 4" xfId="21651" xr:uid="{00000000-0005-0000-0000-000047110000}"/>
    <cellStyle name="Millares 5 3 2 2 7" xfId="5086" xr:uid="{00000000-0005-0000-0000-000048110000}"/>
    <cellStyle name="Millares 5 3 2 2 7 2" xfId="14186" xr:uid="{00000000-0005-0000-0000-000049110000}"/>
    <cellStyle name="Millares 5 3 2 2 7 2 2" xfId="32368" xr:uid="{00000000-0005-0000-0000-00004A110000}"/>
    <cellStyle name="Millares 5 3 2 2 7 3" xfId="23278" xr:uid="{00000000-0005-0000-0000-00004B110000}"/>
    <cellStyle name="Millares 5 3 2 2 8" xfId="9652" xr:uid="{00000000-0005-0000-0000-00004C110000}"/>
    <cellStyle name="Millares 5 3 2 2 8 2" xfId="27834" xr:uid="{00000000-0005-0000-0000-00004D110000}"/>
    <cellStyle name="Millares 5 3 2 2 9" xfId="18743" xr:uid="{00000000-0005-0000-0000-00004E110000}"/>
    <cellStyle name="Millares 5 3 2 3" xfId="440" xr:uid="{00000000-0005-0000-0000-00004F110000}"/>
    <cellStyle name="Millares 5 3 2 3 2" xfId="441" xr:uid="{00000000-0005-0000-0000-000050110000}"/>
    <cellStyle name="Millares 5 3 2 3 2 2" xfId="1972" xr:uid="{00000000-0005-0000-0000-000051110000}"/>
    <cellStyle name="Millares 5 3 2 3 2 2 2" xfId="6570" xr:uid="{00000000-0005-0000-0000-000052110000}"/>
    <cellStyle name="Millares 5 3 2 3 2 2 2 2" xfId="15670" xr:uid="{00000000-0005-0000-0000-000053110000}"/>
    <cellStyle name="Millares 5 3 2 3 2 2 2 2 2" xfId="33852" xr:uid="{00000000-0005-0000-0000-000054110000}"/>
    <cellStyle name="Millares 5 3 2 3 2 2 2 3" xfId="24762" xr:uid="{00000000-0005-0000-0000-000055110000}"/>
    <cellStyle name="Millares 5 3 2 3 2 2 3" xfId="11134" xr:uid="{00000000-0005-0000-0000-000056110000}"/>
    <cellStyle name="Millares 5 3 2 3 2 2 3 2" xfId="29316" xr:uid="{00000000-0005-0000-0000-000057110000}"/>
    <cellStyle name="Millares 5 3 2 3 2 2 4" xfId="20226" xr:uid="{00000000-0005-0000-0000-000058110000}"/>
    <cellStyle name="Millares 5 3 2 3 2 3" xfId="3453" xr:uid="{00000000-0005-0000-0000-000059110000}"/>
    <cellStyle name="Millares 5 3 2 3 2 3 2" xfId="8009" xr:uid="{00000000-0005-0000-0000-00005A110000}"/>
    <cellStyle name="Millares 5 3 2 3 2 3 2 2" xfId="17105" xr:uid="{00000000-0005-0000-0000-00005B110000}"/>
    <cellStyle name="Millares 5 3 2 3 2 3 2 2 2" xfId="35287" xr:uid="{00000000-0005-0000-0000-00005C110000}"/>
    <cellStyle name="Millares 5 3 2 3 2 3 2 3" xfId="26197" xr:uid="{00000000-0005-0000-0000-00005D110000}"/>
    <cellStyle name="Millares 5 3 2 3 2 3 3" xfId="12565" xr:uid="{00000000-0005-0000-0000-00005E110000}"/>
    <cellStyle name="Millares 5 3 2 3 2 3 3 2" xfId="30747" xr:uid="{00000000-0005-0000-0000-00005F110000}"/>
    <cellStyle name="Millares 5 3 2 3 2 3 4" xfId="21657" xr:uid="{00000000-0005-0000-0000-000060110000}"/>
    <cellStyle name="Millares 5 3 2 3 2 4" xfId="5092" xr:uid="{00000000-0005-0000-0000-000061110000}"/>
    <cellStyle name="Millares 5 3 2 3 2 4 2" xfId="14192" xr:uid="{00000000-0005-0000-0000-000062110000}"/>
    <cellStyle name="Millares 5 3 2 3 2 4 2 2" xfId="32374" xr:uid="{00000000-0005-0000-0000-000063110000}"/>
    <cellStyle name="Millares 5 3 2 3 2 4 3" xfId="23284" xr:uid="{00000000-0005-0000-0000-000064110000}"/>
    <cellStyle name="Millares 5 3 2 3 2 5" xfId="9658" xr:uid="{00000000-0005-0000-0000-000065110000}"/>
    <cellStyle name="Millares 5 3 2 3 2 5 2" xfId="27840" xr:uid="{00000000-0005-0000-0000-000066110000}"/>
    <cellStyle name="Millares 5 3 2 3 2 6" xfId="18749" xr:uid="{00000000-0005-0000-0000-000067110000}"/>
    <cellStyle name="Millares 5 3 2 3 3" xfId="1973" xr:uid="{00000000-0005-0000-0000-000068110000}"/>
    <cellStyle name="Millares 5 3 2 3 3 2" xfId="6571" xr:uid="{00000000-0005-0000-0000-000069110000}"/>
    <cellStyle name="Millares 5 3 2 3 3 2 2" xfId="15671" xr:uid="{00000000-0005-0000-0000-00006A110000}"/>
    <cellStyle name="Millares 5 3 2 3 3 2 2 2" xfId="33853" xr:uid="{00000000-0005-0000-0000-00006B110000}"/>
    <cellStyle name="Millares 5 3 2 3 3 2 3" xfId="24763" xr:uid="{00000000-0005-0000-0000-00006C110000}"/>
    <cellStyle name="Millares 5 3 2 3 3 3" xfId="11135" xr:uid="{00000000-0005-0000-0000-00006D110000}"/>
    <cellStyle name="Millares 5 3 2 3 3 3 2" xfId="29317" xr:uid="{00000000-0005-0000-0000-00006E110000}"/>
    <cellStyle name="Millares 5 3 2 3 3 4" xfId="20227" xr:uid="{00000000-0005-0000-0000-00006F110000}"/>
    <cellStyle name="Millares 5 3 2 3 4" xfId="3452" xr:uid="{00000000-0005-0000-0000-000070110000}"/>
    <cellStyle name="Millares 5 3 2 3 4 2" xfId="8008" xr:uid="{00000000-0005-0000-0000-000071110000}"/>
    <cellStyle name="Millares 5 3 2 3 4 2 2" xfId="17104" xr:uid="{00000000-0005-0000-0000-000072110000}"/>
    <cellStyle name="Millares 5 3 2 3 4 2 2 2" xfId="35286" xr:uid="{00000000-0005-0000-0000-000073110000}"/>
    <cellStyle name="Millares 5 3 2 3 4 2 3" xfId="26196" xr:uid="{00000000-0005-0000-0000-000074110000}"/>
    <cellStyle name="Millares 5 3 2 3 4 3" xfId="12564" xr:uid="{00000000-0005-0000-0000-000075110000}"/>
    <cellStyle name="Millares 5 3 2 3 4 3 2" xfId="30746" xr:uid="{00000000-0005-0000-0000-000076110000}"/>
    <cellStyle name="Millares 5 3 2 3 4 4" xfId="21656" xr:uid="{00000000-0005-0000-0000-000077110000}"/>
    <cellStyle name="Millares 5 3 2 3 5" xfId="5091" xr:uid="{00000000-0005-0000-0000-000078110000}"/>
    <cellStyle name="Millares 5 3 2 3 5 2" xfId="14191" xr:uid="{00000000-0005-0000-0000-000079110000}"/>
    <cellStyle name="Millares 5 3 2 3 5 2 2" xfId="32373" xr:uid="{00000000-0005-0000-0000-00007A110000}"/>
    <cellStyle name="Millares 5 3 2 3 5 3" xfId="23283" xr:uid="{00000000-0005-0000-0000-00007B110000}"/>
    <cellStyle name="Millares 5 3 2 3 6" xfId="9657" xr:uid="{00000000-0005-0000-0000-00007C110000}"/>
    <cellStyle name="Millares 5 3 2 3 6 2" xfId="27839" xr:uid="{00000000-0005-0000-0000-00007D110000}"/>
    <cellStyle name="Millares 5 3 2 3 7" xfId="18748" xr:uid="{00000000-0005-0000-0000-00007E110000}"/>
    <cellStyle name="Millares 5 3 2 4" xfId="442" xr:uid="{00000000-0005-0000-0000-00007F110000}"/>
    <cellStyle name="Millares 5 3 2 4 2" xfId="1974" xr:uid="{00000000-0005-0000-0000-000080110000}"/>
    <cellStyle name="Millares 5 3 2 4 2 2" xfId="6572" xr:uid="{00000000-0005-0000-0000-000081110000}"/>
    <cellStyle name="Millares 5 3 2 4 2 2 2" xfId="15672" xr:uid="{00000000-0005-0000-0000-000082110000}"/>
    <cellStyle name="Millares 5 3 2 4 2 2 2 2" xfId="33854" xr:uid="{00000000-0005-0000-0000-000083110000}"/>
    <cellStyle name="Millares 5 3 2 4 2 2 3" xfId="24764" xr:uid="{00000000-0005-0000-0000-000084110000}"/>
    <cellStyle name="Millares 5 3 2 4 2 3" xfId="11136" xr:uid="{00000000-0005-0000-0000-000085110000}"/>
    <cellStyle name="Millares 5 3 2 4 2 3 2" xfId="29318" xr:uid="{00000000-0005-0000-0000-000086110000}"/>
    <cellStyle name="Millares 5 3 2 4 2 4" xfId="20228" xr:uid="{00000000-0005-0000-0000-000087110000}"/>
    <cellStyle name="Millares 5 3 2 4 3" xfId="3454" xr:uid="{00000000-0005-0000-0000-000088110000}"/>
    <cellStyle name="Millares 5 3 2 4 3 2" xfId="8010" xr:uid="{00000000-0005-0000-0000-000089110000}"/>
    <cellStyle name="Millares 5 3 2 4 3 2 2" xfId="17106" xr:uid="{00000000-0005-0000-0000-00008A110000}"/>
    <cellStyle name="Millares 5 3 2 4 3 2 2 2" xfId="35288" xr:uid="{00000000-0005-0000-0000-00008B110000}"/>
    <cellStyle name="Millares 5 3 2 4 3 2 3" xfId="26198" xr:uid="{00000000-0005-0000-0000-00008C110000}"/>
    <cellStyle name="Millares 5 3 2 4 3 3" xfId="12566" xr:uid="{00000000-0005-0000-0000-00008D110000}"/>
    <cellStyle name="Millares 5 3 2 4 3 3 2" xfId="30748" xr:uid="{00000000-0005-0000-0000-00008E110000}"/>
    <cellStyle name="Millares 5 3 2 4 3 4" xfId="21658" xr:uid="{00000000-0005-0000-0000-00008F110000}"/>
    <cellStyle name="Millares 5 3 2 4 4" xfId="5093" xr:uid="{00000000-0005-0000-0000-000090110000}"/>
    <cellStyle name="Millares 5 3 2 4 4 2" xfId="14193" xr:uid="{00000000-0005-0000-0000-000091110000}"/>
    <cellStyle name="Millares 5 3 2 4 4 2 2" xfId="32375" xr:uid="{00000000-0005-0000-0000-000092110000}"/>
    <cellStyle name="Millares 5 3 2 4 4 3" xfId="23285" xr:uid="{00000000-0005-0000-0000-000093110000}"/>
    <cellStyle name="Millares 5 3 2 4 5" xfId="9659" xr:uid="{00000000-0005-0000-0000-000094110000}"/>
    <cellStyle name="Millares 5 3 2 4 5 2" xfId="27841" xr:uid="{00000000-0005-0000-0000-000095110000}"/>
    <cellStyle name="Millares 5 3 2 4 6" xfId="18750" xr:uid="{00000000-0005-0000-0000-000096110000}"/>
    <cellStyle name="Millares 5 3 2 5" xfId="443" xr:uid="{00000000-0005-0000-0000-000097110000}"/>
    <cellStyle name="Millares 5 3 2 5 2" xfId="3455" xr:uid="{00000000-0005-0000-0000-000098110000}"/>
    <cellStyle name="Millares 5 3 2 5 2 2" xfId="8011" xr:uid="{00000000-0005-0000-0000-000099110000}"/>
    <cellStyle name="Millares 5 3 2 5 2 2 2" xfId="17107" xr:uid="{00000000-0005-0000-0000-00009A110000}"/>
    <cellStyle name="Millares 5 3 2 5 2 2 2 2" xfId="35289" xr:uid="{00000000-0005-0000-0000-00009B110000}"/>
    <cellStyle name="Millares 5 3 2 5 2 2 3" xfId="26199" xr:uid="{00000000-0005-0000-0000-00009C110000}"/>
    <cellStyle name="Millares 5 3 2 5 2 3" xfId="12567" xr:uid="{00000000-0005-0000-0000-00009D110000}"/>
    <cellStyle name="Millares 5 3 2 5 2 3 2" xfId="30749" xr:uid="{00000000-0005-0000-0000-00009E110000}"/>
    <cellStyle name="Millares 5 3 2 5 2 4" xfId="21659" xr:uid="{00000000-0005-0000-0000-00009F110000}"/>
    <cellStyle name="Millares 5 3 2 5 3" xfId="5094" xr:uid="{00000000-0005-0000-0000-0000A0110000}"/>
    <cellStyle name="Millares 5 3 2 5 3 2" xfId="14194" xr:uid="{00000000-0005-0000-0000-0000A1110000}"/>
    <cellStyle name="Millares 5 3 2 5 3 2 2" xfId="32376" xr:uid="{00000000-0005-0000-0000-0000A2110000}"/>
    <cellStyle name="Millares 5 3 2 5 3 3" xfId="23286" xr:uid="{00000000-0005-0000-0000-0000A3110000}"/>
    <cellStyle name="Millares 5 3 2 5 4" xfId="9660" xr:uid="{00000000-0005-0000-0000-0000A4110000}"/>
    <cellStyle name="Millares 5 3 2 5 4 2" xfId="27842" xr:uid="{00000000-0005-0000-0000-0000A5110000}"/>
    <cellStyle name="Millares 5 3 2 5 5" xfId="18751" xr:uid="{00000000-0005-0000-0000-0000A6110000}"/>
    <cellStyle name="Millares 5 3 2 6" xfId="1975" xr:uid="{00000000-0005-0000-0000-0000A7110000}"/>
    <cellStyle name="Millares 5 3 2 6 2" xfId="6573" xr:uid="{00000000-0005-0000-0000-0000A8110000}"/>
    <cellStyle name="Millares 5 3 2 6 2 2" xfId="15673" xr:uid="{00000000-0005-0000-0000-0000A9110000}"/>
    <cellStyle name="Millares 5 3 2 6 2 2 2" xfId="33855" xr:uid="{00000000-0005-0000-0000-0000AA110000}"/>
    <cellStyle name="Millares 5 3 2 6 2 3" xfId="24765" xr:uid="{00000000-0005-0000-0000-0000AB110000}"/>
    <cellStyle name="Millares 5 3 2 6 3" xfId="11137" xr:uid="{00000000-0005-0000-0000-0000AC110000}"/>
    <cellStyle name="Millares 5 3 2 6 3 2" xfId="29319" xr:uid="{00000000-0005-0000-0000-0000AD110000}"/>
    <cellStyle name="Millares 5 3 2 6 4" xfId="20229" xr:uid="{00000000-0005-0000-0000-0000AE110000}"/>
    <cellStyle name="Millares 5 3 2 7" xfId="3446" xr:uid="{00000000-0005-0000-0000-0000AF110000}"/>
    <cellStyle name="Millares 5 3 2 7 2" xfId="8002" xr:uid="{00000000-0005-0000-0000-0000B0110000}"/>
    <cellStyle name="Millares 5 3 2 7 2 2" xfId="17098" xr:uid="{00000000-0005-0000-0000-0000B1110000}"/>
    <cellStyle name="Millares 5 3 2 7 2 2 2" xfId="35280" xr:uid="{00000000-0005-0000-0000-0000B2110000}"/>
    <cellStyle name="Millares 5 3 2 7 2 3" xfId="26190" xr:uid="{00000000-0005-0000-0000-0000B3110000}"/>
    <cellStyle name="Millares 5 3 2 7 3" xfId="12558" xr:uid="{00000000-0005-0000-0000-0000B4110000}"/>
    <cellStyle name="Millares 5 3 2 7 3 2" xfId="30740" xr:uid="{00000000-0005-0000-0000-0000B5110000}"/>
    <cellStyle name="Millares 5 3 2 7 4" xfId="21650" xr:uid="{00000000-0005-0000-0000-0000B6110000}"/>
    <cellStyle name="Millares 5 3 2 8" xfId="5085" xr:uid="{00000000-0005-0000-0000-0000B7110000}"/>
    <cellStyle name="Millares 5 3 2 8 2" xfId="14185" xr:uid="{00000000-0005-0000-0000-0000B8110000}"/>
    <cellStyle name="Millares 5 3 2 8 2 2" xfId="32367" xr:uid="{00000000-0005-0000-0000-0000B9110000}"/>
    <cellStyle name="Millares 5 3 2 8 3" xfId="23277" xr:uid="{00000000-0005-0000-0000-0000BA110000}"/>
    <cellStyle name="Millares 5 3 2 9" xfId="9651" xr:uid="{00000000-0005-0000-0000-0000BB110000}"/>
    <cellStyle name="Millares 5 3 2 9 2" xfId="27833" xr:uid="{00000000-0005-0000-0000-0000BC110000}"/>
    <cellStyle name="Millares 5 3 3" xfId="444" xr:uid="{00000000-0005-0000-0000-0000BD110000}"/>
    <cellStyle name="Millares 5 3 3 2" xfId="445" xr:uid="{00000000-0005-0000-0000-0000BE110000}"/>
    <cellStyle name="Millares 5 3 3 2 2" xfId="446" xr:uid="{00000000-0005-0000-0000-0000BF110000}"/>
    <cellStyle name="Millares 5 3 3 2 2 2" xfId="1976" xr:uid="{00000000-0005-0000-0000-0000C0110000}"/>
    <cellStyle name="Millares 5 3 3 2 2 2 2" xfId="6574" xr:uid="{00000000-0005-0000-0000-0000C1110000}"/>
    <cellStyle name="Millares 5 3 3 2 2 2 2 2" xfId="15674" xr:uid="{00000000-0005-0000-0000-0000C2110000}"/>
    <cellStyle name="Millares 5 3 3 2 2 2 2 2 2" xfId="33856" xr:uid="{00000000-0005-0000-0000-0000C3110000}"/>
    <cellStyle name="Millares 5 3 3 2 2 2 2 3" xfId="24766" xr:uid="{00000000-0005-0000-0000-0000C4110000}"/>
    <cellStyle name="Millares 5 3 3 2 2 2 3" xfId="11138" xr:uid="{00000000-0005-0000-0000-0000C5110000}"/>
    <cellStyle name="Millares 5 3 3 2 2 2 3 2" xfId="29320" xr:uid="{00000000-0005-0000-0000-0000C6110000}"/>
    <cellStyle name="Millares 5 3 3 2 2 2 4" xfId="20230" xr:uid="{00000000-0005-0000-0000-0000C7110000}"/>
    <cellStyle name="Millares 5 3 3 2 2 3" xfId="3458" xr:uid="{00000000-0005-0000-0000-0000C8110000}"/>
    <cellStyle name="Millares 5 3 3 2 2 3 2" xfId="8014" xr:uid="{00000000-0005-0000-0000-0000C9110000}"/>
    <cellStyle name="Millares 5 3 3 2 2 3 2 2" xfId="17110" xr:uid="{00000000-0005-0000-0000-0000CA110000}"/>
    <cellStyle name="Millares 5 3 3 2 2 3 2 2 2" xfId="35292" xr:uid="{00000000-0005-0000-0000-0000CB110000}"/>
    <cellStyle name="Millares 5 3 3 2 2 3 2 3" xfId="26202" xr:uid="{00000000-0005-0000-0000-0000CC110000}"/>
    <cellStyle name="Millares 5 3 3 2 2 3 3" xfId="12570" xr:uid="{00000000-0005-0000-0000-0000CD110000}"/>
    <cellStyle name="Millares 5 3 3 2 2 3 3 2" xfId="30752" xr:uid="{00000000-0005-0000-0000-0000CE110000}"/>
    <cellStyle name="Millares 5 3 3 2 2 3 4" xfId="21662" xr:uid="{00000000-0005-0000-0000-0000CF110000}"/>
    <cellStyle name="Millares 5 3 3 2 2 4" xfId="5097" xr:uid="{00000000-0005-0000-0000-0000D0110000}"/>
    <cellStyle name="Millares 5 3 3 2 2 4 2" xfId="14197" xr:uid="{00000000-0005-0000-0000-0000D1110000}"/>
    <cellStyle name="Millares 5 3 3 2 2 4 2 2" xfId="32379" xr:uid="{00000000-0005-0000-0000-0000D2110000}"/>
    <cellStyle name="Millares 5 3 3 2 2 4 3" xfId="23289" xr:uid="{00000000-0005-0000-0000-0000D3110000}"/>
    <cellStyle name="Millares 5 3 3 2 2 5" xfId="9663" xr:uid="{00000000-0005-0000-0000-0000D4110000}"/>
    <cellStyle name="Millares 5 3 3 2 2 5 2" xfId="27845" xr:uid="{00000000-0005-0000-0000-0000D5110000}"/>
    <cellStyle name="Millares 5 3 3 2 2 6" xfId="18754" xr:uid="{00000000-0005-0000-0000-0000D6110000}"/>
    <cellStyle name="Millares 5 3 3 2 3" xfId="1977" xr:uid="{00000000-0005-0000-0000-0000D7110000}"/>
    <cellStyle name="Millares 5 3 3 2 3 2" xfId="6575" xr:uid="{00000000-0005-0000-0000-0000D8110000}"/>
    <cellStyle name="Millares 5 3 3 2 3 2 2" xfId="15675" xr:uid="{00000000-0005-0000-0000-0000D9110000}"/>
    <cellStyle name="Millares 5 3 3 2 3 2 2 2" xfId="33857" xr:uid="{00000000-0005-0000-0000-0000DA110000}"/>
    <cellStyle name="Millares 5 3 3 2 3 2 3" xfId="24767" xr:uid="{00000000-0005-0000-0000-0000DB110000}"/>
    <cellStyle name="Millares 5 3 3 2 3 3" xfId="11139" xr:uid="{00000000-0005-0000-0000-0000DC110000}"/>
    <cellStyle name="Millares 5 3 3 2 3 3 2" xfId="29321" xr:uid="{00000000-0005-0000-0000-0000DD110000}"/>
    <cellStyle name="Millares 5 3 3 2 3 4" xfId="20231" xr:uid="{00000000-0005-0000-0000-0000DE110000}"/>
    <cellStyle name="Millares 5 3 3 2 4" xfId="3457" xr:uid="{00000000-0005-0000-0000-0000DF110000}"/>
    <cellStyle name="Millares 5 3 3 2 4 2" xfId="8013" xr:uid="{00000000-0005-0000-0000-0000E0110000}"/>
    <cellStyle name="Millares 5 3 3 2 4 2 2" xfId="17109" xr:uid="{00000000-0005-0000-0000-0000E1110000}"/>
    <cellStyle name="Millares 5 3 3 2 4 2 2 2" xfId="35291" xr:uid="{00000000-0005-0000-0000-0000E2110000}"/>
    <cellStyle name="Millares 5 3 3 2 4 2 3" xfId="26201" xr:uid="{00000000-0005-0000-0000-0000E3110000}"/>
    <cellStyle name="Millares 5 3 3 2 4 3" xfId="12569" xr:uid="{00000000-0005-0000-0000-0000E4110000}"/>
    <cellStyle name="Millares 5 3 3 2 4 3 2" xfId="30751" xr:uid="{00000000-0005-0000-0000-0000E5110000}"/>
    <cellStyle name="Millares 5 3 3 2 4 4" xfId="21661" xr:uid="{00000000-0005-0000-0000-0000E6110000}"/>
    <cellStyle name="Millares 5 3 3 2 5" xfId="5096" xr:uid="{00000000-0005-0000-0000-0000E7110000}"/>
    <cellStyle name="Millares 5 3 3 2 5 2" xfId="14196" xr:uid="{00000000-0005-0000-0000-0000E8110000}"/>
    <cellStyle name="Millares 5 3 3 2 5 2 2" xfId="32378" xr:uid="{00000000-0005-0000-0000-0000E9110000}"/>
    <cellStyle name="Millares 5 3 3 2 5 3" xfId="23288" xr:uid="{00000000-0005-0000-0000-0000EA110000}"/>
    <cellStyle name="Millares 5 3 3 2 6" xfId="9662" xr:uid="{00000000-0005-0000-0000-0000EB110000}"/>
    <cellStyle name="Millares 5 3 3 2 6 2" xfId="27844" xr:uid="{00000000-0005-0000-0000-0000EC110000}"/>
    <cellStyle name="Millares 5 3 3 2 7" xfId="18753" xr:uid="{00000000-0005-0000-0000-0000ED110000}"/>
    <cellStyle name="Millares 5 3 3 3" xfId="447" xr:uid="{00000000-0005-0000-0000-0000EE110000}"/>
    <cellStyle name="Millares 5 3 3 3 2" xfId="1978" xr:uid="{00000000-0005-0000-0000-0000EF110000}"/>
    <cellStyle name="Millares 5 3 3 3 2 2" xfId="6576" xr:uid="{00000000-0005-0000-0000-0000F0110000}"/>
    <cellStyle name="Millares 5 3 3 3 2 2 2" xfId="15676" xr:uid="{00000000-0005-0000-0000-0000F1110000}"/>
    <cellStyle name="Millares 5 3 3 3 2 2 2 2" xfId="33858" xr:uid="{00000000-0005-0000-0000-0000F2110000}"/>
    <cellStyle name="Millares 5 3 3 3 2 2 3" xfId="24768" xr:uid="{00000000-0005-0000-0000-0000F3110000}"/>
    <cellStyle name="Millares 5 3 3 3 2 3" xfId="11140" xr:uid="{00000000-0005-0000-0000-0000F4110000}"/>
    <cellStyle name="Millares 5 3 3 3 2 3 2" xfId="29322" xr:uid="{00000000-0005-0000-0000-0000F5110000}"/>
    <cellStyle name="Millares 5 3 3 3 2 4" xfId="20232" xr:uid="{00000000-0005-0000-0000-0000F6110000}"/>
    <cellStyle name="Millares 5 3 3 3 3" xfId="3459" xr:uid="{00000000-0005-0000-0000-0000F7110000}"/>
    <cellStyle name="Millares 5 3 3 3 3 2" xfId="8015" xr:uid="{00000000-0005-0000-0000-0000F8110000}"/>
    <cellStyle name="Millares 5 3 3 3 3 2 2" xfId="17111" xr:uid="{00000000-0005-0000-0000-0000F9110000}"/>
    <cellStyle name="Millares 5 3 3 3 3 2 2 2" xfId="35293" xr:uid="{00000000-0005-0000-0000-0000FA110000}"/>
    <cellStyle name="Millares 5 3 3 3 3 2 3" xfId="26203" xr:uid="{00000000-0005-0000-0000-0000FB110000}"/>
    <cellStyle name="Millares 5 3 3 3 3 3" xfId="12571" xr:uid="{00000000-0005-0000-0000-0000FC110000}"/>
    <cellStyle name="Millares 5 3 3 3 3 3 2" xfId="30753" xr:uid="{00000000-0005-0000-0000-0000FD110000}"/>
    <cellStyle name="Millares 5 3 3 3 3 4" xfId="21663" xr:uid="{00000000-0005-0000-0000-0000FE110000}"/>
    <cellStyle name="Millares 5 3 3 3 4" xfId="5098" xr:uid="{00000000-0005-0000-0000-0000FF110000}"/>
    <cellStyle name="Millares 5 3 3 3 4 2" xfId="14198" xr:uid="{00000000-0005-0000-0000-000000120000}"/>
    <cellStyle name="Millares 5 3 3 3 4 2 2" xfId="32380" xr:uid="{00000000-0005-0000-0000-000001120000}"/>
    <cellStyle name="Millares 5 3 3 3 4 3" xfId="23290" xr:uid="{00000000-0005-0000-0000-000002120000}"/>
    <cellStyle name="Millares 5 3 3 3 5" xfId="9664" xr:uid="{00000000-0005-0000-0000-000003120000}"/>
    <cellStyle name="Millares 5 3 3 3 5 2" xfId="27846" xr:uid="{00000000-0005-0000-0000-000004120000}"/>
    <cellStyle name="Millares 5 3 3 3 6" xfId="18755" xr:uid="{00000000-0005-0000-0000-000005120000}"/>
    <cellStyle name="Millares 5 3 3 4" xfId="448" xr:uid="{00000000-0005-0000-0000-000006120000}"/>
    <cellStyle name="Millares 5 3 3 4 2" xfId="3460" xr:uid="{00000000-0005-0000-0000-000007120000}"/>
    <cellStyle name="Millares 5 3 3 4 2 2" xfId="8016" xr:uid="{00000000-0005-0000-0000-000008120000}"/>
    <cellStyle name="Millares 5 3 3 4 2 2 2" xfId="17112" xr:uid="{00000000-0005-0000-0000-000009120000}"/>
    <cellStyle name="Millares 5 3 3 4 2 2 2 2" xfId="35294" xr:uid="{00000000-0005-0000-0000-00000A120000}"/>
    <cellStyle name="Millares 5 3 3 4 2 2 3" xfId="26204" xr:uid="{00000000-0005-0000-0000-00000B120000}"/>
    <cellStyle name="Millares 5 3 3 4 2 3" xfId="12572" xr:uid="{00000000-0005-0000-0000-00000C120000}"/>
    <cellStyle name="Millares 5 3 3 4 2 3 2" xfId="30754" xr:uid="{00000000-0005-0000-0000-00000D120000}"/>
    <cellStyle name="Millares 5 3 3 4 2 4" xfId="21664" xr:uid="{00000000-0005-0000-0000-00000E120000}"/>
    <cellStyle name="Millares 5 3 3 4 3" xfId="5099" xr:uid="{00000000-0005-0000-0000-00000F120000}"/>
    <cellStyle name="Millares 5 3 3 4 3 2" xfId="14199" xr:uid="{00000000-0005-0000-0000-000010120000}"/>
    <cellStyle name="Millares 5 3 3 4 3 2 2" xfId="32381" xr:uid="{00000000-0005-0000-0000-000011120000}"/>
    <cellStyle name="Millares 5 3 3 4 3 3" xfId="23291" xr:uid="{00000000-0005-0000-0000-000012120000}"/>
    <cellStyle name="Millares 5 3 3 4 4" xfId="9665" xr:uid="{00000000-0005-0000-0000-000013120000}"/>
    <cellStyle name="Millares 5 3 3 4 4 2" xfId="27847" xr:uid="{00000000-0005-0000-0000-000014120000}"/>
    <cellStyle name="Millares 5 3 3 4 5" xfId="18756" xr:uid="{00000000-0005-0000-0000-000015120000}"/>
    <cellStyle name="Millares 5 3 3 5" xfId="1979" xr:uid="{00000000-0005-0000-0000-000016120000}"/>
    <cellStyle name="Millares 5 3 3 6" xfId="3456" xr:uid="{00000000-0005-0000-0000-000017120000}"/>
    <cellStyle name="Millares 5 3 3 6 2" xfId="8012" xr:uid="{00000000-0005-0000-0000-000018120000}"/>
    <cellStyle name="Millares 5 3 3 6 2 2" xfId="17108" xr:uid="{00000000-0005-0000-0000-000019120000}"/>
    <cellStyle name="Millares 5 3 3 6 2 2 2" xfId="35290" xr:uid="{00000000-0005-0000-0000-00001A120000}"/>
    <cellStyle name="Millares 5 3 3 6 2 3" xfId="26200" xr:uid="{00000000-0005-0000-0000-00001B120000}"/>
    <cellStyle name="Millares 5 3 3 6 3" xfId="12568" xr:uid="{00000000-0005-0000-0000-00001C120000}"/>
    <cellStyle name="Millares 5 3 3 6 3 2" xfId="30750" xr:uid="{00000000-0005-0000-0000-00001D120000}"/>
    <cellStyle name="Millares 5 3 3 6 4" xfId="21660" xr:uid="{00000000-0005-0000-0000-00001E120000}"/>
    <cellStyle name="Millares 5 3 3 7" xfId="5095" xr:uid="{00000000-0005-0000-0000-00001F120000}"/>
    <cellStyle name="Millares 5 3 3 7 2" xfId="14195" xr:uid="{00000000-0005-0000-0000-000020120000}"/>
    <cellStyle name="Millares 5 3 3 7 2 2" xfId="32377" xr:uid="{00000000-0005-0000-0000-000021120000}"/>
    <cellStyle name="Millares 5 3 3 7 3" xfId="23287" xr:uid="{00000000-0005-0000-0000-000022120000}"/>
    <cellStyle name="Millares 5 3 3 8" xfId="9661" xr:uid="{00000000-0005-0000-0000-000023120000}"/>
    <cellStyle name="Millares 5 3 3 8 2" xfId="27843" xr:uid="{00000000-0005-0000-0000-000024120000}"/>
    <cellStyle name="Millares 5 3 3 9" xfId="18752" xr:uid="{00000000-0005-0000-0000-000025120000}"/>
    <cellStyle name="Millares 5 3 4" xfId="449" xr:uid="{00000000-0005-0000-0000-000026120000}"/>
    <cellStyle name="Millares 5 3 4 2" xfId="450" xr:uid="{00000000-0005-0000-0000-000027120000}"/>
    <cellStyle name="Millares 5 3 4 2 2" xfId="1980" xr:uid="{00000000-0005-0000-0000-000028120000}"/>
    <cellStyle name="Millares 5 3 4 2 2 2" xfId="6577" xr:uid="{00000000-0005-0000-0000-000029120000}"/>
    <cellStyle name="Millares 5 3 4 2 2 2 2" xfId="15677" xr:uid="{00000000-0005-0000-0000-00002A120000}"/>
    <cellStyle name="Millares 5 3 4 2 2 2 2 2" xfId="33859" xr:uid="{00000000-0005-0000-0000-00002B120000}"/>
    <cellStyle name="Millares 5 3 4 2 2 2 3" xfId="24769" xr:uid="{00000000-0005-0000-0000-00002C120000}"/>
    <cellStyle name="Millares 5 3 4 2 2 3" xfId="11141" xr:uid="{00000000-0005-0000-0000-00002D120000}"/>
    <cellStyle name="Millares 5 3 4 2 2 3 2" xfId="29323" xr:uid="{00000000-0005-0000-0000-00002E120000}"/>
    <cellStyle name="Millares 5 3 4 2 2 4" xfId="20233" xr:uid="{00000000-0005-0000-0000-00002F120000}"/>
    <cellStyle name="Millares 5 3 4 2 3" xfId="3462" xr:uid="{00000000-0005-0000-0000-000030120000}"/>
    <cellStyle name="Millares 5 3 4 2 3 2" xfId="8018" xr:uid="{00000000-0005-0000-0000-000031120000}"/>
    <cellStyle name="Millares 5 3 4 2 3 2 2" xfId="17114" xr:uid="{00000000-0005-0000-0000-000032120000}"/>
    <cellStyle name="Millares 5 3 4 2 3 2 2 2" xfId="35296" xr:uid="{00000000-0005-0000-0000-000033120000}"/>
    <cellStyle name="Millares 5 3 4 2 3 2 3" xfId="26206" xr:uid="{00000000-0005-0000-0000-000034120000}"/>
    <cellStyle name="Millares 5 3 4 2 3 3" xfId="12574" xr:uid="{00000000-0005-0000-0000-000035120000}"/>
    <cellStyle name="Millares 5 3 4 2 3 3 2" xfId="30756" xr:uid="{00000000-0005-0000-0000-000036120000}"/>
    <cellStyle name="Millares 5 3 4 2 3 4" xfId="21666" xr:uid="{00000000-0005-0000-0000-000037120000}"/>
    <cellStyle name="Millares 5 3 4 2 4" xfId="5101" xr:uid="{00000000-0005-0000-0000-000038120000}"/>
    <cellStyle name="Millares 5 3 4 2 4 2" xfId="14201" xr:uid="{00000000-0005-0000-0000-000039120000}"/>
    <cellStyle name="Millares 5 3 4 2 4 2 2" xfId="32383" xr:uid="{00000000-0005-0000-0000-00003A120000}"/>
    <cellStyle name="Millares 5 3 4 2 4 3" xfId="23293" xr:uid="{00000000-0005-0000-0000-00003B120000}"/>
    <cellStyle name="Millares 5 3 4 2 5" xfId="9667" xr:uid="{00000000-0005-0000-0000-00003C120000}"/>
    <cellStyle name="Millares 5 3 4 2 5 2" xfId="27849" xr:uid="{00000000-0005-0000-0000-00003D120000}"/>
    <cellStyle name="Millares 5 3 4 2 6" xfId="18758" xr:uid="{00000000-0005-0000-0000-00003E120000}"/>
    <cellStyle name="Millares 5 3 4 3" xfId="1981" xr:uid="{00000000-0005-0000-0000-00003F120000}"/>
    <cellStyle name="Millares 5 3 4 3 2" xfId="6578" xr:uid="{00000000-0005-0000-0000-000040120000}"/>
    <cellStyle name="Millares 5 3 4 3 2 2" xfId="15678" xr:uid="{00000000-0005-0000-0000-000041120000}"/>
    <cellStyle name="Millares 5 3 4 3 2 2 2" xfId="33860" xr:uid="{00000000-0005-0000-0000-000042120000}"/>
    <cellStyle name="Millares 5 3 4 3 2 3" xfId="24770" xr:uid="{00000000-0005-0000-0000-000043120000}"/>
    <cellStyle name="Millares 5 3 4 3 3" xfId="11142" xr:uid="{00000000-0005-0000-0000-000044120000}"/>
    <cellStyle name="Millares 5 3 4 3 3 2" xfId="29324" xr:uid="{00000000-0005-0000-0000-000045120000}"/>
    <cellStyle name="Millares 5 3 4 3 4" xfId="20234" xr:uid="{00000000-0005-0000-0000-000046120000}"/>
    <cellStyle name="Millares 5 3 4 4" xfId="3461" xr:uid="{00000000-0005-0000-0000-000047120000}"/>
    <cellStyle name="Millares 5 3 4 4 2" xfId="8017" xr:uid="{00000000-0005-0000-0000-000048120000}"/>
    <cellStyle name="Millares 5 3 4 4 2 2" xfId="17113" xr:uid="{00000000-0005-0000-0000-000049120000}"/>
    <cellStyle name="Millares 5 3 4 4 2 2 2" xfId="35295" xr:uid="{00000000-0005-0000-0000-00004A120000}"/>
    <cellStyle name="Millares 5 3 4 4 2 3" xfId="26205" xr:uid="{00000000-0005-0000-0000-00004B120000}"/>
    <cellStyle name="Millares 5 3 4 4 3" xfId="12573" xr:uid="{00000000-0005-0000-0000-00004C120000}"/>
    <cellStyle name="Millares 5 3 4 4 3 2" xfId="30755" xr:uid="{00000000-0005-0000-0000-00004D120000}"/>
    <cellStyle name="Millares 5 3 4 4 4" xfId="21665" xr:uid="{00000000-0005-0000-0000-00004E120000}"/>
    <cellStyle name="Millares 5 3 4 5" xfId="5100" xr:uid="{00000000-0005-0000-0000-00004F120000}"/>
    <cellStyle name="Millares 5 3 4 5 2" xfId="14200" xr:uid="{00000000-0005-0000-0000-000050120000}"/>
    <cellStyle name="Millares 5 3 4 5 2 2" xfId="32382" xr:uid="{00000000-0005-0000-0000-000051120000}"/>
    <cellStyle name="Millares 5 3 4 5 3" xfId="23292" xr:uid="{00000000-0005-0000-0000-000052120000}"/>
    <cellStyle name="Millares 5 3 4 6" xfId="9666" xr:uid="{00000000-0005-0000-0000-000053120000}"/>
    <cellStyle name="Millares 5 3 4 6 2" xfId="27848" xr:uid="{00000000-0005-0000-0000-000054120000}"/>
    <cellStyle name="Millares 5 3 4 7" xfId="18757" xr:uid="{00000000-0005-0000-0000-000055120000}"/>
    <cellStyle name="Millares 5 3 5" xfId="451" xr:uid="{00000000-0005-0000-0000-000056120000}"/>
    <cellStyle name="Millares 5 3 5 2" xfId="1982" xr:uid="{00000000-0005-0000-0000-000057120000}"/>
    <cellStyle name="Millares 5 3 5 2 2" xfId="6579" xr:uid="{00000000-0005-0000-0000-000058120000}"/>
    <cellStyle name="Millares 5 3 5 2 2 2" xfId="15679" xr:uid="{00000000-0005-0000-0000-000059120000}"/>
    <cellStyle name="Millares 5 3 5 2 2 2 2" xfId="33861" xr:uid="{00000000-0005-0000-0000-00005A120000}"/>
    <cellStyle name="Millares 5 3 5 2 2 3" xfId="24771" xr:uid="{00000000-0005-0000-0000-00005B120000}"/>
    <cellStyle name="Millares 5 3 5 2 3" xfId="11143" xr:uid="{00000000-0005-0000-0000-00005C120000}"/>
    <cellStyle name="Millares 5 3 5 2 3 2" xfId="29325" xr:uid="{00000000-0005-0000-0000-00005D120000}"/>
    <cellStyle name="Millares 5 3 5 2 4" xfId="20235" xr:uid="{00000000-0005-0000-0000-00005E120000}"/>
    <cellStyle name="Millares 5 3 5 3" xfId="3463" xr:uid="{00000000-0005-0000-0000-00005F120000}"/>
    <cellStyle name="Millares 5 3 5 3 2" xfId="8019" xr:uid="{00000000-0005-0000-0000-000060120000}"/>
    <cellStyle name="Millares 5 3 5 3 2 2" xfId="17115" xr:uid="{00000000-0005-0000-0000-000061120000}"/>
    <cellStyle name="Millares 5 3 5 3 2 2 2" xfId="35297" xr:uid="{00000000-0005-0000-0000-000062120000}"/>
    <cellStyle name="Millares 5 3 5 3 2 3" xfId="26207" xr:uid="{00000000-0005-0000-0000-000063120000}"/>
    <cellStyle name="Millares 5 3 5 3 3" xfId="12575" xr:uid="{00000000-0005-0000-0000-000064120000}"/>
    <cellStyle name="Millares 5 3 5 3 3 2" xfId="30757" xr:uid="{00000000-0005-0000-0000-000065120000}"/>
    <cellStyle name="Millares 5 3 5 3 4" xfId="21667" xr:uid="{00000000-0005-0000-0000-000066120000}"/>
    <cellStyle name="Millares 5 3 5 4" xfId="5102" xr:uid="{00000000-0005-0000-0000-000067120000}"/>
    <cellStyle name="Millares 5 3 5 4 2" xfId="14202" xr:uid="{00000000-0005-0000-0000-000068120000}"/>
    <cellStyle name="Millares 5 3 5 4 2 2" xfId="32384" xr:uid="{00000000-0005-0000-0000-000069120000}"/>
    <cellStyle name="Millares 5 3 5 4 3" xfId="23294" xr:uid="{00000000-0005-0000-0000-00006A120000}"/>
    <cellStyle name="Millares 5 3 5 5" xfId="9668" xr:uid="{00000000-0005-0000-0000-00006B120000}"/>
    <cellStyle name="Millares 5 3 5 5 2" xfId="27850" xr:uid="{00000000-0005-0000-0000-00006C120000}"/>
    <cellStyle name="Millares 5 3 5 6" xfId="18759" xr:uid="{00000000-0005-0000-0000-00006D120000}"/>
    <cellStyle name="Millares 5 3 6" xfId="452" xr:uid="{00000000-0005-0000-0000-00006E120000}"/>
    <cellStyle name="Millares 5 3 6 2" xfId="3464" xr:uid="{00000000-0005-0000-0000-00006F120000}"/>
    <cellStyle name="Millares 5 3 6 2 2" xfId="8020" xr:uid="{00000000-0005-0000-0000-000070120000}"/>
    <cellStyle name="Millares 5 3 6 2 2 2" xfId="17116" xr:uid="{00000000-0005-0000-0000-000071120000}"/>
    <cellStyle name="Millares 5 3 6 2 2 2 2" xfId="35298" xr:uid="{00000000-0005-0000-0000-000072120000}"/>
    <cellStyle name="Millares 5 3 6 2 2 3" xfId="26208" xr:uid="{00000000-0005-0000-0000-000073120000}"/>
    <cellStyle name="Millares 5 3 6 2 3" xfId="12576" xr:uid="{00000000-0005-0000-0000-000074120000}"/>
    <cellStyle name="Millares 5 3 6 2 3 2" xfId="30758" xr:uid="{00000000-0005-0000-0000-000075120000}"/>
    <cellStyle name="Millares 5 3 6 2 4" xfId="21668" xr:uid="{00000000-0005-0000-0000-000076120000}"/>
    <cellStyle name="Millares 5 3 6 3" xfId="5103" xr:uid="{00000000-0005-0000-0000-000077120000}"/>
    <cellStyle name="Millares 5 3 6 3 2" xfId="14203" xr:uid="{00000000-0005-0000-0000-000078120000}"/>
    <cellStyle name="Millares 5 3 6 3 2 2" xfId="32385" xr:uid="{00000000-0005-0000-0000-000079120000}"/>
    <cellStyle name="Millares 5 3 6 3 3" xfId="23295" xr:uid="{00000000-0005-0000-0000-00007A120000}"/>
    <cellStyle name="Millares 5 3 6 4" xfId="9669" xr:uid="{00000000-0005-0000-0000-00007B120000}"/>
    <cellStyle name="Millares 5 3 6 4 2" xfId="27851" xr:uid="{00000000-0005-0000-0000-00007C120000}"/>
    <cellStyle name="Millares 5 3 6 5" xfId="18760" xr:uid="{00000000-0005-0000-0000-00007D120000}"/>
    <cellStyle name="Millares 5 3 7" xfId="1983" xr:uid="{00000000-0005-0000-0000-00007E120000}"/>
    <cellStyle name="Millares 5 3 7 2" xfId="6580" xr:uid="{00000000-0005-0000-0000-00007F120000}"/>
    <cellStyle name="Millares 5 3 7 2 2" xfId="15680" xr:uid="{00000000-0005-0000-0000-000080120000}"/>
    <cellStyle name="Millares 5 3 7 2 2 2" xfId="33862" xr:uid="{00000000-0005-0000-0000-000081120000}"/>
    <cellStyle name="Millares 5 3 7 2 3" xfId="24772" xr:uid="{00000000-0005-0000-0000-000082120000}"/>
    <cellStyle name="Millares 5 3 7 3" xfId="11144" xr:uid="{00000000-0005-0000-0000-000083120000}"/>
    <cellStyle name="Millares 5 3 7 3 2" xfId="29326" xr:uid="{00000000-0005-0000-0000-000084120000}"/>
    <cellStyle name="Millares 5 3 7 4" xfId="20236" xr:uid="{00000000-0005-0000-0000-000085120000}"/>
    <cellStyle name="Millares 5 3 8" xfId="3186" xr:uid="{00000000-0005-0000-0000-000086120000}"/>
    <cellStyle name="Millares 5 3 8 2" xfId="7746" xr:uid="{00000000-0005-0000-0000-000087120000}"/>
    <cellStyle name="Millares 5 3 8 2 2" xfId="16842" xr:uid="{00000000-0005-0000-0000-000088120000}"/>
    <cellStyle name="Millares 5 3 8 2 2 2" xfId="35024" xr:uid="{00000000-0005-0000-0000-000089120000}"/>
    <cellStyle name="Millares 5 3 8 2 3" xfId="25934" xr:uid="{00000000-0005-0000-0000-00008A120000}"/>
    <cellStyle name="Millares 5 3 8 3" xfId="12302" xr:uid="{00000000-0005-0000-0000-00008B120000}"/>
    <cellStyle name="Millares 5 3 8 3 2" xfId="30484" xr:uid="{00000000-0005-0000-0000-00008C120000}"/>
    <cellStyle name="Millares 5 3 8 4" xfId="21394" xr:uid="{00000000-0005-0000-0000-00008D120000}"/>
    <cellStyle name="Millares 5 3 9" xfId="4836" xr:uid="{00000000-0005-0000-0000-00008E120000}"/>
    <cellStyle name="Millares 5 3 9 2" xfId="13936" xr:uid="{00000000-0005-0000-0000-00008F120000}"/>
    <cellStyle name="Millares 5 3 9 2 2" xfId="32118" xr:uid="{00000000-0005-0000-0000-000090120000}"/>
    <cellStyle name="Millares 5 3 9 3" xfId="23028" xr:uid="{00000000-0005-0000-0000-000091120000}"/>
    <cellStyle name="Millares 5 4" xfId="453" xr:uid="{00000000-0005-0000-0000-000092120000}"/>
    <cellStyle name="Millares 5 4 10" xfId="18761" xr:uid="{00000000-0005-0000-0000-000093120000}"/>
    <cellStyle name="Millares 5 4 2" xfId="454" xr:uid="{00000000-0005-0000-0000-000094120000}"/>
    <cellStyle name="Millares 5 4 2 2" xfId="455" xr:uid="{00000000-0005-0000-0000-000095120000}"/>
    <cellStyle name="Millares 5 4 2 2 2" xfId="456" xr:uid="{00000000-0005-0000-0000-000096120000}"/>
    <cellStyle name="Millares 5 4 2 2 2 2" xfId="1984" xr:uid="{00000000-0005-0000-0000-000097120000}"/>
    <cellStyle name="Millares 5 4 2 2 2 2 2" xfId="6581" xr:uid="{00000000-0005-0000-0000-000098120000}"/>
    <cellStyle name="Millares 5 4 2 2 2 2 2 2" xfId="15681" xr:uid="{00000000-0005-0000-0000-000099120000}"/>
    <cellStyle name="Millares 5 4 2 2 2 2 2 2 2" xfId="33863" xr:uid="{00000000-0005-0000-0000-00009A120000}"/>
    <cellStyle name="Millares 5 4 2 2 2 2 2 3" xfId="24773" xr:uid="{00000000-0005-0000-0000-00009B120000}"/>
    <cellStyle name="Millares 5 4 2 2 2 2 3" xfId="11145" xr:uid="{00000000-0005-0000-0000-00009C120000}"/>
    <cellStyle name="Millares 5 4 2 2 2 2 3 2" xfId="29327" xr:uid="{00000000-0005-0000-0000-00009D120000}"/>
    <cellStyle name="Millares 5 4 2 2 2 2 4" xfId="20237" xr:uid="{00000000-0005-0000-0000-00009E120000}"/>
    <cellStyle name="Millares 5 4 2 2 2 3" xfId="3468" xr:uid="{00000000-0005-0000-0000-00009F120000}"/>
    <cellStyle name="Millares 5 4 2 2 2 3 2" xfId="8024" xr:uid="{00000000-0005-0000-0000-0000A0120000}"/>
    <cellStyle name="Millares 5 4 2 2 2 3 2 2" xfId="17120" xr:uid="{00000000-0005-0000-0000-0000A1120000}"/>
    <cellStyle name="Millares 5 4 2 2 2 3 2 2 2" xfId="35302" xr:uid="{00000000-0005-0000-0000-0000A2120000}"/>
    <cellStyle name="Millares 5 4 2 2 2 3 2 3" xfId="26212" xr:uid="{00000000-0005-0000-0000-0000A3120000}"/>
    <cellStyle name="Millares 5 4 2 2 2 3 3" xfId="12580" xr:uid="{00000000-0005-0000-0000-0000A4120000}"/>
    <cellStyle name="Millares 5 4 2 2 2 3 3 2" xfId="30762" xr:uid="{00000000-0005-0000-0000-0000A5120000}"/>
    <cellStyle name="Millares 5 4 2 2 2 3 4" xfId="21672" xr:uid="{00000000-0005-0000-0000-0000A6120000}"/>
    <cellStyle name="Millares 5 4 2 2 2 4" xfId="5107" xr:uid="{00000000-0005-0000-0000-0000A7120000}"/>
    <cellStyle name="Millares 5 4 2 2 2 4 2" xfId="14207" xr:uid="{00000000-0005-0000-0000-0000A8120000}"/>
    <cellStyle name="Millares 5 4 2 2 2 4 2 2" xfId="32389" xr:uid="{00000000-0005-0000-0000-0000A9120000}"/>
    <cellStyle name="Millares 5 4 2 2 2 4 3" xfId="23299" xr:uid="{00000000-0005-0000-0000-0000AA120000}"/>
    <cellStyle name="Millares 5 4 2 2 2 5" xfId="9673" xr:uid="{00000000-0005-0000-0000-0000AB120000}"/>
    <cellStyle name="Millares 5 4 2 2 2 5 2" xfId="27855" xr:uid="{00000000-0005-0000-0000-0000AC120000}"/>
    <cellStyle name="Millares 5 4 2 2 2 6" xfId="18764" xr:uid="{00000000-0005-0000-0000-0000AD120000}"/>
    <cellStyle name="Millares 5 4 2 2 3" xfId="1985" xr:uid="{00000000-0005-0000-0000-0000AE120000}"/>
    <cellStyle name="Millares 5 4 2 2 3 2" xfId="6582" xr:uid="{00000000-0005-0000-0000-0000AF120000}"/>
    <cellStyle name="Millares 5 4 2 2 3 2 2" xfId="15682" xr:uid="{00000000-0005-0000-0000-0000B0120000}"/>
    <cellStyle name="Millares 5 4 2 2 3 2 2 2" xfId="33864" xr:uid="{00000000-0005-0000-0000-0000B1120000}"/>
    <cellStyle name="Millares 5 4 2 2 3 2 3" xfId="24774" xr:uid="{00000000-0005-0000-0000-0000B2120000}"/>
    <cellStyle name="Millares 5 4 2 2 3 3" xfId="11146" xr:uid="{00000000-0005-0000-0000-0000B3120000}"/>
    <cellStyle name="Millares 5 4 2 2 3 3 2" xfId="29328" xr:uid="{00000000-0005-0000-0000-0000B4120000}"/>
    <cellStyle name="Millares 5 4 2 2 3 4" xfId="20238" xr:uid="{00000000-0005-0000-0000-0000B5120000}"/>
    <cellStyle name="Millares 5 4 2 2 4" xfId="3467" xr:uid="{00000000-0005-0000-0000-0000B6120000}"/>
    <cellStyle name="Millares 5 4 2 2 4 2" xfId="8023" xr:uid="{00000000-0005-0000-0000-0000B7120000}"/>
    <cellStyle name="Millares 5 4 2 2 4 2 2" xfId="17119" xr:uid="{00000000-0005-0000-0000-0000B8120000}"/>
    <cellStyle name="Millares 5 4 2 2 4 2 2 2" xfId="35301" xr:uid="{00000000-0005-0000-0000-0000B9120000}"/>
    <cellStyle name="Millares 5 4 2 2 4 2 3" xfId="26211" xr:uid="{00000000-0005-0000-0000-0000BA120000}"/>
    <cellStyle name="Millares 5 4 2 2 4 3" xfId="12579" xr:uid="{00000000-0005-0000-0000-0000BB120000}"/>
    <cellStyle name="Millares 5 4 2 2 4 3 2" xfId="30761" xr:uid="{00000000-0005-0000-0000-0000BC120000}"/>
    <cellStyle name="Millares 5 4 2 2 4 4" xfId="21671" xr:uid="{00000000-0005-0000-0000-0000BD120000}"/>
    <cellStyle name="Millares 5 4 2 2 5" xfId="5106" xr:uid="{00000000-0005-0000-0000-0000BE120000}"/>
    <cellStyle name="Millares 5 4 2 2 5 2" xfId="14206" xr:uid="{00000000-0005-0000-0000-0000BF120000}"/>
    <cellStyle name="Millares 5 4 2 2 5 2 2" xfId="32388" xr:uid="{00000000-0005-0000-0000-0000C0120000}"/>
    <cellStyle name="Millares 5 4 2 2 5 3" xfId="23298" xr:uid="{00000000-0005-0000-0000-0000C1120000}"/>
    <cellStyle name="Millares 5 4 2 2 6" xfId="9672" xr:uid="{00000000-0005-0000-0000-0000C2120000}"/>
    <cellStyle name="Millares 5 4 2 2 6 2" xfId="27854" xr:uid="{00000000-0005-0000-0000-0000C3120000}"/>
    <cellStyle name="Millares 5 4 2 2 7" xfId="18763" xr:uid="{00000000-0005-0000-0000-0000C4120000}"/>
    <cellStyle name="Millares 5 4 2 3" xfId="457" xr:uid="{00000000-0005-0000-0000-0000C5120000}"/>
    <cellStyle name="Millares 5 4 2 3 2" xfId="1986" xr:uid="{00000000-0005-0000-0000-0000C6120000}"/>
    <cellStyle name="Millares 5 4 2 3 2 2" xfId="6583" xr:uid="{00000000-0005-0000-0000-0000C7120000}"/>
    <cellStyle name="Millares 5 4 2 3 2 2 2" xfId="15683" xr:uid="{00000000-0005-0000-0000-0000C8120000}"/>
    <cellStyle name="Millares 5 4 2 3 2 2 2 2" xfId="33865" xr:uid="{00000000-0005-0000-0000-0000C9120000}"/>
    <cellStyle name="Millares 5 4 2 3 2 2 3" xfId="24775" xr:uid="{00000000-0005-0000-0000-0000CA120000}"/>
    <cellStyle name="Millares 5 4 2 3 2 3" xfId="11147" xr:uid="{00000000-0005-0000-0000-0000CB120000}"/>
    <cellStyle name="Millares 5 4 2 3 2 3 2" xfId="29329" xr:uid="{00000000-0005-0000-0000-0000CC120000}"/>
    <cellStyle name="Millares 5 4 2 3 2 4" xfId="20239" xr:uid="{00000000-0005-0000-0000-0000CD120000}"/>
    <cellStyle name="Millares 5 4 2 3 3" xfId="3469" xr:uid="{00000000-0005-0000-0000-0000CE120000}"/>
    <cellStyle name="Millares 5 4 2 3 3 2" xfId="8025" xr:uid="{00000000-0005-0000-0000-0000CF120000}"/>
    <cellStyle name="Millares 5 4 2 3 3 2 2" xfId="17121" xr:uid="{00000000-0005-0000-0000-0000D0120000}"/>
    <cellStyle name="Millares 5 4 2 3 3 2 2 2" xfId="35303" xr:uid="{00000000-0005-0000-0000-0000D1120000}"/>
    <cellStyle name="Millares 5 4 2 3 3 2 3" xfId="26213" xr:uid="{00000000-0005-0000-0000-0000D2120000}"/>
    <cellStyle name="Millares 5 4 2 3 3 3" xfId="12581" xr:uid="{00000000-0005-0000-0000-0000D3120000}"/>
    <cellStyle name="Millares 5 4 2 3 3 3 2" xfId="30763" xr:uid="{00000000-0005-0000-0000-0000D4120000}"/>
    <cellStyle name="Millares 5 4 2 3 3 4" xfId="21673" xr:uid="{00000000-0005-0000-0000-0000D5120000}"/>
    <cellStyle name="Millares 5 4 2 3 4" xfId="5108" xr:uid="{00000000-0005-0000-0000-0000D6120000}"/>
    <cellStyle name="Millares 5 4 2 3 4 2" xfId="14208" xr:uid="{00000000-0005-0000-0000-0000D7120000}"/>
    <cellStyle name="Millares 5 4 2 3 4 2 2" xfId="32390" xr:uid="{00000000-0005-0000-0000-0000D8120000}"/>
    <cellStyle name="Millares 5 4 2 3 4 3" xfId="23300" xr:uid="{00000000-0005-0000-0000-0000D9120000}"/>
    <cellStyle name="Millares 5 4 2 3 5" xfId="9674" xr:uid="{00000000-0005-0000-0000-0000DA120000}"/>
    <cellStyle name="Millares 5 4 2 3 5 2" xfId="27856" xr:uid="{00000000-0005-0000-0000-0000DB120000}"/>
    <cellStyle name="Millares 5 4 2 3 6" xfId="18765" xr:uid="{00000000-0005-0000-0000-0000DC120000}"/>
    <cellStyle name="Millares 5 4 2 4" xfId="458" xr:uid="{00000000-0005-0000-0000-0000DD120000}"/>
    <cellStyle name="Millares 5 4 2 4 2" xfId="3470" xr:uid="{00000000-0005-0000-0000-0000DE120000}"/>
    <cellStyle name="Millares 5 4 2 4 2 2" xfId="8026" xr:uid="{00000000-0005-0000-0000-0000DF120000}"/>
    <cellStyle name="Millares 5 4 2 4 2 2 2" xfId="17122" xr:uid="{00000000-0005-0000-0000-0000E0120000}"/>
    <cellStyle name="Millares 5 4 2 4 2 2 2 2" xfId="35304" xr:uid="{00000000-0005-0000-0000-0000E1120000}"/>
    <cellStyle name="Millares 5 4 2 4 2 2 3" xfId="26214" xr:uid="{00000000-0005-0000-0000-0000E2120000}"/>
    <cellStyle name="Millares 5 4 2 4 2 3" xfId="12582" xr:uid="{00000000-0005-0000-0000-0000E3120000}"/>
    <cellStyle name="Millares 5 4 2 4 2 3 2" xfId="30764" xr:uid="{00000000-0005-0000-0000-0000E4120000}"/>
    <cellStyle name="Millares 5 4 2 4 2 4" xfId="21674" xr:uid="{00000000-0005-0000-0000-0000E5120000}"/>
    <cellStyle name="Millares 5 4 2 4 3" xfId="5109" xr:uid="{00000000-0005-0000-0000-0000E6120000}"/>
    <cellStyle name="Millares 5 4 2 4 3 2" xfId="14209" xr:uid="{00000000-0005-0000-0000-0000E7120000}"/>
    <cellStyle name="Millares 5 4 2 4 3 2 2" xfId="32391" xr:uid="{00000000-0005-0000-0000-0000E8120000}"/>
    <cellStyle name="Millares 5 4 2 4 3 3" xfId="23301" xr:uid="{00000000-0005-0000-0000-0000E9120000}"/>
    <cellStyle name="Millares 5 4 2 4 4" xfId="9675" xr:uid="{00000000-0005-0000-0000-0000EA120000}"/>
    <cellStyle name="Millares 5 4 2 4 4 2" xfId="27857" xr:uid="{00000000-0005-0000-0000-0000EB120000}"/>
    <cellStyle name="Millares 5 4 2 4 5" xfId="18766" xr:uid="{00000000-0005-0000-0000-0000EC120000}"/>
    <cellStyle name="Millares 5 4 2 5" xfId="1987" xr:uid="{00000000-0005-0000-0000-0000ED120000}"/>
    <cellStyle name="Millares 5 4 2 6" xfId="3466" xr:uid="{00000000-0005-0000-0000-0000EE120000}"/>
    <cellStyle name="Millares 5 4 2 6 2" xfId="8022" xr:uid="{00000000-0005-0000-0000-0000EF120000}"/>
    <cellStyle name="Millares 5 4 2 6 2 2" xfId="17118" xr:uid="{00000000-0005-0000-0000-0000F0120000}"/>
    <cellStyle name="Millares 5 4 2 6 2 2 2" xfId="35300" xr:uid="{00000000-0005-0000-0000-0000F1120000}"/>
    <cellStyle name="Millares 5 4 2 6 2 3" xfId="26210" xr:uid="{00000000-0005-0000-0000-0000F2120000}"/>
    <cellStyle name="Millares 5 4 2 6 3" xfId="12578" xr:uid="{00000000-0005-0000-0000-0000F3120000}"/>
    <cellStyle name="Millares 5 4 2 6 3 2" xfId="30760" xr:uid="{00000000-0005-0000-0000-0000F4120000}"/>
    <cellStyle name="Millares 5 4 2 6 4" xfId="21670" xr:uid="{00000000-0005-0000-0000-0000F5120000}"/>
    <cellStyle name="Millares 5 4 2 7" xfId="5105" xr:uid="{00000000-0005-0000-0000-0000F6120000}"/>
    <cellStyle name="Millares 5 4 2 7 2" xfId="14205" xr:uid="{00000000-0005-0000-0000-0000F7120000}"/>
    <cellStyle name="Millares 5 4 2 7 2 2" xfId="32387" xr:uid="{00000000-0005-0000-0000-0000F8120000}"/>
    <cellStyle name="Millares 5 4 2 7 3" xfId="23297" xr:uid="{00000000-0005-0000-0000-0000F9120000}"/>
    <cellStyle name="Millares 5 4 2 8" xfId="9671" xr:uid="{00000000-0005-0000-0000-0000FA120000}"/>
    <cellStyle name="Millares 5 4 2 8 2" xfId="27853" xr:uid="{00000000-0005-0000-0000-0000FB120000}"/>
    <cellStyle name="Millares 5 4 2 9" xfId="18762" xr:uid="{00000000-0005-0000-0000-0000FC120000}"/>
    <cellStyle name="Millares 5 4 3" xfId="459" xr:uid="{00000000-0005-0000-0000-0000FD120000}"/>
    <cellStyle name="Millares 5 4 3 2" xfId="460" xr:uid="{00000000-0005-0000-0000-0000FE120000}"/>
    <cellStyle name="Millares 5 4 3 2 2" xfId="1988" xr:uid="{00000000-0005-0000-0000-0000FF120000}"/>
    <cellStyle name="Millares 5 4 3 2 2 2" xfId="6584" xr:uid="{00000000-0005-0000-0000-000000130000}"/>
    <cellStyle name="Millares 5 4 3 2 2 2 2" xfId="15684" xr:uid="{00000000-0005-0000-0000-000001130000}"/>
    <cellStyle name="Millares 5 4 3 2 2 2 2 2" xfId="33866" xr:uid="{00000000-0005-0000-0000-000002130000}"/>
    <cellStyle name="Millares 5 4 3 2 2 2 3" xfId="24776" xr:uid="{00000000-0005-0000-0000-000003130000}"/>
    <cellStyle name="Millares 5 4 3 2 2 3" xfId="11148" xr:uid="{00000000-0005-0000-0000-000004130000}"/>
    <cellStyle name="Millares 5 4 3 2 2 3 2" xfId="29330" xr:uid="{00000000-0005-0000-0000-000005130000}"/>
    <cellStyle name="Millares 5 4 3 2 2 4" xfId="20240" xr:uid="{00000000-0005-0000-0000-000006130000}"/>
    <cellStyle name="Millares 5 4 3 2 3" xfId="3472" xr:uid="{00000000-0005-0000-0000-000007130000}"/>
    <cellStyle name="Millares 5 4 3 2 3 2" xfId="8028" xr:uid="{00000000-0005-0000-0000-000008130000}"/>
    <cellStyle name="Millares 5 4 3 2 3 2 2" xfId="17124" xr:uid="{00000000-0005-0000-0000-000009130000}"/>
    <cellStyle name="Millares 5 4 3 2 3 2 2 2" xfId="35306" xr:uid="{00000000-0005-0000-0000-00000A130000}"/>
    <cellStyle name="Millares 5 4 3 2 3 2 3" xfId="26216" xr:uid="{00000000-0005-0000-0000-00000B130000}"/>
    <cellStyle name="Millares 5 4 3 2 3 3" xfId="12584" xr:uid="{00000000-0005-0000-0000-00000C130000}"/>
    <cellStyle name="Millares 5 4 3 2 3 3 2" xfId="30766" xr:uid="{00000000-0005-0000-0000-00000D130000}"/>
    <cellStyle name="Millares 5 4 3 2 3 4" xfId="21676" xr:uid="{00000000-0005-0000-0000-00000E130000}"/>
    <cellStyle name="Millares 5 4 3 2 4" xfId="5111" xr:uid="{00000000-0005-0000-0000-00000F130000}"/>
    <cellStyle name="Millares 5 4 3 2 4 2" xfId="14211" xr:uid="{00000000-0005-0000-0000-000010130000}"/>
    <cellStyle name="Millares 5 4 3 2 4 2 2" xfId="32393" xr:uid="{00000000-0005-0000-0000-000011130000}"/>
    <cellStyle name="Millares 5 4 3 2 4 3" xfId="23303" xr:uid="{00000000-0005-0000-0000-000012130000}"/>
    <cellStyle name="Millares 5 4 3 2 5" xfId="9677" xr:uid="{00000000-0005-0000-0000-000013130000}"/>
    <cellStyle name="Millares 5 4 3 2 5 2" xfId="27859" xr:uid="{00000000-0005-0000-0000-000014130000}"/>
    <cellStyle name="Millares 5 4 3 2 6" xfId="18768" xr:uid="{00000000-0005-0000-0000-000015130000}"/>
    <cellStyle name="Millares 5 4 3 3" xfId="1989" xr:uid="{00000000-0005-0000-0000-000016130000}"/>
    <cellStyle name="Millares 5 4 3 3 2" xfId="6585" xr:uid="{00000000-0005-0000-0000-000017130000}"/>
    <cellStyle name="Millares 5 4 3 3 2 2" xfId="15685" xr:uid="{00000000-0005-0000-0000-000018130000}"/>
    <cellStyle name="Millares 5 4 3 3 2 2 2" xfId="33867" xr:uid="{00000000-0005-0000-0000-000019130000}"/>
    <cellStyle name="Millares 5 4 3 3 2 3" xfId="24777" xr:uid="{00000000-0005-0000-0000-00001A130000}"/>
    <cellStyle name="Millares 5 4 3 3 3" xfId="11149" xr:uid="{00000000-0005-0000-0000-00001B130000}"/>
    <cellStyle name="Millares 5 4 3 3 3 2" xfId="29331" xr:uid="{00000000-0005-0000-0000-00001C130000}"/>
    <cellStyle name="Millares 5 4 3 3 4" xfId="20241" xr:uid="{00000000-0005-0000-0000-00001D130000}"/>
    <cellStyle name="Millares 5 4 3 4" xfId="3471" xr:uid="{00000000-0005-0000-0000-00001E130000}"/>
    <cellStyle name="Millares 5 4 3 4 2" xfId="8027" xr:uid="{00000000-0005-0000-0000-00001F130000}"/>
    <cellStyle name="Millares 5 4 3 4 2 2" xfId="17123" xr:uid="{00000000-0005-0000-0000-000020130000}"/>
    <cellStyle name="Millares 5 4 3 4 2 2 2" xfId="35305" xr:uid="{00000000-0005-0000-0000-000021130000}"/>
    <cellStyle name="Millares 5 4 3 4 2 3" xfId="26215" xr:uid="{00000000-0005-0000-0000-000022130000}"/>
    <cellStyle name="Millares 5 4 3 4 3" xfId="12583" xr:uid="{00000000-0005-0000-0000-000023130000}"/>
    <cellStyle name="Millares 5 4 3 4 3 2" xfId="30765" xr:uid="{00000000-0005-0000-0000-000024130000}"/>
    <cellStyle name="Millares 5 4 3 4 4" xfId="21675" xr:uid="{00000000-0005-0000-0000-000025130000}"/>
    <cellStyle name="Millares 5 4 3 5" xfId="5110" xr:uid="{00000000-0005-0000-0000-000026130000}"/>
    <cellStyle name="Millares 5 4 3 5 2" xfId="14210" xr:uid="{00000000-0005-0000-0000-000027130000}"/>
    <cellStyle name="Millares 5 4 3 5 2 2" xfId="32392" xr:uid="{00000000-0005-0000-0000-000028130000}"/>
    <cellStyle name="Millares 5 4 3 5 3" xfId="23302" xr:uid="{00000000-0005-0000-0000-000029130000}"/>
    <cellStyle name="Millares 5 4 3 6" xfId="9676" xr:uid="{00000000-0005-0000-0000-00002A130000}"/>
    <cellStyle name="Millares 5 4 3 6 2" xfId="27858" xr:uid="{00000000-0005-0000-0000-00002B130000}"/>
    <cellStyle name="Millares 5 4 3 7" xfId="18767" xr:uid="{00000000-0005-0000-0000-00002C130000}"/>
    <cellStyle name="Millares 5 4 4" xfId="461" xr:uid="{00000000-0005-0000-0000-00002D130000}"/>
    <cellStyle name="Millares 5 4 4 2" xfId="1990" xr:uid="{00000000-0005-0000-0000-00002E130000}"/>
    <cellStyle name="Millares 5 4 4 2 2" xfId="6586" xr:uid="{00000000-0005-0000-0000-00002F130000}"/>
    <cellStyle name="Millares 5 4 4 2 2 2" xfId="15686" xr:uid="{00000000-0005-0000-0000-000030130000}"/>
    <cellStyle name="Millares 5 4 4 2 2 2 2" xfId="33868" xr:uid="{00000000-0005-0000-0000-000031130000}"/>
    <cellStyle name="Millares 5 4 4 2 2 3" xfId="24778" xr:uid="{00000000-0005-0000-0000-000032130000}"/>
    <cellStyle name="Millares 5 4 4 2 3" xfId="11150" xr:uid="{00000000-0005-0000-0000-000033130000}"/>
    <cellStyle name="Millares 5 4 4 2 3 2" xfId="29332" xr:uid="{00000000-0005-0000-0000-000034130000}"/>
    <cellStyle name="Millares 5 4 4 2 4" xfId="20242" xr:uid="{00000000-0005-0000-0000-000035130000}"/>
    <cellStyle name="Millares 5 4 4 3" xfId="3473" xr:uid="{00000000-0005-0000-0000-000036130000}"/>
    <cellStyle name="Millares 5 4 4 3 2" xfId="8029" xr:uid="{00000000-0005-0000-0000-000037130000}"/>
    <cellStyle name="Millares 5 4 4 3 2 2" xfId="17125" xr:uid="{00000000-0005-0000-0000-000038130000}"/>
    <cellStyle name="Millares 5 4 4 3 2 2 2" xfId="35307" xr:uid="{00000000-0005-0000-0000-000039130000}"/>
    <cellStyle name="Millares 5 4 4 3 2 3" xfId="26217" xr:uid="{00000000-0005-0000-0000-00003A130000}"/>
    <cellStyle name="Millares 5 4 4 3 3" xfId="12585" xr:uid="{00000000-0005-0000-0000-00003B130000}"/>
    <cellStyle name="Millares 5 4 4 3 3 2" xfId="30767" xr:uid="{00000000-0005-0000-0000-00003C130000}"/>
    <cellStyle name="Millares 5 4 4 3 4" xfId="21677" xr:uid="{00000000-0005-0000-0000-00003D130000}"/>
    <cellStyle name="Millares 5 4 4 4" xfId="5112" xr:uid="{00000000-0005-0000-0000-00003E130000}"/>
    <cellStyle name="Millares 5 4 4 4 2" xfId="14212" xr:uid="{00000000-0005-0000-0000-00003F130000}"/>
    <cellStyle name="Millares 5 4 4 4 2 2" xfId="32394" xr:uid="{00000000-0005-0000-0000-000040130000}"/>
    <cellStyle name="Millares 5 4 4 4 3" xfId="23304" xr:uid="{00000000-0005-0000-0000-000041130000}"/>
    <cellStyle name="Millares 5 4 4 5" xfId="9678" xr:uid="{00000000-0005-0000-0000-000042130000}"/>
    <cellStyle name="Millares 5 4 4 5 2" xfId="27860" xr:uid="{00000000-0005-0000-0000-000043130000}"/>
    <cellStyle name="Millares 5 4 4 6" xfId="18769" xr:uid="{00000000-0005-0000-0000-000044130000}"/>
    <cellStyle name="Millares 5 4 5" xfId="462" xr:uid="{00000000-0005-0000-0000-000045130000}"/>
    <cellStyle name="Millares 5 4 5 2" xfId="3474" xr:uid="{00000000-0005-0000-0000-000046130000}"/>
    <cellStyle name="Millares 5 4 5 2 2" xfId="8030" xr:uid="{00000000-0005-0000-0000-000047130000}"/>
    <cellStyle name="Millares 5 4 5 2 2 2" xfId="17126" xr:uid="{00000000-0005-0000-0000-000048130000}"/>
    <cellStyle name="Millares 5 4 5 2 2 2 2" xfId="35308" xr:uid="{00000000-0005-0000-0000-000049130000}"/>
    <cellStyle name="Millares 5 4 5 2 2 3" xfId="26218" xr:uid="{00000000-0005-0000-0000-00004A130000}"/>
    <cellStyle name="Millares 5 4 5 2 3" xfId="12586" xr:uid="{00000000-0005-0000-0000-00004B130000}"/>
    <cellStyle name="Millares 5 4 5 2 3 2" xfId="30768" xr:uid="{00000000-0005-0000-0000-00004C130000}"/>
    <cellStyle name="Millares 5 4 5 2 4" xfId="21678" xr:uid="{00000000-0005-0000-0000-00004D130000}"/>
    <cellStyle name="Millares 5 4 5 3" xfId="5113" xr:uid="{00000000-0005-0000-0000-00004E130000}"/>
    <cellStyle name="Millares 5 4 5 3 2" xfId="14213" xr:uid="{00000000-0005-0000-0000-00004F130000}"/>
    <cellStyle name="Millares 5 4 5 3 2 2" xfId="32395" xr:uid="{00000000-0005-0000-0000-000050130000}"/>
    <cellStyle name="Millares 5 4 5 3 3" xfId="23305" xr:uid="{00000000-0005-0000-0000-000051130000}"/>
    <cellStyle name="Millares 5 4 5 4" xfId="9679" xr:uid="{00000000-0005-0000-0000-000052130000}"/>
    <cellStyle name="Millares 5 4 5 4 2" xfId="27861" xr:uid="{00000000-0005-0000-0000-000053130000}"/>
    <cellStyle name="Millares 5 4 5 5" xfId="18770" xr:uid="{00000000-0005-0000-0000-000054130000}"/>
    <cellStyle name="Millares 5 4 6" xfId="1991" xr:uid="{00000000-0005-0000-0000-000055130000}"/>
    <cellStyle name="Millares 5 4 6 2" xfId="6587" xr:uid="{00000000-0005-0000-0000-000056130000}"/>
    <cellStyle name="Millares 5 4 6 2 2" xfId="15687" xr:uid="{00000000-0005-0000-0000-000057130000}"/>
    <cellStyle name="Millares 5 4 6 2 2 2" xfId="33869" xr:uid="{00000000-0005-0000-0000-000058130000}"/>
    <cellStyle name="Millares 5 4 6 2 3" xfId="24779" xr:uid="{00000000-0005-0000-0000-000059130000}"/>
    <cellStyle name="Millares 5 4 6 3" xfId="11151" xr:uid="{00000000-0005-0000-0000-00005A130000}"/>
    <cellStyle name="Millares 5 4 6 3 2" xfId="29333" xr:uid="{00000000-0005-0000-0000-00005B130000}"/>
    <cellStyle name="Millares 5 4 6 4" xfId="20243" xr:uid="{00000000-0005-0000-0000-00005C130000}"/>
    <cellStyle name="Millares 5 4 7" xfId="3465" xr:uid="{00000000-0005-0000-0000-00005D130000}"/>
    <cellStyle name="Millares 5 4 7 2" xfId="8021" xr:uid="{00000000-0005-0000-0000-00005E130000}"/>
    <cellStyle name="Millares 5 4 7 2 2" xfId="17117" xr:uid="{00000000-0005-0000-0000-00005F130000}"/>
    <cellStyle name="Millares 5 4 7 2 2 2" xfId="35299" xr:uid="{00000000-0005-0000-0000-000060130000}"/>
    <cellStyle name="Millares 5 4 7 2 3" xfId="26209" xr:uid="{00000000-0005-0000-0000-000061130000}"/>
    <cellStyle name="Millares 5 4 7 3" xfId="12577" xr:uid="{00000000-0005-0000-0000-000062130000}"/>
    <cellStyle name="Millares 5 4 7 3 2" xfId="30759" xr:uid="{00000000-0005-0000-0000-000063130000}"/>
    <cellStyle name="Millares 5 4 7 4" xfId="21669" xr:uid="{00000000-0005-0000-0000-000064130000}"/>
    <cellStyle name="Millares 5 4 8" xfId="5104" xr:uid="{00000000-0005-0000-0000-000065130000}"/>
    <cellStyle name="Millares 5 4 8 2" xfId="14204" xr:uid="{00000000-0005-0000-0000-000066130000}"/>
    <cellStyle name="Millares 5 4 8 2 2" xfId="32386" xr:uid="{00000000-0005-0000-0000-000067130000}"/>
    <cellStyle name="Millares 5 4 8 3" xfId="23296" xr:uid="{00000000-0005-0000-0000-000068130000}"/>
    <cellStyle name="Millares 5 4 9" xfId="9670" xr:uid="{00000000-0005-0000-0000-000069130000}"/>
    <cellStyle name="Millares 5 4 9 2" xfId="27852" xr:uid="{00000000-0005-0000-0000-00006A130000}"/>
    <cellStyle name="Millares 5 5" xfId="463" xr:uid="{00000000-0005-0000-0000-00006B130000}"/>
    <cellStyle name="Millares 5 5 2" xfId="464" xr:uid="{00000000-0005-0000-0000-00006C130000}"/>
    <cellStyle name="Millares 5 5 2 2" xfId="465" xr:uid="{00000000-0005-0000-0000-00006D130000}"/>
    <cellStyle name="Millares 5 5 2 2 2" xfId="1992" xr:uid="{00000000-0005-0000-0000-00006E130000}"/>
    <cellStyle name="Millares 5 5 2 2 2 2" xfId="6588" xr:uid="{00000000-0005-0000-0000-00006F130000}"/>
    <cellStyle name="Millares 5 5 2 2 2 2 2" xfId="15688" xr:uid="{00000000-0005-0000-0000-000070130000}"/>
    <cellStyle name="Millares 5 5 2 2 2 2 2 2" xfId="33870" xr:uid="{00000000-0005-0000-0000-000071130000}"/>
    <cellStyle name="Millares 5 5 2 2 2 2 3" xfId="24780" xr:uid="{00000000-0005-0000-0000-000072130000}"/>
    <cellStyle name="Millares 5 5 2 2 2 3" xfId="11152" xr:uid="{00000000-0005-0000-0000-000073130000}"/>
    <cellStyle name="Millares 5 5 2 2 2 3 2" xfId="29334" xr:uid="{00000000-0005-0000-0000-000074130000}"/>
    <cellStyle name="Millares 5 5 2 2 2 4" xfId="20244" xr:uid="{00000000-0005-0000-0000-000075130000}"/>
    <cellStyle name="Millares 5 5 2 2 3" xfId="3477" xr:uid="{00000000-0005-0000-0000-000076130000}"/>
    <cellStyle name="Millares 5 5 2 2 3 2" xfId="8033" xr:uid="{00000000-0005-0000-0000-000077130000}"/>
    <cellStyle name="Millares 5 5 2 2 3 2 2" xfId="17129" xr:uid="{00000000-0005-0000-0000-000078130000}"/>
    <cellStyle name="Millares 5 5 2 2 3 2 2 2" xfId="35311" xr:uid="{00000000-0005-0000-0000-000079130000}"/>
    <cellStyle name="Millares 5 5 2 2 3 2 3" xfId="26221" xr:uid="{00000000-0005-0000-0000-00007A130000}"/>
    <cellStyle name="Millares 5 5 2 2 3 3" xfId="12589" xr:uid="{00000000-0005-0000-0000-00007B130000}"/>
    <cellStyle name="Millares 5 5 2 2 3 3 2" xfId="30771" xr:uid="{00000000-0005-0000-0000-00007C130000}"/>
    <cellStyle name="Millares 5 5 2 2 3 4" xfId="21681" xr:uid="{00000000-0005-0000-0000-00007D130000}"/>
    <cellStyle name="Millares 5 5 2 2 4" xfId="5116" xr:uid="{00000000-0005-0000-0000-00007E130000}"/>
    <cellStyle name="Millares 5 5 2 2 4 2" xfId="14216" xr:uid="{00000000-0005-0000-0000-00007F130000}"/>
    <cellStyle name="Millares 5 5 2 2 4 2 2" xfId="32398" xr:uid="{00000000-0005-0000-0000-000080130000}"/>
    <cellStyle name="Millares 5 5 2 2 4 3" xfId="23308" xr:uid="{00000000-0005-0000-0000-000081130000}"/>
    <cellStyle name="Millares 5 5 2 2 5" xfId="9682" xr:uid="{00000000-0005-0000-0000-000082130000}"/>
    <cellStyle name="Millares 5 5 2 2 5 2" xfId="27864" xr:uid="{00000000-0005-0000-0000-000083130000}"/>
    <cellStyle name="Millares 5 5 2 2 6" xfId="18773" xr:uid="{00000000-0005-0000-0000-000084130000}"/>
    <cellStyle name="Millares 5 5 2 3" xfId="1993" xr:uid="{00000000-0005-0000-0000-000085130000}"/>
    <cellStyle name="Millares 5 5 2 3 2" xfId="6589" xr:uid="{00000000-0005-0000-0000-000086130000}"/>
    <cellStyle name="Millares 5 5 2 3 2 2" xfId="15689" xr:uid="{00000000-0005-0000-0000-000087130000}"/>
    <cellStyle name="Millares 5 5 2 3 2 2 2" xfId="33871" xr:uid="{00000000-0005-0000-0000-000088130000}"/>
    <cellStyle name="Millares 5 5 2 3 2 3" xfId="24781" xr:uid="{00000000-0005-0000-0000-000089130000}"/>
    <cellStyle name="Millares 5 5 2 3 3" xfId="11153" xr:uid="{00000000-0005-0000-0000-00008A130000}"/>
    <cellStyle name="Millares 5 5 2 3 3 2" xfId="29335" xr:uid="{00000000-0005-0000-0000-00008B130000}"/>
    <cellStyle name="Millares 5 5 2 3 4" xfId="20245" xr:uid="{00000000-0005-0000-0000-00008C130000}"/>
    <cellStyle name="Millares 5 5 2 4" xfId="3476" xr:uid="{00000000-0005-0000-0000-00008D130000}"/>
    <cellStyle name="Millares 5 5 2 4 2" xfId="8032" xr:uid="{00000000-0005-0000-0000-00008E130000}"/>
    <cellStyle name="Millares 5 5 2 4 2 2" xfId="17128" xr:uid="{00000000-0005-0000-0000-00008F130000}"/>
    <cellStyle name="Millares 5 5 2 4 2 2 2" xfId="35310" xr:uid="{00000000-0005-0000-0000-000090130000}"/>
    <cellStyle name="Millares 5 5 2 4 2 3" xfId="26220" xr:uid="{00000000-0005-0000-0000-000091130000}"/>
    <cellStyle name="Millares 5 5 2 4 3" xfId="12588" xr:uid="{00000000-0005-0000-0000-000092130000}"/>
    <cellStyle name="Millares 5 5 2 4 3 2" xfId="30770" xr:uid="{00000000-0005-0000-0000-000093130000}"/>
    <cellStyle name="Millares 5 5 2 4 4" xfId="21680" xr:uid="{00000000-0005-0000-0000-000094130000}"/>
    <cellStyle name="Millares 5 5 2 5" xfId="5115" xr:uid="{00000000-0005-0000-0000-000095130000}"/>
    <cellStyle name="Millares 5 5 2 5 2" xfId="14215" xr:uid="{00000000-0005-0000-0000-000096130000}"/>
    <cellStyle name="Millares 5 5 2 5 2 2" xfId="32397" xr:uid="{00000000-0005-0000-0000-000097130000}"/>
    <cellStyle name="Millares 5 5 2 5 3" xfId="23307" xr:uid="{00000000-0005-0000-0000-000098130000}"/>
    <cellStyle name="Millares 5 5 2 6" xfId="9681" xr:uid="{00000000-0005-0000-0000-000099130000}"/>
    <cellStyle name="Millares 5 5 2 6 2" xfId="27863" xr:uid="{00000000-0005-0000-0000-00009A130000}"/>
    <cellStyle name="Millares 5 5 2 7" xfId="18772" xr:uid="{00000000-0005-0000-0000-00009B130000}"/>
    <cellStyle name="Millares 5 5 3" xfId="466" xr:uid="{00000000-0005-0000-0000-00009C130000}"/>
    <cellStyle name="Millares 5 5 3 2" xfId="1994" xr:uid="{00000000-0005-0000-0000-00009D130000}"/>
    <cellStyle name="Millares 5 5 3 2 2" xfId="6590" xr:uid="{00000000-0005-0000-0000-00009E130000}"/>
    <cellStyle name="Millares 5 5 3 2 2 2" xfId="15690" xr:uid="{00000000-0005-0000-0000-00009F130000}"/>
    <cellStyle name="Millares 5 5 3 2 2 2 2" xfId="33872" xr:uid="{00000000-0005-0000-0000-0000A0130000}"/>
    <cellStyle name="Millares 5 5 3 2 2 3" xfId="24782" xr:uid="{00000000-0005-0000-0000-0000A1130000}"/>
    <cellStyle name="Millares 5 5 3 2 3" xfId="11154" xr:uid="{00000000-0005-0000-0000-0000A2130000}"/>
    <cellStyle name="Millares 5 5 3 2 3 2" xfId="29336" xr:uid="{00000000-0005-0000-0000-0000A3130000}"/>
    <cellStyle name="Millares 5 5 3 2 4" xfId="20246" xr:uid="{00000000-0005-0000-0000-0000A4130000}"/>
    <cellStyle name="Millares 5 5 3 3" xfId="3478" xr:uid="{00000000-0005-0000-0000-0000A5130000}"/>
    <cellStyle name="Millares 5 5 3 3 2" xfId="8034" xr:uid="{00000000-0005-0000-0000-0000A6130000}"/>
    <cellStyle name="Millares 5 5 3 3 2 2" xfId="17130" xr:uid="{00000000-0005-0000-0000-0000A7130000}"/>
    <cellStyle name="Millares 5 5 3 3 2 2 2" xfId="35312" xr:uid="{00000000-0005-0000-0000-0000A8130000}"/>
    <cellStyle name="Millares 5 5 3 3 2 3" xfId="26222" xr:uid="{00000000-0005-0000-0000-0000A9130000}"/>
    <cellStyle name="Millares 5 5 3 3 3" xfId="12590" xr:uid="{00000000-0005-0000-0000-0000AA130000}"/>
    <cellStyle name="Millares 5 5 3 3 3 2" xfId="30772" xr:uid="{00000000-0005-0000-0000-0000AB130000}"/>
    <cellStyle name="Millares 5 5 3 3 4" xfId="21682" xr:uid="{00000000-0005-0000-0000-0000AC130000}"/>
    <cellStyle name="Millares 5 5 3 4" xfId="5117" xr:uid="{00000000-0005-0000-0000-0000AD130000}"/>
    <cellStyle name="Millares 5 5 3 4 2" xfId="14217" xr:uid="{00000000-0005-0000-0000-0000AE130000}"/>
    <cellStyle name="Millares 5 5 3 4 2 2" xfId="32399" xr:uid="{00000000-0005-0000-0000-0000AF130000}"/>
    <cellStyle name="Millares 5 5 3 4 3" xfId="23309" xr:uid="{00000000-0005-0000-0000-0000B0130000}"/>
    <cellStyle name="Millares 5 5 3 5" xfId="9683" xr:uid="{00000000-0005-0000-0000-0000B1130000}"/>
    <cellStyle name="Millares 5 5 3 5 2" xfId="27865" xr:uid="{00000000-0005-0000-0000-0000B2130000}"/>
    <cellStyle name="Millares 5 5 3 6" xfId="18774" xr:uid="{00000000-0005-0000-0000-0000B3130000}"/>
    <cellStyle name="Millares 5 5 4" xfId="467" xr:uid="{00000000-0005-0000-0000-0000B4130000}"/>
    <cellStyle name="Millares 5 5 4 2" xfId="3479" xr:uid="{00000000-0005-0000-0000-0000B5130000}"/>
    <cellStyle name="Millares 5 5 4 2 2" xfId="8035" xr:uid="{00000000-0005-0000-0000-0000B6130000}"/>
    <cellStyle name="Millares 5 5 4 2 2 2" xfId="17131" xr:uid="{00000000-0005-0000-0000-0000B7130000}"/>
    <cellStyle name="Millares 5 5 4 2 2 2 2" xfId="35313" xr:uid="{00000000-0005-0000-0000-0000B8130000}"/>
    <cellStyle name="Millares 5 5 4 2 2 3" xfId="26223" xr:uid="{00000000-0005-0000-0000-0000B9130000}"/>
    <cellStyle name="Millares 5 5 4 2 3" xfId="12591" xr:uid="{00000000-0005-0000-0000-0000BA130000}"/>
    <cellStyle name="Millares 5 5 4 2 3 2" xfId="30773" xr:uid="{00000000-0005-0000-0000-0000BB130000}"/>
    <cellStyle name="Millares 5 5 4 2 4" xfId="21683" xr:uid="{00000000-0005-0000-0000-0000BC130000}"/>
    <cellStyle name="Millares 5 5 4 3" xfId="5118" xr:uid="{00000000-0005-0000-0000-0000BD130000}"/>
    <cellStyle name="Millares 5 5 4 3 2" xfId="14218" xr:uid="{00000000-0005-0000-0000-0000BE130000}"/>
    <cellStyle name="Millares 5 5 4 3 2 2" xfId="32400" xr:uid="{00000000-0005-0000-0000-0000BF130000}"/>
    <cellStyle name="Millares 5 5 4 3 3" xfId="23310" xr:uid="{00000000-0005-0000-0000-0000C0130000}"/>
    <cellStyle name="Millares 5 5 4 4" xfId="9684" xr:uid="{00000000-0005-0000-0000-0000C1130000}"/>
    <cellStyle name="Millares 5 5 4 4 2" xfId="27866" xr:uid="{00000000-0005-0000-0000-0000C2130000}"/>
    <cellStyle name="Millares 5 5 4 5" xfId="18775" xr:uid="{00000000-0005-0000-0000-0000C3130000}"/>
    <cellStyle name="Millares 5 5 5" xfId="1995" xr:uid="{00000000-0005-0000-0000-0000C4130000}"/>
    <cellStyle name="Millares 5 5 6" xfId="3475" xr:uid="{00000000-0005-0000-0000-0000C5130000}"/>
    <cellStyle name="Millares 5 5 6 2" xfId="8031" xr:uid="{00000000-0005-0000-0000-0000C6130000}"/>
    <cellStyle name="Millares 5 5 6 2 2" xfId="17127" xr:uid="{00000000-0005-0000-0000-0000C7130000}"/>
    <cellStyle name="Millares 5 5 6 2 2 2" xfId="35309" xr:uid="{00000000-0005-0000-0000-0000C8130000}"/>
    <cellStyle name="Millares 5 5 6 2 3" xfId="26219" xr:uid="{00000000-0005-0000-0000-0000C9130000}"/>
    <cellStyle name="Millares 5 5 6 3" xfId="12587" xr:uid="{00000000-0005-0000-0000-0000CA130000}"/>
    <cellStyle name="Millares 5 5 6 3 2" xfId="30769" xr:uid="{00000000-0005-0000-0000-0000CB130000}"/>
    <cellStyle name="Millares 5 5 6 4" xfId="21679" xr:uid="{00000000-0005-0000-0000-0000CC130000}"/>
    <cellStyle name="Millares 5 5 7" xfId="5114" xr:uid="{00000000-0005-0000-0000-0000CD130000}"/>
    <cellStyle name="Millares 5 5 7 2" xfId="14214" xr:uid="{00000000-0005-0000-0000-0000CE130000}"/>
    <cellStyle name="Millares 5 5 7 2 2" xfId="32396" xr:uid="{00000000-0005-0000-0000-0000CF130000}"/>
    <cellStyle name="Millares 5 5 7 3" xfId="23306" xr:uid="{00000000-0005-0000-0000-0000D0130000}"/>
    <cellStyle name="Millares 5 5 8" xfId="9680" xr:uid="{00000000-0005-0000-0000-0000D1130000}"/>
    <cellStyle name="Millares 5 5 8 2" xfId="27862" xr:uid="{00000000-0005-0000-0000-0000D2130000}"/>
    <cellStyle name="Millares 5 5 9" xfId="18771" xr:uid="{00000000-0005-0000-0000-0000D3130000}"/>
    <cellStyle name="Millares 5 6" xfId="468" xr:uid="{00000000-0005-0000-0000-0000D4130000}"/>
    <cellStyle name="Millares 5 6 2" xfId="469" xr:uid="{00000000-0005-0000-0000-0000D5130000}"/>
    <cellStyle name="Millares 5 6 2 2" xfId="1996" xr:uid="{00000000-0005-0000-0000-0000D6130000}"/>
    <cellStyle name="Millares 5 6 2 2 2" xfId="6591" xr:uid="{00000000-0005-0000-0000-0000D7130000}"/>
    <cellStyle name="Millares 5 6 2 2 2 2" xfId="15691" xr:uid="{00000000-0005-0000-0000-0000D8130000}"/>
    <cellStyle name="Millares 5 6 2 2 2 2 2" xfId="33873" xr:uid="{00000000-0005-0000-0000-0000D9130000}"/>
    <cellStyle name="Millares 5 6 2 2 2 3" xfId="24783" xr:uid="{00000000-0005-0000-0000-0000DA130000}"/>
    <cellStyle name="Millares 5 6 2 2 3" xfId="11155" xr:uid="{00000000-0005-0000-0000-0000DB130000}"/>
    <cellStyle name="Millares 5 6 2 2 3 2" xfId="29337" xr:uid="{00000000-0005-0000-0000-0000DC130000}"/>
    <cellStyle name="Millares 5 6 2 2 4" xfId="20247" xr:uid="{00000000-0005-0000-0000-0000DD130000}"/>
    <cellStyle name="Millares 5 6 2 3" xfId="3481" xr:uid="{00000000-0005-0000-0000-0000DE130000}"/>
    <cellStyle name="Millares 5 6 2 3 2" xfId="8037" xr:uid="{00000000-0005-0000-0000-0000DF130000}"/>
    <cellStyle name="Millares 5 6 2 3 2 2" xfId="17133" xr:uid="{00000000-0005-0000-0000-0000E0130000}"/>
    <cellStyle name="Millares 5 6 2 3 2 2 2" xfId="35315" xr:uid="{00000000-0005-0000-0000-0000E1130000}"/>
    <cellStyle name="Millares 5 6 2 3 2 3" xfId="26225" xr:uid="{00000000-0005-0000-0000-0000E2130000}"/>
    <cellStyle name="Millares 5 6 2 3 3" xfId="12593" xr:uid="{00000000-0005-0000-0000-0000E3130000}"/>
    <cellStyle name="Millares 5 6 2 3 3 2" xfId="30775" xr:uid="{00000000-0005-0000-0000-0000E4130000}"/>
    <cellStyle name="Millares 5 6 2 3 4" xfId="21685" xr:uid="{00000000-0005-0000-0000-0000E5130000}"/>
    <cellStyle name="Millares 5 6 2 4" xfId="5120" xr:uid="{00000000-0005-0000-0000-0000E6130000}"/>
    <cellStyle name="Millares 5 6 2 4 2" xfId="14220" xr:uid="{00000000-0005-0000-0000-0000E7130000}"/>
    <cellStyle name="Millares 5 6 2 4 2 2" xfId="32402" xr:uid="{00000000-0005-0000-0000-0000E8130000}"/>
    <cellStyle name="Millares 5 6 2 4 3" xfId="23312" xr:uid="{00000000-0005-0000-0000-0000E9130000}"/>
    <cellStyle name="Millares 5 6 2 5" xfId="9686" xr:uid="{00000000-0005-0000-0000-0000EA130000}"/>
    <cellStyle name="Millares 5 6 2 5 2" xfId="27868" xr:uid="{00000000-0005-0000-0000-0000EB130000}"/>
    <cellStyle name="Millares 5 6 2 6" xfId="18777" xr:uid="{00000000-0005-0000-0000-0000EC130000}"/>
    <cellStyle name="Millares 5 6 3" xfId="1997" xr:uid="{00000000-0005-0000-0000-0000ED130000}"/>
    <cellStyle name="Millares 5 6 3 2" xfId="6592" xr:uid="{00000000-0005-0000-0000-0000EE130000}"/>
    <cellStyle name="Millares 5 6 3 2 2" xfId="15692" xr:uid="{00000000-0005-0000-0000-0000EF130000}"/>
    <cellStyle name="Millares 5 6 3 2 2 2" xfId="33874" xr:uid="{00000000-0005-0000-0000-0000F0130000}"/>
    <cellStyle name="Millares 5 6 3 2 3" xfId="24784" xr:uid="{00000000-0005-0000-0000-0000F1130000}"/>
    <cellStyle name="Millares 5 6 3 3" xfId="11156" xr:uid="{00000000-0005-0000-0000-0000F2130000}"/>
    <cellStyle name="Millares 5 6 3 3 2" xfId="29338" xr:uid="{00000000-0005-0000-0000-0000F3130000}"/>
    <cellStyle name="Millares 5 6 3 4" xfId="20248" xr:uid="{00000000-0005-0000-0000-0000F4130000}"/>
    <cellStyle name="Millares 5 6 4" xfId="3480" xr:uid="{00000000-0005-0000-0000-0000F5130000}"/>
    <cellStyle name="Millares 5 6 4 2" xfId="8036" xr:uid="{00000000-0005-0000-0000-0000F6130000}"/>
    <cellStyle name="Millares 5 6 4 2 2" xfId="17132" xr:uid="{00000000-0005-0000-0000-0000F7130000}"/>
    <cellStyle name="Millares 5 6 4 2 2 2" xfId="35314" xr:uid="{00000000-0005-0000-0000-0000F8130000}"/>
    <cellStyle name="Millares 5 6 4 2 3" xfId="26224" xr:uid="{00000000-0005-0000-0000-0000F9130000}"/>
    <cellStyle name="Millares 5 6 4 3" xfId="12592" xr:uid="{00000000-0005-0000-0000-0000FA130000}"/>
    <cellStyle name="Millares 5 6 4 3 2" xfId="30774" xr:uid="{00000000-0005-0000-0000-0000FB130000}"/>
    <cellStyle name="Millares 5 6 4 4" xfId="21684" xr:uid="{00000000-0005-0000-0000-0000FC130000}"/>
    <cellStyle name="Millares 5 6 5" xfId="5119" xr:uid="{00000000-0005-0000-0000-0000FD130000}"/>
    <cellStyle name="Millares 5 6 5 2" xfId="14219" xr:uid="{00000000-0005-0000-0000-0000FE130000}"/>
    <cellStyle name="Millares 5 6 5 2 2" xfId="32401" xr:uid="{00000000-0005-0000-0000-0000FF130000}"/>
    <cellStyle name="Millares 5 6 5 3" xfId="23311" xr:uid="{00000000-0005-0000-0000-000000140000}"/>
    <cellStyle name="Millares 5 6 6" xfId="9685" xr:uid="{00000000-0005-0000-0000-000001140000}"/>
    <cellStyle name="Millares 5 6 6 2" xfId="27867" xr:uid="{00000000-0005-0000-0000-000002140000}"/>
    <cellStyle name="Millares 5 6 7" xfId="18776" xr:uid="{00000000-0005-0000-0000-000003140000}"/>
    <cellStyle name="Millares 5 7" xfId="470" xr:uid="{00000000-0005-0000-0000-000004140000}"/>
    <cellStyle name="Millares 5 7 2" xfId="1998" xr:uid="{00000000-0005-0000-0000-000005140000}"/>
    <cellStyle name="Millares 5 7 2 2" xfId="6593" xr:uid="{00000000-0005-0000-0000-000006140000}"/>
    <cellStyle name="Millares 5 7 2 2 2" xfId="15693" xr:uid="{00000000-0005-0000-0000-000007140000}"/>
    <cellStyle name="Millares 5 7 2 2 2 2" xfId="33875" xr:uid="{00000000-0005-0000-0000-000008140000}"/>
    <cellStyle name="Millares 5 7 2 2 3" xfId="24785" xr:uid="{00000000-0005-0000-0000-000009140000}"/>
    <cellStyle name="Millares 5 7 2 3" xfId="11157" xr:uid="{00000000-0005-0000-0000-00000A140000}"/>
    <cellStyle name="Millares 5 7 2 3 2" xfId="29339" xr:uid="{00000000-0005-0000-0000-00000B140000}"/>
    <cellStyle name="Millares 5 7 2 4" xfId="20249" xr:uid="{00000000-0005-0000-0000-00000C140000}"/>
    <cellStyle name="Millares 5 7 3" xfId="3482" xr:uid="{00000000-0005-0000-0000-00000D140000}"/>
    <cellStyle name="Millares 5 7 3 2" xfId="8038" xr:uid="{00000000-0005-0000-0000-00000E140000}"/>
    <cellStyle name="Millares 5 7 3 2 2" xfId="17134" xr:uid="{00000000-0005-0000-0000-00000F140000}"/>
    <cellStyle name="Millares 5 7 3 2 2 2" xfId="35316" xr:uid="{00000000-0005-0000-0000-000010140000}"/>
    <cellStyle name="Millares 5 7 3 2 3" xfId="26226" xr:uid="{00000000-0005-0000-0000-000011140000}"/>
    <cellStyle name="Millares 5 7 3 3" xfId="12594" xr:uid="{00000000-0005-0000-0000-000012140000}"/>
    <cellStyle name="Millares 5 7 3 3 2" xfId="30776" xr:uid="{00000000-0005-0000-0000-000013140000}"/>
    <cellStyle name="Millares 5 7 3 4" xfId="21686" xr:uid="{00000000-0005-0000-0000-000014140000}"/>
    <cellStyle name="Millares 5 7 4" xfId="5121" xr:uid="{00000000-0005-0000-0000-000015140000}"/>
    <cellStyle name="Millares 5 7 4 2" xfId="14221" xr:uid="{00000000-0005-0000-0000-000016140000}"/>
    <cellStyle name="Millares 5 7 4 2 2" xfId="32403" xr:uid="{00000000-0005-0000-0000-000017140000}"/>
    <cellStyle name="Millares 5 7 4 3" xfId="23313" xr:uid="{00000000-0005-0000-0000-000018140000}"/>
    <cellStyle name="Millares 5 7 5" xfId="9687" xr:uid="{00000000-0005-0000-0000-000019140000}"/>
    <cellStyle name="Millares 5 7 5 2" xfId="27869" xr:uid="{00000000-0005-0000-0000-00001A140000}"/>
    <cellStyle name="Millares 5 7 6" xfId="18778" xr:uid="{00000000-0005-0000-0000-00001B140000}"/>
    <cellStyle name="Millares 5 8" xfId="471" xr:uid="{00000000-0005-0000-0000-00001C140000}"/>
    <cellStyle name="Millares 5 8 2" xfId="3483" xr:uid="{00000000-0005-0000-0000-00001D140000}"/>
    <cellStyle name="Millares 5 8 2 2" xfId="8039" xr:uid="{00000000-0005-0000-0000-00001E140000}"/>
    <cellStyle name="Millares 5 8 2 2 2" xfId="17135" xr:uid="{00000000-0005-0000-0000-00001F140000}"/>
    <cellStyle name="Millares 5 8 2 2 2 2" xfId="35317" xr:uid="{00000000-0005-0000-0000-000020140000}"/>
    <cellStyle name="Millares 5 8 2 2 3" xfId="26227" xr:uid="{00000000-0005-0000-0000-000021140000}"/>
    <cellStyle name="Millares 5 8 2 3" xfId="12595" xr:uid="{00000000-0005-0000-0000-000022140000}"/>
    <cellStyle name="Millares 5 8 2 3 2" xfId="30777" xr:uid="{00000000-0005-0000-0000-000023140000}"/>
    <cellStyle name="Millares 5 8 2 4" xfId="21687" xr:uid="{00000000-0005-0000-0000-000024140000}"/>
    <cellStyle name="Millares 5 8 3" xfId="5122" xr:uid="{00000000-0005-0000-0000-000025140000}"/>
    <cellStyle name="Millares 5 8 3 2" xfId="14222" xr:uid="{00000000-0005-0000-0000-000026140000}"/>
    <cellStyle name="Millares 5 8 3 2 2" xfId="32404" xr:uid="{00000000-0005-0000-0000-000027140000}"/>
    <cellStyle name="Millares 5 8 3 3" xfId="23314" xr:uid="{00000000-0005-0000-0000-000028140000}"/>
    <cellStyle name="Millares 5 8 4" xfId="9688" xr:uid="{00000000-0005-0000-0000-000029140000}"/>
    <cellStyle name="Millares 5 8 4 2" xfId="27870" xr:uid="{00000000-0005-0000-0000-00002A140000}"/>
    <cellStyle name="Millares 5 8 5" xfId="18779" xr:uid="{00000000-0005-0000-0000-00002B140000}"/>
    <cellStyle name="Millares 5 9" xfId="1999" xr:uid="{00000000-0005-0000-0000-00002C140000}"/>
    <cellStyle name="Millares 5 9 2" xfId="6594" xr:uid="{00000000-0005-0000-0000-00002D140000}"/>
    <cellStyle name="Millares 5 9 2 2" xfId="15694" xr:uid="{00000000-0005-0000-0000-00002E140000}"/>
    <cellStyle name="Millares 5 9 2 2 2" xfId="33876" xr:uid="{00000000-0005-0000-0000-00002F140000}"/>
    <cellStyle name="Millares 5 9 2 3" xfId="24786" xr:uid="{00000000-0005-0000-0000-000030140000}"/>
    <cellStyle name="Millares 5 9 3" xfId="11158" xr:uid="{00000000-0005-0000-0000-000031140000}"/>
    <cellStyle name="Millares 5 9 3 2" xfId="29340" xr:uid="{00000000-0005-0000-0000-000032140000}"/>
    <cellStyle name="Millares 5 9 4" xfId="20250" xr:uid="{00000000-0005-0000-0000-000033140000}"/>
    <cellStyle name="Millares 6" xfId="28" xr:uid="{00000000-0005-0000-0000-000034140000}"/>
    <cellStyle name="Millares 6 2" xfId="97" xr:uid="{00000000-0005-0000-0000-000035140000}"/>
    <cellStyle name="Millares 6 2 2" xfId="3199" xr:uid="{00000000-0005-0000-0000-000036140000}"/>
    <cellStyle name="Millares 6 2 2 2" xfId="7759" xr:uid="{00000000-0005-0000-0000-000037140000}"/>
    <cellStyle name="Millares 6 2 2 2 2" xfId="16855" xr:uid="{00000000-0005-0000-0000-000038140000}"/>
    <cellStyle name="Millares 6 2 2 2 2 2" xfId="35037" xr:uid="{00000000-0005-0000-0000-000039140000}"/>
    <cellStyle name="Millares 6 2 2 2 3" xfId="25947" xr:uid="{00000000-0005-0000-0000-00003A140000}"/>
    <cellStyle name="Millares 6 2 2 3" xfId="12315" xr:uid="{00000000-0005-0000-0000-00003B140000}"/>
    <cellStyle name="Millares 6 2 2 3 2" xfId="30497" xr:uid="{00000000-0005-0000-0000-00003C140000}"/>
    <cellStyle name="Millares 6 2 2 4" xfId="21407" xr:uid="{00000000-0005-0000-0000-00003D140000}"/>
    <cellStyle name="Millares 6 3" xfId="3168" xr:uid="{00000000-0005-0000-0000-00003E140000}"/>
    <cellStyle name="Millares 6 3 2" xfId="7728" xr:uid="{00000000-0005-0000-0000-00003F140000}"/>
    <cellStyle name="Millares 6 3 2 2" xfId="16824" xr:uid="{00000000-0005-0000-0000-000040140000}"/>
    <cellStyle name="Millares 6 3 2 2 2" xfId="35006" xr:uid="{00000000-0005-0000-0000-000041140000}"/>
    <cellStyle name="Millares 6 3 2 3" xfId="25916" xr:uid="{00000000-0005-0000-0000-000042140000}"/>
    <cellStyle name="Millares 6 3 3" xfId="12284" xr:uid="{00000000-0005-0000-0000-000043140000}"/>
    <cellStyle name="Millares 6 3 3 2" xfId="30466" xr:uid="{00000000-0005-0000-0000-000044140000}"/>
    <cellStyle name="Millares 6 3 4" xfId="21376" xr:uid="{00000000-0005-0000-0000-000045140000}"/>
    <cellStyle name="Millares 7" xfId="41" xr:uid="{00000000-0005-0000-0000-000046140000}"/>
    <cellStyle name="Millares 7 2" xfId="98" xr:uid="{00000000-0005-0000-0000-000047140000}"/>
    <cellStyle name="Millares 8" xfId="42" xr:uid="{00000000-0005-0000-0000-000048140000}"/>
    <cellStyle name="Millares 8 2" xfId="99" xr:uid="{00000000-0005-0000-0000-000049140000}"/>
    <cellStyle name="Millares 9" xfId="60" xr:uid="{00000000-0005-0000-0000-00004A140000}"/>
    <cellStyle name="Millares 9 2" xfId="100" xr:uid="{00000000-0005-0000-0000-00004B140000}"/>
    <cellStyle name="Millares 9 2 2" xfId="3200" xr:uid="{00000000-0005-0000-0000-00004C140000}"/>
    <cellStyle name="Millares 9 2 2 2" xfId="7760" xr:uid="{00000000-0005-0000-0000-00004D140000}"/>
    <cellStyle name="Millares 9 2 2 2 2" xfId="16856" xr:uid="{00000000-0005-0000-0000-00004E140000}"/>
    <cellStyle name="Millares 9 2 2 2 2 2" xfId="35038" xr:uid="{00000000-0005-0000-0000-00004F140000}"/>
    <cellStyle name="Millares 9 2 2 2 3" xfId="25948" xr:uid="{00000000-0005-0000-0000-000050140000}"/>
    <cellStyle name="Millares 9 2 2 3" xfId="12316" xr:uid="{00000000-0005-0000-0000-000051140000}"/>
    <cellStyle name="Millares 9 2 2 3 2" xfId="30498" xr:uid="{00000000-0005-0000-0000-000052140000}"/>
    <cellStyle name="Millares 9 2 2 4" xfId="21408" xr:uid="{00000000-0005-0000-0000-000053140000}"/>
    <cellStyle name="Millares 9 2 3" xfId="4849" xr:uid="{00000000-0005-0000-0000-000054140000}"/>
    <cellStyle name="Millares 9 2 3 2" xfId="13949" xr:uid="{00000000-0005-0000-0000-000055140000}"/>
    <cellStyle name="Millares 9 2 3 2 2" xfId="32131" xr:uid="{00000000-0005-0000-0000-000056140000}"/>
    <cellStyle name="Millares 9 2 3 3" xfId="23041" xr:uid="{00000000-0005-0000-0000-000057140000}"/>
    <cellStyle name="Millares 9 2 4" xfId="9415" xr:uid="{00000000-0005-0000-0000-000058140000}"/>
    <cellStyle name="Millares 9 2 4 2" xfId="27597" xr:uid="{00000000-0005-0000-0000-000059140000}"/>
    <cellStyle name="Millares 9 2 5" xfId="18506" xr:uid="{00000000-0005-0000-0000-00005A140000}"/>
    <cellStyle name="Millares 9 3" xfId="3180" xr:uid="{00000000-0005-0000-0000-00005B140000}"/>
    <cellStyle name="Millares 9 3 2" xfId="7740" xr:uid="{00000000-0005-0000-0000-00005C140000}"/>
    <cellStyle name="Millares 9 3 2 2" xfId="16836" xr:uid="{00000000-0005-0000-0000-00005D140000}"/>
    <cellStyle name="Millares 9 3 2 2 2" xfId="35018" xr:uid="{00000000-0005-0000-0000-00005E140000}"/>
    <cellStyle name="Millares 9 3 2 3" xfId="25928" xr:uid="{00000000-0005-0000-0000-00005F140000}"/>
    <cellStyle name="Millares 9 3 3" xfId="12296" xr:uid="{00000000-0005-0000-0000-000060140000}"/>
    <cellStyle name="Millares 9 3 3 2" xfId="30478" xr:uid="{00000000-0005-0000-0000-000061140000}"/>
    <cellStyle name="Millares 9 3 4" xfId="21388" xr:uid="{00000000-0005-0000-0000-000062140000}"/>
    <cellStyle name="Millares 9 4" xfId="4831" xr:uid="{00000000-0005-0000-0000-000063140000}"/>
    <cellStyle name="Millares 9 4 2" xfId="13931" xr:uid="{00000000-0005-0000-0000-000064140000}"/>
    <cellStyle name="Millares 9 4 2 2" xfId="32113" xr:uid="{00000000-0005-0000-0000-000065140000}"/>
    <cellStyle name="Millares 9 4 3" xfId="23023" xr:uid="{00000000-0005-0000-0000-000066140000}"/>
    <cellStyle name="Millares 9 5" xfId="9397" xr:uid="{00000000-0005-0000-0000-000067140000}"/>
    <cellStyle name="Millares 9 5 2" xfId="27579" xr:uid="{00000000-0005-0000-0000-000068140000}"/>
    <cellStyle name="Millares 9 6" xfId="18488" xr:uid="{00000000-0005-0000-0000-000069140000}"/>
    <cellStyle name="Millares_Gastos generales 2" xfId="4804" xr:uid="{00000000-0005-0000-0000-00006A140000}"/>
    <cellStyle name="Moneda 2" xfId="19" xr:uid="{00000000-0005-0000-0000-00006B140000}"/>
    <cellStyle name="Moneda 2 10" xfId="2000" xr:uid="{00000000-0005-0000-0000-00006C140000}"/>
    <cellStyle name="Moneda 2 10 2" xfId="6595" xr:uid="{00000000-0005-0000-0000-00006D140000}"/>
    <cellStyle name="Moneda 2 10 2 2" xfId="15695" xr:uid="{00000000-0005-0000-0000-00006E140000}"/>
    <cellStyle name="Moneda 2 10 2 2 2" xfId="33877" xr:uid="{00000000-0005-0000-0000-00006F140000}"/>
    <cellStyle name="Moneda 2 10 2 3" xfId="24787" xr:uid="{00000000-0005-0000-0000-000070140000}"/>
    <cellStyle name="Moneda 2 10 3" xfId="11159" xr:uid="{00000000-0005-0000-0000-000071140000}"/>
    <cellStyle name="Moneda 2 10 3 2" xfId="29341" xr:uid="{00000000-0005-0000-0000-000072140000}"/>
    <cellStyle name="Moneda 2 10 4" xfId="20251" xr:uid="{00000000-0005-0000-0000-000073140000}"/>
    <cellStyle name="Moneda 2 11" xfId="3163" xr:uid="{00000000-0005-0000-0000-000074140000}"/>
    <cellStyle name="Moneda 2 11 2" xfId="7723" xr:uid="{00000000-0005-0000-0000-000075140000}"/>
    <cellStyle name="Moneda 2 11 2 2" xfId="16819" xr:uid="{00000000-0005-0000-0000-000076140000}"/>
    <cellStyle name="Moneda 2 11 2 2 2" xfId="35001" xr:uid="{00000000-0005-0000-0000-000077140000}"/>
    <cellStyle name="Moneda 2 11 2 3" xfId="25911" xr:uid="{00000000-0005-0000-0000-000078140000}"/>
    <cellStyle name="Moneda 2 11 3" xfId="12279" xr:uid="{00000000-0005-0000-0000-000079140000}"/>
    <cellStyle name="Moneda 2 11 3 2" xfId="30461" xr:uid="{00000000-0005-0000-0000-00007A140000}"/>
    <cellStyle name="Moneda 2 11 4" xfId="21371" xr:uid="{00000000-0005-0000-0000-00007B140000}"/>
    <cellStyle name="Moneda 2 12" xfId="4817" xr:uid="{00000000-0005-0000-0000-00007C140000}"/>
    <cellStyle name="Moneda 2 12 2" xfId="13917" xr:uid="{00000000-0005-0000-0000-00007D140000}"/>
    <cellStyle name="Moneda 2 12 2 2" xfId="32099" xr:uid="{00000000-0005-0000-0000-00007E140000}"/>
    <cellStyle name="Moneda 2 12 3" xfId="23009" xr:uid="{00000000-0005-0000-0000-00007F140000}"/>
    <cellStyle name="Moneda 2 13" xfId="9383" xr:uid="{00000000-0005-0000-0000-000080140000}"/>
    <cellStyle name="Moneda 2 13 2" xfId="27565" xr:uid="{00000000-0005-0000-0000-000081140000}"/>
    <cellStyle name="Moneda 2 14" xfId="18474" xr:uid="{00000000-0005-0000-0000-000082140000}"/>
    <cellStyle name="Moneda 2 2" xfId="44" xr:uid="{00000000-0005-0000-0000-000083140000}"/>
    <cellStyle name="Moneda 2 2 10" xfId="4826" xr:uid="{00000000-0005-0000-0000-000084140000}"/>
    <cellStyle name="Moneda 2 2 10 2" xfId="13926" xr:uid="{00000000-0005-0000-0000-000085140000}"/>
    <cellStyle name="Moneda 2 2 10 2 2" xfId="32108" xr:uid="{00000000-0005-0000-0000-000086140000}"/>
    <cellStyle name="Moneda 2 2 10 3" xfId="23018" xr:uid="{00000000-0005-0000-0000-000087140000}"/>
    <cellStyle name="Moneda 2 2 11" xfId="9392" xr:uid="{00000000-0005-0000-0000-000088140000}"/>
    <cellStyle name="Moneda 2 2 11 2" xfId="27574" xr:uid="{00000000-0005-0000-0000-000089140000}"/>
    <cellStyle name="Moneda 2 2 12" xfId="18483" xr:uid="{00000000-0005-0000-0000-00008A140000}"/>
    <cellStyle name="Moneda 2 2 2" xfId="76" xr:uid="{00000000-0005-0000-0000-00008B140000}"/>
    <cellStyle name="Moneda 2 2 2 10" xfId="9405" xr:uid="{00000000-0005-0000-0000-00008C140000}"/>
    <cellStyle name="Moneda 2 2 2 10 2" xfId="27587" xr:uid="{00000000-0005-0000-0000-00008D140000}"/>
    <cellStyle name="Moneda 2 2 2 11" xfId="18496" xr:uid="{00000000-0005-0000-0000-00008E140000}"/>
    <cellStyle name="Moneda 2 2 2 2" xfId="472" xr:uid="{00000000-0005-0000-0000-00008F140000}"/>
    <cellStyle name="Moneda 2 2 2 2 10" xfId="18780" xr:uid="{00000000-0005-0000-0000-000090140000}"/>
    <cellStyle name="Moneda 2 2 2 2 2" xfId="473" xr:uid="{00000000-0005-0000-0000-000091140000}"/>
    <cellStyle name="Moneda 2 2 2 2 2 2" xfId="474" xr:uid="{00000000-0005-0000-0000-000092140000}"/>
    <cellStyle name="Moneda 2 2 2 2 2 2 2" xfId="475" xr:uid="{00000000-0005-0000-0000-000093140000}"/>
    <cellStyle name="Moneda 2 2 2 2 2 2 2 2" xfId="2001" xr:uid="{00000000-0005-0000-0000-000094140000}"/>
    <cellStyle name="Moneda 2 2 2 2 2 2 2 2 2" xfId="6596" xr:uid="{00000000-0005-0000-0000-000095140000}"/>
    <cellStyle name="Moneda 2 2 2 2 2 2 2 2 2 2" xfId="15696" xr:uid="{00000000-0005-0000-0000-000096140000}"/>
    <cellStyle name="Moneda 2 2 2 2 2 2 2 2 2 2 2" xfId="33878" xr:uid="{00000000-0005-0000-0000-000097140000}"/>
    <cellStyle name="Moneda 2 2 2 2 2 2 2 2 2 3" xfId="24788" xr:uid="{00000000-0005-0000-0000-000098140000}"/>
    <cellStyle name="Moneda 2 2 2 2 2 2 2 2 3" xfId="11160" xr:uid="{00000000-0005-0000-0000-000099140000}"/>
    <cellStyle name="Moneda 2 2 2 2 2 2 2 2 3 2" xfId="29342" xr:uid="{00000000-0005-0000-0000-00009A140000}"/>
    <cellStyle name="Moneda 2 2 2 2 2 2 2 2 4" xfId="20252" xr:uid="{00000000-0005-0000-0000-00009B140000}"/>
    <cellStyle name="Moneda 2 2 2 2 2 2 2 3" xfId="3487" xr:uid="{00000000-0005-0000-0000-00009C140000}"/>
    <cellStyle name="Moneda 2 2 2 2 2 2 2 3 2" xfId="8043" xr:uid="{00000000-0005-0000-0000-00009D140000}"/>
    <cellStyle name="Moneda 2 2 2 2 2 2 2 3 2 2" xfId="17139" xr:uid="{00000000-0005-0000-0000-00009E140000}"/>
    <cellStyle name="Moneda 2 2 2 2 2 2 2 3 2 2 2" xfId="35321" xr:uid="{00000000-0005-0000-0000-00009F140000}"/>
    <cellStyle name="Moneda 2 2 2 2 2 2 2 3 2 3" xfId="26231" xr:uid="{00000000-0005-0000-0000-0000A0140000}"/>
    <cellStyle name="Moneda 2 2 2 2 2 2 2 3 3" xfId="12599" xr:uid="{00000000-0005-0000-0000-0000A1140000}"/>
    <cellStyle name="Moneda 2 2 2 2 2 2 2 3 3 2" xfId="30781" xr:uid="{00000000-0005-0000-0000-0000A2140000}"/>
    <cellStyle name="Moneda 2 2 2 2 2 2 2 3 4" xfId="21691" xr:uid="{00000000-0005-0000-0000-0000A3140000}"/>
    <cellStyle name="Moneda 2 2 2 2 2 2 2 4" xfId="5126" xr:uid="{00000000-0005-0000-0000-0000A4140000}"/>
    <cellStyle name="Moneda 2 2 2 2 2 2 2 4 2" xfId="14226" xr:uid="{00000000-0005-0000-0000-0000A5140000}"/>
    <cellStyle name="Moneda 2 2 2 2 2 2 2 4 2 2" xfId="32408" xr:uid="{00000000-0005-0000-0000-0000A6140000}"/>
    <cellStyle name="Moneda 2 2 2 2 2 2 2 4 3" xfId="23318" xr:uid="{00000000-0005-0000-0000-0000A7140000}"/>
    <cellStyle name="Moneda 2 2 2 2 2 2 2 5" xfId="9692" xr:uid="{00000000-0005-0000-0000-0000A8140000}"/>
    <cellStyle name="Moneda 2 2 2 2 2 2 2 5 2" xfId="27874" xr:uid="{00000000-0005-0000-0000-0000A9140000}"/>
    <cellStyle name="Moneda 2 2 2 2 2 2 2 6" xfId="18783" xr:uid="{00000000-0005-0000-0000-0000AA140000}"/>
    <cellStyle name="Moneda 2 2 2 2 2 2 3" xfId="2002" xr:uid="{00000000-0005-0000-0000-0000AB140000}"/>
    <cellStyle name="Moneda 2 2 2 2 2 2 3 2" xfId="6597" xr:uid="{00000000-0005-0000-0000-0000AC140000}"/>
    <cellStyle name="Moneda 2 2 2 2 2 2 3 2 2" xfId="15697" xr:uid="{00000000-0005-0000-0000-0000AD140000}"/>
    <cellStyle name="Moneda 2 2 2 2 2 2 3 2 2 2" xfId="33879" xr:uid="{00000000-0005-0000-0000-0000AE140000}"/>
    <cellStyle name="Moneda 2 2 2 2 2 2 3 2 3" xfId="24789" xr:uid="{00000000-0005-0000-0000-0000AF140000}"/>
    <cellStyle name="Moneda 2 2 2 2 2 2 3 3" xfId="11161" xr:uid="{00000000-0005-0000-0000-0000B0140000}"/>
    <cellStyle name="Moneda 2 2 2 2 2 2 3 3 2" xfId="29343" xr:uid="{00000000-0005-0000-0000-0000B1140000}"/>
    <cellStyle name="Moneda 2 2 2 2 2 2 3 4" xfId="20253" xr:uid="{00000000-0005-0000-0000-0000B2140000}"/>
    <cellStyle name="Moneda 2 2 2 2 2 2 4" xfId="3486" xr:uid="{00000000-0005-0000-0000-0000B3140000}"/>
    <cellStyle name="Moneda 2 2 2 2 2 2 4 2" xfId="8042" xr:uid="{00000000-0005-0000-0000-0000B4140000}"/>
    <cellStyle name="Moneda 2 2 2 2 2 2 4 2 2" xfId="17138" xr:uid="{00000000-0005-0000-0000-0000B5140000}"/>
    <cellStyle name="Moneda 2 2 2 2 2 2 4 2 2 2" xfId="35320" xr:uid="{00000000-0005-0000-0000-0000B6140000}"/>
    <cellStyle name="Moneda 2 2 2 2 2 2 4 2 3" xfId="26230" xr:uid="{00000000-0005-0000-0000-0000B7140000}"/>
    <cellStyle name="Moneda 2 2 2 2 2 2 4 3" xfId="12598" xr:uid="{00000000-0005-0000-0000-0000B8140000}"/>
    <cellStyle name="Moneda 2 2 2 2 2 2 4 3 2" xfId="30780" xr:uid="{00000000-0005-0000-0000-0000B9140000}"/>
    <cellStyle name="Moneda 2 2 2 2 2 2 4 4" xfId="21690" xr:uid="{00000000-0005-0000-0000-0000BA140000}"/>
    <cellStyle name="Moneda 2 2 2 2 2 2 5" xfId="5125" xr:uid="{00000000-0005-0000-0000-0000BB140000}"/>
    <cellStyle name="Moneda 2 2 2 2 2 2 5 2" xfId="14225" xr:uid="{00000000-0005-0000-0000-0000BC140000}"/>
    <cellStyle name="Moneda 2 2 2 2 2 2 5 2 2" xfId="32407" xr:uid="{00000000-0005-0000-0000-0000BD140000}"/>
    <cellStyle name="Moneda 2 2 2 2 2 2 5 3" xfId="23317" xr:uid="{00000000-0005-0000-0000-0000BE140000}"/>
    <cellStyle name="Moneda 2 2 2 2 2 2 6" xfId="9691" xr:uid="{00000000-0005-0000-0000-0000BF140000}"/>
    <cellStyle name="Moneda 2 2 2 2 2 2 6 2" xfId="27873" xr:uid="{00000000-0005-0000-0000-0000C0140000}"/>
    <cellStyle name="Moneda 2 2 2 2 2 2 7" xfId="18782" xr:uid="{00000000-0005-0000-0000-0000C1140000}"/>
    <cellStyle name="Moneda 2 2 2 2 2 3" xfId="476" xr:uid="{00000000-0005-0000-0000-0000C2140000}"/>
    <cellStyle name="Moneda 2 2 2 2 2 3 2" xfId="2003" xr:uid="{00000000-0005-0000-0000-0000C3140000}"/>
    <cellStyle name="Moneda 2 2 2 2 2 3 2 2" xfId="6598" xr:uid="{00000000-0005-0000-0000-0000C4140000}"/>
    <cellStyle name="Moneda 2 2 2 2 2 3 2 2 2" xfId="15698" xr:uid="{00000000-0005-0000-0000-0000C5140000}"/>
    <cellStyle name="Moneda 2 2 2 2 2 3 2 2 2 2" xfId="33880" xr:uid="{00000000-0005-0000-0000-0000C6140000}"/>
    <cellStyle name="Moneda 2 2 2 2 2 3 2 2 3" xfId="24790" xr:uid="{00000000-0005-0000-0000-0000C7140000}"/>
    <cellStyle name="Moneda 2 2 2 2 2 3 2 3" xfId="11162" xr:uid="{00000000-0005-0000-0000-0000C8140000}"/>
    <cellStyle name="Moneda 2 2 2 2 2 3 2 3 2" xfId="29344" xr:uid="{00000000-0005-0000-0000-0000C9140000}"/>
    <cellStyle name="Moneda 2 2 2 2 2 3 2 4" xfId="20254" xr:uid="{00000000-0005-0000-0000-0000CA140000}"/>
    <cellStyle name="Moneda 2 2 2 2 2 3 3" xfId="3488" xr:uid="{00000000-0005-0000-0000-0000CB140000}"/>
    <cellStyle name="Moneda 2 2 2 2 2 3 3 2" xfId="8044" xr:uid="{00000000-0005-0000-0000-0000CC140000}"/>
    <cellStyle name="Moneda 2 2 2 2 2 3 3 2 2" xfId="17140" xr:uid="{00000000-0005-0000-0000-0000CD140000}"/>
    <cellStyle name="Moneda 2 2 2 2 2 3 3 2 2 2" xfId="35322" xr:uid="{00000000-0005-0000-0000-0000CE140000}"/>
    <cellStyle name="Moneda 2 2 2 2 2 3 3 2 3" xfId="26232" xr:uid="{00000000-0005-0000-0000-0000CF140000}"/>
    <cellStyle name="Moneda 2 2 2 2 2 3 3 3" xfId="12600" xr:uid="{00000000-0005-0000-0000-0000D0140000}"/>
    <cellStyle name="Moneda 2 2 2 2 2 3 3 3 2" xfId="30782" xr:uid="{00000000-0005-0000-0000-0000D1140000}"/>
    <cellStyle name="Moneda 2 2 2 2 2 3 3 4" xfId="21692" xr:uid="{00000000-0005-0000-0000-0000D2140000}"/>
    <cellStyle name="Moneda 2 2 2 2 2 3 4" xfId="5127" xr:uid="{00000000-0005-0000-0000-0000D3140000}"/>
    <cellStyle name="Moneda 2 2 2 2 2 3 4 2" xfId="14227" xr:uid="{00000000-0005-0000-0000-0000D4140000}"/>
    <cellStyle name="Moneda 2 2 2 2 2 3 4 2 2" xfId="32409" xr:uid="{00000000-0005-0000-0000-0000D5140000}"/>
    <cellStyle name="Moneda 2 2 2 2 2 3 4 3" xfId="23319" xr:uid="{00000000-0005-0000-0000-0000D6140000}"/>
    <cellStyle name="Moneda 2 2 2 2 2 3 5" xfId="9693" xr:uid="{00000000-0005-0000-0000-0000D7140000}"/>
    <cellStyle name="Moneda 2 2 2 2 2 3 5 2" xfId="27875" xr:uid="{00000000-0005-0000-0000-0000D8140000}"/>
    <cellStyle name="Moneda 2 2 2 2 2 3 6" xfId="18784" xr:uid="{00000000-0005-0000-0000-0000D9140000}"/>
    <cellStyle name="Moneda 2 2 2 2 2 4" xfId="477" xr:uid="{00000000-0005-0000-0000-0000DA140000}"/>
    <cellStyle name="Moneda 2 2 2 2 2 4 2" xfId="3489" xr:uid="{00000000-0005-0000-0000-0000DB140000}"/>
    <cellStyle name="Moneda 2 2 2 2 2 4 2 2" xfId="8045" xr:uid="{00000000-0005-0000-0000-0000DC140000}"/>
    <cellStyle name="Moneda 2 2 2 2 2 4 2 2 2" xfId="17141" xr:uid="{00000000-0005-0000-0000-0000DD140000}"/>
    <cellStyle name="Moneda 2 2 2 2 2 4 2 2 2 2" xfId="35323" xr:uid="{00000000-0005-0000-0000-0000DE140000}"/>
    <cellStyle name="Moneda 2 2 2 2 2 4 2 2 3" xfId="26233" xr:uid="{00000000-0005-0000-0000-0000DF140000}"/>
    <cellStyle name="Moneda 2 2 2 2 2 4 2 3" xfId="12601" xr:uid="{00000000-0005-0000-0000-0000E0140000}"/>
    <cellStyle name="Moneda 2 2 2 2 2 4 2 3 2" xfId="30783" xr:uid="{00000000-0005-0000-0000-0000E1140000}"/>
    <cellStyle name="Moneda 2 2 2 2 2 4 2 4" xfId="21693" xr:uid="{00000000-0005-0000-0000-0000E2140000}"/>
    <cellStyle name="Moneda 2 2 2 2 2 4 3" xfId="5128" xr:uid="{00000000-0005-0000-0000-0000E3140000}"/>
    <cellStyle name="Moneda 2 2 2 2 2 4 3 2" xfId="14228" xr:uid="{00000000-0005-0000-0000-0000E4140000}"/>
    <cellStyle name="Moneda 2 2 2 2 2 4 3 2 2" xfId="32410" xr:uid="{00000000-0005-0000-0000-0000E5140000}"/>
    <cellStyle name="Moneda 2 2 2 2 2 4 3 3" xfId="23320" xr:uid="{00000000-0005-0000-0000-0000E6140000}"/>
    <cellStyle name="Moneda 2 2 2 2 2 4 4" xfId="9694" xr:uid="{00000000-0005-0000-0000-0000E7140000}"/>
    <cellStyle name="Moneda 2 2 2 2 2 4 4 2" xfId="27876" xr:uid="{00000000-0005-0000-0000-0000E8140000}"/>
    <cellStyle name="Moneda 2 2 2 2 2 4 5" xfId="18785" xr:uid="{00000000-0005-0000-0000-0000E9140000}"/>
    <cellStyle name="Moneda 2 2 2 2 2 5" xfId="2004" xr:uid="{00000000-0005-0000-0000-0000EA140000}"/>
    <cellStyle name="Moneda 2 2 2 2 2 6" xfId="3485" xr:uid="{00000000-0005-0000-0000-0000EB140000}"/>
    <cellStyle name="Moneda 2 2 2 2 2 6 2" xfId="8041" xr:uid="{00000000-0005-0000-0000-0000EC140000}"/>
    <cellStyle name="Moneda 2 2 2 2 2 6 2 2" xfId="17137" xr:uid="{00000000-0005-0000-0000-0000ED140000}"/>
    <cellStyle name="Moneda 2 2 2 2 2 6 2 2 2" xfId="35319" xr:uid="{00000000-0005-0000-0000-0000EE140000}"/>
    <cellStyle name="Moneda 2 2 2 2 2 6 2 3" xfId="26229" xr:uid="{00000000-0005-0000-0000-0000EF140000}"/>
    <cellStyle name="Moneda 2 2 2 2 2 6 3" xfId="12597" xr:uid="{00000000-0005-0000-0000-0000F0140000}"/>
    <cellStyle name="Moneda 2 2 2 2 2 6 3 2" xfId="30779" xr:uid="{00000000-0005-0000-0000-0000F1140000}"/>
    <cellStyle name="Moneda 2 2 2 2 2 6 4" xfId="21689" xr:uid="{00000000-0005-0000-0000-0000F2140000}"/>
    <cellStyle name="Moneda 2 2 2 2 2 7" xfId="5124" xr:uid="{00000000-0005-0000-0000-0000F3140000}"/>
    <cellStyle name="Moneda 2 2 2 2 2 7 2" xfId="14224" xr:uid="{00000000-0005-0000-0000-0000F4140000}"/>
    <cellStyle name="Moneda 2 2 2 2 2 7 2 2" xfId="32406" xr:uid="{00000000-0005-0000-0000-0000F5140000}"/>
    <cellStyle name="Moneda 2 2 2 2 2 7 3" xfId="23316" xr:uid="{00000000-0005-0000-0000-0000F6140000}"/>
    <cellStyle name="Moneda 2 2 2 2 2 8" xfId="9690" xr:uid="{00000000-0005-0000-0000-0000F7140000}"/>
    <cellStyle name="Moneda 2 2 2 2 2 8 2" xfId="27872" xr:uid="{00000000-0005-0000-0000-0000F8140000}"/>
    <cellStyle name="Moneda 2 2 2 2 2 9" xfId="18781" xr:uid="{00000000-0005-0000-0000-0000F9140000}"/>
    <cellStyle name="Moneda 2 2 2 2 3" xfId="478" xr:uid="{00000000-0005-0000-0000-0000FA140000}"/>
    <cellStyle name="Moneda 2 2 2 2 3 2" xfId="479" xr:uid="{00000000-0005-0000-0000-0000FB140000}"/>
    <cellStyle name="Moneda 2 2 2 2 3 2 2" xfId="2005" xr:uid="{00000000-0005-0000-0000-0000FC140000}"/>
    <cellStyle name="Moneda 2 2 2 2 3 2 2 2" xfId="6599" xr:uid="{00000000-0005-0000-0000-0000FD140000}"/>
    <cellStyle name="Moneda 2 2 2 2 3 2 2 2 2" xfId="15699" xr:uid="{00000000-0005-0000-0000-0000FE140000}"/>
    <cellStyle name="Moneda 2 2 2 2 3 2 2 2 2 2" xfId="33881" xr:uid="{00000000-0005-0000-0000-0000FF140000}"/>
    <cellStyle name="Moneda 2 2 2 2 3 2 2 2 3" xfId="24791" xr:uid="{00000000-0005-0000-0000-000000150000}"/>
    <cellStyle name="Moneda 2 2 2 2 3 2 2 3" xfId="11163" xr:uid="{00000000-0005-0000-0000-000001150000}"/>
    <cellStyle name="Moneda 2 2 2 2 3 2 2 3 2" xfId="29345" xr:uid="{00000000-0005-0000-0000-000002150000}"/>
    <cellStyle name="Moneda 2 2 2 2 3 2 2 4" xfId="20255" xr:uid="{00000000-0005-0000-0000-000003150000}"/>
    <cellStyle name="Moneda 2 2 2 2 3 2 3" xfId="3491" xr:uid="{00000000-0005-0000-0000-000004150000}"/>
    <cellStyle name="Moneda 2 2 2 2 3 2 3 2" xfId="8047" xr:uid="{00000000-0005-0000-0000-000005150000}"/>
    <cellStyle name="Moneda 2 2 2 2 3 2 3 2 2" xfId="17143" xr:uid="{00000000-0005-0000-0000-000006150000}"/>
    <cellStyle name="Moneda 2 2 2 2 3 2 3 2 2 2" xfId="35325" xr:uid="{00000000-0005-0000-0000-000007150000}"/>
    <cellStyle name="Moneda 2 2 2 2 3 2 3 2 3" xfId="26235" xr:uid="{00000000-0005-0000-0000-000008150000}"/>
    <cellStyle name="Moneda 2 2 2 2 3 2 3 3" xfId="12603" xr:uid="{00000000-0005-0000-0000-000009150000}"/>
    <cellStyle name="Moneda 2 2 2 2 3 2 3 3 2" xfId="30785" xr:uid="{00000000-0005-0000-0000-00000A150000}"/>
    <cellStyle name="Moneda 2 2 2 2 3 2 3 4" xfId="21695" xr:uid="{00000000-0005-0000-0000-00000B150000}"/>
    <cellStyle name="Moneda 2 2 2 2 3 2 4" xfId="5130" xr:uid="{00000000-0005-0000-0000-00000C150000}"/>
    <cellStyle name="Moneda 2 2 2 2 3 2 4 2" xfId="14230" xr:uid="{00000000-0005-0000-0000-00000D150000}"/>
    <cellStyle name="Moneda 2 2 2 2 3 2 4 2 2" xfId="32412" xr:uid="{00000000-0005-0000-0000-00000E150000}"/>
    <cellStyle name="Moneda 2 2 2 2 3 2 4 3" xfId="23322" xr:uid="{00000000-0005-0000-0000-00000F150000}"/>
    <cellStyle name="Moneda 2 2 2 2 3 2 5" xfId="9696" xr:uid="{00000000-0005-0000-0000-000010150000}"/>
    <cellStyle name="Moneda 2 2 2 2 3 2 5 2" xfId="27878" xr:uid="{00000000-0005-0000-0000-000011150000}"/>
    <cellStyle name="Moneda 2 2 2 2 3 2 6" xfId="18787" xr:uid="{00000000-0005-0000-0000-000012150000}"/>
    <cellStyle name="Moneda 2 2 2 2 3 3" xfId="2006" xr:uid="{00000000-0005-0000-0000-000013150000}"/>
    <cellStyle name="Moneda 2 2 2 2 3 3 2" xfId="6600" xr:uid="{00000000-0005-0000-0000-000014150000}"/>
    <cellStyle name="Moneda 2 2 2 2 3 3 2 2" xfId="15700" xr:uid="{00000000-0005-0000-0000-000015150000}"/>
    <cellStyle name="Moneda 2 2 2 2 3 3 2 2 2" xfId="33882" xr:uid="{00000000-0005-0000-0000-000016150000}"/>
    <cellStyle name="Moneda 2 2 2 2 3 3 2 3" xfId="24792" xr:uid="{00000000-0005-0000-0000-000017150000}"/>
    <cellStyle name="Moneda 2 2 2 2 3 3 3" xfId="11164" xr:uid="{00000000-0005-0000-0000-000018150000}"/>
    <cellStyle name="Moneda 2 2 2 2 3 3 3 2" xfId="29346" xr:uid="{00000000-0005-0000-0000-000019150000}"/>
    <cellStyle name="Moneda 2 2 2 2 3 3 4" xfId="20256" xr:uid="{00000000-0005-0000-0000-00001A150000}"/>
    <cellStyle name="Moneda 2 2 2 2 3 4" xfId="3490" xr:uid="{00000000-0005-0000-0000-00001B150000}"/>
    <cellStyle name="Moneda 2 2 2 2 3 4 2" xfId="8046" xr:uid="{00000000-0005-0000-0000-00001C150000}"/>
    <cellStyle name="Moneda 2 2 2 2 3 4 2 2" xfId="17142" xr:uid="{00000000-0005-0000-0000-00001D150000}"/>
    <cellStyle name="Moneda 2 2 2 2 3 4 2 2 2" xfId="35324" xr:uid="{00000000-0005-0000-0000-00001E150000}"/>
    <cellStyle name="Moneda 2 2 2 2 3 4 2 3" xfId="26234" xr:uid="{00000000-0005-0000-0000-00001F150000}"/>
    <cellStyle name="Moneda 2 2 2 2 3 4 3" xfId="12602" xr:uid="{00000000-0005-0000-0000-000020150000}"/>
    <cellStyle name="Moneda 2 2 2 2 3 4 3 2" xfId="30784" xr:uid="{00000000-0005-0000-0000-000021150000}"/>
    <cellStyle name="Moneda 2 2 2 2 3 4 4" xfId="21694" xr:uid="{00000000-0005-0000-0000-000022150000}"/>
    <cellStyle name="Moneda 2 2 2 2 3 5" xfId="5129" xr:uid="{00000000-0005-0000-0000-000023150000}"/>
    <cellStyle name="Moneda 2 2 2 2 3 5 2" xfId="14229" xr:uid="{00000000-0005-0000-0000-000024150000}"/>
    <cellStyle name="Moneda 2 2 2 2 3 5 2 2" xfId="32411" xr:uid="{00000000-0005-0000-0000-000025150000}"/>
    <cellStyle name="Moneda 2 2 2 2 3 5 3" xfId="23321" xr:uid="{00000000-0005-0000-0000-000026150000}"/>
    <cellStyle name="Moneda 2 2 2 2 3 6" xfId="9695" xr:uid="{00000000-0005-0000-0000-000027150000}"/>
    <cellStyle name="Moneda 2 2 2 2 3 6 2" xfId="27877" xr:uid="{00000000-0005-0000-0000-000028150000}"/>
    <cellStyle name="Moneda 2 2 2 2 3 7" xfId="18786" xr:uid="{00000000-0005-0000-0000-000029150000}"/>
    <cellStyle name="Moneda 2 2 2 2 4" xfId="480" xr:uid="{00000000-0005-0000-0000-00002A150000}"/>
    <cellStyle name="Moneda 2 2 2 2 4 2" xfId="2007" xr:uid="{00000000-0005-0000-0000-00002B150000}"/>
    <cellStyle name="Moneda 2 2 2 2 4 2 2" xfId="6601" xr:uid="{00000000-0005-0000-0000-00002C150000}"/>
    <cellStyle name="Moneda 2 2 2 2 4 2 2 2" xfId="15701" xr:uid="{00000000-0005-0000-0000-00002D150000}"/>
    <cellStyle name="Moneda 2 2 2 2 4 2 2 2 2" xfId="33883" xr:uid="{00000000-0005-0000-0000-00002E150000}"/>
    <cellStyle name="Moneda 2 2 2 2 4 2 2 3" xfId="24793" xr:uid="{00000000-0005-0000-0000-00002F150000}"/>
    <cellStyle name="Moneda 2 2 2 2 4 2 3" xfId="11165" xr:uid="{00000000-0005-0000-0000-000030150000}"/>
    <cellStyle name="Moneda 2 2 2 2 4 2 3 2" xfId="29347" xr:uid="{00000000-0005-0000-0000-000031150000}"/>
    <cellStyle name="Moneda 2 2 2 2 4 2 4" xfId="20257" xr:uid="{00000000-0005-0000-0000-000032150000}"/>
    <cellStyle name="Moneda 2 2 2 2 4 3" xfId="3492" xr:uid="{00000000-0005-0000-0000-000033150000}"/>
    <cellStyle name="Moneda 2 2 2 2 4 3 2" xfId="8048" xr:uid="{00000000-0005-0000-0000-000034150000}"/>
    <cellStyle name="Moneda 2 2 2 2 4 3 2 2" xfId="17144" xr:uid="{00000000-0005-0000-0000-000035150000}"/>
    <cellStyle name="Moneda 2 2 2 2 4 3 2 2 2" xfId="35326" xr:uid="{00000000-0005-0000-0000-000036150000}"/>
    <cellStyle name="Moneda 2 2 2 2 4 3 2 3" xfId="26236" xr:uid="{00000000-0005-0000-0000-000037150000}"/>
    <cellStyle name="Moneda 2 2 2 2 4 3 3" xfId="12604" xr:uid="{00000000-0005-0000-0000-000038150000}"/>
    <cellStyle name="Moneda 2 2 2 2 4 3 3 2" xfId="30786" xr:uid="{00000000-0005-0000-0000-000039150000}"/>
    <cellStyle name="Moneda 2 2 2 2 4 3 4" xfId="21696" xr:uid="{00000000-0005-0000-0000-00003A150000}"/>
    <cellStyle name="Moneda 2 2 2 2 4 4" xfId="5131" xr:uid="{00000000-0005-0000-0000-00003B150000}"/>
    <cellStyle name="Moneda 2 2 2 2 4 4 2" xfId="14231" xr:uid="{00000000-0005-0000-0000-00003C150000}"/>
    <cellStyle name="Moneda 2 2 2 2 4 4 2 2" xfId="32413" xr:uid="{00000000-0005-0000-0000-00003D150000}"/>
    <cellStyle name="Moneda 2 2 2 2 4 4 3" xfId="23323" xr:uid="{00000000-0005-0000-0000-00003E150000}"/>
    <cellStyle name="Moneda 2 2 2 2 4 5" xfId="9697" xr:uid="{00000000-0005-0000-0000-00003F150000}"/>
    <cellStyle name="Moneda 2 2 2 2 4 5 2" xfId="27879" xr:uid="{00000000-0005-0000-0000-000040150000}"/>
    <cellStyle name="Moneda 2 2 2 2 4 6" xfId="18788" xr:uid="{00000000-0005-0000-0000-000041150000}"/>
    <cellStyle name="Moneda 2 2 2 2 5" xfId="481" xr:uid="{00000000-0005-0000-0000-000042150000}"/>
    <cellStyle name="Moneda 2 2 2 2 5 2" xfId="3493" xr:uid="{00000000-0005-0000-0000-000043150000}"/>
    <cellStyle name="Moneda 2 2 2 2 5 2 2" xfId="8049" xr:uid="{00000000-0005-0000-0000-000044150000}"/>
    <cellStyle name="Moneda 2 2 2 2 5 2 2 2" xfId="17145" xr:uid="{00000000-0005-0000-0000-000045150000}"/>
    <cellStyle name="Moneda 2 2 2 2 5 2 2 2 2" xfId="35327" xr:uid="{00000000-0005-0000-0000-000046150000}"/>
    <cellStyle name="Moneda 2 2 2 2 5 2 2 3" xfId="26237" xr:uid="{00000000-0005-0000-0000-000047150000}"/>
    <cellStyle name="Moneda 2 2 2 2 5 2 3" xfId="12605" xr:uid="{00000000-0005-0000-0000-000048150000}"/>
    <cellStyle name="Moneda 2 2 2 2 5 2 3 2" xfId="30787" xr:uid="{00000000-0005-0000-0000-000049150000}"/>
    <cellStyle name="Moneda 2 2 2 2 5 2 4" xfId="21697" xr:uid="{00000000-0005-0000-0000-00004A150000}"/>
    <cellStyle name="Moneda 2 2 2 2 5 3" xfId="5132" xr:uid="{00000000-0005-0000-0000-00004B150000}"/>
    <cellStyle name="Moneda 2 2 2 2 5 3 2" xfId="14232" xr:uid="{00000000-0005-0000-0000-00004C150000}"/>
    <cellStyle name="Moneda 2 2 2 2 5 3 2 2" xfId="32414" xr:uid="{00000000-0005-0000-0000-00004D150000}"/>
    <cellStyle name="Moneda 2 2 2 2 5 3 3" xfId="23324" xr:uid="{00000000-0005-0000-0000-00004E150000}"/>
    <cellStyle name="Moneda 2 2 2 2 5 4" xfId="9698" xr:uid="{00000000-0005-0000-0000-00004F150000}"/>
    <cellStyle name="Moneda 2 2 2 2 5 4 2" xfId="27880" xr:uid="{00000000-0005-0000-0000-000050150000}"/>
    <cellStyle name="Moneda 2 2 2 2 5 5" xfId="18789" xr:uid="{00000000-0005-0000-0000-000051150000}"/>
    <cellStyle name="Moneda 2 2 2 2 6" xfId="2008" xr:uid="{00000000-0005-0000-0000-000052150000}"/>
    <cellStyle name="Moneda 2 2 2 2 6 2" xfId="6602" xr:uid="{00000000-0005-0000-0000-000053150000}"/>
    <cellStyle name="Moneda 2 2 2 2 6 2 2" xfId="15702" xr:uid="{00000000-0005-0000-0000-000054150000}"/>
    <cellStyle name="Moneda 2 2 2 2 6 2 2 2" xfId="33884" xr:uid="{00000000-0005-0000-0000-000055150000}"/>
    <cellStyle name="Moneda 2 2 2 2 6 2 3" xfId="24794" xr:uid="{00000000-0005-0000-0000-000056150000}"/>
    <cellStyle name="Moneda 2 2 2 2 6 3" xfId="11166" xr:uid="{00000000-0005-0000-0000-000057150000}"/>
    <cellStyle name="Moneda 2 2 2 2 6 3 2" xfId="29348" xr:uid="{00000000-0005-0000-0000-000058150000}"/>
    <cellStyle name="Moneda 2 2 2 2 6 4" xfId="20258" xr:uid="{00000000-0005-0000-0000-000059150000}"/>
    <cellStyle name="Moneda 2 2 2 2 7" xfId="3484" xr:uid="{00000000-0005-0000-0000-00005A150000}"/>
    <cellStyle name="Moneda 2 2 2 2 7 2" xfId="8040" xr:uid="{00000000-0005-0000-0000-00005B150000}"/>
    <cellStyle name="Moneda 2 2 2 2 7 2 2" xfId="17136" xr:uid="{00000000-0005-0000-0000-00005C150000}"/>
    <cellStyle name="Moneda 2 2 2 2 7 2 2 2" xfId="35318" xr:uid="{00000000-0005-0000-0000-00005D150000}"/>
    <cellStyle name="Moneda 2 2 2 2 7 2 3" xfId="26228" xr:uid="{00000000-0005-0000-0000-00005E150000}"/>
    <cellStyle name="Moneda 2 2 2 2 7 3" xfId="12596" xr:uid="{00000000-0005-0000-0000-00005F150000}"/>
    <cellStyle name="Moneda 2 2 2 2 7 3 2" xfId="30778" xr:uid="{00000000-0005-0000-0000-000060150000}"/>
    <cellStyle name="Moneda 2 2 2 2 7 4" xfId="21688" xr:uid="{00000000-0005-0000-0000-000061150000}"/>
    <cellStyle name="Moneda 2 2 2 2 8" xfId="5123" xr:uid="{00000000-0005-0000-0000-000062150000}"/>
    <cellStyle name="Moneda 2 2 2 2 8 2" xfId="14223" xr:uid="{00000000-0005-0000-0000-000063150000}"/>
    <cellStyle name="Moneda 2 2 2 2 8 2 2" xfId="32405" xr:uid="{00000000-0005-0000-0000-000064150000}"/>
    <cellStyle name="Moneda 2 2 2 2 8 3" xfId="23315" xr:uid="{00000000-0005-0000-0000-000065150000}"/>
    <cellStyle name="Moneda 2 2 2 2 9" xfId="9689" xr:uid="{00000000-0005-0000-0000-000066150000}"/>
    <cellStyle name="Moneda 2 2 2 2 9 2" xfId="27871" xr:uid="{00000000-0005-0000-0000-000067150000}"/>
    <cellStyle name="Moneda 2 2 2 3" xfId="482" xr:uid="{00000000-0005-0000-0000-000068150000}"/>
    <cellStyle name="Moneda 2 2 2 3 2" xfId="483" xr:uid="{00000000-0005-0000-0000-000069150000}"/>
    <cellStyle name="Moneda 2 2 2 3 2 2" xfId="484" xr:uid="{00000000-0005-0000-0000-00006A150000}"/>
    <cellStyle name="Moneda 2 2 2 3 2 2 2" xfId="2009" xr:uid="{00000000-0005-0000-0000-00006B150000}"/>
    <cellStyle name="Moneda 2 2 2 3 2 2 2 2" xfId="6603" xr:uid="{00000000-0005-0000-0000-00006C150000}"/>
    <cellStyle name="Moneda 2 2 2 3 2 2 2 2 2" xfId="15703" xr:uid="{00000000-0005-0000-0000-00006D150000}"/>
    <cellStyle name="Moneda 2 2 2 3 2 2 2 2 2 2" xfId="33885" xr:uid="{00000000-0005-0000-0000-00006E150000}"/>
    <cellStyle name="Moneda 2 2 2 3 2 2 2 2 3" xfId="24795" xr:uid="{00000000-0005-0000-0000-00006F150000}"/>
    <cellStyle name="Moneda 2 2 2 3 2 2 2 3" xfId="11167" xr:uid="{00000000-0005-0000-0000-000070150000}"/>
    <cellStyle name="Moneda 2 2 2 3 2 2 2 3 2" xfId="29349" xr:uid="{00000000-0005-0000-0000-000071150000}"/>
    <cellStyle name="Moneda 2 2 2 3 2 2 2 4" xfId="20259" xr:uid="{00000000-0005-0000-0000-000072150000}"/>
    <cellStyle name="Moneda 2 2 2 3 2 2 3" xfId="3496" xr:uid="{00000000-0005-0000-0000-000073150000}"/>
    <cellStyle name="Moneda 2 2 2 3 2 2 3 2" xfId="8052" xr:uid="{00000000-0005-0000-0000-000074150000}"/>
    <cellStyle name="Moneda 2 2 2 3 2 2 3 2 2" xfId="17148" xr:uid="{00000000-0005-0000-0000-000075150000}"/>
    <cellStyle name="Moneda 2 2 2 3 2 2 3 2 2 2" xfId="35330" xr:uid="{00000000-0005-0000-0000-000076150000}"/>
    <cellStyle name="Moneda 2 2 2 3 2 2 3 2 3" xfId="26240" xr:uid="{00000000-0005-0000-0000-000077150000}"/>
    <cellStyle name="Moneda 2 2 2 3 2 2 3 3" xfId="12608" xr:uid="{00000000-0005-0000-0000-000078150000}"/>
    <cellStyle name="Moneda 2 2 2 3 2 2 3 3 2" xfId="30790" xr:uid="{00000000-0005-0000-0000-000079150000}"/>
    <cellStyle name="Moneda 2 2 2 3 2 2 3 4" xfId="21700" xr:uid="{00000000-0005-0000-0000-00007A150000}"/>
    <cellStyle name="Moneda 2 2 2 3 2 2 4" xfId="5135" xr:uid="{00000000-0005-0000-0000-00007B150000}"/>
    <cellStyle name="Moneda 2 2 2 3 2 2 4 2" xfId="14235" xr:uid="{00000000-0005-0000-0000-00007C150000}"/>
    <cellStyle name="Moneda 2 2 2 3 2 2 4 2 2" xfId="32417" xr:uid="{00000000-0005-0000-0000-00007D150000}"/>
    <cellStyle name="Moneda 2 2 2 3 2 2 4 3" xfId="23327" xr:uid="{00000000-0005-0000-0000-00007E150000}"/>
    <cellStyle name="Moneda 2 2 2 3 2 2 5" xfId="9701" xr:uid="{00000000-0005-0000-0000-00007F150000}"/>
    <cellStyle name="Moneda 2 2 2 3 2 2 5 2" xfId="27883" xr:uid="{00000000-0005-0000-0000-000080150000}"/>
    <cellStyle name="Moneda 2 2 2 3 2 2 6" xfId="18792" xr:uid="{00000000-0005-0000-0000-000081150000}"/>
    <cellStyle name="Moneda 2 2 2 3 2 3" xfId="2010" xr:uid="{00000000-0005-0000-0000-000082150000}"/>
    <cellStyle name="Moneda 2 2 2 3 2 3 2" xfId="6604" xr:uid="{00000000-0005-0000-0000-000083150000}"/>
    <cellStyle name="Moneda 2 2 2 3 2 3 2 2" xfId="15704" xr:uid="{00000000-0005-0000-0000-000084150000}"/>
    <cellStyle name="Moneda 2 2 2 3 2 3 2 2 2" xfId="33886" xr:uid="{00000000-0005-0000-0000-000085150000}"/>
    <cellStyle name="Moneda 2 2 2 3 2 3 2 3" xfId="24796" xr:uid="{00000000-0005-0000-0000-000086150000}"/>
    <cellStyle name="Moneda 2 2 2 3 2 3 3" xfId="11168" xr:uid="{00000000-0005-0000-0000-000087150000}"/>
    <cellStyle name="Moneda 2 2 2 3 2 3 3 2" xfId="29350" xr:uid="{00000000-0005-0000-0000-000088150000}"/>
    <cellStyle name="Moneda 2 2 2 3 2 3 4" xfId="20260" xr:uid="{00000000-0005-0000-0000-000089150000}"/>
    <cellStyle name="Moneda 2 2 2 3 2 4" xfId="3495" xr:uid="{00000000-0005-0000-0000-00008A150000}"/>
    <cellStyle name="Moneda 2 2 2 3 2 4 2" xfId="8051" xr:uid="{00000000-0005-0000-0000-00008B150000}"/>
    <cellStyle name="Moneda 2 2 2 3 2 4 2 2" xfId="17147" xr:uid="{00000000-0005-0000-0000-00008C150000}"/>
    <cellStyle name="Moneda 2 2 2 3 2 4 2 2 2" xfId="35329" xr:uid="{00000000-0005-0000-0000-00008D150000}"/>
    <cellStyle name="Moneda 2 2 2 3 2 4 2 3" xfId="26239" xr:uid="{00000000-0005-0000-0000-00008E150000}"/>
    <cellStyle name="Moneda 2 2 2 3 2 4 3" xfId="12607" xr:uid="{00000000-0005-0000-0000-00008F150000}"/>
    <cellStyle name="Moneda 2 2 2 3 2 4 3 2" xfId="30789" xr:uid="{00000000-0005-0000-0000-000090150000}"/>
    <cellStyle name="Moneda 2 2 2 3 2 4 4" xfId="21699" xr:uid="{00000000-0005-0000-0000-000091150000}"/>
    <cellStyle name="Moneda 2 2 2 3 2 5" xfId="5134" xr:uid="{00000000-0005-0000-0000-000092150000}"/>
    <cellStyle name="Moneda 2 2 2 3 2 5 2" xfId="14234" xr:uid="{00000000-0005-0000-0000-000093150000}"/>
    <cellStyle name="Moneda 2 2 2 3 2 5 2 2" xfId="32416" xr:uid="{00000000-0005-0000-0000-000094150000}"/>
    <cellStyle name="Moneda 2 2 2 3 2 5 3" xfId="23326" xr:uid="{00000000-0005-0000-0000-000095150000}"/>
    <cellStyle name="Moneda 2 2 2 3 2 6" xfId="9700" xr:uid="{00000000-0005-0000-0000-000096150000}"/>
    <cellStyle name="Moneda 2 2 2 3 2 6 2" xfId="27882" xr:uid="{00000000-0005-0000-0000-000097150000}"/>
    <cellStyle name="Moneda 2 2 2 3 2 7" xfId="18791" xr:uid="{00000000-0005-0000-0000-000098150000}"/>
    <cellStyle name="Moneda 2 2 2 3 3" xfId="485" xr:uid="{00000000-0005-0000-0000-000099150000}"/>
    <cellStyle name="Moneda 2 2 2 3 3 2" xfId="2011" xr:uid="{00000000-0005-0000-0000-00009A150000}"/>
    <cellStyle name="Moneda 2 2 2 3 3 2 2" xfId="6605" xr:uid="{00000000-0005-0000-0000-00009B150000}"/>
    <cellStyle name="Moneda 2 2 2 3 3 2 2 2" xfId="15705" xr:uid="{00000000-0005-0000-0000-00009C150000}"/>
    <cellStyle name="Moneda 2 2 2 3 3 2 2 2 2" xfId="33887" xr:uid="{00000000-0005-0000-0000-00009D150000}"/>
    <cellStyle name="Moneda 2 2 2 3 3 2 2 3" xfId="24797" xr:uid="{00000000-0005-0000-0000-00009E150000}"/>
    <cellStyle name="Moneda 2 2 2 3 3 2 3" xfId="11169" xr:uid="{00000000-0005-0000-0000-00009F150000}"/>
    <cellStyle name="Moneda 2 2 2 3 3 2 3 2" xfId="29351" xr:uid="{00000000-0005-0000-0000-0000A0150000}"/>
    <cellStyle name="Moneda 2 2 2 3 3 2 4" xfId="20261" xr:uid="{00000000-0005-0000-0000-0000A1150000}"/>
    <cellStyle name="Moneda 2 2 2 3 3 3" xfId="3497" xr:uid="{00000000-0005-0000-0000-0000A2150000}"/>
    <cellStyle name="Moneda 2 2 2 3 3 3 2" xfId="8053" xr:uid="{00000000-0005-0000-0000-0000A3150000}"/>
    <cellStyle name="Moneda 2 2 2 3 3 3 2 2" xfId="17149" xr:uid="{00000000-0005-0000-0000-0000A4150000}"/>
    <cellStyle name="Moneda 2 2 2 3 3 3 2 2 2" xfId="35331" xr:uid="{00000000-0005-0000-0000-0000A5150000}"/>
    <cellStyle name="Moneda 2 2 2 3 3 3 2 3" xfId="26241" xr:uid="{00000000-0005-0000-0000-0000A6150000}"/>
    <cellStyle name="Moneda 2 2 2 3 3 3 3" xfId="12609" xr:uid="{00000000-0005-0000-0000-0000A7150000}"/>
    <cellStyle name="Moneda 2 2 2 3 3 3 3 2" xfId="30791" xr:uid="{00000000-0005-0000-0000-0000A8150000}"/>
    <cellStyle name="Moneda 2 2 2 3 3 3 4" xfId="21701" xr:uid="{00000000-0005-0000-0000-0000A9150000}"/>
    <cellStyle name="Moneda 2 2 2 3 3 4" xfId="5136" xr:uid="{00000000-0005-0000-0000-0000AA150000}"/>
    <cellStyle name="Moneda 2 2 2 3 3 4 2" xfId="14236" xr:uid="{00000000-0005-0000-0000-0000AB150000}"/>
    <cellStyle name="Moneda 2 2 2 3 3 4 2 2" xfId="32418" xr:uid="{00000000-0005-0000-0000-0000AC150000}"/>
    <cellStyle name="Moneda 2 2 2 3 3 4 3" xfId="23328" xr:uid="{00000000-0005-0000-0000-0000AD150000}"/>
    <cellStyle name="Moneda 2 2 2 3 3 5" xfId="9702" xr:uid="{00000000-0005-0000-0000-0000AE150000}"/>
    <cellStyle name="Moneda 2 2 2 3 3 5 2" xfId="27884" xr:uid="{00000000-0005-0000-0000-0000AF150000}"/>
    <cellStyle name="Moneda 2 2 2 3 3 6" xfId="18793" xr:uid="{00000000-0005-0000-0000-0000B0150000}"/>
    <cellStyle name="Moneda 2 2 2 3 4" xfId="486" xr:uid="{00000000-0005-0000-0000-0000B1150000}"/>
    <cellStyle name="Moneda 2 2 2 3 4 2" xfId="3498" xr:uid="{00000000-0005-0000-0000-0000B2150000}"/>
    <cellStyle name="Moneda 2 2 2 3 4 2 2" xfId="8054" xr:uid="{00000000-0005-0000-0000-0000B3150000}"/>
    <cellStyle name="Moneda 2 2 2 3 4 2 2 2" xfId="17150" xr:uid="{00000000-0005-0000-0000-0000B4150000}"/>
    <cellStyle name="Moneda 2 2 2 3 4 2 2 2 2" xfId="35332" xr:uid="{00000000-0005-0000-0000-0000B5150000}"/>
    <cellStyle name="Moneda 2 2 2 3 4 2 2 3" xfId="26242" xr:uid="{00000000-0005-0000-0000-0000B6150000}"/>
    <cellStyle name="Moneda 2 2 2 3 4 2 3" xfId="12610" xr:uid="{00000000-0005-0000-0000-0000B7150000}"/>
    <cellStyle name="Moneda 2 2 2 3 4 2 3 2" xfId="30792" xr:uid="{00000000-0005-0000-0000-0000B8150000}"/>
    <cellStyle name="Moneda 2 2 2 3 4 2 4" xfId="21702" xr:uid="{00000000-0005-0000-0000-0000B9150000}"/>
    <cellStyle name="Moneda 2 2 2 3 4 3" xfId="5137" xr:uid="{00000000-0005-0000-0000-0000BA150000}"/>
    <cellStyle name="Moneda 2 2 2 3 4 3 2" xfId="14237" xr:uid="{00000000-0005-0000-0000-0000BB150000}"/>
    <cellStyle name="Moneda 2 2 2 3 4 3 2 2" xfId="32419" xr:uid="{00000000-0005-0000-0000-0000BC150000}"/>
    <cellStyle name="Moneda 2 2 2 3 4 3 3" xfId="23329" xr:uid="{00000000-0005-0000-0000-0000BD150000}"/>
    <cellStyle name="Moneda 2 2 2 3 4 4" xfId="9703" xr:uid="{00000000-0005-0000-0000-0000BE150000}"/>
    <cellStyle name="Moneda 2 2 2 3 4 4 2" xfId="27885" xr:uid="{00000000-0005-0000-0000-0000BF150000}"/>
    <cellStyle name="Moneda 2 2 2 3 4 5" xfId="18794" xr:uid="{00000000-0005-0000-0000-0000C0150000}"/>
    <cellStyle name="Moneda 2 2 2 3 5" xfId="2012" xr:uid="{00000000-0005-0000-0000-0000C1150000}"/>
    <cellStyle name="Moneda 2 2 2 3 6" xfId="3494" xr:uid="{00000000-0005-0000-0000-0000C2150000}"/>
    <cellStyle name="Moneda 2 2 2 3 6 2" xfId="8050" xr:uid="{00000000-0005-0000-0000-0000C3150000}"/>
    <cellStyle name="Moneda 2 2 2 3 6 2 2" xfId="17146" xr:uid="{00000000-0005-0000-0000-0000C4150000}"/>
    <cellStyle name="Moneda 2 2 2 3 6 2 2 2" xfId="35328" xr:uid="{00000000-0005-0000-0000-0000C5150000}"/>
    <cellStyle name="Moneda 2 2 2 3 6 2 3" xfId="26238" xr:uid="{00000000-0005-0000-0000-0000C6150000}"/>
    <cellStyle name="Moneda 2 2 2 3 6 3" xfId="12606" xr:uid="{00000000-0005-0000-0000-0000C7150000}"/>
    <cellStyle name="Moneda 2 2 2 3 6 3 2" xfId="30788" xr:uid="{00000000-0005-0000-0000-0000C8150000}"/>
    <cellStyle name="Moneda 2 2 2 3 6 4" xfId="21698" xr:uid="{00000000-0005-0000-0000-0000C9150000}"/>
    <cellStyle name="Moneda 2 2 2 3 7" xfId="5133" xr:uid="{00000000-0005-0000-0000-0000CA150000}"/>
    <cellStyle name="Moneda 2 2 2 3 7 2" xfId="14233" xr:uid="{00000000-0005-0000-0000-0000CB150000}"/>
    <cellStyle name="Moneda 2 2 2 3 7 2 2" xfId="32415" xr:uid="{00000000-0005-0000-0000-0000CC150000}"/>
    <cellStyle name="Moneda 2 2 2 3 7 3" xfId="23325" xr:uid="{00000000-0005-0000-0000-0000CD150000}"/>
    <cellStyle name="Moneda 2 2 2 3 8" xfId="9699" xr:uid="{00000000-0005-0000-0000-0000CE150000}"/>
    <cellStyle name="Moneda 2 2 2 3 8 2" xfId="27881" xr:uid="{00000000-0005-0000-0000-0000CF150000}"/>
    <cellStyle name="Moneda 2 2 2 3 9" xfId="18790" xr:uid="{00000000-0005-0000-0000-0000D0150000}"/>
    <cellStyle name="Moneda 2 2 2 4" xfId="487" xr:uid="{00000000-0005-0000-0000-0000D1150000}"/>
    <cellStyle name="Moneda 2 2 2 4 2" xfId="488" xr:uid="{00000000-0005-0000-0000-0000D2150000}"/>
    <cellStyle name="Moneda 2 2 2 4 2 2" xfId="2013" xr:uid="{00000000-0005-0000-0000-0000D3150000}"/>
    <cellStyle name="Moneda 2 2 2 4 2 2 2" xfId="6606" xr:uid="{00000000-0005-0000-0000-0000D4150000}"/>
    <cellStyle name="Moneda 2 2 2 4 2 2 2 2" xfId="15706" xr:uid="{00000000-0005-0000-0000-0000D5150000}"/>
    <cellStyle name="Moneda 2 2 2 4 2 2 2 2 2" xfId="33888" xr:uid="{00000000-0005-0000-0000-0000D6150000}"/>
    <cellStyle name="Moneda 2 2 2 4 2 2 2 3" xfId="24798" xr:uid="{00000000-0005-0000-0000-0000D7150000}"/>
    <cellStyle name="Moneda 2 2 2 4 2 2 3" xfId="11170" xr:uid="{00000000-0005-0000-0000-0000D8150000}"/>
    <cellStyle name="Moneda 2 2 2 4 2 2 3 2" xfId="29352" xr:uid="{00000000-0005-0000-0000-0000D9150000}"/>
    <cellStyle name="Moneda 2 2 2 4 2 2 4" xfId="20262" xr:uid="{00000000-0005-0000-0000-0000DA150000}"/>
    <cellStyle name="Moneda 2 2 2 4 2 3" xfId="3500" xr:uid="{00000000-0005-0000-0000-0000DB150000}"/>
    <cellStyle name="Moneda 2 2 2 4 2 3 2" xfId="8056" xr:uid="{00000000-0005-0000-0000-0000DC150000}"/>
    <cellStyle name="Moneda 2 2 2 4 2 3 2 2" xfId="17152" xr:uid="{00000000-0005-0000-0000-0000DD150000}"/>
    <cellStyle name="Moneda 2 2 2 4 2 3 2 2 2" xfId="35334" xr:uid="{00000000-0005-0000-0000-0000DE150000}"/>
    <cellStyle name="Moneda 2 2 2 4 2 3 2 3" xfId="26244" xr:uid="{00000000-0005-0000-0000-0000DF150000}"/>
    <cellStyle name="Moneda 2 2 2 4 2 3 3" xfId="12612" xr:uid="{00000000-0005-0000-0000-0000E0150000}"/>
    <cellStyle name="Moneda 2 2 2 4 2 3 3 2" xfId="30794" xr:uid="{00000000-0005-0000-0000-0000E1150000}"/>
    <cellStyle name="Moneda 2 2 2 4 2 3 4" xfId="21704" xr:uid="{00000000-0005-0000-0000-0000E2150000}"/>
    <cellStyle name="Moneda 2 2 2 4 2 4" xfId="5139" xr:uid="{00000000-0005-0000-0000-0000E3150000}"/>
    <cellStyle name="Moneda 2 2 2 4 2 4 2" xfId="14239" xr:uid="{00000000-0005-0000-0000-0000E4150000}"/>
    <cellStyle name="Moneda 2 2 2 4 2 4 2 2" xfId="32421" xr:uid="{00000000-0005-0000-0000-0000E5150000}"/>
    <cellStyle name="Moneda 2 2 2 4 2 4 3" xfId="23331" xr:uid="{00000000-0005-0000-0000-0000E6150000}"/>
    <cellStyle name="Moneda 2 2 2 4 2 5" xfId="9705" xr:uid="{00000000-0005-0000-0000-0000E7150000}"/>
    <cellStyle name="Moneda 2 2 2 4 2 5 2" xfId="27887" xr:uid="{00000000-0005-0000-0000-0000E8150000}"/>
    <cellStyle name="Moneda 2 2 2 4 2 6" xfId="18796" xr:uid="{00000000-0005-0000-0000-0000E9150000}"/>
    <cellStyle name="Moneda 2 2 2 4 3" xfId="2014" xr:uid="{00000000-0005-0000-0000-0000EA150000}"/>
    <cellStyle name="Moneda 2 2 2 4 3 2" xfId="6607" xr:uid="{00000000-0005-0000-0000-0000EB150000}"/>
    <cellStyle name="Moneda 2 2 2 4 3 2 2" xfId="15707" xr:uid="{00000000-0005-0000-0000-0000EC150000}"/>
    <cellStyle name="Moneda 2 2 2 4 3 2 2 2" xfId="33889" xr:uid="{00000000-0005-0000-0000-0000ED150000}"/>
    <cellStyle name="Moneda 2 2 2 4 3 2 3" xfId="24799" xr:uid="{00000000-0005-0000-0000-0000EE150000}"/>
    <cellStyle name="Moneda 2 2 2 4 3 3" xfId="11171" xr:uid="{00000000-0005-0000-0000-0000EF150000}"/>
    <cellStyle name="Moneda 2 2 2 4 3 3 2" xfId="29353" xr:uid="{00000000-0005-0000-0000-0000F0150000}"/>
    <cellStyle name="Moneda 2 2 2 4 3 4" xfId="20263" xr:uid="{00000000-0005-0000-0000-0000F1150000}"/>
    <cellStyle name="Moneda 2 2 2 4 4" xfId="3499" xr:uid="{00000000-0005-0000-0000-0000F2150000}"/>
    <cellStyle name="Moneda 2 2 2 4 4 2" xfId="8055" xr:uid="{00000000-0005-0000-0000-0000F3150000}"/>
    <cellStyle name="Moneda 2 2 2 4 4 2 2" xfId="17151" xr:uid="{00000000-0005-0000-0000-0000F4150000}"/>
    <cellStyle name="Moneda 2 2 2 4 4 2 2 2" xfId="35333" xr:uid="{00000000-0005-0000-0000-0000F5150000}"/>
    <cellStyle name="Moneda 2 2 2 4 4 2 3" xfId="26243" xr:uid="{00000000-0005-0000-0000-0000F6150000}"/>
    <cellStyle name="Moneda 2 2 2 4 4 3" xfId="12611" xr:uid="{00000000-0005-0000-0000-0000F7150000}"/>
    <cellStyle name="Moneda 2 2 2 4 4 3 2" xfId="30793" xr:uid="{00000000-0005-0000-0000-0000F8150000}"/>
    <cellStyle name="Moneda 2 2 2 4 4 4" xfId="21703" xr:uid="{00000000-0005-0000-0000-0000F9150000}"/>
    <cellStyle name="Moneda 2 2 2 4 5" xfId="5138" xr:uid="{00000000-0005-0000-0000-0000FA150000}"/>
    <cellStyle name="Moneda 2 2 2 4 5 2" xfId="14238" xr:uid="{00000000-0005-0000-0000-0000FB150000}"/>
    <cellStyle name="Moneda 2 2 2 4 5 2 2" xfId="32420" xr:uid="{00000000-0005-0000-0000-0000FC150000}"/>
    <cellStyle name="Moneda 2 2 2 4 5 3" xfId="23330" xr:uid="{00000000-0005-0000-0000-0000FD150000}"/>
    <cellStyle name="Moneda 2 2 2 4 6" xfId="9704" xr:uid="{00000000-0005-0000-0000-0000FE150000}"/>
    <cellStyle name="Moneda 2 2 2 4 6 2" xfId="27886" xr:uid="{00000000-0005-0000-0000-0000FF150000}"/>
    <cellStyle name="Moneda 2 2 2 4 7" xfId="18795" xr:uid="{00000000-0005-0000-0000-000000160000}"/>
    <cellStyle name="Moneda 2 2 2 5" xfId="489" xr:uid="{00000000-0005-0000-0000-000001160000}"/>
    <cellStyle name="Moneda 2 2 2 5 2" xfId="2015" xr:uid="{00000000-0005-0000-0000-000002160000}"/>
    <cellStyle name="Moneda 2 2 2 5 2 2" xfId="6608" xr:uid="{00000000-0005-0000-0000-000003160000}"/>
    <cellStyle name="Moneda 2 2 2 5 2 2 2" xfId="15708" xr:uid="{00000000-0005-0000-0000-000004160000}"/>
    <cellStyle name="Moneda 2 2 2 5 2 2 2 2" xfId="33890" xr:uid="{00000000-0005-0000-0000-000005160000}"/>
    <cellStyle name="Moneda 2 2 2 5 2 2 3" xfId="24800" xr:uid="{00000000-0005-0000-0000-000006160000}"/>
    <cellStyle name="Moneda 2 2 2 5 2 3" xfId="11172" xr:uid="{00000000-0005-0000-0000-000007160000}"/>
    <cellStyle name="Moneda 2 2 2 5 2 3 2" xfId="29354" xr:uid="{00000000-0005-0000-0000-000008160000}"/>
    <cellStyle name="Moneda 2 2 2 5 2 4" xfId="20264" xr:uid="{00000000-0005-0000-0000-000009160000}"/>
    <cellStyle name="Moneda 2 2 2 5 3" xfId="3501" xr:uid="{00000000-0005-0000-0000-00000A160000}"/>
    <cellStyle name="Moneda 2 2 2 5 3 2" xfId="8057" xr:uid="{00000000-0005-0000-0000-00000B160000}"/>
    <cellStyle name="Moneda 2 2 2 5 3 2 2" xfId="17153" xr:uid="{00000000-0005-0000-0000-00000C160000}"/>
    <cellStyle name="Moneda 2 2 2 5 3 2 2 2" xfId="35335" xr:uid="{00000000-0005-0000-0000-00000D160000}"/>
    <cellStyle name="Moneda 2 2 2 5 3 2 3" xfId="26245" xr:uid="{00000000-0005-0000-0000-00000E160000}"/>
    <cellStyle name="Moneda 2 2 2 5 3 3" xfId="12613" xr:uid="{00000000-0005-0000-0000-00000F160000}"/>
    <cellStyle name="Moneda 2 2 2 5 3 3 2" xfId="30795" xr:uid="{00000000-0005-0000-0000-000010160000}"/>
    <cellStyle name="Moneda 2 2 2 5 3 4" xfId="21705" xr:uid="{00000000-0005-0000-0000-000011160000}"/>
    <cellStyle name="Moneda 2 2 2 5 4" xfId="5140" xr:uid="{00000000-0005-0000-0000-000012160000}"/>
    <cellStyle name="Moneda 2 2 2 5 4 2" xfId="14240" xr:uid="{00000000-0005-0000-0000-000013160000}"/>
    <cellStyle name="Moneda 2 2 2 5 4 2 2" xfId="32422" xr:uid="{00000000-0005-0000-0000-000014160000}"/>
    <cellStyle name="Moneda 2 2 2 5 4 3" xfId="23332" xr:uid="{00000000-0005-0000-0000-000015160000}"/>
    <cellStyle name="Moneda 2 2 2 5 5" xfId="9706" xr:uid="{00000000-0005-0000-0000-000016160000}"/>
    <cellStyle name="Moneda 2 2 2 5 5 2" xfId="27888" xr:uid="{00000000-0005-0000-0000-000017160000}"/>
    <cellStyle name="Moneda 2 2 2 5 6" xfId="18797" xr:uid="{00000000-0005-0000-0000-000018160000}"/>
    <cellStyle name="Moneda 2 2 2 6" xfId="490" xr:uid="{00000000-0005-0000-0000-000019160000}"/>
    <cellStyle name="Moneda 2 2 2 6 2" xfId="3502" xr:uid="{00000000-0005-0000-0000-00001A160000}"/>
    <cellStyle name="Moneda 2 2 2 6 2 2" xfId="8058" xr:uid="{00000000-0005-0000-0000-00001B160000}"/>
    <cellStyle name="Moneda 2 2 2 6 2 2 2" xfId="17154" xr:uid="{00000000-0005-0000-0000-00001C160000}"/>
    <cellStyle name="Moneda 2 2 2 6 2 2 2 2" xfId="35336" xr:uid="{00000000-0005-0000-0000-00001D160000}"/>
    <cellStyle name="Moneda 2 2 2 6 2 2 3" xfId="26246" xr:uid="{00000000-0005-0000-0000-00001E160000}"/>
    <cellStyle name="Moneda 2 2 2 6 2 3" xfId="12614" xr:uid="{00000000-0005-0000-0000-00001F160000}"/>
    <cellStyle name="Moneda 2 2 2 6 2 3 2" xfId="30796" xr:uid="{00000000-0005-0000-0000-000020160000}"/>
    <cellStyle name="Moneda 2 2 2 6 2 4" xfId="21706" xr:uid="{00000000-0005-0000-0000-000021160000}"/>
    <cellStyle name="Moneda 2 2 2 6 3" xfId="5141" xr:uid="{00000000-0005-0000-0000-000022160000}"/>
    <cellStyle name="Moneda 2 2 2 6 3 2" xfId="14241" xr:uid="{00000000-0005-0000-0000-000023160000}"/>
    <cellStyle name="Moneda 2 2 2 6 3 2 2" xfId="32423" xr:uid="{00000000-0005-0000-0000-000024160000}"/>
    <cellStyle name="Moneda 2 2 2 6 3 3" xfId="23333" xr:uid="{00000000-0005-0000-0000-000025160000}"/>
    <cellStyle name="Moneda 2 2 2 6 4" xfId="9707" xr:uid="{00000000-0005-0000-0000-000026160000}"/>
    <cellStyle name="Moneda 2 2 2 6 4 2" xfId="27889" xr:uid="{00000000-0005-0000-0000-000027160000}"/>
    <cellStyle name="Moneda 2 2 2 6 5" xfId="18798" xr:uid="{00000000-0005-0000-0000-000028160000}"/>
    <cellStyle name="Moneda 2 2 2 7" xfId="2016" xr:uid="{00000000-0005-0000-0000-000029160000}"/>
    <cellStyle name="Moneda 2 2 2 7 2" xfId="6609" xr:uid="{00000000-0005-0000-0000-00002A160000}"/>
    <cellStyle name="Moneda 2 2 2 7 2 2" xfId="15709" xr:uid="{00000000-0005-0000-0000-00002B160000}"/>
    <cellStyle name="Moneda 2 2 2 7 2 2 2" xfId="33891" xr:uid="{00000000-0005-0000-0000-00002C160000}"/>
    <cellStyle name="Moneda 2 2 2 7 2 3" xfId="24801" xr:uid="{00000000-0005-0000-0000-00002D160000}"/>
    <cellStyle name="Moneda 2 2 2 7 3" xfId="11173" xr:uid="{00000000-0005-0000-0000-00002E160000}"/>
    <cellStyle name="Moneda 2 2 2 7 3 2" xfId="29355" xr:uid="{00000000-0005-0000-0000-00002F160000}"/>
    <cellStyle name="Moneda 2 2 2 7 4" xfId="20265" xr:uid="{00000000-0005-0000-0000-000030160000}"/>
    <cellStyle name="Moneda 2 2 2 8" xfId="3189" xr:uid="{00000000-0005-0000-0000-000031160000}"/>
    <cellStyle name="Moneda 2 2 2 8 2" xfId="7749" xr:uid="{00000000-0005-0000-0000-000032160000}"/>
    <cellStyle name="Moneda 2 2 2 8 2 2" xfId="16845" xr:uid="{00000000-0005-0000-0000-000033160000}"/>
    <cellStyle name="Moneda 2 2 2 8 2 2 2" xfId="35027" xr:uid="{00000000-0005-0000-0000-000034160000}"/>
    <cellStyle name="Moneda 2 2 2 8 2 3" xfId="25937" xr:uid="{00000000-0005-0000-0000-000035160000}"/>
    <cellStyle name="Moneda 2 2 2 8 3" xfId="12305" xr:uid="{00000000-0005-0000-0000-000036160000}"/>
    <cellStyle name="Moneda 2 2 2 8 3 2" xfId="30487" xr:uid="{00000000-0005-0000-0000-000037160000}"/>
    <cellStyle name="Moneda 2 2 2 8 4" xfId="21397" xr:uid="{00000000-0005-0000-0000-000038160000}"/>
    <cellStyle name="Moneda 2 2 2 9" xfId="4839" xr:uid="{00000000-0005-0000-0000-000039160000}"/>
    <cellStyle name="Moneda 2 2 2 9 2" xfId="13939" xr:uid="{00000000-0005-0000-0000-00003A160000}"/>
    <cellStyle name="Moneda 2 2 2 9 2 2" xfId="32121" xr:uid="{00000000-0005-0000-0000-00003B160000}"/>
    <cellStyle name="Moneda 2 2 2 9 3" xfId="23031" xr:uid="{00000000-0005-0000-0000-00003C160000}"/>
    <cellStyle name="Moneda 2 2 3" xfId="491" xr:uid="{00000000-0005-0000-0000-00003D160000}"/>
    <cellStyle name="Moneda 2 2 3 10" xfId="18799" xr:uid="{00000000-0005-0000-0000-00003E160000}"/>
    <cellStyle name="Moneda 2 2 3 2" xfId="492" xr:uid="{00000000-0005-0000-0000-00003F160000}"/>
    <cellStyle name="Moneda 2 2 3 2 2" xfId="493" xr:uid="{00000000-0005-0000-0000-000040160000}"/>
    <cellStyle name="Moneda 2 2 3 2 2 2" xfId="494" xr:uid="{00000000-0005-0000-0000-000041160000}"/>
    <cellStyle name="Moneda 2 2 3 2 2 2 2" xfId="2017" xr:uid="{00000000-0005-0000-0000-000042160000}"/>
    <cellStyle name="Moneda 2 2 3 2 2 2 2 2" xfId="6610" xr:uid="{00000000-0005-0000-0000-000043160000}"/>
    <cellStyle name="Moneda 2 2 3 2 2 2 2 2 2" xfId="15710" xr:uid="{00000000-0005-0000-0000-000044160000}"/>
    <cellStyle name="Moneda 2 2 3 2 2 2 2 2 2 2" xfId="33892" xr:uid="{00000000-0005-0000-0000-000045160000}"/>
    <cellStyle name="Moneda 2 2 3 2 2 2 2 2 3" xfId="24802" xr:uid="{00000000-0005-0000-0000-000046160000}"/>
    <cellStyle name="Moneda 2 2 3 2 2 2 2 3" xfId="11174" xr:uid="{00000000-0005-0000-0000-000047160000}"/>
    <cellStyle name="Moneda 2 2 3 2 2 2 2 3 2" xfId="29356" xr:uid="{00000000-0005-0000-0000-000048160000}"/>
    <cellStyle name="Moneda 2 2 3 2 2 2 2 4" xfId="20266" xr:uid="{00000000-0005-0000-0000-000049160000}"/>
    <cellStyle name="Moneda 2 2 3 2 2 2 3" xfId="3506" xr:uid="{00000000-0005-0000-0000-00004A160000}"/>
    <cellStyle name="Moneda 2 2 3 2 2 2 3 2" xfId="8062" xr:uid="{00000000-0005-0000-0000-00004B160000}"/>
    <cellStyle name="Moneda 2 2 3 2 2 2 3 2 2" xfId="17158" xr:uid="{00000000-0005-0000-0000-00004C160000}"/>
    <cellStyle name="Moneda 2 2 3 2 2 2 3 2 2 2" xfId="35340" xr:uid="{00000000-0005-0000-0000-00004D160000}"/>
    <cellStyle name="Moneda 2 2 3 2 2 2 3 2 3" xfId="26250" xr:uid="{00000000-0005-0000-0000-00004E160000}"/>
    <cellStyle name="Moneda 2 2 3 2 2 2 3 3" xfId="12618" xr:uid="{00000000-0005-0000-0000-00004F160000}"/>
    <cellStyle name="Moneda 2 2 3 2 2 2 3 3 2" xfId="30800" xr:uid="{00000000-0005-0000-0000-000050160000}"/>
    <cellStyle name="Moneda 2 2 3 2 2 2 3 4" xfId="21710" xr:uid="{00000000-0005-0000-0000-000051160000}"/>
    <cellStyle name="Moneda 2 2 3 2 2 2 4" xfId="5145" xr:uid="{00000000-0005-0000-0000-000052160000}"/>
    <cellStyle name="Moneda 2 2 3 2 2 2 4 2" xfId="14245" xr:uid="{00000000-0005-0000-0000-000053160000}"/>
    <cellStyle name="Moneda 2 2 3 2 2 2 4 2 2" xfId="32427" xr:uid="{00000000-0005-0000-0000-000054160000}"/>
    <cellStyle name="Moneda 2 2 3 2 2 2 4 3" xfId="23337" xr:uid="{00000000-0005-0000-0000-000055160000}"/>
    <cellStyle name="Moneda 2 2 3 2 2 2 5" xfId="9711" xr:uid="{00000000-0005-0000-0000-000056160000}"/>
    <cellStyle name="Moneda 2 2 3 2 2 2 5 2" xfId="27893" xr:uid="{00000000-0005-0000-0000-000057160000}"/>
    <cellStyle name="Moneda 2 2 3 2 2 2 6" xfId="18802" xr:uid="{00000000-0005-0000-0000-000058160000}"/>
    <cellStyle name="Moneda 2 2 3 2 2 3" xfId="2018" xr:uid="{00000000-0005-0000-0000-000059160000}"/>
    <cellStyle name="Moneda 2 2 3 2 2 3 2" xfId="6611" xr:uid="{00000000-0005-0000-0000-00005A160000}"/>
    <cellStyle name="Moneda 2 2 3 2 2 3 2 2" xfId="15711" xr:uid="{00000000-0005-0000-0000-00005B160000}"/>
    <cellStyle name="Moneda 2 2 3 2 2 3 2 2 2" xfId="33893" xr:uid="{00000000-0005-0000-0000-00005C160000}"/>
    <cellStyle name="Moneda 2 2 3 2 2 3 2 3" xfId="24803" xr:uid="{00000000-0005-0000-0000-00005D160000}"/>
    <cellStyle name="Moneda 2 2 3 2 2 3 3" xfId="11175" xr:uid="{00000000-0005-0000-0000-00005E160000}"/>
    <cellStyle name="Moneda 2 2 3 2 2 3 3 2" xfId="29357" xr:uid="{00000000-0005-0000-0000-00005F160000}"/>
    <cellStyle name="Moneda 2 2 3 2 2 3 4" xfId="20267" xr:uid="{00000000-0005-0000-0000-000060160000}"/>
    <cellStyle name="Moneda 2 2 3 2 2 4" xfId="3505" xr:uid="{00000000-0005-0000-0000-000061160000}"/>
    <cellStyle name="Moneda 2 2 3 2 2 4 2" xfId="8061" xr:uid="{00000000-0005-0000-0000-000062160000}"/>
    <cellStyle name="Moneda 2 2 3 2 2 4 2 2" xfId="17157" xr:uid="{00000000-0005-0000-0000-000063160000}"/>
    <cellStyle name="Moneda 2 2 3 2 2 4 2 2 2" xfId="35339" xr:uid="{00000000-0005-0000-0000-000064160000}"/>
    <cellStyle name="Moneda 2 2 3 2 2 4 2 3" xfId="26249" xr:uid="{00000000-0005-0000-0000-000065160000}"/>
    <cellStyle name="Moneda 2 2 3 2 2 4 3" xfId="12617" xr:uid="{00000000-0005-0000-0000-000066160000}"/>
    <cellStyle name="Moneda 2 2 3 2 2 4 3 2" xfId="30799" xr:uid="{00000000-0005-0000-0000-000067160000}"/>
    <cellStyle name="Moneda 2 2 3 2 2 4 4" xfId="21709" xr:uid="{00000000-0005-0000-0000-000068160000}"/>
    <cellStyle name="Moneda 2 2 3 2 2 5" xfId="5144" xr:uid="{00000000-0005-0000-0000-000069160000}"/>
    <cellStyle name="Moneda 2 2 3 2 2 5 2" xfId="14244" xr:uid="{00000000-0005-0000-0000-00006A160000}"/>
    <cellStyle name="Moneda 2 2 3 2 2 5 2 2" xfId="32426" xr:uid="{00000000-0005-0000-0000-00006B160000}"/>
    <cellStyle name="Moneda 2 2 3 2 2 5 3" xfId="23336" xr:uid="{00000000-0005-0000-0000-00006C160000}"/>
    <cellStyle name="Moneda 2 2 3 2 2 6" xfId="9710" xr:uid="{00000000-0005-0000-0000-00006D160000}"/>
    <cellStyle name="Moneda 2 2 3 2 2 6 2" xfId="27892" xr:uid="{00000000-0005-0000-0000-00006E160000}"/>
    <cellStyle name="Moneda 2 2 3 2 2 7" xfId="18801" xr:uid="{00000000-0005-0000-0000-00006F160000}"/>
    <cellStyle name="Moneda 2 2 3 2 3" xfId="495" xr:uid="{00000000-0005-0000-0000-000070160000}"/>
    <cellStyle name="Moneda 2 2 3 2 3 2" xfId="2019" xr:uid="{00000000-0005-0000-0000-000071160000}"/>
    <cellStyle name="Moneda 2 2 3 2 3 2 2" xfId="6612" xr:uid="{00000000-0005-0000-0000-000072160000}"/>
    <cellStyle name="Moneda 2 2 3 2 3 2 2 2" xfId="15712" xr:uid="{00000000-0005-0000-0000-000073160000}"/>
    <cellStyle name="Moneda 2 2 3 2 3 2 2 2 2" xfId="33894" xr:uid="{00000000-0005-0000-0000-000074160000}"/>
    <cellStyle name="Moneda 2 2 3 2 3 2 2 3" xfId="24804" xr:uid="{00000000-0005-0000-0000-000075160000}"/>
    <cellStyle name="Moneda 2 2 3 2 3 2 3" xfId="11176" xr:uid="{00000000-0005-0000-0000-000076160000}"/>
    <cellStyle name="Moneda 2 2 3 2 3 2 3 2" xfId="29358" xr:uid="{00000000-0005-0000-0000-000077160000}"/>
    <cellStyle name="Moneda 2 2 3 2 3 2 4" xfId="20268" xr:uid="{00000000-0005-0000-0000-000078160000}"/>
    <cellStyle name="Moneda 2 2 3 2 3 3" xfId="3507" xr:uid="{00000000-0005-0000-0000-000079160000}"/>
    <cellStyle name="Moneda 2 2 3 2 3 3 2" xfId="8063" xr:uid="{00000000-0005-0000-0000-00007A160000}"/>
    <cellStyle name="Moneda 2 2 3 2 3 3 2 2" xfId="17159" xr:uid="{00000000-0005-0000-0000-00007B160000}"/>
    <cellStyle name="Moneda 2 2 3 2 3 3 2 2 2" xfId="35341" xr:uid="{00000000-0005-0000-0000-00007C160000}"/>
    <cellStyle name="Moneda 2 2 3 2 3 3 2 3" xfId="26251" xr:uid="{00000000-0005-0000-0000-00007D160000}"/>
    <cellStyle name="Moneda 2 2 3 2 3 3 3" xfId="12619" xr:uid="{00000000-0005-0000-0000-00007E160000}"/>
    <cellStyle name="Moneda 2 2 3 2 3 3 3 2" xfId="30801" xr:uid="{00000000-0005-0000-0000-00007F160000}"/>
    <cellStyle name="Moneda 2 2 3 2 3 3 4" xfId="21711" xr:uid="{00000000-0005-0000-0000-000080160000}"/>
    <cellStyle name="Moneda 2 2 3 2 3 4" xfId="5146" xr:uid="{00000000-0005-0000-0000-000081160000}"/>
    <cellStyle name="Moneda 2 2 3 2 3 4 2" xfId="14246" xr:uid="{00000000-0005-0000-0000-000082160000}"/>
    <cellStyle name="Moneda 2 2 3 2 3 4 2 2" xfId="32428" xr:uid="{00000000-0005-0000-0000-000083160000}"/>
    <cellStyle name="Moneda 2 2 3 2 3 4 3" xfId="23338" xr:uid="{00000000-0005-0000-0000-000084160000}"/>
    <cellStyle name="Moneda 2 2 3 2 3 5" xfId="9712" xr:uid="{00000000-0005-0000-0000-000085160000}"/>
    <cellStyle name="Moneda 2 2 3 2 3 5 2" xfId="27894" xr:uid="{00000000-0005-0000-0000-000086160000}"/>
    <cellStyle name="Moneda 2 2 3 2 3 6" xfId="18803" xr:uid="{00000000-0005-0000-0000-000087160000}"/>
    <cellStyle name="Moneda 2 2 3 2 4" xfId="496" xr:uid="{00000000-0005-0000-0000-000088160000}"/>
    <cellStyle name="Moneda 2 2 3 2 4 2" xfId="3508" xr:uid="{00000000-0005-0000-0000-000089160000}"/>
    <cellStyle name="Moneda 2 2 3 2 4 2 2" xfId="8064" xr:uid="{00000000-0005-0000-0000-00008A160000}"/>
    <cellStyle name="Moneda 2 2 3 2 4 2 2 2" xfId="17160" xr:uid="{00000000-0005-0000-0000-00008B160000}"/>
    <cellStyle name="Moneda 2 2 3 2 4 2 2 2 2" xfId="35342" xr:uid="{00000000-0005-0000-0000-00008C160000}"/>
    <cellStyle name="Moneda 2 2 3 2 4 2 2 3" xfId="26252" xr:uid="{00000000-0005-0000-0000-00008D160000}"/>
    <cellStyle name="Moneda 2 2 3 2 4 2 3" xfId="12620" xr:uid="{00000000-0005-0000-0000-00008E160000}"/>
    <cellStyle name="Moneda 2 2 3 2 4 2 3 2" xfId="30802" xr:uid="{00000000-0005-0000-0000-00008F160000}"/>
    <cellStyle name="Moneda 2 2 3 2 4 2 4" xfId="21712" xr:uid="{00000000-0005-0000-0000-000090160000}"/>
    <cellStyle name="Moneda 2 2 3 2 4 3" xfId="5147" xr:uid="{00000000-0005-0000-0000-000091160000}"/>
    <cellStyle name="Moneda 2 2 3 2 4 3 2" xfId="14247" xr:uid="{00000000-0005-0000-0000-000092160000}"/>
    <cellStyle name="Moneda 2 2 3 2 4 3 2 2" xfId="32429" xr:uid="{00000000-0005-0000-0000-000093160000}"/>
    <cellStyle name="Moneda 2 2 3 2 4 3 3" xfId="23339" xr:uid="{00000000-0005-0000-0000-000094160000}"/>
    <cellStyle name="Moneda 2 2 3 2 4 4" xfId="9713" xr:uid="{00000000-0005-0000-0000-000095160000}"/>
    <cellStyle name="Moneda 2 2 3 2 4 4 2" xfId="27895" xr:uid="{00000000-0005-0000-0000-000096160000}"/>
    <cellStyle name="Moneda 2 2 3 2 4 5" xfId="18804" xr:uid="{00000000-0005-0000-0000-000097160000}"/>
    <cellStyle name="Moneda 2 2 3 2 5" xfId="2020" xr:uid="{00000000-0005-0000-0000-000098160000}"/>
    <cellStyle name="Moneda 2 2 3 2 6" xfId="3504" xr:uid="{00000000-0005-0000-0000-000099160000}"/>
    <cellStyle name="Moneda 2 2 3 2 6 2" xfId="8060" xr:uid="{00000000-0005-0000-0000-00009A160000}"/>
    <cellStyle name="Moneda 2 2 3 2 6 2 2" xfId="17156" xr:uid="{00000000-0005-0000-0000-00009B160000}"/>
    <cellStyle name="Moneda 2 2 3 2 6 2 2 2" xfId="35338" xr:uid="{00000000-0005-0000-0000-00009C160000}"/>
    <cellStyle name="Moneda 2 2 3 2 6 2 3" xfId="26248" xr:uid="{00000000-0005-0000-0000-00009D160000}"/>
    <cellStyle name="Moneda 2 2 3 2 6 3" xfId="12616" xr:uid="{00000000-0005-0000-0000-00009E160000}"/>
    <cellStyle name="Moneda 2 2 3 2 6 3 2" xfId="30798" xr:uid="{00000000-0005-0000-0000-00009F160000}"/>
    <cellStyle name="Moneda 2 2 3 2 6 4" xfId="21708" xr:uid="{00000000-0005-0000-0000-0000A0160000}"/>
    <cellStyle name="Moneda 2 2 3 2 7" xfId="5143" xr:uid="{00000000-0005-0000-0000-0000A1160000}"/>
    <cellStyle name="Moneda 2 2 3 2 7 2" xfId="14243" xr:uid="{00000000-0005-0000-0000-0000A2160000}"/>
    <cellStyle name="Moneda 2 2 3 2 7 2 2" xfId="32425" xr:uid="{00000000-0005-0000-0000-0000A3160000}"/>
    <cellStyle name="Moneda 2 2 3 2 7 3" xfId="23335" xr:uid="{00000000-0005-0000-0000-0000A4160000}"/>
    <cellStyle name="Moneda 2 2 3 2 8" xfId="9709" xr:uid="{00000000-0005-0000-0000-0000A5160000}"/>
    <cellStyle name="Moneda 2 2 3 2 8 2" xfId="27891" xr:uid="{00000000-0005-0000-0000-0000A6160000}"/>
    <cellStyle name="Moneda 2 2 3 2 9" xfId="18800" xr:uid="{00000000-0005-0000-0000-0000A7160000}"/>
    <cellStyle name="Moneda 2 2 3 3" xfId="497" xr:uid="{00000000-0005-0000-0000-0000A8160000}"/>
    <cellStyle name="Moneda 2 2 3 3 2" xfId="498" xr:uid="{00000000-0005-0000-0000-0000A9160000}"/>
    <cellStyle name="Moneda 2 2 3 3 2 2" xfId="2021" xr:uid="{00000000-0005-0000-0000-0000AA160000}"/>
    <cellStyle name="Moneda 2 2 3 3 2 2 2" xfId="6613" xr:uid="{00000000-0005-0000-0000-0000AB160000}"/>
    <cellStyle name="Moneda 2 2 3 3 2 2 2 2" xfId="15713" xr:uid="{00000000-0005-0000-0000-0000AC160000}"/>
    <cellStyle name="Moneda 2 2 3 3 2 2 2 2 2" xfId="33895" xr:uid="{00000000-0005-0000-0000-0000AD160000}"/>
    <cellStyle name="Moneda 2 2 3 3 2 2 2 3" xfId="24805" xr:uid="{00000000-0005-0000-0000-0000AE160000}"/>
    <cellStyle name="Moneda 2 2 3 3 2 2 3" xfId="11177" xr:uid="{00000000-0005-0000-0000-0000AF160000}"/>
    <cellStyle name="Moneda 2 2 3 3 2 2 3 2" xfId="29359" xr:uid="{00000000-0005-0000-0000-0000B0160000}"/>
    <cellStyle name="Moneda 2 2 3 3 2 2 4" xfId="20269" xr:uid="{00000000-0005-0000-0000-0000B1160000}"/>
    <cellStyle name="Moneda 2 2 3 3 2 3" xfId="3510" xr:uid="{00000000-0005-0000-0000-0000B2160000}"/>
    <cellStyle name="Moneda 2 2 3 3 2 3 2" xfId="8066" xr:uid="{00000000-0005-0000-0000-0000B3160000}"/>
    <cellStyle name="Moneda 2 2 3 3 2 3 2 2" xfId="17162" xr:uid="{00000000-0005-0000-0000-0000B4160000}"/>
    <cellStyle name="Moneda 2 2 3 3 2 3 2 2 2" xfId="35344" xr:uid="{00000000-0005-0000-0000-0000B5160000}"/>
    <cellStyle name="Moneda 2 2 3 3 2 3 2 3" xfId="26254" xr:uid="{00000000-0005-0000-0000-0000B6160000}"/>
    <cellStyle name="Moneda 2 2 3 3 2 3 3" xfId="12622" xr:uid="{00000000-0005-0000-0000-0000B7160000}"/>
    <cellStyle name="Moneda 2 2 3 3 2 3 3 2" xfId="30804" xr:uid="{00000000-0005-0000-0000-0000B8160000}"/>
    <cellStyle name="Moneda 2 2 3 3 2 3 4" xfId="21714" xr:uid="{00000000-0005-0000-0000-0000B9160000}"/>
    <cellStyle name="Moneda 2 2 3 3 2 4" xfId="5149" xr:uid="{00000000-0005-0000-0000-0000BA160000}"/>
    <cellStyle name="Moneda 2 2 3 3 2 4 2" xfId="14249" xr:uid="{00000000-0005-0000-0000-0000BB160000}"/>
    <cellStyle name="Moneda 2 2 3 3 2 4 2 2" xfId="32431" xr:uid="{00000000-0005-0000-0000-0000BC160000}"/>
    <cellStyle name="Moneda 2 2 3 3 2 4 3" xfId="23341" xr:uid="{00000000-0005-0000-0000-0000BD160000}"/>
    <cellStyle name="Moneda 2 2 3 3 2 5" xfId="9715" xr:uid="{00000000-0005-0000-0000-0000BE160000}"/>
    <cellStyle name="Moneda 2 2 3 3 2 5 2" xfId="27897" xr:uid="{00000000-0005-0000-0000-0000BF160000}"/>
    <cellStyle name="Moneda 2 2 3 3 2 6" xfId="18806" xr:uid="{00000000-0005-0000-0000-0000C0160000}"/>
    <cellStyle name="Moneda 2 2 3 3 3" xfId="2022" xr:uid="{00000000-0005-0000-0000-0000C1160000}"/>
    <cellStyle name="Moneda 2 2 3 3 3 2" xfId="6614" xr:uid="{00000000-0005-0000-0000-0000C2160000}"/>
    <cellStyle name="Moneda 2 2 3 3 3 2 2" xfId="15714" xr:uid="{00000000-0005-0000-0000-0000C3160000}"/>
    <cellStyle name="Moneda 2 2 3 3 3 2 2 2" xfId="33896" xr:uid="{00000000-0005-0000-0000-0000C4160000}"/>
    <cellStyle name="Moneda 2 2 3 3 3 2 3" xfId="24806" xr:uid="{00000000-0005-0000-0000-0000C5160000}"/>
    <cellStyle name="Moneda 2 2 3 3 3 3" xfId="11178" xr:uid="{00000000-0005-0000-0000-0000C6160000}"/>
    <cellStyle name="Moneda 2 2 3 3 3 3 2" xfId="29360" xr:uid="{00000000-0005-0000-0000-0000C7160000}"/>
    <cellStyle name="Moneda 2 2 3 3 3 4" xfId="20270" xr:uid="{00000000-0005-0000-0000-0000C8160000}"/>
    <cellStyle name="Moneda 2 2 3 3 4" xfId="3509" xr:uid="{00000000-0005-0000-0000-0000C9160000}"/>
    <cellStyle name="Moneda 2 2 3 3 4 2" xfId="8065" xr:uid="{00000000-0005-0000-0000-0000CA160000}"/>
    <cellStyle name="Moneda 2 2 3 3 4 2 2" xfId="17161" xr:uid="{00000000-0005-0000-0000-0000CB160000}"/>
    <cellStyle name="Moneda 2 2 3 3 4 2 2 2" xfId="35343" xr:uid="{00000000-0005-0000-0000-0000CC160000}"/>
    <cellStyle name="Moneda 2 2 3 3 4 2 3" xfId="26253" xr:uid="{00000000-0005-0000-0000-0000CD160000}"/>
    <cellStyle name="Moneda 2 2 3 3 4 3" xfId="12621" xr:uid="{00000000-0005-0000-0000-0000CE160000}"/>
    <cellStyle name="Moneda 2 2 3 3 4 3 2" xfId="30803" xr:uid="{00000000-0005-0000-0000-0000CF160000}"/>
    <cellStyle name="Moneda 2 2 3 3 4 4" xfId="21713" xr:uid="{00000000-0005-0000-0000-0000D0160000}"/>
    <cellStyle name="Moneda 2 2 3 3 5" xfId="5148" xr:uid="{00000000-0005-0000-0000-0000D1160000}"/>
    <cellStyle name="Moneda 2 2 3 3 5 2" xfId="14248" xr:uid="{00000000-0005-0000-0000-0000D2160000}"/>
    <cellStyle name="Moneda 2 2 3 3 5 2 2" xfId="32430" xr:uid="{00000000-0005-0000-0000-0000D3160000}"/>
    <cellStyle name="Moneda 2 2 3 3 5 3" xfId="23340" xr:uid="{00000000-0005-0000-0000-0000D4160000}"/>
    <cellStyle name="Moneda 2 2 3 3 6" xfId="9714" xr:uid="{00000000-0005-0000-0000-0000D5160000}"/>
    <cellStyle name="Moneda 2 2 3 3 6 2" xfId="27896" xr:uid="{00000000-0005-0000-0000-0000D6160000}"/>
    <cellStyle name="Moneda 2 2 3 3 7" xfId="18805" xr:uid="{00000000-0005-0000-0000-0000D7160000}"/>
    <cellStyle name="Moneda 2 2 3 4" xfId="499" xr:uid="{00000000-0005-0000-0000-0000D8160000}"/>
    <cellStyle name="Moneda 2 2 3 4 2" xfId="2023" xr:uid="{00000000-0005-0000-0000-0000D9160000}"/>
    <cellStyle name="Moneda 2 2 3 4 2 2" xfId="6615" xr:uid="{00000000-0005-0000-0000-0000DA160000}"/>
    <cellStyle name="Moneda 2 2 3 4 2 2 2" xfId="15715" xr:uid="{00000000-0005-0000-0000-0000DB160000}"/>
    <cellStyle name="Moneda 2 2 3 4 2 2 2 2" xfId="33897" xr:uid="{00000000-0005-0000-0000-0000DC160000}"/>
    <cellStyle name="Moneda 2 2 3 4 2 2 3" xfId="24807" xr:uid="{00000000-0005-0000-0000-0000DD160000}"/>
    <cellStyle name="Moneda 2 2 3 4 2 3" xfId="11179" xr:uid="{00000000-0005-0000-0000-0000DE160000}"/>
    <cellStyle name="Moneda 2 2 3 4 2 3 2" xfId="29361" xr:uid="{00000000-0005-0000-0000-0000DF160000}"/>
    <cellStyle name="Moneda 2 2 3 4 2 4" xfId="20271" xr:uid="{00000000-0005-0000-0000-0000E0160000}"/>
    <cellStyle name="Moneda 2 2 3 4 3" xfId="3511" xr:uid="{00000000-0005-0000-0000-0000E1160000}"/>
    <cellStyle name="Moneda 2 2 3 4 3 2" xfId="8067" xr:uid="{00000000-0005-0000-0000-0000E2160000}"/>
    <cellStyle name="Moneda 2 2 3 4 3 2 2" xfId="17163" xr:uid="{00000000-0005-0000-0000-0000E3160000}"/>
    <cellStyle name="Moneda 2 2 3 4 3 2 2 2" xfId="35345" xr:uid="{00000000-0005-0000-0000-0000E4160000}"/>
    <cellStyle name="Moneda 2 2 3 4 3 2 3" xfId="26255" xr:uid="{00000000-0005-0000-0000-0000E5160000}"/>
    <cellStyle name="Moneda 2 2 3 4 3 3" xfId="12623" xr:uid="{00000000-0005-0000-0000-0000E6160000}"/>
    <cellStyle name="Moneda 2 2 3 4 3 3 2" xfId="30805" xr:uid="{00000000-0005-0000-0000-0000E7160000}"/>
    <cellStyle name="Moneda 2 2 3 4 3 4" xfId="21715" xr:uid="{00000000-0005-0000-0000-0000E8160000}"/>
    <cellStyle name="Moneda 2 2 3 4 4" xfId="5150" xr:uid="{00000000-0005-0000-0000-0000E9160000}"/>
    <cellStyle name="Moneda 2 2 3 4 4 2" xfId="14250" xr:uid="{00000000-0005-0000-0000-0000EA160000}"/>
    <cellStyle name="Moneda 2 2 3 4 4 2 2" xfId="32432" xr:uid="{00000000-0005-0000-0000-0000EB160000}"/>
    <cellStyle name="Moneda 2 2 3 4 4 3" xfId="23342" xr:uid="{00000000-0005-0000-0000-0000EC160000}"/>
    <cellStyle name="Moneda 2 2 3 4 5" xfId="9716" xr:uid="{00000000-0005-0000-0000-0000ED160000}"/>
    <cellStyle name="Moneda 2 2 3 4 5 2" xfId="27898" xr:uid="{00000000-0005-0000-0000-0000EE160000}"/>
    <cellStyle name="Moneda 2 2 3 4 6" xfId="18807" xr:uid="{00000000-0005-0000-0000-0000EF160000}"/>
    <cellStyle name="Moneda 2 2 3 5" xfId="500" xr:uid="{00000000-0005-0000-0000-0000F0160000}"/>
    <cellStyle name="Moneda 2 2 3 5 2" xfId="3512" xr:uid="{00000000-0005-0000-0000-0000F1160000}"/>
    <cellStyle name="Moneda 2 2 3 5 2 2" xfId="8068" xr:uid="{00000000-0005-0000-0000-0000F2160000}"/>
    <cellStyle name="Moneda 2 2 3 5 2 2 2" xfId="17164" xr:uid="{00000000-0005-0000-0000-0000F3160000}"/>
    <cellStyle name="Moneda 2 2 3 5 2 2 2 2" xfId="35346" xr:uid="{00000000-0005-0000-0000-0000F4160000}"/>
    <cellStyle name="Moneda 2 2 3 5 2 2 3" xfId="26256" xr:uid="{00000000-0005-0000-0000-0000F5160000}"/>
    <cellStyle name="Moneda 2 2 3 5 2 3" xfId="12624" xr:uid="{00000000-0005-0000-0000-0000F6160000}"/>
    <cellStyle name="Moneda 2 2 3 5 2 3 2" xfId="30806" xr:uid="{00000000-0005-0000-0000-0000F7160000}"/>
    <cellStyle name="Moneda 2 2 3 5 2 4" xfId="21716" xr:uid="{00000000-0005-0000-0000-0000F8160000}"/>
    <cellStyle name="Moneda 2 2 3 5 3" xfId="5151" xr:uid="{00000000-0005-0000-0000-0000F9160000}"/>
    <cellStyle name="Moneda 2 2 3 5 3 2" xfId="14251" xr:uid="{00000000-0005-0000-0000-0000FA160000}"/>
    <cellStyle name="Moneda 2 2 3 5 3 2 2" xfId="32433" xr:uid="{00000000-0005-0000-0000-0000FB160000}"/>
    <cellStyle name="Moneda 2 2 3 5 3 3" xfId="23343" xr:uid="{00000000-0005-0000-0000-0000FC160000}"/>
    <cellStyle name="Moneda 2 2 3 5 4" xfId="9717" xr:uid="{00000000-0005-0000-0000-0000FD160000}"/>
    <cellStyle name="Moneda 2 2 3 5 4 2" xfId="27899" xr:uid="{00000000-0005-0000-0000-0000FE160000}"/>
    <cellStyle name="Moneda 2 2 3 5 5" xfId="18808" xr:uid="{00000000-0005-0000-0000-0000FF160000}"/>
    <cellStyle name="Moneda 2 2 3 6" xfId="2024" xr:uid="{00000000-0005-0000-0000-000000170000}"/>
    <cellStyle name="Moneda 2 2 3 6 2" xfId="6616" xr:uid="{00000000-0005-0000-0000-000001170000}"/>
    <cellStyle name="Moneda 2 2 3 6 2 2" xfId="15716" xr:uid="{00000000-0005-0000-0000-000002170000}"/>
    <cellStyle name="Moneda 2 2 3 6 2 2 2" xfId="33898" xr:uid="{00000000-0005-0000-0000-000003170000}"/>
    <cellStyle name="Moneda 2 2 3 6 2 3" xfId="24808" xr:uid="{00000000-0005-0000-0000-000004170000}"/>
    <cellStyle name="Moneda 2 2 3 6 3" xfId="11180" xr:uid="{00000000-0005-0000-0000-000005170000}"/>
    <cellStyle name="Moneda 2 2 3 6 3 2" xfId="29362" xr:uid="{00000000-0005-0000-0000-000006170000}"/>
    <cellStyle name="Moneda 2 2 3 6 4" xfId="20272" xr:uid="{00000000-0005-0000-0000-000007170000}"/>
    <cellStyle name="Moneda 2 2 3 7" xfId="3503" xr:uid="{00000000-0005-0000-0000-000008170000}"/>
    <cellStyle name="Moneda 2 2 3 7 2" xfId="8059" xr:uid="{00000000-0005-0000-0000-000009170000}"/>
    <cellStyle name="Moneda 2 2 3 7 2 2" xfId="17155" xr:uid="{00000000-0005-0000-0000-00000A170000}"/>
    <cellStyle name="Moneda 2 2 3 7 2 2 2" xfId="35337" xr:uid="{00000000-0005-0000-0000-00000B170000}"/>
    <cellStyle name="Moneda 2 2 3 7 2 3" xfId="26247" xr:uid="{00000000-0005-0000-0000-00000C170000}"/>
    <cellStyle name="Moneda 2 2 3 7 3" xfId="12615" xr:uid="{00000000-0005-0000-0000-00000D170000}"/>
    <cellStyle name="Moneda 2 2 3 7 3 2" xfId="30797" xr:uid="{00000000-0005-0000-0000-00000E170000}"/>
    <cellStyle name="Moneda 2 2 3 7 4" xfId="21707" xr:uid="{00000000-0005-0000-0000-00000F170000}"/>
    <cellStyle name="Moneda 2 2 3 8" xfId="5142" xr:uid="{00000000-0005-0000-0000-000010170000}"/>
    <cellStyle name="Moneda 2 2 3 8 2" xfId="14242" xr:uid="{00000000-0005-0000-0000-000011170000}"/>
    <cellStyle name="Moneda 2 2 3 8 2 2" xfId="32424" xr:uid="{00000000-0005-0000-0000-000012170000}"/>
    <cellStyle name="Moneda 2 2 3 8 3" xfId="23334" xr:uid="{00000000-0005-0000-0000-000013170000}"/>
    <cellStyle name="Moneda 2 2 3 9" xfId="9708" xr:uid="{00000000-0005-0000-0000-000014170000}"/>
    <cellStyle name="Moneda 2 2 3 9 2" xfId="27890" xr:uid="{00000000-0005-0000-0000-000015170000}"/>
    <cellStyle name="Moneda 2 2 4" xfId="501" xr:uid="{00000000-0005-0000-0000-000016170000}"/>
    <cellStyle name="Moneda 2 2 4 2" xfId="502" xr:uid="{00000000-0005-0000-0000-000017170000}"/>
    <cellStyle name="Moneda 2 2 4 2 2" xfId="503" xr:uid="{00000000-0005-0000-0000-000018170000}"/>
    <cellStyle name="Moneda 2 2 4 2 2 2" xfId="2025" xr:uid="{00000000-0005-0000-0000-000019170000}"/>
    <cellStyle name="Moneda 2 2 4 2 2 2 2" xfId="6617" xr:uid="{00000000-0005-0000-0000-00001A170000}"/>
    <cellStyle name="Moneda 2 2 4 2 2 2 2 2" xfId="15717" xr:uid="{00000000-0005-0000-0000-00001B170000}"/>
    <cellStyle name="Moneda 2 2 4 2 2 2 2 2 2" xfId="33899" xr:uid="{00000000-0005-0000-0000-00001C170000}"/>
    <cellStyle name="Moneda 2 2 4 2 2 2 2 3" xfId="24809" xr:uid="{00000000-0005-0000-0000-00001D170000}"/>
    <cellStyle name="Moneda 2 2 4 2 2 2 3" xfId="11181" xr:uid="{00000000-0005-0000-0000-00001E170000}"/>
    <cellStyle name="Moneda 2 2 4 2 2 2 3 2" xfId="29363" xr:uid="{00000000-0005-0000-0000-00001F170000}"/>
    <cellStyle name="Moneda 2 2 4 2 2 2 4" xfId="20273" xr:uid="{00000000-0005-0000-0000-000020170000}"/>
    <cellStyle name="Moneda 2 2 4 2 2 3" xfId="3515" xr:uid="{00000000-0005-0000-0000-000021170000}"/>
    <cellStyle name="Moneda 2 2 4 2 2 3 2" xfId="8071" xr:uid="{00000000-0005-0000-0000-000022170000}"/>
    <cellStyle name="Moneda 2 2 4 2 2 3 2 2" xfId="17167" xr:uid="{00000000-0005-0000-0000-000023170000}"/>
    <cellStyle name="Moneda 2 2 4 2 2 3 2 2 2" xfId="35349" xr:uid="{00000000-0005-0000-0000-000024170000}"/>
    <cellStyle name="Moneda 2 2 4 2 2 3 2 3" xfId="26259" xr:uid="{00000000-0005-0000-0000-000025170000}"/>
    <cellStyle name="Moneda 2 2 4 2 2 3 3" xfId="12627" xr:uid="{00000000-0005-0000-0000-000026170000}"/>
    <cellStyle name="Moneda 2 2 4 2 2 3 3 2" xfId="30809" xr:uid="{00000000-0005-0000-0000-000027170000}"/>
    <cellStyle name="Moneda 2 2 4 2 2 3 4" xfId="21719" xr:uid="{00000000-0005-0000-0000-000028170000}"/>
    <cellStyle name="Moneda 2 2 4 2 2 4" xfId="5154" xr:uid="{00000000-0005-0000-0000-000029170000}"/>
    <cellStyle name="Moneda 2 2 4 2 2 4 2" xfId="14254" xr:uid="{00000000-0005-0000-0000-00002A170000}"/>
    <cellStyle name="Moneda 2 2 4 2 2 4 2 2" xfId="32436" xr:uid="{00000000-0005-0000-0000-00002B170000}"/>
    <cellStyle name="Moneda 2 2 4 2 2 4 3" xfId="23346" xr:uid="{00000000-0005-0000-0000-00002C170000}"/>
    <cellStyle name="Moneda 2 2 4 2 2 5" xfId="9720" xr:uid="{00000000-0005-0000-0000-00002D170000}"/>
    <cellStyle name="Moneda 2 2 4 2 2 5 2" xfId="27902" xr:uid="{00000000-0005-0000-0000-00002E170000}"/>
    <cellStyle name="Moneda 2 2 4 2 2 6" xfId="18811" xr:uid="{00000000-0005-0000-0000-00002F170000}"/>
    <cellStyle name="Moneda 2 2 4 2 3" xfId="2026" xr:uid="{00000000-0005-0000-0000-000030170000}"/>
    <cellStyle name="Moneda 2 2 4 2 3 2" xfId="6618" xr:uid="{00000000-0005-0000-0000-000031170000}"/>
    <cellStyle name="Moneda 2 2 4 2 3 2 2" xfId="15718" xr:uid="{00000000-0005-0000-0000-000032170000}"/>
    <cellStyle name="Moneda 2 2 4 2 3 2 2 2" xfId="33900" xr:uid="{00000000-0005-0000-0000-000033170000}"/>
    <cellStyle name="Moneda 2 2 4 2 3 2 3" xfId="24810" xr:uid="{00000000-0005-0000-0000-000034170000}"/>
    <cellStyle name="Moneda 2 2 4 2 3 3" xfId="11182" xr:uid="{00000000-0005-0000-0000-000035170000}"/>
    <cellStyle name="Moneda 2 2 4 2 3 3 2" xfId="29364" xr:uid="{00000000-0005-0000-0000-000036170000}"/>
    <cellStyle name="Moneda 2 2 4 2 3 4" xfId="20274" xr:uid="{00000000-0005-0000-0000-000037170000}"/>
    <cellStyle name="Moneda 2 2 4 2 4" xfId="3514" xr:uid="{00000000-0005-0000-0000-000038170000}"/>
    <cellStyle name="Moneda 2 2 4 2 4 2" xfId="8070" xr:uid="{00000000-0005-0000-0000-000039170000}"/>
    <cellStyle name="Moneda 2 2 4 2 4 2 2" xfId="17166" xr:uid="{00000000-0005-0000-0000-00003A170000}"/>
    <cellStyle name="Moneda 2 2 4 2 4 2 2 2" xfId="35348" xr:uid="{00000000-0005-0000-0000-00003B170000}"/>
    <cellStyle name="Moneda 2 2 4 2 4 2 3" xfId="26258" xr:uid="{00000000-0005-0000-0000-00003C170000}"/>
    <cellStyle name="Moneda 2 2 4 2 4 3" xfId="12626" xr:uid="{00000000-0005-0000-0000-00003D170000}"/>
    <cellStyle name="Moneda 2 2 4 2 4 3 2" xfId="30808" xr:uid="{00000000-0005-0000-0000-00003E170000}"/>
    <cellStyle name="Moneda 2 2 4 2 4 4" xfId="21718" xr:uid="{00000000-0005-0000-0000-00003F170000}"/>
    <cellStyle name="Moneda 2 2 4 2 5" xfId="5153" xr:uid="{00000000-0005-0000-0000-000040170000}"/>
    <cellStyle name="Moneda 2 2 4 2 5 2" xfId="14253" xr:uid="{00000000-0005-0000-0000-000041170000}"/>
    <cellStyle name="Moneda 2 2 4 2 5 2 2" xfId="32435" xr:uid="{00000000-0005-0000-0000-000042170000}"/>
    <cellStyle name="Moneda 2 2 4 2 5 3" xfId="23345" xr:uid="{00000000-0005-0000-0000-000043170000}"/>
    <cellStyle name="Moneda 2 2 4 2 6" xfId="9719" xr:uid="{00000000-0005-0000-0000-000044170000}"/>
    <cellStyle name="Moneda 2 2 4 2 6 2" xfId="27901" xr:uid="{00000000-0005-0000-0000-000045170000}"/>
    <cellStyle name="Moneda 2 2 4 2 7" xfId="18810" xr:uid="{00000000-0005-0000-0000-000046170000}"/>
    <cellStyle name="Moneda 2 2 4 3" xfId="504" xr:uid="{00000000-0005-0000-0000-000047170000}"/>
    <cellStyle name="Moneda 2 2 4 3 2" xfId="2027" xr:uid="{00000000-0005-0000-0000-000048170000}"/>
    <cellStyle name="Moneda 2 2 4 3 2 2" xfId="6619" xr:uid="{00000000-0005-0000-0000-000049170000}"/>
    <cellStyle name="Moneda 2 2 4 3 2 2 2" xfId="15719" xr:uid="{00000000-0005-0000-0000-00004A170000}"/>
    <cellStyle name="Moneda 2 2 4 3 2 2 2 2" xfId="33901" xr:uid="{00000000-0005-0000-0000-00004B170000}"/>
    <cellStyle name="Moneda 2 2 4 3 2 2 3" xfId="24811" xr:uid="{00000000-0005-0000-0000-00004C170000}"/>
    <cellStyle name="Moneda 2 2 4 3 2 3" xfId="11183" xr:uid="{00000000-0005-0000-0000-00004D170000}"/>
    <cellStyle name="Moneda 2 2 4 3 2 3 2" xfId="29365" xr:uid="{00000000-0005-0000-0000-00004E170000}"/>
    <cellStyle name="Moneda 2 2 4 3 2 4" xfId="20275" xr:uid="{00000000-0005-0000-0000-00004F170000}"/>
    <cellStyle name="Moneda 2 2 4 3 3" xfId="3516" xr:uid="{00000000-0005-0000-0000-000050170000}"/>
    <cellStyle name="Moneda 2 2 4 3 3 2" xfId="8072" xr:uid="{00000000-0005-0000-0000-000051170000}"/>
    <cellStyle name="Moneda 2 2 4 3 3 2 2" xfId="17168" xr:uid="{00000000-0005-0000-0000-000052170000}"/>
    <cellStyle name="Moneda 2 2 4 3 3 2 2 2" xfId="35350" xr:uid="{00000000-0005-0000-0000-000053170000}"/>
    <cellStyle name="Moneda 2 2 4 3 3 2 3" xfId="26260" xr:uid="{00000000-0005-0000-0000-000054170000}"/>
    <cellStyle name="Moneda 2 2 4 3 3 3" xfId="12628" xr:uid="{00000000-0005-0000-0000-000055170000}"/>
    <cellStyle name="Moneda 2 2 4 3 3 3 2" xfId="30810" xr:uid="{00000000-0005-0000-0000-000056170000}"/>
    <cellStyle name="Moneda 2 2 4 3 3 4" xfId="21720" xr:uid="{00000000-0005-0000-0000-000057170000}"/>
    <cellStyle name="Moneda 2 2 4 3 4" xfId="5155" xr:uid="{00000000-0005-0000-0000-000058170000}"/>
    <cellStyle name="Moneda 2 2 4 3 4 2" xfId="14255" xr:uid="{00000000-0005-0000-0000-000059170000}"/>
    <cellStyle name="Moneda 2 2 4 3 4 2 2" xfId="32437" xr:uid="{00000000-0005-0000-0000-00005A170000}"/>
    <cellStyle name="Moneda 2 2 4 3 4 3" xfId="23347" xr:uid="{00000000-0005-0000-0000-00005B170000}"/>
    <cellStyle name="Moneda 2 2 4 3 5" xfId="9721" xr:uid="{00000000-0005-0000-0000-00005C170000}"/>
    <cellStyle name="Moneda 2 2 4 3 5 2" xfId="27903" xr:uid="{00000000-0005-0000-0000-00005D170000}"/>
    <cellStyle name="Moneda 2 2 4 3 6" xfId="18812" xr:uid="{00000000-0005-0000-0000-00005E170000}"/>
    <cellStyle name="Moneda 2 2 4 4" xfId="505" xr:uid="{00000000-0005-0000-0000-00005F170000}"/>
    <cellStyle name="Moneda 2 2 4 4 2" xfId="3517" xr:uid="{00000000-0005-0000-0000-000060170000}"/>
    <cellStyle name="Moneda 2 2 4 4 2 2" xfId="8073" xr:uid="{00000000-0005-0000-0000-000061170000}"/>
    <cellStyle name="Moneda 2 2 4 4 2 2 2" xfId="17169" xr:uid="{00000000-0005-0000-0000-000062170000}"/>
    <cellStyle name="Moneda 2 2 4 4 2 2 2 2" xfId="35351" xr:uid="{00000000-0005-0000-0000-000063170000}"/>
    <cellStyle name="Moneda 2 2 4 4 2 2 3" xfId="26261" xr:uid="{00000000-0005-0000-0000-000064170000}"/>
    <cellStyle name="Moneda 2 2 4 4 2 3" xfId="12629" xr:uid="{00000000-0005-0000-0000-000065170000}"/>
    <cellStyle name="Moneda 2 2 4 4 2 3 2" xfId="30811" xr:uid="{00000000-0005-0000-0000-000066170000}"/>
    <cellStyle name="Moneda 2 2 4 4 2 4" xfId="21721" xr:uid="{00000000-0005-0000-0000-000067170000}"/>
    <cellStyle name="Moneda 2 2 4 4 3" xfId="5156" xr:uid="{00000000-0005-0000-0000-000068170000}"/>
    <cellStyle name="Moneda 2 2 4 4 3 2" xfId="14256" xr:uid="{00000000-0005-0000-0000-000069170000}"/>
    <cellStyle name="Moneda 2 2 4 4 3 2 2" xfId="32438" xr:uid="{00000000-0005-0000-0000-00006A170000}"/>
    <cellStyle name="Moneda 2 2 4 4 3 3" xfId="23348" xr:uid="{00000000-0005-0000-0000-00006B170000}"/>
    <cellStyle name="Moneda 2 2 4 4 4" xfId="9722" xr:uid="{00000000-0005-0000-0000-00006C170000}"/>
    <cellStyle name="Moneda 2 2 4 4 4 2" xfId="27904" xr:uid="{00000000-0005-0000-0000-00006D170000}"/>
    <cellStyle name="Moneda 2 2 4 4 5" xfId="18813" xr:uid="{00000000-0005-0000-0000-00006E170000}"/>
    <cellStyle name="Moneda 2 2 4 5" xfId="2028" xr:uid="{00000000-0005-0000-0000-00006F170000}"/>
    <cellStyle name="Moneda 2 2 4 6" xfId="3513" xr:uid="{00000000-0005-0000-0000-000070170000}"/>
    <cellStyle name="Moneda 2 2 4 6 2" xfId="8069" xr:uid="{00000000-0005-0000-0000-000071170000}"/>
    <cellStyle name="Moneda 2 2 4 6 2 2" xfId="17165" xr:uid="{00000000-0005-0000-0000-000072170000}"/>
    <cellStyle name="Moneda 2 2 4 6 2 2 2" xfId="35347" xr:uid="{00000000-0005-0000-0000-000073170000}"/>
    <cellStyle name="Moneda 2 2 4 6 2 3" xfId="26257" xr:uid="{00000000-0005-0000-0000-000074170000}"/>
    <cellStyle name="Moneda 2 2 4 6 3" xfId="12625" xr:uid="{00000000-0005-0000-0000-000075170000}"/>
    <cellStyle name="Moneda 2 2 4 6 3 2" xfId="30807" xr:uid="{00000000-0005-0000-0000-000076170000}"/>
    <cellStyle name="Moneda 2 2 4 6 4" xfId="21717" xr:uid="{00000000-0005-0000-0000-000077170000}"/>
    <cellStyle name="Moneda 2 2 4 7" xfId="5152" xr:uid="{00000000-0005-0000-0000-000078170000}"/>
    <cellStyle name="Moneda 2 2 4 7 2" xfId="14252" xr:uid="{00000000-0005-0000-0000-000079170000}"/>
    <cellStyle name="Moneda 2 2 4 7 2 2" xfId="32434" xr:uid="{00000000-0005-0000-0000-00007A170000}"/>
    <cellStyle name="Moneda 2 2 4 7 3" xfId="23344" xr:uid="{00000000-0005-0000-0000-00007B170000}"/>
    <cellStyle name="Moneda 2 2 4 8" xfId="9718" xr:uid="{00000000-0005-0000-0000-00007C170000}"/>
    <cellStyle name="Moneda 2 2 4 8 2" xfId="27900" xr:uid="{00000000-0005-0000-0000-00007D170000}"/>
    <cellStyle name="Moneda 2 2 4 9" xfId="18809" xr:uid="{00000000-0005-0000-0000-00007E170000}"/>
    <cellStyle name="Moneda 2 2 5" xfId="506" xr:uid="{00000000-0005-0000-0000-00007F170000}"/>
    <cellStyle name="Moneda 2 2 5 2" xfId="507" xr:uid="{00000000-0005-0000-0000-000080170000}"/>
    <cellStyle name="Moneda 2 2 5 2 2" xfId="2029" xr:uid="{00000000-0005-0000-0000-000081170000}"/>
    <cellStyle name="Moneda 2 2 5 2 2 2" xfId="6620" xr:uid="{00000000-0005-0000-0000-000082170000}"/>
    <cellStyle name="Moneda 2 2 5 2 2 2 2" xfId="15720" xr:uid="{00000000-0005-0000-0000-000083170000}"/>
    <cellStyle name="Moneda 2 2 5 2 2 2 2 2" xfId="33902" xr:uid="{00000000-0005-0000-0000-000084170000}"/>
    <cellStyle name="Moneda 2 2 5 2 2 2 3" xfId="24812" xr:uid="{00000000-0005-0000-0000-000085170000}"/>
    <cellStyle name="Moneda 2 2 5 2 2 3" xfId="11184" xr:uid="{00000000-0005-0000-0000-000086170000}"/>
    <cellStyle name="Moneda 2 2 5 2 2 3 2" xfId="29366" xr:uid="{00000000-0005-0000-0000-000087170000}"/>
    <cellStyle name="Moneda 2 2 5 2 2 4" xfId="20276" xr:uid="{00000000-0005-0000-0000-000088170000}"/>
    <cellStyle name="Moneda 2 2 5 2 3" xfId="3519" xr:uid="{00000000-0005-0000-0000-000089170000}"/>
    <cellStyle name="Moneda 2 2 5 2 3 2" xfId="8075" xr:uid="{00000000-0005-0000-0000-00008A170000}"/>
    <cellStyle name="Moneda 2 2 5 2 3 2 2" xfId="17171" xr:uid="{00000000-0005-0000-0000-00008B170000}"/>
    <cellStyle name="Moneda 2 2 5 2 3 2 2 2" xfId="35353" xr:uid="{00000000-0005-0000-0000-00008C170000}"/>
    <cellStyle name="Moneda 2 2 5 2 3 2 3" xfId="26263" xr:uid="{00000000-0005-0000-0000-00008D170000}"/>
    <cellStyle name="Moneda 2 2 5 2 3 3" xfId="12631" xr:uid="{00000000-0005-0000-0000-00008E170000}"/>
    <cellStyle name="Moneda 2 2 5 2 3 3 2" xfId="30813" xr:uid="{00000000-0005-0000-0000-00008F170000}"/>
    <cellStyle name="Moneda 2 2 5 2 3 4" xfId="21723" xr:uid="{00000000-0005-0000-0000-000090170000}"/>
    <cellStyle name="Moneda 2 2 5 2 4" xfId="5158" xr:uid="{00000000-0005-0000-0000-000091170000}"/>
    <cellStyle name="Moneda 2 2 5 2 4 2" xfId="14258" xr:uid="{00000000-0005-0000-0000-000092170000}"/>
    <cellStyle name="Moneda 2 2 5 2 4 2 2" xfId="32440" xr:uid="{00000000-0005-0000-0000-000093170000}"/>
    <cellStyle name="Moneda 2 2 5 2 4 3" xfId="23350" xr:uid="{00000000-0005-0000-0000-000094170000}"/>
    <cellStyle name="Moneda 2 2 5 2 5" xfId="9724" xr:uid="{00000000-0005-0000-0000-000095170000}"/>
    <cellStyle name="Moneda 2 2 5 2 5 2" xfId="27906" xr:uid="{00000000-0005-0000-0000-000096170000}"/>
    <cellStyle name="Moneda 2 2 5 2 6" xfId="18815" xr:uid="{00000000-0005-0000-0000-000097170000}"/>
    <cellStyle name="Moneda 2 2 5 3" xfId="2030" xr:uid="{00000000-0005-0000-0000-000098170000}"/>
    <cellStyle name="Moneda 2 2 5 3 2" xfId="6621" xr:uid="{00000000-0005-0000-0000-000099170000}"/>
    <cellStyle name="Moneda 2 2 5 3 2 2" xfId="15721" xr:uid="{00000000-0005-0000-0000-00009A170000}"/>
    <cellStyle name="Moneda 2 2 5 3 2 2 2" xfId="33903" xr:uid="{00000000-0005-0000-0000-00009B170000}"/>
    <cellStyle name="Moneda 2 2 5 3 2 3" xfId="24813" xr:uid="{00000000-0005-0000-0000-00009C170000}"/>
    <cellStyle name="Moneda 2 2 5 3 3" xfId="11185" xr:uid="{00000000-0005-0000-0000-00009D170000}"/>
    <cellStyle name="Moneda 2 2 5 3 3 2" xfId="29367" xr:uid="{00000000-0005-0000-0000-00009E170000}"/>
    <cellStyle name="Moneda 2 2 5 3 4" xfId="20277" xr:uid="{00000000-0005-0000-0000-00009F170000}"/>
    <cellStyle name="Moneda 2 2 5 4" xfId="3518" xr:uid="{00000000-0005-0000-0000-0000A0170000}"/>
    <cellStyle name="Moneda 2 2 5 4 2" xfId="8074" xr:uid="{00000000-0005-0000-0000-0000A1170000}"/>
    <cellStyle name="Moneda 2 2 5 4 2 2" xfId="17170" xr:uid="{00000000-0005-0000-0000-0000A2170000}"/>
    <cellStyle name="Moneda 2 2 5 4 2 2 2" xfId="35352" xr:uid="{00000000-0005-0000-0000-0000A3170000}"/>
    <cellStyle name="Moneda 2 2 5 4 2 3" xfId="26262" xr:uid="{00000000-0005-0000-0000-0000A4170000}"/>
    <cellStyle name="Moneda 2 2 5 4 3" xfId="12630" xr:uid="{00000000-0005-0000-0000-0000A5170000}"/>
    <cellStyle name="Moneda 2 2 5 4 3 2" xfId="30812" xr:uid="{00000000-0005-0000-0000-0000A6170000}"/>
    <cellStyle name="Moneda 2 2 5 4 4" xfId="21722" xr:uid="{00000000-0005-0000-0000-0000A7170000}"/>
    <cellStyle name="Moneda 2 2 5 5" xfId="5157" xr:uid="{00000000-0005-0000-0000-0000A8170000}"/>
    <cellStyle name="Moneda 2 2 5 5 2" xfId="14257" xr:uid="{00000000-0005-0000-0000-0000A9170000}"/>
    <cellStyle name="Moneda 2 2 5 5 2 2" xfId="32439" xr:uid="{00000000-0005-0000-0000-0000AA170000}"/>
    <cellStyle name="Moneda 2 2 5 5 3" xfId="23349" xr:uid="{00000000-0005-0000-0000-0000AB170000}"/>
    <cellStyle name="Moneda 2 2 5 6" xfId="9723" xr:uid="{00000000-0005-0000-0000-0000AC170000}"/>
    <cellStyle name="Moneda 2 2 5 6 2" xfId="27905" xr:uid="{00000000-0005-0000-0000-0000AD170000}"/>
    <cellStyle name="Moneda 2 2 5 7" xfId="18814" xr:uid="{00000000-0005-0000-0000-0000AE170000}"/>
    <cellStyle name="Moneda 2 2 6" xfId="508" xr:uid="{00000000-0005-0000-0000-0000AF170000}"/>
    <cellStyle name="Moneda 2 2 6 2" xfId="2031" xr:uid="{00000000-0005-0000-0000-0000B0170000}"/>
    <cellStyle name="Moneda 2 2 6 2 2" xfId="6622" xr:uid="{00000000-0005-0000-0000-0000B1170000}"/>
    <cellStyle name="Moneda 2 2 6 2 2 2" xfId="15722" xr:uid="{00000000-0005-0000-0000-0000B2170000}"/>
    <cellStyle name="Moneda 2 2 6 2 2 2 2" xfId="33904" xr:uid="{00000000-0005-0000-0000-0000B3170000}"/>
    <cellStyle name="Moneda 2 2 6 2 2 3" xfId="24814" xr:uid="{00000000-0005-0000-0000-0000B4170000}"/>
    <cellStyle name="Moneda 2 2 6 2 3" xfId="11186" xr:uid="{00000000-0005-0000-0000-0000B5170000}"/>
    <cellStyle name="Moneda 2 2 6 2 3 2" xfId="29368" xr:uid="{00000000-0005-0000-0000-0000B6170000}"/>
    <cellStyle name="Moneda 2 2 6 2 4" xfId="20278" xr:uid="{00000000-0005-0000-0000-0000B7170000}"/>
    <cellStyle name="Moneda 2 2 6 3" xfId="3520" xr:uid="{00000000-0005-0000-0000-0000B8170000}"/>
    <cellStyle name="Moneda 2 2 6 3 2" xfId="8076" xr:uid="{00000000-0005-0000-0000-0000B9170000}"/>
    <cellStyle name="Moneda 2 2 6 3 2 2" xfId="17172" xr:uid="{00000000-0005-0000-0000-0000BA170000}"/>
    <cellStyle name="Moneda 2 2 6 3 2 2 2" xfId="35354" xr:uid="{00000000-0005-0000-0000-0000BB170000}"/>
    <cellStyle name="Moneda 2 2 6 3 2 3" xfId="26264" xr:uid="{00000000-0005-0000-0000-0000BC170000}"/>
    <cellStyle name="Moneda 2 2 6 3 3" xfId="12632" xr:uid="{00000000-0005-0000-0000-0000BD170000}"/>
    <cellStyle name="Moneda 2 2 6 3 3 2" xfId="30814" xr:uid="{00000000-0005-0000-0000-0000BE170000}"/>
    <cellStyle name="Moneda 2 2 6 3 4" xfId="21724" xr:uid="{00000000-0005-0000-0000-0000BF170000}"/>
    <cellStyle name="Moneda 2 2 6 4" xfId="5159" xr:uid="{00000000-0005-0000-0000-0000C0170000}"/>
    <cellStyle name="Moneda 2 2 6 4 2" xfId="14259" xr:uid="{00000000-0005-0000-0000-0000C1170000}"/>
    <cellStyle name="Moneda 2 2 6 4 2 2" xfId="32441" xr:uid="{00000000-0005-0000-0000-0000C2170000}"/>
    <cellStyle name="Moneda 2 2 6 4 3" xfId="23351" xr:uid="{00000000-0005-0000-0000-0000C3170000}"/>
    <cellStyle name="Moneda 2 2 6 5" xfId="9725" xr:uid="{00000000-0005-0000-0000-0000C4170000}"/>
    <cellStyle name="Moneda 2 2 6 5 2" xfId="27907" xr:uid="{00000000-0005-0000-0000-0000C5170000}"/>
    <cellStyle name="Moneda 2 2 6 6" xfId="18816" xr:uid="{00000000-0005-0000-0000-0000C6170000}"/>
    <cellStyle name="Moneda 2 2 7" xfId="509" xr:uid="{00000000-0005-0000-0000-0000C7170000}"/>
    <cellStyle name="Moneda 2 2 7 2" xfId="3521" xr:uid="{00000000-0005-0000-0000-0000C8170000}"/>
    <cellStyle name="Moneda 2 2 7 2 2" xfId="8077" xr:uid="{00000000-0005-0000-0000-0000C9170000}"/>
    <cellStyle name="Moneda 2 2 7 2 2 2" xfId="17173" xr:uid="{00000000-0005-0000-0000-0000CA170000}"/>
    <cellStyle name="Moneda 2 2 7 2 2 2 2" xfId="35355" xr:uid="{00000000-0005-0000-0000-0000CB170000}"/>
    <cellStyle name="Moneda 2 2 7 2 2 3" xfId="26265" xr:uid="{00000000-0005-0000-0000-0000CC170000}"/>
    <cellStyle name="Moneda 2 2 7 2 3" xfId="12633" xr:uid="{00000000-0005-0000-0000-0000CD170000}"/>
    <cellStyle name="Moneda 2 2 7 2 3 2" xfId="30815" xr:uid="{00000000-0005-0000-0000-0000CE170000}"/>
    <cellStyle name="Moneda 2 2 7 2 4" xfId="21725" xr:uid="{00000000-0005-0000-0000-0000CF170000}"/>
    <cellStyle name="Moneda 2 2 7 3" xfId="5160" xr:uid="{00000000-0005-0000-0000-0000D0170000}"/>
    <cellStyle name="Moneda 2 2 7 3 2" xfId="14260" xr:uid="{00000000-0005-0000-0000-0000D1170000}"/>
    <cellStyle name="Moneda 2 2 7 3 2 2" xfId="32442" xr:uid="{00000000-0005-0000-0000-0000D2170000}"/>
    <cellStyle name="Moneda 2 2 7 3 3" xfId="23352" xr:uid="{00000000-0005-0000-0000-0000D3170000}"/>
    <cellStyle name="Moneda 2 2 7 4" xfId="9726" xr:uid="{00000000-0005-0000-0000-0000D4170000}"/>
    <cellStyle name="Moneda 2 2 7 4 2" xfId="27908" xr:uid="{00000000-0005-0000-0000-0000D5170000}"/>
    <cellStyle name="Moneda 2 2 7 5" xfId="18817" xr:uid="{00000000-0005-0000-0000-0000D6170000}"/>
    <cellStyle name="Moneda 2 2 8" xfId="2032" xr:uid="{00000000-0005-0000-0000-0000D7170000}"/>
    <cellStyle name="Moneda 2 2 8 2" xfId="6623" xr:uid="{00000000-0005-0000-0000-0000D8170000}"/>
    <cellStyle name="Moneda 2 2 8 2 2" xfId="15723" xr:uid="{00000000-0005-0000-0000-0000D9170000}"/>
    <cellStyle name="Moneda 2 2 8 2 2 2" xfId="33905" xr:uid="{00000000-0005-0000-0000-0000DA170000}"/>
    <cellStyle name="Moneda 2 2 8 2 3" xfId="24815" xr:uid="{00000000-0005-0000-0000-0000DB170000}"/>
    <cellStyle name="Moneda 2 2 8 3" xfId="11187" xr:uid="{00000000-0005-0000-0000-0000DC170000}"/>
    <cellStyle name="Moneda 2 2 8 3 2" xfId="29369" xr:uid="{00000000-0005-0000-0000-0000DD170000}"/>
    <cellStyle name="Moneda 2 2 8 4" xfId="20279" xr:uid="{00000000-0005-0000-0000-0000DE170000}"/>
    <cellStyle name="Moneda 2 2 9" xfId="3174" xr:uid="{00000000-0005-0000-0000-0000DF170000}"/>
    <cellStyle name="Moneda 2 2 9 2" xfId="7734" xr:uid="{00000000-0005-0000-0000-0000E0170000}"/>
    <cellStyle name="Moneda 2 2 9 2 2" xfId="16830" xr:uid="{00000000-0005-0000-0000-0000E1170000}"/>
    <cellStyle name="Moneda 2 2 9 2 2 2" xfId="35012" xr:uid="{00000000-0005-0000-0000-0000E2170000}"/>
    <cellStyle name="Moneda 2 2 9 2 3" xfId="25922" xr:uid="{00000000-0005-0000-0000-0000E3170000}"/>
    <cellStyle name="Moneda 2 2 9 3" xfId="12290" xr:uid="{00000000-0005-0000-0000-0000E4170000}"/>
    <cellStyle name="Moneda 2 2 9 3 2" xfId="30472" xr:uid="{00000000-0005-0000-0000-0000E5170000}"/>
    <cellStyle name="Moneda 2 2 9 4" xfId="21382" xr:uid="{00000000-0005-0000-0000-0000E6170000}"/>
    <cellStyle name="Moneda 2 3" xfId="50" xr:uid="{00000000-0005-0000-0000-0000E7170000}"/>
    <cellStyle name="Moneda 2 3 2" xfId="101" xr:uid="{00000000-0005-0000-0000-0000E8170000}"/>
    <cellStyle name="Moneda 2 4" xfId="75" xr:uid="{00000000-0005-0000-0000-0000E9170000}"/>
    <cellStyle name="Moneda 2 4 10" xfId="9404" xr:uid="{00000000-0005-0000-0000-0000EA170000}"/>
    <cellStyle name="Moneda 2 4 10 2" xfId="27586" xr:uid="{00000000-0005-0000-0000-0000EB170000}"/>
    <cellStyle name="Moneda 2 4 11" xfId="18495" xr:uid="{00000000-0005-0000-0000-0000EC170000}"/>
    <cellStyle name="Moneda 2 4 2" xfId="510" xr:uid="{00000000-0005-0000-0000-0000ED170000}"/>
    <cellStyle name="Moneda 2 4 2 10" xfId="18818" xr:uid="{00000000-0005-0000-0000-0000EE170000}"/>
    <cellStyle name="Moneda 2 4 2 2" xfId="511" xr:uid="{00000000-0005-0000-0000-0000EF170000}"/>
    <cellStyle name="Moneda 2 4 2 2 2" xfId="512" xr:uid="{00000000-0005-0000-0000-0000F0170000}"/>
    <cellStyle name="Moneda 2 4 2 2 2 2" xfId="513" xr:uid="{00000000-0005-0000-0000-0000F1170000}"/>
    <cellStyle name="Moneda 2 4 2 2 2 2 2" xfId="2033" xr:uid="{00000000-0005-0000-0000-0000F2170000}"/>
    <cellStyle name="Moneda 2 4 2 2 2 2 2 2" xfId="6624" xr:uid="{00000000-0005-0000-0000-0000F3170000}"/>
    <cellStyle name="Moneda 2 4 2 2 2 2 2 2 2" xfId="15724" xr:uid="{00000000-0005-0000-0000-0000F4170000}"/>
    <cellStyle name="Moneda 2 4 2 2 2 2 2 2 2 2" xfId="33906" xr:uid="{00000000-0005-0000-0000-0000F5170000}"/>
    <cellStyle name="Moneda 2 4 2 2 2 2 2 2 3" xfId="24816" xr:uid="{00000000-0005-0000-0000-0000F6170000}"/>
    <cellStyle name="Moneda 2 4 2 2 2 2 2 3" xfId="11188" xr:uid="{00000000-0005-0000-0000-0000F7170000}"/>
    <cellStyle name="Moneda 2 4 2 2 2 2 2 3 2" xfId="29370" xr:uid="{00000000-0005-0000-0000-0000F8170000}"/>
    <cellStyle name="Moneda 2 4 2 2 2 2 2 4" xfId="20280" xr:uid="{00000000-0005-0000-0000-0000F9170000}"/>
    <cellStyle name="Moneda 2 4 2 2 2 2 3" xfId="3525" xr:uid="{00000000-0005-0000-0000-0000FA170000}"/>
    <cellStyle name="Moneda 2 4 2 2 2 2 3 2" xfId="8081" xr:uid="{00000000-0005-0000-0000-0000FB170000}"/>
    <cellStyle name="Moneda 2 4 2 2 2 2 3 2 2" xfId="17177" xr:uid="{00000000-0005-0000-0000-0000FC170000}"/>
    <cellStyle name="Moneda 2 4 2 2 2 2 3 2 2 2" xfId="35359" xr:uid="{00000000-0005-0000-0000-0000FD170000}"/>
    <cellStyle name="Moneda 2 4 2 2 2 2 3 2 3" xfId="26269" xr:uid="{00000000-0005-0000-0000-0000FE170000}"/>
    <cellStyle name="Moneda 2 4 2 2 2 2 3 3" xfId="12637" xr:uid="{00000000-0005-0000-0000-0000FF170000}"/>
    <cellStyle name="Moneda 2 4 2 2 2 2 3 3 2" xfId="30819" xr:uid="{00000000-0005-0000-0000-000000180000}"/>
    <cellStyle name="Moneda 2 4 2 2 2 2 3 4" xfId="21729" xr:uid="{00000000-0005-0000-0000-000001180000}"/>
    <cellStyle name="Moneda 2 4 2 2 2 2 4" xfId="5164" xr:uid="{00000000-0005-0000-0000-000002180000}"/>
    <cellStyle name="Moneda 2 4 2 2 2 2 4 2" xfId="14264" xr:uid="{00000000-0005-0000-0000-000003180000}"/>
    <cellStyle name="Moneda 2 4 2 2 2 2 4 2 2" xfId="32446" xr:uid="{00000000-0005-0000-0000-000004180000}"/>
    <cellStyle name="Moneda 2 4 2 2 2 2 4 3" xfId="23356" xr:uid="{00000000-0005-0000-0000-000005180000}"/>
    <cellStyle name="Moneda 2 4 2 2 2 2 5" xfId="9730" xr:uid="{00000000-0005-0000-0000-000006180000}"/>
    <cellStyle name="Moneda 2 4 2 2 2 2 5 2" xfId="27912" xr:uid="{00000000-0005-0000-0000-000007180000}"/>
    <cellStyle name="Moneda 2 4 2 2 2 2 6" xfId="18821" xr:uid="{00000000-0005-0000-0000-000008180000}"/>
    <cellStyle name="Moneda 2 4 2 2 2 3" xfId="2034" xr:uid="{00000000-0005-0000-0000-000009180000}"/>
    <cellStyle name="Moneda 2 4 2 2 2 3 2" xfId="6625" xr:uid="{00000000-0005-0000-0000-00000A180000}"/>
    <cellStyle name="Moneda 2 4 2 2 2 3 2 2" xfId="15725" xr:uid="{00000000-0005-0000-0000-00000B180000}"/>
    <cellStyle name="Moneda 2 4 2 2 2 3 2 2 2" xfId="33907" xr:uid="{00000000-0005-0000-0000-00000C180000}"/>
    <cellStyle name="Moneda 2 4 2 2 2 3 2 3" xfId="24817" xr:uid="{00000000-0005-0000-0000-00000D180000}"/>
    <cellStyle name="Moneda 2 4 2 2 2 3 3" xfId="11189" xr:uid="{00000000-0005-0000-0000-00000E180000}"/>
    <cellStyle name="Moneda 2 4 2 2 2 3 3 2" xfId="29371" xr:uid="{00000000-0005-0000-0000-00000F180000}"/>
    <cellStyle name="Moneda 2 4 2 2 2 3 4" xfId="20281" xr:uid="{00000000-0005-0000-0000-000010180000}"/>
    <cellStyle name="Moneda 2 4 2 2 2 4" xfId="3524" xr:uid="{00000000-0005-0000-0000-000011180000}"/>
    <cellStyle name="Moneda 2 4 2 2 2 4 2" xfId="8080" xr:uid="{00000000-0005-0000-0000-000012180000}"/>
    <cellStyle name="Moneda 2 4 2 2 2 4 2 2" xfId="17176" xr:uid="{00000000-0005-0000-0000-000013180000}"/>
    <cellStyle name="Moneda 2 4 2 2 2 4 2 2 2" xfId="35358" xr:uid="{00000000-0005-0000-0000-000014180000}"/>
    <cellStyle name="Moneda 2 4 2 2 2 4 2 3" xfId="26268" xr:uid="{00000000-0005-0000-0000-000015180000}"/>
    <cellStyle name="Moneda 2 4 2 2 2 4 3" xfId="12636" xr:uid="{00000000-0005-0000-0000-000016180000}"/>
    <cellStyle name="Moneda 2 4 2 2 2 4 3 2" xfId="30818" xr:uid="{00000000-0005-0000-0000-000017180000}"/>
    <cellStyle name="Moneda 2 4 2 2 2 4 4" xfId="21728" xr:uid="{00000000-0005-0000-0000-000018180000}"/>
    <cellStyle name="Moneda 2 4 2 2 2 5" xfId="5163" xr:uid="{00000000-0005-0000-0000-000019180000}"/>
    <cellStyle name="Moneda 2 4 2 2 2 5 2" xfId="14263" xr:uid="{00000000-0005-0000-0000-00001A180000}"/>
    <cellStyle name="Moneda 2 4 2 2 2 5 2 2" xfId="32445" xr:uid="{00000000-0005-0000-0000-00001B180000}"/>
    <cellStyle name="Moneda 2 4 2 2 2 5 3" xfId="23355" xr:uid="{00000000-0005-0000-0000-00001C180000}"/>
    <cellStyle name="Moneda 2 4 2 2 2 6" xfId="9729" xr:uid="{00000000-0005-0000-0000-00001D180000}"/>
    <cellStyle name="Moneda 2 4 2 2 2 6 2" xfId="27911" xr:uid="{00000000-0005-0000-0000-00001E180000}"/>
    <cellStyle name="Moneda 2 4 2 2 2 7" xfId="18820" xr:uid="{00000000-0005-0000-0000-00001F180000}"/>
    <cellStyle name="Moneda 2 4 2 2 3" xfId="514" xr:uid="{00000000-0005-0000-0000-000020180000}"/>
    <cellStyle name="Moneda 2 4 2 2 3 2" xfId="2035" xr:uid="{00000000-0005-0000-0000-000021180000}"/>
    <cellStyle name="Moneda 2 4 2 2 3 2 2" xfId="6626" xr:uid="{00000000-0005-0000-0000-000022180000}"/>
    <cellStyle name="Moneda 2 4 2 2 3 2 2 2" xfId="15726" xr:uid="{00000000-0005-0000-0000-000023180000}"/>
    <cellStyle name="Moneda 2 4 2 2 3 2 2 2 2" xfId="33908" xr:uid="{00000000-0005-0000-0000-000024180000}"/>
    <cellStyle name="Moneda 2 4 2 2 3 2 2 3" xfId="24818" xr:uid="{00000000-0005-0000-0000-000025180000}"/>
    <cellStyle name="Moneda 2 4 2 2 3 2 3" xfId="11190" xr:uid="{00000000-0005-0000-0000-000026180000}"/>
    <cellStyle name="Moneda 2 4 2 2 3 2 3 2" xfId="29372" xr:uid="{00000000-0005-0000-0000-000027180000}"/>
    <cellStyle name="Moneda 2 4 2 2 3 2 4" xfId="20282" xr:uid="{00000000-0005-0000-0000-000028180000}"/>
    <cellStyle name="Moneda 2 4 2 2 3 3" xfId="3526" xr:uid="{00000000-0005-0000-0000-000029180000}"/>
    <cellStyle name="Moneda 2 4 2 2 3 3 2" xfId="8082" xr:uid="{00000000-0005-0000-0000-00002A180000}"/>
    <cellStyle name="Moneda 2 4 2 2 3 3 2 2" xfId="17178" xr:uid="{00000000-0005-0000-0000-00002B180000}"/>
    <cellStyle name="Moneda 2 4 2 2 3 3 2 2 2" xfId="35360" xr:uid="{00000000-0005-0000-0000-00002C180000}"/>
    <cellStyle name="Moneda 2 4 2 2 3 3 2 3" xfId="26270" xr:uid="{00000000-0005-0000-0000-00002D180000}"/>
    <cellStyle name="Moneda 2 4 2 2 3 3 3" xfId="12638" xr:uid="{00000000-0005-0000-0000-00002E180000}"/>
    <cellStyle name="Moneda 2 4 2 2 3 3 3 2" xfId="30820" xr:uid="{00000000-0005-0000-0000-00002F180000}"/>
    <cellStyle name="Moneda 2 4 2 2 3 3 4" xfId="21730" xr:uid="{00000000-0005-0000-0000-000030180000}"/>
    <cellStyle name="Moneda 2 4 2 2 3 4" xfId="5165" xr:uid="{00000000-0005-0000-0000-000031180000}"/>
    <cellStyle name="Moneda 2 4 2 2 3 4 2" xfId="14265" xr:uid="{00000000-0005-0000-0000-000032180000}"/>
    <cellStyle name="Moneda 2 4 2 2 3 4 2 2" xfId="32447" xr:uid="{00000000-0005-0000-0000-000033180000}"/>
    <cellStyle name="Moneda 2 4 2 2 3 4 3" xfId="23357" xr:uid="{00000000-0005-0000-0000-000034180000}"/>
    <cellStyle name="Moneda 2 4 2 2 3 5" xfId="9731" xr:uid="{00000000-0005-0000-0000-000035180000}"/>
    <cellStyle name="Moneda 2 4 2 2 3 5 2" xfId="27913" xr:uid="{00000000-0005-0000-0000-000036180000}"/>
    <cellStyle name="Moneda 2 4 2 2 3 6" xfId="18822" xr:uid="{00000000-0005-0000-0000-000037180000}"/>
    <cellStyle name="Moneda 2 4 2 2 4" xfId="515" xr:uid="{00000000-0005-0000-0000-000038180000}"/>
    <cellStyle name="Moneda 2 4 2 2 4 2" xfId="3527" xr:uid="{00000000-0005-0000-0000-000039180000}"/>
    <cellStyle name="Moneda 2 4 2 2 4 2 2" xfId="8083" xr:uid="{00000000-0005-0000-0000-00003A180000}"/>
    <cellStyle name="Moneda 2 4 2 2 4 2 2 2" xfId="17179" xr:uid="{00000000-0005-0000-0000-00003B180000}"/>
    <cellStyle name="Moneda 2 4 2 2 4 2 2 2 2" xfId="35361" xr:uid="{00000000-0005-0000-0000-00003C180000}"/>
    <cellStyle name="Moneda 2 4 2 2 4 2 2 3" xfId="26271" xr:uid="{00000000-0005-0000-0000-00003D180000}"/>
    <cellStyle name="Moneda 2 4 2 2 4 2 3" xfId="12639" xr:uid="{00000000-0005-0000-0000-00003E180000}"/>
    <cellStyle name="Moneda 2 4 2 2 4 2 3 2" xfId="30821" xr:uid="{00000000-0005-0000-0000-00003F180000}"/>
    <cellStyle name="Moneda 2 4 2 2 4 2 4" xfId="21731" xr:uid="{00000000-0005-0000-0000-000040180000}"/>
    <cellStyle name="Moneda 2 4 2 2 4 3" xfId="5166" xr:uid="{00000000-0005-0000-0000-000041180000}"/>
    <cellStyle name="Moneda 2 4 2 2 4 3 2" xfId="14266" xr:uid="{00000000-0005-0000-0000-000042180000}"/>
    <cellStyle name="Moneda 2 4 2 2 4 3 2 2" xfId="32448" xr:uid="{00000000-0005-0000-0000-000043180000}"/>
    <cellStyle name="Moneda 2 4 2 2 4 3 3" xfId="23358" xr:uid="{00000000-0005-0000-0000-000044180000}"/>
    <cellStyle name="Moneda 2 4 2 2 4 4" xfId="9732" xr:uid="{00000000-0005-0000-0000-000045180000}"/>
    <cellStyle name="Moneda 2 4 2 2 4 4 2" xfId="27914" xr:uid="{00000000-0005-0000-0000-000046180000}"/>
    <cellStyle name="Moneda 2 4 2 2 4 5" xfId="18823" xr:uid="{00000000-0005-0000-0000-000047180000}"/>
    <cellStyle name="Moneda 2 4 2 2 5" xfId="2036" xr:uid="{00000000-0005-0000-0000-000048180000}"/>
    <cellStyle name="Moneda 2 4 2 2 6" xfId="3523" xr:uid="{00000000-0005-0000-0000-000049180000}"/>
    <cellStyle name="Moneda 2 4 2 2 6 2" xfId="8079" xr:uid="{00000000-0005-0000-0000-00004A180000}"/>
    <cellStyle name="Moneda 2 4 2 2 6 2 2" xfId="17175" xr:uid="{00000000-0005-0000-0000-00004B180000}"/>
    <cellStyle name="Moneda 2 4 2 2 6 2 2 2" xfId="35357" xr:uid="{00000000-0005-0000-0000-00004C180000}"/>
    <cellStyle name="Moneda 2 4 2 2 6 2 3" xfId="26267" xr:uid="{00000000-0005-0000-0000-00004D180000}"/>
    <cellStyle name="Moneda 2 4 2 2 6 3" xfId="12635" xr:uid="{00000000-0005-0000-0000-00004E180000}"/>
    <cellStyle name="Moneda 2 4 2 2 6 3 2" xfId="30817" xr:uid="{00000000-0005-0000-0000-00004F180000}"/>
    <cellStyle name="Moneda 2 4 2 2 6 4" xfId="21727" xr:uid="{00000000-0005-0000-0000-000050180000}"/>
    <cellStyle name="Moneda 2 4 2 2 7" xfId="5162" xr:uid="{00000000-0005-0000-0000-000051180000}"/>
    <cellStyle name="Moneda 2 4 2 2 7 2" xfId="14262" xr:uid="{00000000-0005-0000-0000-000052180000}"/>
    <cellStyle name="Moneda 2 4 2 2 7 2 2" xfId="32444" xr:uid="{00000000-0005-0000-0000-000053180000}"/>
    <cellStyle name="Moneda 2 4 2 2 7 3" xfId="23354" xr:uid="{00000000-0005-0000-0000-000054180000}"/>
    <cellStyle name="Moneda 2 4 2 2 8" xfId="9728" xr:uid="{00000000-0005-0000-0000-000055180000}"/>
    <cellStyle name="Moneda 2 4 2 2 8 2" xfId="27910" xr:uid="{00000000-0005-0000-0000-000056180000}"/>
    <cellStyle name="Moneda 2 4 2 2 9" xfId="18819" xr:uid="{00000000-0005-0000-0000-000057180000}"/>
    <cellStyle name="Moneda 2 4 2 3" xfId="516" xr:uid="{00000000-0005-0000-0000-000058180000}"/>
    <cellStyle name="Moneda 2 4 2 3 2" xfId="517" xr:uid="{00000000-0005-0000-0000-000059180000}"/>
    <cellStyle name="Moneda 2 4 2 3 2 2" xfId="2037" xr:uid="{00000000-0005-0000-0000-00005A180000}"/>
    <cellStyle name="Moneda 2 4 2 3 2 2 2" xfId="6627" xr:uid="{00000000-0005-0000-0000-00005B180000}"/>
    <cellStyle name="Moneda 2 4 2 3 2 2 2 2" xfId="15727" xr:uid="{00000000-0005-0000-0000-00005C180000}"/>
    <cellStyle name="Moneda 2 4 2 3 2 2 2 2 2" xfId="33909" xr:uid="{00000000-0005-0000-0000-00005D180000}"/>
    <cellStyle name="Moneda 2 4 2 3 2 2 2 3" xfId="24819" xr:uid="{00000000-0005-0000-0000-00005E180000}"/>
    <cellStyle name="Moneda 2 4 2 3 2 2 3" xfId="11191" xr:uid="{00000000-0005-0000-0000-00005F180000}"/>
    <cellStyle name="Moneda 2 4 2 3 2 2 3 2" xfId="29373" xr:uid="{00000000-0005-0000-0000-000060180000}"/>
    <cellStyle name="Moneda 2 4 2 3 2 2 4" xfId="20283" xr:uid="{00000000-0005-0000-0000-000061180000}"/>
    <cellStyle name="Moneda 2 4 2 3 2 3" xfId="3529" xr:uid="{00000000-0005-0000-0000-000062180000}"/>
    <cellStyle name="Moneda 2 4 2 3 2 3 2" xfId="8085" xr:uid="{00000000-0005-0000-0000-000063180000}"/>
    <cellStyle name="Moneda 2 4 2 3 2 3 2 2" xfId="17181" xr:uid="{00000000-0005-0000-0000-000064180000}"/>
    <cellStyle name="Moneda 2 4 2 3 2 3 2 2 2" xfId="35363" xr:uid="{00000000-0005-0000-0000-000065180000}"/>
    <cellStyle name="Moneda 2 4 2 3 2 3 2 3" xfId="26273" xr:uid="{00000000-0005-0000-0000-000066180000}"/>
    <cellStyle name="Moneda 2 4 2 3 2 3 3" xfId="12641" xr:uid="{00000000-0005-0000-0000-000067180000}"/>
    <cellStyle name="Moneda 2 4 2 3 2 3 3 2" xfId="30823" xr:uid="{00000000-0005-0000-0000-000068180000}"/>
    <cellStyle name="Moneda 2 4 2 3 2 3 4" xfId="21733" xr:uid="{00000000-0005-0000-0000-000069180000}"/>
    <cellStyle name="Moneda 2 4 2 3 2 4" xfId="5168" xr:uid="{00000000-0005-0000-0000-00006A180000}"/>
    <cellStyle name="Moneda 2 4 2 3 2 4 2" xfId="14268" xr:uid="{00000000-0005-0000-0000-00006B180000}"/>
    <cellStyle name="Moneda 2 4 2 3 2 4 2 2" xfId="32450" xr:uid="{00000000-0005-0000-0000-00006C180000}"/>
    <cellStyle name="Moneda 2 4 2 3 2 4 3" xfId="23360" xr:uid="{00000000-0005-0000-0000-00006D180000}"/>
    <cellStyle name="Moneda 2 4 2 3 2 5" xfId="9734" xr:uid="{00000000-0005-0000-0000-00006E180000}"/>
    <cellStyle name="Moneda 2 4 2 3 2 5 2" xfId="27916" xr:uid="{00000000-0005-0000-0000-00006F180000}"/>
    <cellStyle name="Moneda 2 4 2 3 2 6" xfId="18825" xr:uid="{00000000-0005-0000-0000-000070180000}"/>
    <cellStyle name="Moneda 2 4 2 3 3" xfId="2038" xr:uid="{00000000-0005-0000-0000-000071180000}"/>
    <cellStyle name="Moneda 2 4 2 3 3 2" xfId="6628" xr:uid="{00000000-0005-0000-0000-000072180000}"/>
    <cellStyle name="Moneda 2 4 2 3 3 2 2" xfId="15728" xr:uid="{00000000-0005-0000-0000-000073180000}"/>
    <cellStyle name="Moneda 2 4 2 3 3 2 2 2" xfId="33910" xr:uid="{00000000-0005-0000-0000-000074180000}"/>
    <cellStyle name="Moneda 2 4 2 3 3 2 3" xfId="24820" xr:uid="{00000000-0005-0000-0000-000075180000}"/>
    <cellStyle name="Moneda 2 4 2 3 3 3" xfId="11192" xr:uid="{00000000-0005-0000-0000-000076180000}"/>
    <cellStyle name="Moneda 2 4 2 3 3 3 2" xfId="29374" xr:uid="{00000000-0005-0000-0000-000077180000}"/>
    <cellStyle name="Moneda 2 4 2 3 3 4" xfId="20284" xr:uid="{00000000-0005-0000-0000-000078180000}"/>
    <cellStyle name="Moneda 2 4 2 3 4" xfId="3528" xr:uid="{00000000-0005-0000-0000-000079180000}"/>
    <cellStyle name="Moneda 2 4 2 3 4 2" xfId="8084" xr:uid="{00000000-0005-0000-0000-00007A180000}"/>
    <cellStyle name="Moneda 2 4 2 3 4 2 2" xfId="17180" xr:uid="{00000000-0005-0000-0000-00007B180000}"/>
    <cellStyle name="Moneda 2 4 2 3 4 2 2 2" xfId="35362" xr:uid="{00000000-0005-0000-0000-00007C180000}"/>
    <cellStyle name="Moneda 2 4 2 3 4 2 3" xfId="26272" xr:uid="{00000000-0005-0000-0000-00007D180000}"/>
    <cellStyle name="Moneda 2 4 2 3 4 3" xfId="12640" xr:uid="{00000000-0005-0000-0000-00007E180000}"/>
    <cellStyle name="Moneda 2 4 2 3 4 3 2" xfId="30822" xr:uid="{00000000-0005-0000-0000-00007F180000}"/>
    <cellStyle name="Moneda 2 4 2 3 4 4" xfId="21732" xr:uid="{00000000-0005-0000-0000-000080180000}"/>
    <cellStyle name="Moneda 2 4 2 3 5" xfId="5167" xr:uid="{00000000-0005-0000-0000-000081180000}"/>
    <cellStyle name="Moneda 2 4 2 3 5 2" xfId="14267" xr:uid="{00000000-0005-0000-0000-000082180000}"/>
    <cellStyle name="Moneda 2 4 2 3 5 2 2" xfId="32449" xr:uid="{00000000-0005-0000-0000-000083180000}"/>
    <cellStyle name="Moneda 2 4 2 3 5 3" xfId="23359" xr:uid="{00000000-0005-0000-0000-000084180000}"/>
    <cellStyle name="Moneda 2 4 2 3 6" xfId="9733" xr:uid="{00000000-0005-0000-0000-000085180000}"/>
    <cellStyle name="Moneda 2 4 2 3 6 2" xfId="27915" xr:uid="{00000000-0005-0000-0000-000086180000}"/>
    <cellStyle name="Moneda 2 4 2 3 7" xfId="18824" xr:uid="{00000000-0005-0000-0000-000087180000}"/>
    <cellStyle name="Moneda 2 4 2 4" xfId="518" xr:uid="{00000000-0005-0000-0000-000088180000}"/>
    <cellStyle name="Moneda 2 4 2 4 2" xfId="2039" xr:uid="{00000000-0005-0000-0000-000089180000}"/>
    <cellStyle name="Moneda 2 4 2 4 2 2" xfId="6629" xr:uid="{00000000-0005-0000-0000-00008A180000}"/>
    <cellStyle name="Moneda 2 4 2 4 2 2 2" xfId="15729" xr:uid="{00000000-0005-0000-0000-00008B180000}"/>
    <cellStyle name="Moneda 2 4 2 4 2 2 2 2" xfId="33911" xr:uid="{00000000-0005-0000-0000-00008C180000}"/>
    <cellStyle name="Moneda 2 4 2 4 2 2 3" xfId="24821" xr:uid="{00000000-0005-0000-0000-00008D180000}"/>
    <cellStyle name="Moneda 2 4 2 4 2 3" xfId="11193" xr:uid="{00000000-0005-0000-0000-00008E180000}"/>
    <cellStyle name="Moneda 2 4 2 4 2 3 2" xfId="29375" xr:uid="{00000000-0005-0000-0000-00008F180000}"/>
    <cellStyle name="Moneda 2 4 2 4 2 4" xfId="20285" xr:uid="{00000000-0005-0000-0000-000090180000}"/>
    <cellStyle name="Moneda 2 4 2 4 3" xfId="3530" xr:uid="{00000000-0005-0000-0000-000091180000}"/>
    <cellStyle name="Moneda 2 4 2 4 3 2" xfId="8086" xr:uid="{00000000-0005-0000-0000-000092180000}"/>
    <cellStyle name="Moneda 2 4 2 4 3 2 2" xfId="17182" xr:uid="{00000000-0005-0000-0000-000093180000}"/>
    <cellStyle name="Moneda 2 4 2 4 3 2 2 2" xfId="35364" xr:uid="{00000000-0005-0000-0000-000094180000}"/>
    <cellStyle name="Moneda 2 4 2 4 3 2 3" xfId="26274" xr:uid="{00000000-0005-0000-0000-000095180000}"/>
    <cellStyle name="Moneda 2 4 2 4 3 3" xfId="12642" xr:uid="{00000000-0005-0000-0000-000096180000}"/>
    <cellStyle name="Moneda 2 4 2 4 3 3 2" xfId="30824" xr:uid="{00000000-0005-0000-0000-000097180000}"/>
    <cellStyle name="Moneda 2 4 2 4 3 4" xfId="21734" xr:uid="{00000000-0005-0000-0000-000098180000}"/>
    <cellStyle name="Moneda 2 4 2 4 4" xfId="5169" xr:uid="{00000000-0005-0000-0000-000099180000}"/>
    <cellStyle name="Moneda 2 4 2 4 4 2" xfId="14269" xr:uid="{00000000-0005-0000-0000-00009A180000}"/>
    <cellStyle name="Moneda 2 4 2 4 4 2 2" xfId="32451" xr:uid="{00000000-0005-0000-0000-00009B180000}"/>
    <cellStyle name="Moneda 2 4 2 4 4 3" xfId="23361" xr:uid="{00000000-0005-0000-0000-00009C180000}"/>
    <cellStyle name="Moneda 2 4 2 4 5" xfId="9735" xr:uid="{00000000-0005-0000-0000-00009D180000}"/>
    <cellStyle name="Moneda 2 4 2 4 5 2" xfId="27917" xr:uid="{00000000-0005-0000-0000-00009E180000}"/>
    <cellStyle name="Moneda 2 4 2 4 6" xfId="18826" xr:uid="{00000000-0005-0000-0000-00009F180000}"/>
    <cellStyle name="Moneda 2 4 2 5" xfId="519" xr:uid="{00000000-0005-0000-0000-0000A0180000}"/>
    <cellStyle name="Moneda 2 4 2 5 2" xfId="3531" xr:uid="{00000000-0005-0000-0000-0000A1180000}"/>
    <cellStyle name="Moneda 2 4 2 5 2 2" xfId="8087" xr:uid="{00000000-0005-0000-0000-0000A2180000}"/>
    <cellStyle name="Moneda 2 4 2 5 2 2 2" xfId="17183" xr:uid="{00000000-0005-0000-0000-0000A3180000}"/>
    <cellStyle name="Moneda 2 4 2 5 2 2 2 2" xfId="35365" xr:uid="{00000000-0005-0000-0000-0000A4180000}"/>
    <cellStyle name="Moneda 2 4 2 5 2 2 3" xfId="26275" xr:uid="{00000000-0005-0000-0000-0000A5180000}"/>
    <cellStyle name="Moneda 2 4 2 5 2 3" xfId="12643" xr:uid="{00000000-0005-0000-0000-0000A6180000}"/>
    <cellStyle name="Moneda 2 4 2 5 2 3 2" xfId="30825" xr:uid="{00000000-0005-0000-0000-0000A7180000}"/>
    <cellStyle name="Moneda 2 4 2 5 2 4" xfId="21735" xr:uid="{00000000-0005-0000-0000-0000A8180000}"/>
    <cellStyle name="Moneda 2 4 2 5 3" xfId="5170" xr:uid="{00000000-0005-0000-0000-0000A9180000}"/>
    <cellStyle name="Moneda 2 4 2 5 3 2" xfId="14270" xr:uid="{00000000-0005-0000-0000-0000AA180000}"/>
    <cellStyle name="Moneda 2 4 2 5 3 2 2" xfId="32452" xr:uid="{00000000-0005-0000-0000-0000AB180000}"/>
    <cellStyle name="Moneda 2 4 2 5 3 3" xfId="23362" xr:uid="{00000000-0005-0000-0000-0000AC180000}"/>
    <cellStyle name="Moneda 2 4 2 5 4" xfId="9736" xr:uid="{00000000-0005-0000-0000-0000AD180000}"/>
    <cellStyle name="Moneda 2 4 2 5 4 2" xfId="27918" xr:uid="{00000000-0005-0000-0000-0000AE180000}"/>
    <cellStyle name="Moneda 2 4 2 5 5" xfId="18827" xr:uid="{00000000-0005-0000-0000-0000AF180000}"/>
    <cellStyle name="Moneda 2 4 2 6" xfId="2040" xr:uid="{00000000-0005-0000-0000-0000B0180000}"/>
    <cellStyle name="Moneda 2 4 2 6 2" xfId="6630" xr:uid="{00000000-0005-0000-0000-0000B1180000}"/>
    <cellStyle name="Moneda 2 4 2 6 2 2" xfId="15730" xr:uid="{00000000-0005-0000-0000-0000B2180000}"/>
    <cellStyle name="Moneda 2 4 2 6 2 2 2" xfId="33912" xr:uid="{00000000-0005-0000-0000-0000B3180000}"/>
    <cellStyle name="Moneda 2 4 2 6 2 3" xfId="24822" xr:uid="{00000000-0005-0000-0000-0000B4180000}"/>
    <cellStyle name="Moneda 2 4 2 6 3" xfId="11194" xr:uid="{00000000-0005-0000-0000-0000B5180000}"/>
    <cellStyle name="Moneda 2 4 2 6 3 2" xfId="29376" xr:uid="{00000000-0005-0000-0000-0000B6180000}"/>
    <cellStyle name="Moneda 2 4 2 6 4" xfId="20286" xr:uid="{00000000-0005-0000-0000-0000B7180000}"/>
    <cellStyle name="Moneda 2 4 2 7" xfId="3522" xr:uid="{00000000-0005-0000-0000-0000B8180000}"/>
    <cellStyle name="Moneda 2 4 2 7 2" xfId="8078" xr:uid="{00000000-0005-0000-0000-0000B9180000}"/>
    <cellStyle name="Moneda 2 4 2 7 2 2" xfId="17174" xr:uid="{00000000-0005-0000-0000-0000BA180000}"/>
    <cellStyle name="Moneda 2 4 2 7 2 2 2" xfId="35356" xr:uid="{00000000-0005-0000-0000-0000BB180000}"/>
    <cellStyle name="Moneda 2 4 2 7 2 3" xfId="26266" xr:uid="{00000000-0005-0000-0000-0000BC180000}"/>
    <cellStyle name="Moneda 2 4 2 7 3" xfId="12634" xr:uid="{00000000-0005-0000-0000-0000BD180000}"/>
    <cellStyle name="Moneda 2 4 2 7 3 2" xfId="30816" xr:uid="{00000000-0005-0000-0000-0000BE180000}"/>
    <cellStyle name="Moneda 2 4 2 7 4" xfId="21726" xr:uid="{00000000-0005-0000-0000-0000BF180000}"/>
    <cellStyle name="Moneda 2 4 2 8" xfId="5161" xr:uid="{00000000-0005-0000-0000-0000C0180000}"/>
    <cellStyle name="Moneda 2 4 2 8 2" xfId="14261" xr:uid="{00000000-0005-0000-0000-0000C1180000}"/>
    <cellStyle name="Moneda 2 4 2 8 2 2" xfId="32443" xr:uid="{00000000-0005-0000-0000-0000C2180000}"/>
    <cellStyle name="Moneda 2 4 2 8 3" xfId="23353" xr:uid="{00000000-0005-0000-0000-0000C3180000}"/>
    <cellStyle name="Moneda 2 4 2 9" xfId="9727" xr:uid="{00000000-0005-0000-0000-0000C4180000}"/>
    <cellStyle name="Moneda 2 4 2 9 2" xfId="27909" xr:uid="{00000000-0005-0000-0000-0000C5180000}"/>
    <cellStyle name="Moneda 2 4 3" xfId="520" xr:uid="{00000000-0005-0000-0000-0000C6180000}"/>
    <cellStyle name="Moneda 2 4 3 2" xfId="521" xr:uid="{00000000-0005-0000-0000-0000C7180000}"/>
    <cellStyle name="Moneda 2 4 3 2 2" xfId="522" xr:uid="{00000000-0005-0000-0000-0000C8180000}"/>
    <cellStyle name="Moneda 2 4 3 2 2 2" xfId="2041" xr:uid="{00000000-0005-0000-0000-0000C9180000}"/>
    <cellStyle name="Moneda 2 4 3 2 2 2 2" xfId="6631" xr:uid="{00000000-0005-0000-0000-0000CA180000}"/>
    <cellStyle name="Moneda 2 4 3 2 2 2 2 2" xfId="15731" xr:uid="{00000000-0005-0000-0000-0000CB180000}"/>
    <cellStyle name="Moneda 2 4 3 2 2 2 2 2 2" xfId="33913" xr:uid="{00000000-0005-0000-0000-0000CC180000}"/>
    <cellStyle name="Moneda 2 4 3 2 2 2 2 3" xfId="24823" xr:uid="{00000000-0005-0000-0000-0000CD180000}"/>
    <cellStyle name="Moneda 2 4 3 2 2 2 3" xfId="11195" xr:uid="{00000000-0005-0000-0000-0000CE180000}"/>
    <cellStyle name="Moneda 2 4 3 2 2 2 3 2" xfId="29377" xr:uid="{00000000-0005-0000-0000-0000CF180000}"/>
    <cellStyle name="Moneda 2 4 3 2 2 2 4" xfId="20287" xr:uid="{00000000-0005-0000-0000-0000D0180000}"/>
    <cellStyle name="Moneda 2 4 3 2 2 3" xfId="3534" xr:uid="{00000000-0005-0000-0000-0000D1180000}"/>
    <cellStyle name="Moneda 2 4 3 2 2 3 2" xfId="8090" xr:uid="{00000000-0005-0000-0000-0000D2180000}"/>
    <cellStyle name="Moneda 2 4 3 2 2 3 2 2" xfId="17186" xr:uid="{00000000-0005-0000-0000-0000D3180000}"/>
    <cellStyle name="Moneda 2 4 3 2 2 3 2 2 2" xfId="35368" xr:uid="{00000000-0005-0000-0000-0000D4180000}"/>
    <cellStyle name="Moneda 2 4 3 2 2 3 2 3" xfId="26278" xr:uid="{00000000-0005-0000-0000-0000D5180000}"/>
    <cellStyle name="Moneda 2 4 3 2 2 3 3" xfId="12646" xr:uid="{00000000-0005-0000-0000-0000D6180000}"/>
    <cellStyle name="Moneda 2 4 3 2 2 3 3 2" xfId="30828" xr:uid="{00000000-0005-0000-0000-0000D7180000}"/>
    <cellStyle name="Moneda 2 4 3 2 2 3 4" xfId="21738" xr:uid="{00000000-0005-0000-0000-0000D8180000}"/>
    <cellStyle name="Moneda 2 4 3 2 2 4" xfId="5173" xr:uid="{00000000-0005-0000-0000-0000D9180000}"/>
    <cellStyle name="Moneda 2 4 3 2 2 4 2" xfId="14273" xr:uid="{00000000-0005-0000-0000-0000DA180000}"/>
    <cellStyle name="Moneda 2 4 3 2 2 4 2 2" xfId="32455" xr:uid="{00000000-0005-0000-0000-0000DB180000}"/>
    <cellStyle name="Moneda 2 4 3 2 2 4 3" xfId="23365" xr:uid="{00000000-0005-0000-0000-0000DC180000}"/>
    <cellStyle name="Moneda 2 4 3 2 2 5" xfId="9739" xr:uid="{00000000-0005-0000-0000-0000DD180000}"/>
    <cellStyle name="Moneda 2 4 3 2 2 5 2" xfId="27921" xr:uid="{00000000-0005-0000-0000-0000DE180000}"/>
    <cellStyle name="Moneda 2 4 3 2 2 6" xfId="18830" xr:uid="{00000000-0005-0000-0000-0000DF180000}"/>
    <cellStyle name="Moneda 2 4 3 2 3" xfId="2042" xr:uid="{00000000-0005-0000-0000-0000E0180000}"/>
    <cellStyle name="Moneda 2 4 3 2 3 2" xfId="6632" xr:uid="{00000000-0005-0000-0000-0000E1180000}"/>
    <cellStyle name="Moneda 2 4 3 2 3 2 2" xfId="15732" xr:uid="{00000000-0005-0000-0000-0000E2180000}"/>
    <cellStyle name="Moneda 2 4 3 2 3 2 2 2" xfId="33914" xr:uid="{00000000-0005-0000-0000-0000E3180000}"/>
    <cellStyle name="Moneda 2 4 3 2 3 2 3" xfId="24824" xr:uid="{00000000-0005-0000-0000-0000E4180000}"/>
    <cellStyle name="Moneda 2 4 3 2 3 3" xfId="11196" xr:uid="{00000000-0005-0000-0000-0000E5180000}"/>
    <cellStyle name="Moneda 2 4 3 2 3 3 2" xfId="29378" xr:uid="{00000000-0005-0000-0000-0000E6180000}"/>
    <cellStyle name="Moneda 2 4 3 2 3 4" xfId="20288" xr:uid="{00000000-0005-0000-0000-0000E7180000}"/>
    <cellStyle name="Moneda 2 4 3 2 4" xfId="3533" xr:uid="{00000000-0005-0000-0000-0000E8180000}"/>
    <cellStyle name="Moneda 2 4 3 2 4 2" xfId="8089" xr:uid="{00000000-0005-0000-0000-0000E9180000}"/>
    <cellStyle name="Moneda 2 4 3 2 4 2 2" xfId="17185" xr:uid="{00000000-0005-0000-0000-0000EA180000}"/>
    <cellStyle name="Moneda 2 4 3 2 4 2 2 2" xfId="35367" xr:uid="{00000000-0005-0000-0000-0000EB180000}"/>
    <cellStyle name="Moneda 2 4 3 2 4 2 3" xfId="26277" xr:uid="{00000000-0005-0000-0000-0000EC180000}"/>
    <cellStyle name="Moneda 2 4 3 2 4 3" xfId="12645" xr:uid="{00000000-0005-0000-0000-0000ED180000}"/>
    <cellStyle name="Moneda 2 4 3 2 4 3 2" xfId="30827" xr:uid="{00000000-0005-0000-0000-0000EE180000}"/>
    <cellStyle name="Moneda 2 4 3 2 4 4" xfId="21737" xr:uid="{00000000-0005-0000-0000-0000EF180000}"/>
    <cellStyle name="Moneda 2 4 3 2 5" xfId="5172" xr:uid="{00000000-0005-0000-0000-0000F0180000}"/>
    <cellStyle name="Moneda 2 4 3 2 5 2" xfId="14272" xr:uid="{00000000-0005-0000-0000-0000F1180000}"/>
    <cellStyle name="Moneda 2 4 3 2 5 2 2" xfId="32454" xr:uid="{00000000-0005-0000-0000-0000F2180000}"/>
    <cellStyle name="Moneda 2 4 3 2 5 3" xfId="23364" xr:uid="{00000000-0005-0000-0000-0000F3180000}"/>
    <cellStyle name="Moneda 2 4 3 2 6" xfId="9738" xr:uid="{00000000-0005-0000-0000-0000F4180000}"/>
    <cellStyle name="Moneda 2 4 3 2 6 2" xfId="27920" xr:uid="{00000000-0005-0000-0000-0000F5180000}"/>
    <cellStyle name="Moneda 2 4 3 2 7" xfId="18829" xr:uid="{00000000-0005-0000-0000-0000F6180000}"/>
    <cellStyle name="Moneda 2 4 3 3" xfId="523" xr:uid="{00000000-0005-0000-0000-0000F7180000}"/>
    <cellStyle name="Moneda 2 4 3 3 2" xfId="2043" xr:uid="{00000000-0005-0000-0000-0000F8180000}"/>
    <cellStyle name="Moneda 2 4 3 3 2 2" xfId="6633" xr:uid="{00000000-0005-0000-0000-0000F9180000}"/>
    <cellStyle name="Moneda 2 4 3 3 2 2 2" xfId="15733" xr:uid="{00000000-0005-0000-0000-0000FA180000}"/>
    <cellStyle name="Moneda 2 4 3 3 2 2 2 2" xfId="33915" xr:uid="{00000000-0005-0000-0000-0000FB180000}"/>
    <cellStyle name="Moneda 2 4 3 3 2 2 3" xfId="24825" xr:uid="{00000000-0005-0000-0000-0000FC180000}"/>
    <cellStyle name="Moneda 2 4 3 3 2 3" xfId="11197" xr:uid="{00000000-0005-0000-0000-0000FD180000}"/>
    <cellStyle name="Moneda 2 4 3 3 2 3 2" xfId="29379" xr:uid="{00000000-0005-0000-0000-0000FE180000}"/>
    <cellStyle name="Moneda 2 4 3 3 2 4" xfId="20289" xr:uid="{00000000-0005-0000-0000-0000FF180000}"/>
    <cellStyle name="Moneda 2 4 3 3 3" xfId="3535" xr:uid="{00000000-0005-0000-0000-000000190000}"/>
    <cellStyle name="Moneda 2 4 3 3 3 2" xfId="8091" xr:uid="{00000000-0005-0000-0000-000001190000}"/>
    <cellStyle name="Moneda 2 4 3 3 3 2 2" xfId="17187" xr:uid="{00000000-0005-0000-0000-000002190000}"/>
    <cellStyle name="Moneda 2 4 3 3 3 2 2 2" xfId="35369" xr:uid="{00000000-0005-0000-0000-000003190000}"/>
    <cellStyle name="Moneda 2 4 3 3 3 2 3" xfId="26279" xr:uid="{00000000-0005-0000-0000-000004190000}"/>
    <cellStyle name="Moneda 2 4 3 3 3 3" xfId="12647" xr:uid="{00000000-0005-0000-0000-000005190000}"/>
    <cellStyle name="Moneda 2 4 3 3 3 3 2" xfId="30829" xr:uid="{00000000-0005-0000-0000-000006190000}"/>
    <cellStyle name="Moneda 2 4 3 3 3 4" xfId="21739" xr:uid="{00000000-0005-0000-0000-000007190000}"/>
    <cellStyle name="Moneda 2 4 3 3 4" xfId="5174" xr:uid="{00000000-0005-0000-0000-000008190000}"/>
    <cellStyle name="Moneda 2 4 3 3 4 2" xfId="14274" xr:uid="{00000000-0005-0000-0000-000009190000}"/>
    <cellStyle name="Moneda 2 4 3 3 4 2 2" xfId="32456" xr:uid="{00000000-0005-0000-0000-00000A190000}"/>
    <cellStyle name="Moneda 2 4 3 3 4 3" xfId="23366" xr:uid="{00000000-0005-0000-0000-00000B190000}"/>
    <cellStyle name="Moneda 2 4 3 3 5" xfId="9740" xr:uid="{00000000-0005-0000-0000-00000C190000}"/>
    <cellStyle name="Moneda 2 4 3 3 5 2" xfId="27922" xr:uid="{00000000-0005-0000-0000-00000D190000}"/>
    <cellStyle name="Moneda 2 4 3 3 6" xfId="18831" xr:uid="{00000000-0005-0000-0000-00000E190000}"/>
    <cellStyle name="Moneda 2 4 3 4" xfId="524" xr:uid="{00000000-0005-0000-0000-00000F190000}"/>
    <cellStyle name="Moneda 2 4 3 4 2" xfId="3536" xr:uid="{00000000-0005-0000-0000-000010190000}"/>
    <cellStyle name="Moneda 2 4 3 4 2 2" xfId="8092" xr:uid="{00000000-0005-0000-0000-000011190000}"/>
    <cellStyle name="Moneda 2 4 3 4 2 2 2" xfId="17188" xr:uid="{00000000-0005-0000-0000-000012190000}"/>
    <cellStyle name="Moneda 2 4 3 4 2 2 2 2" xfId="35370" xr:uid="{00000000-0005-0000-0000-000013190000}"/>
    <cellStyle name="Moneda 2 4 3 4 2 2 3" xfId="26280" xr:uid="{00000000-0005-0000-0000-000014190000}"/>
    <cellStyle name="Moneda 2 4 3 4 2 3" xfId="12648" xr:uid="{00000000-0005-0000-0000-000015190000}"/>
    <cellStyle name="Moneda 2 4 3 4 2 3 2" xfId="30830" xr:uid="{00000000-0005-0000-0000-000016190000}"/>
    <cellStyle name="Moneda 2 4 3 4 2 4" xfId="21740" xr:uid="{00000000-0005-0000-0000-000017190000}"/>
    <cellStyle name="Moneda 2 4 3 4 3" xfId="5175" xr:uid="{00000000-0005-0000-0000-000018190000}"/>
    <cellStyle name="Moneda 2 4 3 4 3 2" xfId="14275" xr:uid="{00000000-0005-0000-0000-000019190000}"/>
    <cellStyle name="Moneda 2 4 3 4 3 2 2" xfId="32457" xr:uid="{00000000-0005-0000-0000-00001A190000}"/>
    <cellStyle name="Moneda 2 4 3 4 3 3" xfId="23367" xr:uid="{00000000-0005-0000-0000-00001B190000}"/>
    <cellStyle name="Moneda 2 4 3 4 4" xfId="9741" xr:uid="{00000000-0005-0000-0000-00001C190000}"/>
    <cellStyle name="Moneda 2 4 3 4 4 2" xfId="27923" xr:uid="{00000000-0005-0000-0000-00001D190000}"/>
    <cellStyle name="Moneda 2 4 3 4 5" xfId="18832" xr:uid="{00000000-0005-0000-0000-00001E190000}"/>
    <cellStyle name="Moneda 2 4 3 5" xfId="2044" xr:uid="{00000000-0005-0000-0000-00001F190000}"/>
    <cellStyle name="Moneda 2 4 3 6" xfId="3532" xr:uid="{00000000-0005-0000-0000-000020190000}"/>
    <cellStyle name="Moneda 2 4 3 6 2" xfId="8088" xr:uid="{00000000-0005-0000-0000-000021190000}"/>
    <cellStyle name="Moneda 2 4 3 6 2 2" xfId="17184" xr:uid="{00000000-0005-0000-0000-000022190000}"/>
    <cellStyle name="Moneda 2 4 3 6 2 2 2" xfId="35366" xr:uid="{00000000-0005-0000-0000-000023190000}"/>
    <cellStyle name="Moneda 2 4 3 6 2 3" xfId="26276" xr:uid="{00000000-0005-0000-0000-000024190000}"/>
    <cellStyle name="Moneda 2 4 3 6 3" xfId="12644" xr:uid="{00000000-0005-0000-0000-000025190000}"/>
    <cellStyle name="Moneda 2 4 3 6 3 2" xfId="30826" xr:uid="{00000000-0005-0000-0000-000026190000}"/>
    <cellStyle name="Moneda 2 4 3 6 4" xfId="21736" xr:uid="{00000000-0005-0000-0000-000027190000}"/>
    <cellStyle name="Moneda 2 4 3 7" xfId="5171" xr:uid="{00000000-0005-0000-0000-000028190000}"/>
    <cellStyle name="Moneda 2 4 3 7 2" xfId="14271" xr:uid="{00000000-0005-0000-0000-000029190000}"/>
    <cellStyle name="Moneda 2 4 3 7 2 2" xfId="32453" xr:uid="{00000000-0005-0000-0000-00002A190000}"/>
    <cellStyle name="Moneda 2 4 3 7 3" xfId="23363" xr:uid="{00000000-0005-0000-0000-00002B190000}"/>
    <cellStyle name="Moneda 2 4 3 8" xfId="9737" xr:uid="{00000000-0005-0000-0000-00002C190000}"/>
    <cellStyle name="Moneda 2 4 3 8 2" xfId="27919" xr:uid="{00000000-0005-0000-0000-00002D190000}"/>
    <cellStyle name="Moneda 2 4 3 9" xfId="18828" xr:uid="{00000000-0005-0000-0000-00002E190000}"/>
    <cellStyle name="Moneda 2 4 4" xfId="525" xr:uid="{00000000-0005-0000-0000-00002F190000}"/>
    <cellStyle name="Moneda 2 4 4 2" xfId="526" xr:uid="{00000000-0005-0000-0000-000030190000}"/>
    <cellStyle name="Moneda 2 4 4 2 2" xfId="2045" xr:uid="{00000000-0005-0000-0000-000031190000}"/>
    <cellStyle name="Moneda 2 4 4 2 2 2" xfId="6634" xr:uid="{00000000-0005-0000-0000-000032190000}"/>
    <cellStyle name="Moneda 2 4 4 2 2 2 2" xfId="15734" xr:uid="{00000000-0005-0000-0000-000033190000}"/>
    <cellStyle name="Moneda 2 4 4 2 2 2 2 2" xfId="33916" xr:uid="{00000000-0005-0000-0000-000034190000}"/>
    <cellStyle name="Moneda 2 4 4 2 2 2 3" xfId="24826" xr:uid="{00000000-0005-0000-0000-000035190000}"/>
    <cellStyle name="Moneda 2 4 4 2 2 3" xfId="11198" xr:uid="{00000000-0005-0000-0000-000036190000}"/>
    <cellStyle name="Moneda 2 4 4 2 2 3 2" xfId="29380" xr:uid="{00000000-0005-0000-0000-000037190000}"/>
    <cellStyle name="Moneda 2 4 4 2 2 4" xfId="20290" xr:uid="{00000000-0005-0000-0000-000038190000}"/>
    <cellStyle name="Moneda 2 4 4 2 3" xfId="3538" xr:uid="{00000000-0005-0000-0000-000039190000}"/>
    <cellStyle name="Moneda 2 4 4 2 3 2" xfId="8094" xr:uid="{00000000-0005-0000-0000-00003A190000}"/>
    <cellStyle name="Moneda 2 4 4 2 3 2 2" xfId="17190" xr:uid="{00000000-0005-0000-0000-00003B190000}"/>
    <cellStyle name="Moneda 2 4 4 2 3 2 2 2" xfId="35372" xr:uid="{00000000-0005-0000-0000-00003C190000}"/>
    <cellStyle name="Moneda 2 4 4 2 3 2 3" xfId="26282" xr:uid="{00000000-0005-0000-0000-00003D190000}"/>
    <cellStyle name="Moneda 2 4 4 2 3 3" xfId="12650" xr:uid="{00000000-0005-0000-0000-00003E190000}"/>
    <cellStyle name="Moneda 2 4 4 2 3 3 2" xfId="30832" xr:uid="{00000000-0005-0000-0000-00003F190000}"/>
    <cellStyle name="Moneda 2 4 4 2 3 4" xfId="21742" xr:uid="{00000000-0005-0000-0000-000040190000}"/>
    <cellStyle name="Moneda 2 4 4 2 4" xfId="5177" xr:uid="{00000000-0005-0000-0000-000041190000}"/>
    <cellStyle name="Moneda 2 4 4 2 4 2" xfId="14277" xr:uid="{00000000-0005-0000-0000-000042190000}"/>
    <cellStyle name="Moneda 2 4 4 2 4 2 2" xfId="32459" xr:uid="{00000000-0005-0000-0000-000043190000}"/>
    <cellStyle name="Moneda 2 4 4 2 4 3" xfId="23369" xr:uid="{00000000-0005-0000-0000-000044190000}"/>
    <cellStyle name="Moneda 2 4 4 2 5" xfId="9743" xr:uid="{00000000-0005-0000-0000-000045190000}"/>
    <cellStyle name="Moneda 2 4 4 2 5 2" xfId="27925" xr:uid="{00000000-0005-0000-0000-000046190000}"/>
    <cellStyle name="Moneda 2 4 4 2 6" xfId="18834" xr:uid="{00000000-0005-0000-0000-000047190000}"/>
    <cellStyle name="Moneda 2 4 4 3" xfId="2046" xr:uid="{00000000-0005-0000-0000-000048190000}"/>
    <cellStyle name="Moneda 2 4 4 3 2" xfId="6635" xr:uid="{00000000-0005-0000-0000-000049190000}"/>
    <cellStyle name="Moneda 2 4 4 3 2 2" xfId="15735" xr:uid="{00000000-0005-0000-0000-00004A190000}"/>
    <cellStyle name="Moneda 2 4 4 3 2 2 2" xfId="33917" xr:uid="{00000000-0005-0000-0000-00004B190000}"/>
    <cellStyle name="Moneda 2 4 4 3 2 3" xfId="24827" xr:uid="{00000000-0005-0000-0000-00004C190000}"/>
    <cellStyle name="Moneda 2 4 4 3 3" xfId="11199" xr:uid="{00000000-0005-0000-0000-00004D190000}"/>
    <cellStyle name="Moneda 2 4 4 3 3 2" xfId="29381" xr:uid="{00000000-0005-0000-0000-00004E190000}"/>
    <cellStyle name="Moneda 2 4 4 3 4" xfId="20291" xr:uid="{00000000-0005-0000-0000-00004F190000}"/>
    <cellStyle name="Moneda 2 4 4 4" xfId="3537" xr:uid="{00000000-0005-0000-0000-000050190000}"/>
    <cellStyle name="Moneda 2 4 4 4 2" xfId="8093" xr:uid="{00000000-0005-0000-0000-000051190000}"/>
    <cellStyle name="Moneda 2 4 4 4 2 2" xfId="17189" xr:uid="{00000000-0005-0000-0000-000052190000}"/>
    <cellStyle name="Moneda 2 4 4 4 2 2 2" xfId="35371" xr:uid="{00000000-0005-0000-0000-000053190000}"/>
    <cellStyle name="Moneda 2 4 4 4 2 3" xfId="26281" xr:uid="{00000000-0005-0000-0000-000054190000}"/>
    <cellStyle name="Moneda 2 4 4 4 3" xfId="12649" xr:uid="{00000000-0005-0000-0000-000055190000}"/>
    <cellStyle name="Moneda 2 4 4 4 3 2" xfId="30831" xr:uid="{00000000-0005-0000-0000-000056190000}"/>
    <cellStyle name="Moneda 2 4 4 4 4" xfId="21741" xr:uid="{00000000-0005-0000-0000-000057190000}"/>
    <cellStyle name="Moneda 2 4 4 5" xfId="5176" xr:uid="{00000000-0005-0000-0000-000058190000}"/>
    <cellStyle name="Moneda 2 4 4 5 2" xfId="14276" xr:uid="{00000000-0005-0000-0000-000059190000}"/>
    <cellStyle name="Moneda 2 4 4 5 2 2" xfId="32458" xr:uid="{00000000-0005-0000-0000-00005A190000}"/>
    <cellStyle name="Moneda 2 4 4 5 3" xfId="23368" xr:uid="{00000000-0005-0000-0000-00005B190000}"/>
    <cellStyle name="Moneda 2 4 4 6" xfId="9742" xr:uid="{00000000-0005-0000-0000-00005C190000}"/>
    <cellStyle name="Moneda 2 4 4 6 2" xfId="27924" xr:uid="{00000000-0005-0000-0000-00005D190000}"/>
    <cellStyle name="Moneda 2 4 4 7" xfId="18833" xr:uid="{00000000-0005-0000-0000-00005E190000}"/>
    <cellStyle name="Moneda 2 4 5" xfId="527" xr:uid="{00000000-0005-0000-0000-00005F190000}"/>
    <cellStyle name="Moneda 2 4 5 2" xfId="2047" xr:uid="{00000000-0005-0000-0000-000060190000}"/>
    <cellStyle name="Moneda 2 4 5 2 2" xfId="6636" xr:uid="{00000000-0005-0000-0000-000061190000}"/>
    <cellStyle name="Moneda 2 4 5 2 2 2" xfId="15736" xr:uid="{00000000-0005-0000-0000-000062190000}"/>
    <cellStyle name="Moneda 2 4 5 2 2 2 2" xfId="33918" xr:uid="{00000000-0005-0000-0000-000063190000}"/>
    <cellStyle name="Moneda 2 4 5 2 2 3" xfId="24828" xr:uid="{00000000-0005-0000-0000-000064190000}"/>
    <cellStyle name="Moneda 2 4 5 2 3" xfId="11200" xr:uid="{00000000-0005-0000-0000-000065190000}"/>
    <cellStyle name="Moneda 2 4 5 2 3 2" xfId="29382" xr:uid="{00000000-0005-0000-0000-000066190000}"/>
    <cellStyle name="Moneda 2 4 5 2 4" xfId="20292" xr:uid="{00000000-0005-0000-0000-000067190000}"/>
    <cellStyle name="Moneda 2 4 5 3" xfId="3539" xr:uid="{00000000-0005-0000-0000-000068190000}"/>
    <cellStyle name="Moneda 2 4 5 3 2" xfId="8095" xr:uid="{00000000-0005-0000-0000-000069190000}"/>
    <cellStyle name="Moneda 2 4 5 3 2 2" xfId="17191" xr:uid="{00000000-0005-0000-0000-00006A190000}"/>
    <cellStyle name="Moneda 2 4 5 3 2 2 2" xfId="35373" xr:uid="{00000000-0005-0000-0000-00006B190000}"/>
    <cellStyle name="Moneda 2 4 5 3 2 3" xfId="26283" xr:uid="{00000000-0005-0000-0000-00006C190000}"/>
    <cellStyle name="Moneda 2 4 5 3 3" xfId="12651" xr:uid="{00000000-0005-0000-0000-00006D190000}"/>
    <cellStyle name="Moneda 2 4 5 3 3 2" xfId="30833" xr:uid="{00000000-0005-0000-0000-00006E190000}"/>
    <cellStyle name="Moneda 2 4 5 3 4" xfId="21743" xr:uid="{00000000-0005-0000-0000-00006F190000}"/>
    <cellStyle name="Moneda 2 4 5 4" xfId="5178" xr:uid="{00000000-0005-0000-0000-000070190000}"/>
    <cellStyle name="Moneda 2 4 5 4 2" xfId="14278" xr:uid="{00000000-0005-0000-0000-000071190000}"/>
    <cellStyle name="Moneda 2 4 5 4 2 2" xfId="32460" xr:uid="{00000000-0005-0000-0000-000072190000}"/>
    <cellStyle name="Moneda 2 4 5 4 3" xfId="23370" xr:uid="{00000000-0005-0000-0000-000073190000}"/>
    <cellStyle name="Moneda 2 4 5 5" xfId="9744" xr:uid="{00000000-0005-0000-0000-000074190000}"/>
    <cellStyle name="Moneda 2 4 5 5 2" xfId="27926" xr:uid="{00000000-0005-0000-0000-000075190000}"/>
    <cellStyle name="Moneda 2 4 5 6" xfId="18835" xr:uid="{00000000-0005-0000-0000-000076190000}"/>
    <cellStyle name="Moneda 2 4 6" xfId="528" xr:uid="{00000000-0005-0000-0000-000077190000}"/>
    <cellStyle name="Moneda 2 4 6 2" xfId="3540" xr:uid="{00000000-0005-0000-0000-000078190000}"/>
    <cellStyle name="Moneda 2 4 6 2 2" xfId="8096" xr:uid="{00000000-0005-0000-0000-000079190000}"/>
    <cellStyle name="Moneda 2 4 6 2 2 2" xfId="17192" xr:uid="{00000000-0005-0000-0000-00007A190000}"/>
    <cellStyle name="Moneda 2 4 6 2 2 2 2" xfId="35374" xr:uid="{00000000-0005-0000-0000-00007B190000}"/>
    <cellStyle name="Moneda 2 4 6 2 2 3" xfId="26284" xr:uid="{00000000-0005-0000-0000-00007C190000}"/>
    <cellStyle name="Moneda 2 4 6 2 3" xfId="12652" xr:uid="{00000000-0005-0000-0000-00007D190000}"/>
    <cellStyle name="Moneda 2 4 6 2 3 2" xfId="30834" xr:uid="{00000000-0005-0000-0000-00007E190000}"/>
    <cellStyle name="Moneda 2 4 6 2 4" xfId="21744" xr:uid="{00000000-0005-0000-0000-00007F190000}"/>
    <cellStyle name="Moneda 2 4 6 3" xfId="5179" xr:uid="{00000000-0005-0000-0000-000080190000}"/>
    <cellStyle name="Moneda 2 4 6 3 2" xfId="14279" xr:uid="{00000000-0005-0000-0000-000081190000}"/>
    <cellStyle name="Moneda 2 4 6 3 2 2" xfId="32461" xr:uid="{00000000-0005-0000-0000-000082190000}"/>
    <cellStyle name="Moneda 2 4 6 3 3" xfId="23371" xr:uid="{00000000-0005-0000-0000-000083190000}"/>
    <cellStyle name="Moneda 2 4 6 4" xfId="9745" xr:uid="{00000000-0005-0000-0000-000084190000}"/>
    <cellStyle name="Moneda 2 4 6 4 2" xfId="27927" xr:uid="{00000000-0005-0000-0000-000085190000}"/>
    <cellStyle name="Moneda 2 4 6 5" xfId="18836" xr:uid="{00000000-0005-0000-0000-000086190000}"/>
    <cellStyle name="Moneda 2 4 7" xfId="2048" xr:uid="{00000000-0005-0000-0000-000087190000}"/>
    <cellStyle name="Moneda 2 4 7 2" xfId="6637" xr:uid="{00000000-0005-0000-0000-000088190000}"/>
    <cellStyle name="Moneda 2 4 7 2 2" xfId="15737" xr:uid="{00000000-0005-0000-0000-000089190000}"/>
    <cellStyle name="Moneda 2 4 7 2 2 2" xfId="33919" xr:uid="{00000000-0005-0000-0000-00008A190000}"/>
    <cellStyle name="Moneda 2 4 7 2 3" xfId="24829" xr:uid="{00000000-0005-0000-0000-00008B190000}"/>
    <cellStyle name="Moneda 2 4 7 3" xfId="11201" xr:uid="{00000000-0005-0000-0000-00008C190000}"/>
    <cellStyle name="Moneda 2 4 7 3 2" xfId="29383" xr:uid="{00000000-0005-0000-0000-00008D190000}"/>
    <cellStyle name="Moneda 2 4 7 4" xfId="20293" xr:uid="{00000000-0005-0000-0000-00008E190000}"/>
    <cellStyle name="Moneda 2 4 8" xfId="3188" xr:uid="{00000000-0005-0000-0000-00008F190000}"/>
    <cellStyle name="Moneda 2 4 8 2" xfId="7748" xr:uid="{00000000-0005-0000-0000-000090190000}"/>
    <cellStyle name="Moneda 2 4 8 2 2" xfId="16844" xr:uid="{00000000-0005-0000-0000-000091190000}"/>
    <cellStyle name="Moneda 2 4 8 2 2 2" xfId="35026" xr:uid="{00000000-0005-0000-0000-000092190000}"/>
    <cellStyle name="Moneda 2 4 8 2 3" xfId="25936" xr:uid="{00000000-0005-0000-0000-000093190000}"/>
    <cellStyle name="Moneda 2 4 8 3" xfId="12304" xr:uid="{00000000-0005-0000-0000-000094190000}"/>
    <cellStyle name="Moneda 2 4 8 3 2" xfId="30486" xr:uid="{00000000-0005-0000-0000-000095190000}"/>
    <cellStyle name="Moneda 2 4 8 4" xfId="21396" xr:uid="{00000000-0005-0000-0000-000096190000}"/>
    <cellStyle name="Moneda 2 4 9" xfId="4838" xr:uid="{00000000-0005-0000-0000-000097190000}"/>
    <cellStyle name="Moneda 2 4 9 2" xfId="13938" xr:uid="{00000000-0005-0000-0000-000098190000}"/>
    <cellStyle name="Moneda 2 4 9 2 2" xfId="32120" xr:uid="{00000000-0005-0000-0000-000099190000}"/>
    <cellStyle name="Moneda 2 4 9 3" xfId="23030" xr:uid="{00000000-0005-0000-0000-00009A190000}"/>
    <cellStyle name="Moneda 2 5" xfId="529" xr:uid="{00000000-0005-0000-0000-00009B190000}"/>
    <cellStyle name="Moneda 2 5 10" xfId="18837" xr:uid="{00000000-0005-0000-0000-00009C190000}"/>
    <cellStyle name="Moneda 2 5 2" xfId="530" xr:uid="{00000000-0005-0000-0000-00009D190000}"/>
    <cellStyle name="Moneda 2 5 2 2" xfId="531" xr:uid="{00000000-0005-0000-0000-00009E190000}"/>
    <cellStyle name="Moneda 2 5 2 2 2" xfId="532" xr:uid="{00000000-0005-0000-0000-00009F190000}"/>
    <cellStyle name="Moneda 2 5 2 2 2 2" xfId="2049" xr:uid="{00000000-0005-0000-0000-0000A0190000}"/>
    <cellStyle name="Moneda 2 5 2 2 2 2 2" xfId="6638" xr:uid="{00000000-0005-0000-0000-0000A1190000}"/>
    <cellStyle name="Moneda 2 5 2 2 2 2 2 2" xfId="15738" xr:uid="{00000000-0005-0000-0000-0000A2190000}"/>
    <cellStyle name="Moneda 2 5 2 2 2 2 2 2 2" xfId="33920" xr:uid="{00000000-0005-0000-0000-0000A3190000}"/>
    <cellStyle name="Moneda 2 5 2 2 2 2 2 3" xfId="24830" xr:uid="{00000000-0005-0000-0000-0000A4190000}"/>
    <cellStyle name="Moneda 2 5 2 2 2 2 3" xfId="11202" xr:uid="{00000000-0005-0000-0000-0000A5190000}"/>
    <cellStyle name="Moneda 2 5 2 2 2 2 3 2" xfId="29384" xr:uid="{00000000-0005-0000-0000-0000A6190000}"/>
    <cellStyle name="Moneda 2 5 2 2 2 2 4" xfId="20294" xr:uid="{00000000-0005-0000-0000-0000A7190000}"/>
    <cellStyle name="Moneda 2 5 2 2 2 3" xfId="3544" xr:uid="{00000000-0005-0000-0000-0000A8190000}"/>
    <cellStyle name="Moneda 2 5 2 2 2 3 2" xfId="8100" xr:uid="{00000000-0005-0000-0000-0000A9190000}"/>
    <cellStyle name="Moneda 2 5 2 2 2 3 2 2" xfId="17196" xr:uid="{00000000-0005-0000-0000-0000AA190000}"/>
    <cellStyle name="Moneda 2 5 2 2 2 3 2 2 2" xfId="35378" xr:uid="{00000000-0005-0000-0000-0000AB190000}"/>
    <cellStyle name="Moneda 2 5 2 2 2 3 2 3" xfId="26288" xr:uid="{00000000-0005-0000-0000-0000AC190000}"/>
    <cellStyle name="Moneda 2 5 2 2 2 3 3" xfId="12656" xr:uid="{00000000-0005-0000-0000-0000AD190000}"/>
    <cellStyle name="Moneda 2 5 2 2 2 3 3 2" xfId="30838" xr:uid="{00000000-0005-0000-0000-0000AE190000}"/>
    <cellStyle name="Moneda 2 5 2 2 2 3 4" xfId="21748" xr:uid="{00000000-0005-0000-0000-0000AF190000}"/>
    <cellStyle name="Moneda 2 5 2 2 2 4" xfId="5183" xr:uid="{00000000-0005-0000-0000-0000B0190000}"/>
    <cellStyle name="Moneda 2 5 2 2 2 4 2" xfId="14283" xr:uid="{00000000-0005-0000-0000-0000B1190000}"/>
    <cellStyle name="Moneda 2 5 2 2 2 4 2 2" xfId="32465" xr:uid="{00000000-0005-0000-0000-0000B2190000}"/>
    <cellStyle name="Moneda 2 5 2 2 2 4 3" xfId="23375" xr:uid="{00000000-0005-0000-0000-0000B3190000}"/>
    <cellStyle name="Moneda 2 5 2 2 2 5" xfId="9749" xr:uid="{00000000-0005-0000-0000-0000B4190000}"/>
    <cellStyle name="Moneda 2 5 2 2 2 5 2" xfId="27931" xr:uid="{00000000-0005-0000-0000-0000B5190000}"/>
    <cellStyle name="Moneda 2 5 2 2 2 6" xfId="18840" xr:uid="{00000000-0005-0000-0000-0000B6190000}"/>
    <cellStyle name="Moneda 2 5 2 2 3" xfId="2050" xr:uid="{00000000-0005-0000-0000-0000B7190000}"/>
    <cellStyle name="Moneda 2 5 2 2 3 2" xfId="6639" xr:uid="{00000000-0005-0000-0000-0000B8190000}"/>
    <cellStyle name="Moneda 2 5 2 2 3 2 2" xfId="15739" xr:uid="{00000000-0005-0000-0000-0000B9190000}"/>
    <cellStyle name="Moneda 2 5 2 2 3 2 2 2" xfId="33921" xr:uid="{00000000-0005-0000-0000-0000BA190000}"/>
    <cellStyle name="Moneda 2 5 2 2 3 2 3" xfId="24831" xr:uid="{00000000-0005-0000-0000-0000BB190000}"/>
    <cellStyle name="Moneda 2 5 2 2 3 3" xfId="11203" xr:uid="{00000000-0005-0000-0000-0000BC190000}"/>
    <cellStyle name="Moneda 2 5 2 2 3 3 2" xfId="29385" xr:uid="{00000000-0005-0000-0000-0000BD190000}"/>
    <cellStyle name="Moneda 2 5 2 2 3 4" xfId="20295" xr:uid="{00000000-0005-0000-0000-0000BE190000}"/>
    <cellStyle name="Moneda 2 5 2 2 4" xfId="3543" xr:uid="{00000000-0005-0000-0000-0000BF190000}"/>
    <cellStyle name="Moneda 2 5 2 2 4 2" xfId="8099" xr:uid="{00000000-0005-0000-0000-0000C0190000}"/>
    <cellStyle name="Moneda 2 5 2 2 4 2 2" xfId="17195" xr:uid="{00000000-0005-0000-0000-0000C1190000}"/>
    <cellStyle name="Moneda 2 5 2 2 4 2 2 2" xfId="35377" xr:uid="{00000000-0005-0000-0000-0000C2190000}"/>
    <cellStyle name="Moneda 2 5 2 2 4 2 3" xfId="26287" xr:uid="{00000000-0005-0000-0000-0000C3190000}"/>
    <cellStyle name="Moneda 2 5 2 2 4 3" xfId="12655" xr:uid="{00000000-0005-0000-0000-0000C4190000}"/>
    <cellStyle name="Moneda 2 5 2 2 4 3 2" xfId="30837" xr:uid="{00000000-0005-0000-0000-0000C5190000}"/>
    <cellStyle name="Moneda 2 5 2 2 4 4" xfId="21747" xr:uid="{00000000-0005-0000-0000-0000C6190000}"/>
    <cellStyle name="Moneda 2 5 2 2 5" xfId="5182" xr:uid="{00000000-0005-0000-0000-0000C7190000}"/>
    <cellStyle name="Moneda 2 5 2 2 5 2" xfId="14282" xr:uid="{00000000-0005-0000-0000-0000C8190000}"/>
    <cellStyle name="Moneda 2 5 2 2 5 2 2" xfId="32464" xr:uid="{00000000-0005-0000-0000-0000C9190000}"/>
    <cellStyle name="Moneda 2 5 2 2 5 3" xfId="23374" xr:uid="{00000000-0005-0000-0000-0000CA190000}"/>
    <cellStyle name="Moneda 2 5 2 2 6" xfId="9748" xr:uid="{00000000-0005-0000-0000-0000CB190000}"/>
    <cellStyle name="Moneda 2 5 2 2 6 2" xfId="27930" xr:uid="{00000000-0005-0000-0000-0000CC190000}"/>
    <cellStyle name="Moneda 2 5 2 2 7" xfId="18839" xr:uid="{00000000-0005-0000-0000-0000CD190000}"/>
    <cellStyle name="Moneda 2 5 2 3" xfId="533" xr:uid="{00000000-0005-0000-0000-0000CE190000}"/>
    <cellStyle name="Moneda 2 5 2 3 2" xfId="2051" xr:uid="{00000000-0005-0000-0000-0000CF190000}"/>
    <cellStyle name="Moneda 2 5 2 3 2 2" xfId="6640" xr:uid="{00000000-0005-0000-0000-0000D0190000}"/>
    <cellStyle name="Moneda 2 5 2 3 2 2 2" xfId="15740" xr:uid="{00000000-0005-0000-0000-0000D1190000}"/>
    <cellStyle name="Moneda 2 5 2 3 2 2 2 2" xfId="33922" xr:uid="{00000000-0005-0000-0000-0000D2190000}"/>
    <cellStyle name="Moneda 2 5 2 3 2 2 3" xfId="24832" xr:uid="{00000000-0005-0000-0000-0000D3190000}"/>
    <cellStyle name="Moneda 2 5 2 3 2 3" xfId="11204" xr:uid="{00000000-0005-0000-0000-0000D4190000}"/>
    <cellStyle name="Moneda 2 5 2 3 2 3 2" xfId="29386" xr:uid="{00000000-0005-0000-0000-0000D5190000}"/>
    <cellStyle name="Moneda 2 5 2 3 2 4" xfId="20296" xr:uid="{00000000-0005-0000-0000-0000D6190000}"/>
    <cellStyle name="Moneda 2 5 2 3 3" xfId="3545" xr:uid="{00000000-0005-0000-0000-0000D7190000}"/>
    <cellStyle name="Moneda 2 5 2 3 3 2" xfId="8101" xr:uid="{00000000-0005-0000-0000-0000D8190000}"/>
    <cellStyle name="Moneda 2 5 2 3 3 2 2" xfId="17197" xr:uid="{00000000-0005-0000-0000-0000D9190000}"/>
    <cellStyle name="Moneda 2 5 2 3 3 2 2 2" xfId="35379" xr:uid="{00000000-0005-0000-0000-0000DA190000}"/>
    <cellStyle name="Moneda 2 5 2 3 3 2 3" xfId="26289" xr:uid="{00000000-0005-0000-0000-0000DB190000}"/>
    <cellStyle name="Moneda 2 5 2 3 3 3" xfId="12657" xr:uid="{00000000-0005-0000-0000-0000DC190000}"/>
    <cellStyle name="Moneda 2 5 2 3 3 3 2" xfId="30839" xr:uid="{00000000-0005-0000-0000-0000DD190000}"/>
    <cellStyle name="Moneda 2 5 2 3 3 4" xfId="21749" xr:uid="{00000000-0005-0000-0000-0000DE190000}"/>
    <cellStyle name="Moneda 2 5 2 3 4" xfId="5184" xr:uid="{00000000-0005-0000-0000-0000DF190000}"/>
    <cellStyle name="Moneda 2 5 2 3 4 2" xfId="14284" xr:uid="{00000000-0005-0000-0000-0000E0190000}"/>
    <cellStyle name="Moneda 2 5 2 3 4 2 2" xfId="32466" xr:uid="{00000000-0005-0000-0000-0000E1190000}"/>
    <cellStyle name="Moneda 2 5 2 3 4 3" xfId="23376" xr:uid="{00000000-0005-0000-0000-0000E2190000}"/>
    <cellStyle name="Moneda 2 5 2 3 5" xfId="9750" xr:uid="{00000000-0005-0000-0000-0000E3190000}"/>
    <cellStyle name="Moneda 2 5 2 3 5 2" xfId="27932" xr:uid="{00000000-0005-0000-0000-0000E4190000}"/>
    <cellStyle name="Moneda 2 5 2 3 6" xfId="18841" xr:uid="{00000000-0005-0000-0000-0000E5190000}"/>
    <cellStyle name="Moneda 2 5 2 4" xfId="534" xr:uid="{00000000-0005-0000-0000-0000E6190000}"/>
    <cellStyle name="Moneda 2 5 2 4 2" xfId="3546" xr:uid="{00000000-0005-0000-0000-0000E7190000}"/>
    <cellStyle name="Moneda 2 5 2 4 2 2" xfId="8102" xr:uid="{00000000-0005-0000-0000-0000E8190000}"/>
    <cellStyle name="Moneda 2 5 2 4 2 2 2" xfId="17198" xr:uid="{00000000-0005-0000-0000-0000E9190000}"/>
    <cellStyle name="Moneda 2 5 2 4 2 2 2 2" xfId="35380" xr:uid="{00000000-0005-0000-0000-0000EA190000}"/>
    <cellStyle name="Moneda 2 5 2 4 2 2 3" xfId="26290" xr:uid="{00000000-0005-0000-0000-0000EB190000}"/>
    <cellStyle name="Moneda 2 5 2 4 2 3" xfId="12658" xr:uid="{00000000-0005-0000-0000-0000EC190000}"/>
    <cellStyle name="Moneda 2 5 2 4 2 3 2" xfId="30840" xr:uid="{00000000-0005-0000-0000-0000ED190000}"/>
    <cellStyle name="Moneda 2 5 2 4 2 4" xfId="21750" xr:uid="{00000000-0005-0000-0000-0000EE190000}"/>
    <cellStyle name="Moneda 2 5 2 4 3" xfId="5185" xr:uid="{00000000-0005-0000-0000-0000EF190000}"/>
    <cellStyle name="Moneda 2 5 2 4 3 2" xfId="14285" xr:uid="{00000000-0005-0000-0000-0000F0190000}"/>
    <cellStyle name="Moneda 2 5 2 4 3 2 2" xfId="32467" xr:uid="{00000000-0005-0000-0000-0000F1190000}"/>
    <cellStyle name="Moneda 2 5 2 4 3 3" xfId="23377" xr:uid="{00000000-0005-0000-0000-0000F2190000}"/>
    <cellStyle name="Moneda 2 5 2 4 4" xfId="9751" xr:uid="{00000000-0005-0000-0000-0000F3190000}"/>
    <cellStyle name="Moneda 2 5 2 4 4 2" xfId="27933" xr:uid="{00000000-0005-0000-0000-0000F4190000}"/>
    <cellStyle name="Moneda 2 5 2 4 5" xfId="18842" xr:uid="{00000000-0005-0000-0000-0000F5190000}"/>
    <cellStyle name="Moneda 2 5 2 5" xfId="2052" xr:uid="{00000000-0005-0000-0000-0000F6190000}"/>
    <cellStyle name="Moneda 2 5 2 6" xfId="3542" xr:uid="{00000000-0005-0000-0000-0000F7190000}"/>
    <cellStyle name="Moneda 2 5 2 6 2" xfId="8098" xr:uid="{00000000-0005-0000-0000-0000F8190000}"/>
    <cellStyle name="Moneda 2 5 2 6 2 2" xfId="17194" xr:uid="{00000000-0005-0000-0000-0000F9190000}"/>
    <cellStyle name="Moneda 2 5 2 6 2 2 2" xfId="35376" xr:uid="{00000000-0005-0000-0000-0000FA190000}"/>
    <cellStyle name="Moneda 2 5 2 6 2 3" xfId="26286" xr:uid="{00000000-0005-0000-0000-0000FB190000}"/>
    <cellStyle name="Moneda 2 5 2 6 3" xfId="12654" xr:uid="{00000000-0005-0000-0000-0000FC190000}"/>
    <cellStyle name="Moneda 2 5 2 6 3 2" xfId="30836" xr:uid="{00000000-0005-0000-0000-0000FD190000}"/>
    <cellStyle name="Moneda 2 5 2 6 4" xfId="21746" xr:uid="{00000000-0005-0000-0000-0000FE190000}"/>
    <cellStyle name="Moneda 2 5 2 7" xfId="5181" xr:uid="{00000000-0005-0000-0000-0000FF190000}"/>
    <cellStyle name="Moneda 2 5 2 7 2" xfId="14281" xr:uid="{00000000-0005-0000-0000-0000001A0000}"/>
    <cellStyle name="Moneda 2 5 2 7 2 2" xfId="32463" xr:uid="{00000000-0005-0000-0000-0000011A0000}"/>
    <cellStyle name="Moneda 2 5 2 7 3" xfId="23373" xr:uid="{00000000-0005-0000-0000-0000021A0000}"/>
    <cellStyle name="Moneda 2 5 2 8" xfId="9747" xr:uid="{00000000-0005-0000-0000-0000031A0000}"/>
    <cellStyle name="Moneda 2 5 2 8 2" xfId="27929" xr:uid="{00000000-0005-0000-0000-0000041A0000}"/>
    <cellStyle name="Moneda 2 5 2 9" xfId="18838" xr:uid="{00000000-0005-0000-0000-0000051A0000}"/>
    <cellStyle name="Moneda 2 5 3" xfId="535" xr:uid="{00000000-0005-0000-0000-0000061A0000}"/>
    <cellStyle name="Moneda 2 5 3 2" xfId="536" xr:uid="{00000000-0005-0000-0000-0000071A0000}"/>
    <cellStyle name="Moneda 2 5 3 2 2" xfId="2053" xr:uid="{00000000-0005-0000-0000-0000081A0000}"/>
    <cellStyle name="Moneda 2 5 3 2 2 2" xfId="6641" xr:uid="{00000000-0005-0000-0000-0000091A0000}"/>
    <cellStyle name="Moneda 2 5 3 2 2 2 2" xfId="15741" xr:uid="{00000000-0005-0000-0000-00000A1A0000}"/>
    <cellStyle name="Moneda 2 5 3 2 2 2 2 2" xfId="33923" xr:uid="{00000000-0005-0000-0000-00000B1A0000}"/>
    <cellStyle name="Moneda 2 5 3 2 2 2 3" xfId="24833" xr:uid="{00000000-0005-0000-0000-00000C1A0000}"/>
    <cellStyle name="Moneda 2 5 3 2 2 3" xfId="11205" xr:uid="{00000000-0005-0000-0000-00000D1A0000}"/>
    <cellStyle name="Moneda 2 5 3 2 2 3 2" xfId="29387" xr:uid="{00000000-0005-0000-0000-00000E1A0000}"/>
    <cellStyle name="Moneda 2 5 3 2 2 4" xfId="20297" xr:uid="{00000000-0005-0000-0000-00000F1A0000}"/>
    <cellStyle name="Moneda 2 5 3 2 3" xfId="3548" xr:uid="{00000000-0005-0000-0000-0000101A0000}"/>
    <cellStyle name="Moneda 2 5 3 2 3 2" xfId="8104" xr:uid="{00000000-0005-0000-0000-0000111A0000}"/>
    <cellStyle name="Moneda 2 5 3 2 3 2 2" xfId="17200" xr:uid="{00000000-0005-0000-0000-0000121A0000}"/>
    <cellStyle name="Moneda 2 5 3 2 3 2 2 2" xfId="35382" xr:uid="{00000000-0005-0000-0000-0000131A0000}"/>
    <cellStyle name="Moneda 2 5 3 2 3 2 3" xfId="26292" xr:uid="{00000000-0005-0000-0000-0000141A0000}"/>
    <cellStyle name="Moneda 2 5 3 2 3 3" xfId="12660" xr:uid="{00000000-0005-0000-0000-0000151A0000}"/>
    <cellStyle name="Moneda 2 5 3 2 3 3 2" xfId="30842" xr:uid="{00000000-0005-0000-0000-0000161A0000}"/>
    <cellStyle name="Moneda 2 5 3 2 3 4" xfId="21752" xr:uid="{00000000-0005-0000-0000-0000171A0000}"/>
    <cellStyle name="Moneda 2 5 3 2 4" xfId="5187" xr:uid="{00000000-0005-0000-0000-0000181A0000}"/>
    <cellStyle name="Moneda 2 5 3 2 4 2" xfId="14287" xr:uid="{00000000-0005-0000-0000-0000191A0000}"/>
    <cellStyle name="Moneda 2 5 3 2 4 2 2" xfId="32469" xr:uid="{00000000-0005-0000-0000-00001A1A0000}"/>
    <cellStyle name="Moneda 2 5 3 2 4 3" xfId="23379" xr:uid="{00000000-0005-0000-0000-00001B1A0000}"/>
    <cellStyle name="Moneda 2 5 3 2 5" xfId="9753" xr:uid="{00000000-0005-0000-0000-00001C1A0000}"/>
    <cellStyle name="Moneda 2 5 3 2 5 2" xfId="27935" xr:uid="{00000000-0005-0000-0000-00001D1A0000}"/>
    <cellStyle name="Moneda 2 5 3 2 6" xfId="18844" xr:uid="{00000000-0005-0000-0000-00001E1A0000}"/>
    <cellStyle name="Moneda 2 5 3 3" xfId="2054" xr:uid="{00000000-0005-0000-0000-00001F1A0000}"/>
    <cellStyle name="Moneda 2 5 3 3 2" xfId="6642" xr:uid="{00000000-0005-0000-0000-0000201A0000}"/>
    <cellStyle name="Moneda 2 5 3 3 2 2" xfId="15742" xr:uid="{00000000-0005-0000-0000-0000211A0000}"/>
    <cellStyle name="Moneda 2 5 3 3 2 2 2" xfId="33924" xr:uid="{00000000-0005-0000-0000-0000221A0000}"/>
    <cellStyle name="Moneda 2 5 3 3 2 3" xfId="24834" xr:uid="{00000000-0005-0000-0000-0000231A0000}"/>
    <cellStyle name="Moneda 2 5 3 3 3" xfId="11206" xr:uid="{00000000-0005-0000-0000-0000241A0000}"/>
    <cellStyle name="Moneda 2 5 3 3 3 2" xfId="29388" xr:uid="{00000000-0005-0000-0000-0000251A0000}"/>
    <cellStyle name="Moneda 2 5 3 3 4" xfId="20298" xr:uid="{00000000-0005-0000-0000-0000261A0000}"/>
    <cellStyle name="Moneda 2 5 3 4" xfId="3547" xr:uid="{00000000-0005-0000-0000-0000271A0000}"/>
    <cellStyle name="Moneda 2 5 3 4 2" xfId="8103" xr:uid="{00000000-0005-0000-0000-0000281A0000}"/>
    <cellStyle name="Moneda 2 5 3 4 2 2" xfId="17199" xr:uid="{00000000-0005-0000-0000-0000291A0000}"/>
    <cellStyle name="Moneda 2 5 3 4 2 2 2" xfId="35381" xr:uid="{00000000-0005-0000-0000-00002A1A0000}"/>
    <cellStyle name="Moneda 2 5 3 4 2 3" xfId="26291" xr:uid="{00000000-0005-0000-0000-00002B1A0000}"/>
    <cellStyle name="Moneda 2 5 3 4 3" xfId="12659" xr:uid="{00000000-0005-0000-0000-00002C1A0000}"/>
    <cellStyle name="Moneda 2 5 3 4 3 2" xfId="30841" xr:uid="{00000000-0005-0000-0000-00002D1A0000}"/>
    <cellStyle name="Moneda 2 5 3 4 4" xfId="21751" xr:uid="{00000000-0005-0000-0000-00002E1A0000}"/>
    <cellStyle name="Moneda 2 5 3 5" xfId="5186" xr:uid="{00000000-0005-0000-0000-00002F1A0000}"/>
    <cellStyle name="Moneda 2 5 3 5 2" xfId="14286" xr:uid="{00000000-0005-0000-0000-0000301A0000}"/>
    <cellStyle name="Moneda 2 5 3 5 2 2" xfId="32468" xr:uid="{00000000-0005-0000-0000-0000311A0000}"/>
    <cellStyle name="Moneda 2 5 3 5 3" xfId="23378" xr:uid="{00000000-0005-0000-0000-0000321A0000}"/>
    <cellStyle name="Moneda 2 5 3 6" xfId="9752" xr:uid="{00000000-0005-0000-0000-0000331A0000}"/>
    <cellStyle name="Moneda 2 5 3 6 2" xfId="27934" xr:uid="{00000000-0005-0000-0000-0000341A0000}"/>
    <cellStyle name="Moneda 2 5 3 7" xfId="18843" xr:uid="{00000000-0005-0000-0000-0000351A0000}"/>
    <cellStyle name="Moneda 2 5 4" xfId="537" xr:uid="{00000000-0005-0000-0000-0000361A0000}"/>
    <cellStyle name="Moneda 2 5 4 2" xfId="2055" xr:uid="{00000000-0005-0000-0000-0000371A0000}"/>
    <cellStyle name="Moneda 2 5 4 2 2" xfId="6643" xr:uid="{00000000-0005-0000-0000-0000381A0000}"/>
    <cellStyle name="Moneda 2 5 4 2 2 2" xfId="15743" xr:uid="{00000000-0005-0000-0000-0000391A0000}"/>
    <cellStyle name="Moneda 2 5 4 2 2 2 2" xfId="33925" xr:uid="{00000000-0005-0000-0000-00003A1A0000}"/>
    <cellStyle name="Moneda 2 5 4 2 2 3" xfId="24835" xr:uid="{00000000-0005-0000-0000-00003B1A0000}"/>
    <cellStyle name="Moneda 2 5 4 2 3" xfId="11207" xr:uid="{00000000-0005-0000-0000-00003C1A0000}"/>
    <cellStyle name="Moneda 2 5 4 2 3 2" xfId="29389" xr:uid="{00000000-0005-0000-0000-00003D1A0000}"/>
    <cellStyle name="Moneda 2 5 4 2 4" xfId="20299" xr:uid="{00000000-0005-0000-0000-00003E1A0000}"/>
    <cellStyle name="Moneda 2 5 4 3" xfId="3549" xr:uid="{00000000-0005-0000-0000-00003F1A0000}"/>
    <cellStyle name="Moneda 2 5 4 3 2" xfId="8105" xr:uid="{00000000-0005-0000-0000-0000401A0000}"/>
    <cellStyle name="Moneda 2 5 4 3 2 2" xfId="17201" xr:uid="{00000000-0005-0000-0000-0000411A0000}"/>
    <cellStyle name="Moneda 2 5 4 3 2 2 2" xfId="35383" xr:uid="{00000000-0005-0000-0000-0000421A0000}"/>
    <cellStyle name="Moneda 2 5 4 3 2 3" xfId="26293" xr:uid="{00000000-0005-0000-0000-0000431A0000}"/>
    <cellStyle name="Moneda 2 5 4 3 3" xfId="12661" xr:uid="{00000000-0005-0000-0000-0000441A0000}"/>
    <cellStyle name="Moneda 2 5 4 3 3 2" xfId="30843" xr:uid="{00000000-0005-0000-0000-0000451A0000}"/>
    <cellStyle name="Moneda 2 5 4 3 4" xfId="21753" xr:uid="{00000000-0005-0000-0000-0000461A0000}"/>
    <cellStyle name="Moneda 2 5 4 4" xfId="5188" xr:uid="{00000000-0005-0000-0000-0000471A0000}"/>
    <cellStyle name="Moneda 2 5 4 4 2" xfId="14288" xr:uid="{00000000-0005-0000-0000-0000481A0000}"/>
    <cellStyle name="Moneda 2 5 4 4 2 2" xfId="32470" xr:uid="{00000000-0005-0000-0000-0000491A0000}"/>
    <cellStyle name="Moneda 2 5 4 4 3" xfId="23380" xr:uid="{00000000-0005-0000-0000-00004A1A0000}"/>
    <cellStyle name="Moneda 2 5 4 5" xfId="9754" xr:uid="{00000000-0005-0000-0000-00004B1A0000}"/>
    <cellStyle name="Moneda 2 5 4 5 2" xfId="27936" xr:uid="{00000000-0005-0000-0000-00004C1A0000}"/>
    <cellStyle name="Moneda 2 5 4 6" xfId="18845" xr:uid="{00000000-0005-0000-0000-00004D1A0000}"/>
    <cellStyle name="Moneda 2 5 5" xfId="538" xr:uid="{00000000-0005-0000-0000-00004E1A0000}"/>
    <cellStyle name="Moneda 2 5 5 2" xfId="3550" xr:uid="{00000000-0005-0000-0000-00004F1A0000}"/>
    <cellStyle name="Moneda 2 5 5 2 2" xfId="8106" xr:uid="{00000000-0005-0000-0000-0000501A0000}"/>
    <cellStyle name="Moneda 2 5 5 2 2 2" xfId="17202" xr:uid="{00000000-0005-0000-0000-0000511A0000}"/>
    <cellStyle name="Moneda 2 5 5 2 2 2 2" xfId="35384" xr:uid="{00000000-0005-0000-0000-0000521A0000}"/>
    <cellStyle name="Moneda 2 5 5 2 2 3" xfId="26294" xr:uid="{00000000-0005-0000-0000-0000531A0000}"/>
    <cellStyle name="Moneda 2 5 5 2 3" xfId="12662" xr:uid="{00000000-0005-0000-0000-0000541A0000}"/>
    <cellStyle name="Moneda 2 5 5 2 3 2" xfId="30844" xr:uid="{00000000-0005-0000-0000-0000551A0000}"/>
    <cellStyle name="Moneda 2 5 5 2 4" xfId="21754" xr:uid="{00000000-0005-0000-0000-0000561A0000}"/>
    <cellStyle name="Moneda 2 5 5 3" xfId="5189" xr:uid="{00000000-0005-0000-0000-0000571A0000}"/>
    <cellStyle name="Moneda 2 5 5 3 2" xfId="14289" xr:uid="{00000000-0005-0000-0000-0000581A0000}"/>
    <cellStyle name="Moneda 2 5 5 3 2 2" xfId="32471" xr:uid="{00000000-0005-0000-0000-0000591A0000}"/>
    <cellStyle name="Moneda 2 5 5 3 3" xfId="23381" xr:uid="{00000000-0005-0000-0000-00005A1A0000}"/>
    <cellStyle name="Moneda 2 5 5 4" xfId="9755" xr:uid="{00000000-0005-0000-0000-00005B1A0000}"/>
    <cellStyle name="Moneda 2 5 5 4 2" xfId="27937" xr:uid="{00000000-0005-0000-0000-00005C1A0000}"/>
    <cellStyle name="Moneda 2 5 5 5" xfId="18846" xr:uid="{00000000-0005-0000-0000-00005D1A0000}"/>
    <cellStyle name="Moneda 2 5 6" xfId="2056" xr:uid="{00000000-0005-0000-0000-00005E1A0000}"/>
    <cellStyle name="Moneda 2 5 6 2" xfId="6644" xr:uid="{00000000-0005-0000-0000-00005F1A0000}"/>
    <cellStyle name="Moneda 2 5 6 2 2" xfId="15744" xr:uid="{00000000-0005-0000-0000-0000601A0000}"/>
    <cellStyle name="Moneda 2 5 6 2 2 2" xfId="33926" xr:uid="{00000000-0005-0000-0000-0000611A0000}"/>
    <cellStyle name="Moneda 2 5 6 2 3" xfId="24836" xr:uid="{00000000-0005-0000-0000-0000621A0000}"/>
    <cellStyle name="Moneda 2 5 6 3" xfId="11208" xr:uid="{00000000-0005-0000-0000-0000631A0000}"/>
    <cellStyle name="Moneda 2 5 6 3 2" xfId="29390" xr:uid="{00000000-0005-0000-0000-0000641A0000}"/>
    <cellStyle name="Moneda 2 5 6 4" xfId="20300" xr:uid="{00000000-0005-0000-0000-0000651A0000}"/>
    <cellStyle name="Moneda 2 5 7" xfId="3541" xr:uid="{00000000-0005-0000-0000-0000661A0000}"/>
    <cellStyle name="Moneda 2 5 7 2" xfId="8097" xr:uid="{00000000-0005-0000-0000-0000671A0000}"/>
    <cellStyle name="Moneda 2 5 7 2 2" xfId="17193" xr:uid="{00000000-0005-0000-0000-0000681A0000}"/>
    <cellStyle name="Moneda 2 5 7 2 2 2" xfId="35375" xr:uid="{00000000-0005-0000-0000-0000691A0000}"/>
    <cellStyle name="Moneda 2 5 7 2 3" xfId="26285" xr:uid="{00000000-0005-0000-0000-00006A1A0000}"/>
    <cellStyle name="Moneda 2 5 7 3" xfId="12653" xr:uid="{00000000-0005-0000-0000-00006B1A0000}"/>
    <cellStyle name="Moneda 2 5 7 3 2" xfId="30835" xr:uid="{00000000-0005-0000-0000-00006C1A0000}"/>
    <cellStyle name="Moneda 2 5 7 4" xfId="21745" xr:uid="{00000000-0005-0000-0000-00006D1A0000}"/>
    <cellStyle name="Moneda 2 5 8" xfId="5180" xr:uid="{00000000-0005-0000-0000-00006E1A0000}"/>
    <cellStyle name="Moneda 2 5 8 2" xfId="14280" xr:uid="{00000000-0005-0000-0000-00006F1A0000}"/>
    <cellStyle name="Moneda 2 5 8 2 2" xfId="32462" xr:uid="{00000000-0005-0000-0000-0000701A0000}"/>
    <cellStyle name="Moneda 2 5 8 3" xfId="23372" xr:uid="{00000000-0005-0000-0000-0000711A0000}"/>
    <cellStyle name="Moneda 2 5 9" xfId="9746" xr:uid="{00000000-0005-0000-0000-0000721A0000}"/>
    <cellStyle name="Moneda 2 5 9 2" xfId="27928" xr:uid="{00000000-0005-0000-0000-0000731A0000}"/>
    <cellStyle name="Moneda 2 6" xfId="539" xr:uid="{00000000-0005-0000-0000-0000741A0000}"/>
    <cellStyle name="Moneda 2 6 2" xfId="540" xr:uid="{00000000-0005-0000-0000-0000751A0000}"/>
    <cellStyle name="Moneda 2 6 2 2" xfId="541" xr:uid="{00000000-0005-0000-0000-0000761A0000}"/>
    <cellStyle name="Moneda 2 6 2 2 2" xfId="2057" xr:uid="{00000000-0005-0000-0000-0000771A0000}"/>
    <cellStyle name="Moneda 2 6 2 2 2 2" xfId="6645" xr:uid="{00000000-0005-0000-0000-0000781A0000}"/>
    <cellStyle name="Moneda 2 6 2 2 2 2 2" xfId="15745" xr:uid="{00000000-0005-0000-0000-0000791A0000}"/>
    <cellStyle name="Moneda 2 6 2 2 2 2 2 2" xfId="33927" xr:uid="{00000000-0005-0000-0000-00007A1A0000}"/>
    <cellStyle name="Moneda 2 6 2 2 2 2 3" xfId="24837" xr:uid="{00000000-0005-0000-0000-00007B1A0000}"/>
    <cellStyle name="Moneda 2 6 2 2 2 3" xfId="11209" xr:uid="{00000000-0005-0000-0000-00007C1A0000}"/>
    <cellStyle name="Moneda 2 6 2 2 2 3 2" xfId="29391" xr:uid="{00000000-0005-0000-0000-00007D1A0000}"/>
    <cellStyle name="Moneda 2 6 2 2 2 4" xfId="20301" xr:uid="{00000000-0005-0000-0000-00007E1A0000}"/>
    <cellStyle name="Moneda 2 6 2 2 3" xfId="3553" xr:uid="{00000000-0005-0000-0000-00007F1A0000}"/>
    <cellStyle name="Moneda 2 6 2 2 3 2" xfId="8109" xr:uid="{00000000-0005-0000-0000-0000801A0000}"/>
    <cellStyle name="Moneda 2 6 2 2 3 2 2" xfId="17205" xr:uid="{00000000-0005-0000-0000-0000811A0000}"/>
    <cellStyle name="Moneda 2 6 2 2 3 2 2 2" xfId="35387" xr:uid="{00000000-0005-0000-0000-0000821A0000}"/>
    <cellStyle name="Moneda 2 6 2 2 3 2 3" xfId="26297" xr:uid="{00000000-0005-0000-0000-0000831A0000}"/>
    <cellStyle name="Moneda 2 6 2 2 3 3" xfId="12665" xr:uid="{00000000-0005-0000-0000-0000841A0000}"/>
    <cellStyle name="Moneda 2 6 2 2 3 3 2" xfId="30847" xr:uid="{00000000-0005-0000-0000-0000851A0000}"/>
    <cellStyle name="Moneda 2 6 2 2 3 4" xfId="21757" xr:uid="{00000000-0005-0000-0000-0000861A0000}"/>
    <cellStyle name="Moneda 2 6 2 2 4" xfId="5192" xr:uid="{00000000-0005-0000-0000-0000871A0000}"/>
    <cellStyle name="Moneda 2 6 2 2 4 2" xfId="14292" xr:uid="{00000000-0005-0000-0000-0000881A0000}"/>
    <cellStyle name="Moneda 2 6 2 2 4 2 2" xfId="32474" xr:uid="{00000000-0005-0000-0000-0000891A0000}"/>
    <cellStyle name="Moneda 2 6 2 2 4 3" xfId="23384" xr:uid="{00000000-0005-0000-0000-00008A1A0000}"/>
    <cellStyle name="Moneda 2 6 2 2 5" xfId="9758" xr:uid="{00000000-0005-0000-0000-00008B1A0000}"/>
    <cellStyle name="Moneda 2 6 2 2 5 2" xfId="27940" xr:uid="{00000000-0005-0000-0000-00008C1A0000}"/>
    <cellStyle name="Moneda 2 6 2 2 6" xfId="18849" xr:uid="{00000000-0005-0000-0000-00008D1A0000}"/>
    <cellStyle name="Moneda 2 6 2 3" xfId="2058" xr:uid="{00000000-0005-0000-0000-00008E1A0000}"/>
    <cellStyle name="Moneda 2 6 2 3 2" xfId="6646" xr:uid="{00000000-0005-0000-0000-00008F1A0000}"/>
    <cellStyle name="Moneda 2 6 2 3 2 2" xfId="15746" xr:uid="{00000000-0005-0000-0000-0000901A0000}"/>
    <cellStyle name="Moneda 2 6 2 3 2 2 2" xfId="33928" xr:uid="{00000000-0005-0000-0000-0000911A0000}"/>
    <cellStyle name="Moneda 2 6 2 3 2 3" xfId="24838" xr:uid="{00000000-0005-0000-0000-0000921A0000}"/>
    <cellStyle name="Moneda 2 6 2 3 3" xfId="11210" xr:uid="{00000000-0005-0000-0000-0000931A0000}"/>
    <cellStyle name="Moneda 2 6 2 3 3 2" xfId="29392" xr:uid="{00000000-0005-0000-0000-0000941A0000}"/>
    <cellStyle name="Moneda 2 6 2 3 4" xfId="20302" xr:uid="{00000000-0005-0000-0000-0000951A0000}"/>
    <cellStyle name="Moneda 2 6 2 4" xfId="3552" xr:uid="{00000000-0005-0000-0000-0000961A0000}"/>
    <cellStyle name="Moneda 2 6 2 4 2" xfId="8108" xr:uid="{00000000-0005-0000-0000-0000971A0000}"/>
    <cellStyle name="Moneda 2 6 2 4 2 2" xfId="17204" xr:uid="{00000000-0005-0000-0000-0000981A0000}"/>
    <cellStyle name="Moneda 2 6 2 4 2 2 2" xfId="35386" xr:uid="{00000000-0005-0000-0000-0000991A0000}"/>
    <cellStyle name="Moneda 2 6 2 4 2 3" xfId="26296" xr:uid="{00000000-0005-0000-0000-00009A1A0000}"/>
    <cellStyle name="Moneda 2 6 2 4 3" xfId="12664" xr:uid="{00000000-0005-0000-0000-00009B1A0000}"/>
    <cellStyle name="Moneda 2 6 2 4 3 2" xfId="30846" xr:uid="{00000000-0005-0000-0000-00009C1A0000}"/>
    <cellStyle name="Moneda 2 6 2 4 4" xfId="21756" xr:uid="{00000000-0005-0000-0000-00009D1A0000}"/>
    <cellStyle name="Moneda 2 6 2 5" xfId="5191" xr:uid="{00000000-0005-0000-0000-00009E1A0000}"/>
    <cellStyle name="Moneda 2 6 2 5 2" xfId="14291" xr:uid="{00000000-0005-0000-0000-00009F1A0000}"/>
    <cellStyle name="Moneda 2 6 2 5 2 2" xfId="32473" xr:uid="{00000000-0005-0000-0000-0000A01A0000}"/>
    <cellStyle name="Moneda 2 6 2 5 3" xfId="23383" xr:uid="{00000000-0005-0000-0000-0000A11A0000}"/>
    <cellStyle name="Moneda 2 6 2 6" xfId="9757" xr:uid="{00000000-0005-0000-0000-0000A21A0000}"/>
    <cellStyle name="Moneda 2 6 2 6 2" xfId="27939" xr:uid="{00000000-0005-0000-0000-0000A31A0000}"/>
    <cellStyle name="Moneda 2 6 2 7" xfId="18848" xr:uid="{00000000-0005-0000-0000-0000A41A0000}"/>
    <cellStyle name="Moneda 2 6 3" xfId="542" xr:uid="{00000000-0005-0000-0000-0000A51A0000}"/>
    <cellStyle name="Moneda 2 6 3 2" xfId="2059" xr:uid="{00000000-0005-0000-0000-0000A61A0000}"/>
    <cellStyle name="Moneda 2 6 3 2 2" xfId="6647" xr:uid="{00000000-0005-0000-0000-0000A71A0000}"/>
    <cellStyle name="Moneda 2 6 3 2 2 2" xfId="15747" xr:uid="{00000000-0005-0000-0000-0000A81A0000}"/>
    <cellStyle name="Moneda 2 6 3 2 2 2 2" xfId="33929" xr:uid="{00000000-0005-0000-0000-0000A91A0000}"/>
    <cellStyle name="Moneda 2 6 3 2 2 3" xfId="24839" xr:uid="{00000000-0005-0000-0000-0000AA1A0000}"/>
    <cellStyle name="Moneda 2 6 3 2 3" xfId="11211" xr:uid="{00000000-0005-0000-0000-0000AB1A0000}"/>
    <cellStyle name="Moneda 2 6 3 2 3 2" xfId="29393" xr:uid="{00000000-0005-0000-0000-0000AC1A0000}"/>
    <cellStyle name="Moneda 2 6 3 2 4" xfId="20303" xr:uid="{00000000-0005-0000-0000-0000AD1A0000}"/>
    <cellStyle name="Moneda 2 6 3 3" xfId="3554" xr:uid="{00000000-0005-0000-0000-0000AE1A0000}"/>
    <cellStyle name="Moneda 2 6 3 3 2" xfId="8110" xr:uid="{00000000-0005-0000-0000-0000AF1A0000}"/>
    <cellStyle name="Moneda 2 6 3 3 2 2" xfId="17206" xr:uid="{00000000-0005-0000-0000-0000B01A0000}"/>
    <cellStyle name="Moneda 2 6 3 3 2 2 2" xfId="35388" xr:uid="{00000000-0005-0000-0000-0000B11A0000}"/>
    <cellStyle name="Moneda 2 6 3 3 2 3" xfId="26298" xr:uid="{00000000-0005-0000-0000-0000B21A0000}"/>
    <cellStyle name="Moneda 2 6 3 3 3" xfId="12666" xr:uid="{00000000-0005-0000-0000-0000B31A0000}"/>
    <cellStyle name="Moneda 2 6 3 3 3 2" xfId="30848" xr:uid="{00000000-0005-0000-0000-0000B41A0000}"/>
    <cellStyle name="Moneda 2 6 3 3 4" xfId="21758" xr:uid="{00000000-0005-0000-0000-0000B51A0000}"/>
    <cellStyle name="Moneda 2 6 3 4" xfId="5193" xr:uid="{00000000-0005-0000-0000-0000B61A0000}"/>
    <cellStyle name="Moneda 2 6 3 4 2" xfId="14293" xr:uid="{00000000-0005-0000-0000-0000B71A0000}"/>
    <cellStyle name="Moneda 2 6 3 4 2 2" xfId="32475" xr:uid="{00000000-0005-0000-0000-0000B81A0000}"/>
    <cellStyle name="Moneda 2 6 3 4 3" xfId="23385" xr:uid="{00000000-0005-0000-0000-0000B91A0000}"/>
    <cellStyle name="Moneda 2 6 3 5" xfId="9759" xr:uid="{00000000-0005-0000-0000-0000BA1A0000}"/>
    <cellStyle name="Moneda 2 6 3 5 2" xfId="27941" xr:uid="{00000000-0005-0000-0000-0000BB1A0000}"/>
    <cellStyle name="Moneda 2 6 3 6" xfId="18850" xr:uid="{00000000-0005-0000-0000-0000BC1A0000}"/>
    <cellStyle name="Moneda 2 6 4" xfId="543" xr:uid="{00000000-0005-0000-0000-0000BD1A0000}"/>
    <cellStyle name="Moneda 2 6 4 2" xfId="3555" xr:uid="{00000000-0005-0000-0000-0000BE1A0000}"/>
    <cellStyle name="Moneda 2 6 4 2 2" xfId="8111" xr:uid="{00000000-0005-0000-0000-0000BF1A0000}"/>
    <cellStyle name="Moneda 2 6 4 2 2 2" xfId="17207" xr:uid="{00000000-0005-0000-0000-0000C01A0000}"/>
    <cellStyle name="Moneda 2 6 4 2 2 2 2" xfId="35389" xr:uid="{00000000-0005-0000-0000-0000C11A0000}"/>
    <cellStyle name="Moneda 2 6 4 2 2 3" xfId="26299" xr:uid="{00000000-0005-0000-0000-0000C21A0000}"/>
    <cellStyle name="Moneda 2 6 4 2 3" xfId="12667" xr:uid="{00000000-0005-0000-0000-0000C31A0000}"/>
    <cellStyle name="Moneda 2 6 4 2 3 2" xfId="30849" xr:uid="{00000000-0005-0000-0000-0000C41A0000}"/>
    <cellStyle name="Moneda 2 6 4 2 4" xfId="21759" xr:uid="{00000000-0005-0000-0000-0000C51A0000}"/>
    <cellStyle name="Moneda 2 6 4 3" xfId="5194" xr:uid="{00000000-0005-0000-0000-0000C61A0000}"/>
    <cellStyle name="Moneda 2 6 4 3 2" xfId="14294" xr:uid="{00000000-0005-0000-0000-0000C71A0000}"/>
    <cellStyle name="Moneda 2 6 4 3 2 2" xfId="32476" xr:uid="{00000000-0005-0000-0000-0000C81A0000}"/>
    <cellStyle name="Moneda 2 6 4 3 3" xfId="23386" xr:uid="{00000000-0005-0000-0000-0000C91A0000}"/>
    <cellStyle name="Moneda 2 6 4 4" xfId="9760" xr:uid="{00000000-0005-0000-0000-0000CA1A0000}"/>
    <cellStyle name="Moneda 2 6 4 4 2" xfId="27942" xr:uid="{00000000-0005-0000-0000-0000CB1A0000}"/>
    <cellStyle name="Moneda 2 6 4 5" xfId="18851" xr:uid="{00000000-0005-0000-0000-0000CC1A0000}"/>
    <cellStyle name="Moneda 2 6 5" xfId="2060" xr:uid="{00000000-0005-0000-0000-0000CD1A0000}"/>
    <cellStyle name="Moneda 2 6 6" xfId="3551" xr:uid="{00000000-0005-0000-0000-0000CE1A0000}"/>
    <cellStyle name="Moneda 2 6 6 2" xfId="8107" xr:uid="{00000000-0005-0000-0000-0000CF1A0000}"/>
    <cellStyle name="Moneda 2 6 6 2 2" xfId="17203" xr:uid="{00000000-0005-0000-0000-0000D01A0000}"/>
    <cellStyle name="Moneda 2 6 6 2 2 2" xfId="35385" xr:uid="{00000000-0005-0000-0000-0000D11A0000}"/>
    <cellStyle name="Moneda 2 6 6 2 3" xfId="26295" xr:uid="{00000000-0005-0000-0000-0000D21A0000}"/>
    <cellStyle name="Moneda 2 6 6 3" xfId="12663" xr:uid="{00000000-0005-0000-0000-0000D31A0000}"/>
    <cellStyle name="Moneda 2 6 6 3 2" xfId="30845" xr:uid="{00000000-0005-0000-0000-0000D41A0000}"/>
    <cellStyle name="Moneda 2 6 6 4" xfId="21755" xr:uid="{00000000-0005-0000-0000-0000D51A0000}"/>
    <cellStyle name="Moneda 2 6 7" xfId="5190" xr:uid="{00000000-0005-0000-0000-0000D61A0000}"/>
    <cellStyle name="Moneda 2 6 7 2" xfId="14290" xr:uid="{00000000-0005-0000-0000-0000D71A0000}"/>
    <cellStyle name="Moneda 2 6 7 2 2" xfId="32472" xr:uid="{00000000-0005-0000-0000-0000D81A0000}"/>
    <cellStyle name="Moneda 2 6 7 3" xfId="23382" xr:uid="{00000000-0005-0000-0000-0000D91A0000}"/>
    <cellStyle name="Moneda 2 6 8" xfId="9756" xr:uid="{00000000-0005-0000-0000-0000DA1A0000}"/>
    <cellStyle name="Moneda 2 6 8 2" xfId="27938" xr:uid="{00000000-0005-0000-0000-0000DB1A0000}"/>
    <cellStyle name="Moneda 2 6 9" xfId="18847" xr:uid="{00000000-0005-0000-0000-0000DC1A0000}"/>
    <cellStyle name="Moneda 2 7" xfId="544" xr:uid="{00000000-0005-0000-0000-0000DD1A0000}"/>
    <cellStyle name="Moneda 2 7 2" xfId="545" xr:uid="{00000000-0005-0000-0000-0000DE1A0000}"/>
    <cellStyle name="Moneda 2 7 2 2" xfId="2061" xr:uid="{00000000-0005-0000-0000-0000DF1A0000}"/>
    <cellStyle name="Moneda 2 7 2 2 2" xfId="6648" xr:uid="{00000000-0005-0000-0000-0000E01A0000}"/>
    <cellStyle name="Moneda 2 7 2 2 2 2" xfId="15748" xr:uid="{00000000-0005-0000-0000-0000E11A0000}"/>
    <cellStyle name="Moneda 2 7 2 2 2 2 2" xfId="33930" xr:uid="{00000000-0005-0000-0000-0000E21A0000}"/>
    <cellStyle name="Moneda 2 7 2 2 2 3" xfId="24840" xr:uid="{00000000-0005-0000-0000-0000E31A0000}"/>
    <cellStyle name="Moneda 2 7 2 2 3" xfId="11212" xr:uid="{00000000-0005-0000-0000-0000E41A0000}"/>
    <cellStyle name="Moneda 2 7 2 2 3 2" xfId="29394" xr:uid="{00000000-0005-0000-0000-0000E51A0000}"/>
    <cellStyle name="Moneda 2 7 2 2 4" xfId="20304" xr:uid="{00000000-0005-0000-0000-0000E61A0000}"/>
    <cellStyle name="Moneda 2 7 2 3" xfId="3557" xr:uid="{00000000-0005-0000-0000-0000E71A0000}"/>
    <cellStyle name="Moneda 2 7 2 3 2" xfId="8113" xr:uid="{00000000-0005-0000-0000-0000E81A0000}"/>
    <cellStyle name="Moneda 2 7 2 3 2 2" xfId="17209" xr:uid="{00000000-0005-0000-0000-0000E91A0000}"/>
    <cellStyle name="Moneda 2 7 2 3 2 2 2" xfId="35391" xr:uid="{00000000-0005-0000-0000-0000EA1A0000}"/>
    <cellStyle name="Moneda 2 7 2 3 2 3" xfId="26301" xr:uid="{00000000-0005-0000-0000-0000EB1A0000}"/>
    <cellStyle name="Moneda 2 7 2 3 3" xfId="12669" xr:uid="{00000000-0005-0000-0000-0000EC1A0000}"/>
    <cellStyle name="Moneda 2 7 2 3 3 2" xfId="30851" xr:uid="{00000000-0005-0000-0000-0000ED1A0000}"/>
    <cellStyle name="Moneda 2 7 2 3 4" xfId="21761" xr:uid="{00000000-0005-0000-0000-0000EE1A0000}"/>
    <cellStyle name="Moneda 2 7 2 4" xfId="5196" xr:uid="{00000000-0005-0000-0000-0000EF1A0000}"/>
    <cellStyle name="Moneda 2 7 2 4 2" xfId="14296" xr:uid="{00000000-0005-0000-0000-0000F01A0000}"/>
    <cellStyle name="Moneda 2 7 2 4 2 2" xfId="32478" xr:uid="{00000000-0005-0000-0000-0000F11A0000}"/>
    <cellStyle name="Moneda 2 7 2 4 3" xfId="23388" xr:uid="{00000000-0005-0000-0000-0000F21A0000}"/>
    <cellStyle name="Moneda 2 7 2 5" xfId="9762" xr:uid="{00000000-0005-0000-0000-0000F31A0000}"/>
    <cellStyle name="Moneda 2 7 2 5 2" xfId="27944" xr:uid="{00000000-0005-0000-0000-0000F41A0000}"/>
    <cellStyle name="Moneda 2 7 2 6" xfId="18853" xr:uid="{00000000-0005-0000-0000-0000F51A0000}"/>
    <cellStyle name="Moneda 2 7 3" xfId="2062" xr:uid="{00000000-0005-0000-0000-0000F61A0000}"/>
    <cellStyle name="Moneda 2 7 3 2" xfId="6649" xr:uid="{00000000-0005-0000-0000-0000F71A0000}"/>
    <cellStyle name="Moneda 2 7 3 2 2" xfId="15749" xr:uid="{00000000-0005-0000-0000-0000F81A0000}"/>
    <cellStyle name="Moneda 2 7 3 2 2 2" xfId="33931" xr:uid="{00000000-0005-0000-0000-0000F91A0000}"/>
    <cellStyle name="Moneda 2 7 3 2 3" xfId="24841" xr:uid="{00000000-0005-0000-0000-0000FA1A0000}"/>
    <cellStyle name="Moneda 2 7 3 3" xfId="11213" xr:uid="{00000000-0005-0000-0000-0000FB1A0000}"/>
    <cellStyle name="Moneda 2 7 3 3 2" xfId="29395" xr:uid="{00000000-0005-0000-0000-0000FC1A0000}"/>
    <cellStyle name="Moneda 2 7 3 4" xfId="20305" xr:uid="{00000000-0005-0000-0000-0000FD1A0000}"/>
    <cellStyle name="Moneda 2 7 4" xfId="3556" xr:uid="{00000000-0005-0000-0000-0000FE1A0000}"/>
    <cellStyle name="Moneda 2 7 4 2" xfId="8112" xr:uid="{00000000-0005-0000-0000-0000FF1A0000}"/>
    <cellStyle name="Moneda 2 7 4 2 2" xfId="17208" xr:uid="{00000000-0005-0000-0000-0000001B0000}"/>
    <cellStyle name="Moneda 2 7 4 2 2 2" xfId="35390" xr:uid="{00000000-0005-0000-0000-0000011B0000}"/>
    <cellStyle name="Moneda 2 7 4 2 3" xfId="26300" xr:uid="{00000000-0005-0000-0000-0000021B0000}"/>
    <cellStyle name="Moneda 2 7 4 3" xfId="12668" xr:uid="{00000000-0005-0000-0000-0000031B0000}"/>
    <cellStyle name="Moneda 2 7 4 3 2" xfId="30850" xr:uid="{00000000-0005-0000-0000-0000041B0000}"/>
    <cellStyle name="Moneda 2 7 4 4" xfId="21760" xr:uid="{00000000-0005-0000-0000-0000051B0000}"/>
    <cellStyle name="Moneda 2 7 5" xfId="5195" xr:uid="{00000000-0005-0000-0000-0000061B0000}"/>
    <cellStyle name="Moneda 2 7 5 2" xfId="14295" xr:uid="{00000000-0005-0000-0000-0000071B0000}"/>
    <cellStyle name="Moneda 2 7 5 2 2" xfId="32477" xr:uid="{00000000-0005-0000-0000-0000081B0000}"/>
    <cellStyle name="Moneda 2 7 5 3" xfId="23387" xr:uid="{00000000-0005-0000-0000-0000091B0000}"/>
    <cellStyle name="Moneda 2 7 6" xfId="9761" xr:uid="{00000000-0005-0000-0000-00000A1B0000}"/>
    <cellStyle name="Moneda 2 7 6 2" xfId="27943" xr:uid="{00000000-0005-0000-0000-00000B1B0000}"/>
    <cellStyle name="Moneda 2 7 7" xfId="18852" xr:uid="{00000000-0005-0000-0000-00000C1B0000}"/>
    <cellStyle name="Moneda 2 8" xfId="546" xr:uid="{00000000-0005-0000-0000-00000D1B0000}"/>
    <cellStyle name="Moneda 2 8 2" xfId="2063" xr:uid="{00000000-0005-0000-0000-00000E1B0000}"/>
    <cellStyle name="Moneda 2 8 2 2" xfId="6650" xr:uid="{00000000-0005-0000-0000-00000F1B0000}"/>
    <cellStyle name="Moneda 2 8 2 2 2" xfId="15750" xr:uid="{00000000-0005-0000-0000-0000101B0000}"/>
    <cellStyle name="Moneda 2 8 2 2 2 2" xfId="33932" xr:uid="{00000000-0005-0000-0000-0000111B0000}"/>
    <cellStyle name="Moneda 2 8 2 2 3" xfId="24842" xr:uid="{00000000-0005-0000-0000-0000121B0000}"/>
    <cellStyle name="Moneda 2 8 2 3" xfId="11214" xr:uid="{00000000-0005-0000-0000-0000131B0000}"/>
    <cellStyle name="Moneda 2 8 2 3 2" xfId="29396" xr:uid="{00000000-0005-0000-0000-0000141B0000}"/>
    <cellStyle name="Moneda 2 8 2 4" xfId="20306" xr:uid="{00000000-0005-0000-0000-0000151B0000}"/>
    <cellStyle name="Moneda 2 8 3" xfId="3558" xr:uid="{00000000-0005-0000-0000-0000161B0000}"/>
    <cellStyle name="Moneda 2 8 3 2" xfId="8114" xr:uid="{00000000-0005-0000-0000-0000171B0000}"/>
    <cellStyle name="Moneda 2 8 3 2 2" xfId="17210" xr:uid="{00000000-0005-0000-0000-0000181B0000}"/>
    <cellStyle name="Moneda 2 8 3 2 2 2" xfId="35392" xr:uid="{00000000-0005-0000-0000-0000191B0000}"/>
    <cellStyle name="Moneda 2 8 3 2 3" xfId="26302" xr:uid="{00000000-0005-0000-0000-00001A1B0000}"/>
    <cellStyle name="Moneda 2 8 3 3" xfId="12670" xr:uid="{00000000-0005-0000-0000-00001B1B0000}"/>
    <cellStyle name="Moneda 2 8 3 3 2" xfId="30852" xr:uid="{00000000-0005-0000-0000-00001C1B0000}"/>
    <cellStyle name="Moneda 2 8 3 4" xfId="21762" xr:uid="{00000000-0005-0000-0000-00001D1B0000}"/>
    <cellStyle name="Moneda 2 8 4" xfId="5197" xr:uid="{00000000-0005-0000-0000-00001E1B0000}"/>
    <cellStyle name="Moneda 2 8 4 2" xfId="14297" xr:uid="{00000000-0005-0000-0000-00001F1B0000}"/>
    <cellStyle name="Moneda 2 8 4 2 2" xfId="32479" xr:uid="{00000000-0005-0000-0000-0000201B0000}"/>
    <cellStyle name="Moneda 2 8 4 3" xfId="23389" xr:uid="{00000000-0005-0000-0000-0000211B0000}"/>
    <cellStyle name="Moneda 2 8 5" xfId="9763" xr:uid="{00000000-0005-0000-0000-0000221B0000}"/>
    <cellStyle name="Moneda 2 8 5 2" xfId="27945" xr:uid="{00000000-0005-0000-0000-0000231B0000}"/>
    <cellStyle name="Moneda 2 8 6" xfId="18854" xr:uid="{00000000-0005-0000-0000-0000241B0000}"/>
    <cellStyle name="Moneda 2 9" xfId="547" xr:uid="{00000000-0005-0000-0000-0000251B0000}"/>
    <cellStyle name="Moneda 2 9 2" xfId="3559" xr:uid="{00000000-0005-0000-0000-0000261B0000}"/>
    <cellStyle name="Moneda 2 9 2 2" xfId="8115" xr:uid="{00000000-0005-0000-0000-0000271B0000}"/>
    <cellStyle name="Moneda 2 9 2 2 2" xfId="17211" xr:uid="{00000000-0005-0000-0000-0000281B0000}"/>
    <cellStyle name="Moneda 2 9 2 2 2 2" xfId="35393" xr:uid="{00000000-0005-0000-0000-0000291B0000}"/>
    <cellStyle name="Moneda 2 9 2 2 3" xfId="26303" xr:uid="{00000000-0005-0000-0000-00002A1B0000}"/>
    <cellStyle name="Moneda 2 9 2 3" xfId="12671" xr:uid="{00000000-0005-0000-0000-00002B1B0000}"/>
    <cellStyle name="Moneda 2 9 2 3 2" xfId="30853" xr:uid="{00000000-0005-0000-0000-00002C1B0000}"/>
    <cellStyle name="Moneda 2 9 2 4" xfId="21763" xr:uid="{00000000-0005-0000-0000-00002D1B0000}"/>
    <cellStyle name="Moneda 2 9 3" xfId="5198" xr:uid="{00000000-0005-0000-0000-00002E1B0000}"/>
    <cellStyle name="Moneda 2 9 3 2" xfId="14298" xr:uid="{00000000-0005-0000-0000-00002F1B0000}"/>
    <cellStyle name="Moneda 2 9 3 2 2" xfId="32480" xr:uid="{00000000-0005-0000-0000-0000301B0000}"/>
    <cellStyle name="Moneda 2 9 3 3" xfId="23390" xr:uid="{00000000-0005-0000-0000-0000311B0000}"/>
    <cellStyle name="Moneda 2 9 4" xfId="9764" xr:uid="{00000000-0005-0000-0000-0000321B0000}"/>
    <cellStyle name="Moneda 2 9 4 2" xfId="27946" xr:uid="{00000000-0005-0000-0000-0000331B0000}"/>
    <cellStyle name="Moneda 2 9 5" xfId="18855" xr:uid="{00000000-0005-0000-0000-0000341B0000}"/>
    <cellStyle name="Moneda 3" xfId="55" xr:uid="{00000000-0005-0000-0000-0000351B0000}"/>
    <cellStyle name="Moneda 3 2" xfId="102" xr:uid="{00000000-0005-0000-0000-0000361B0000}"/>
    <cellStyle name="Moneda 4" xfId="548" xr:uid="{00000000-0005-0000-0000-0000371B0000}"/>
    <cellStyle name="Moneda 4 2" xfId="549" xr:uid="{00000000-0005-0000-0000-0000381B0000}"/>
    <cellStyle name="Moneda 4 2 2" xfId="550" xr:uid="{00000000-0005-0000-0000-0000391B0000}"/>
    <cellStyle name="Moneda 4 2 2 2" xfId="2064" xr:uid="{00000000-0005-0000-0000-00003A1B0000}"/>
    <cellStyle name="Moneda 4 2 2 2 2" xfId="6651" xr:uid="{00000000-0005-0000-0000-00003B1B0000}"/>
    <cellStyle name="Moneda 4 2 2 2 2 2" xfId="15751" xr:uid="{00000000-0005-0000-0000-00003C1B0000}"/>
    <cellStyle name="Moneda 4 2 2 2 2 2 2" xfId="33933" xr:uid="{00000000-0005-0000-0000-00003D1B0000}"/>
    <cellStyle name="Moneda 4 2 2 2 2 3" xfId="24843" xr:uid="{00000000-0005-0000-0000-00003E1B0000}"/>
    <cellStyle name="Moneda 4 2 2 2 3" xfId="11215" xr:uid="{00000000-0005-0000-0000-00003F1B0000}"/>
    <cellStyle name="Moneda 4 2 2 2 3 2" xfId="29397" xr:uid="{00000000-0005-0000-0000-0000401B0000}"/>
    <cellStyle name="Moneda 4 2 2 2 4" xfId="20307" xr:uid="{00000000-0005-0000-0000-0000411B0000}"/>
    <cellStyle name="Moneda 4 2 2 3" xfId="3562" xr:uid="{00000000-0005-0000-0000-0000421B0000}"/>
    <cellStyle name="Moneda 4 2 2 3 2" xfId="8118" xr:uid="{00000000-0005-0000-0000-0000431B0000}"/>
    <cellStyle name="Moneda 4 2 2 3 2 2" xfId="17214" xr:uid="{00000000-0005-0000-0000-0000441B0000}"/>
    <cellStyle name="Moneda 4 2 2 3 2 2 2" xfId="35396" xr:uid="{00000000-0005-0000-0000-0000451B0000}"/>
    <cellStyle name="Moneda 4 2 2 3 2 3" xfId="26306" xr:uid="{00000000-0005-0000-0000-0000461B0000}"/>
    <cellStyle name="Moneda 4 2 2 3 3" xfId="12674" xr:uid="{00000000-0005-0000-0000-0000471B0000}"/>
    <cellStyle name="Moneda 4 2 2 3 3 2" xfId="30856" xr:uid="{00000000-0005-0000-0000-0000481B0000}"/>
    <cellStyle name="Moneda 4 2 2 3 4" xfId="21766" xr:uid="{00000000-0005-0000-0000-0000491B0000}"/>
    <cellStyle name="Moneda 4 2 2 4" xfId="5201" xr:uid="{00000000-0005-0000-0000-00004A1B0000}"/>
    <cellStyle name="Moneda 4 2 2 4 2" xfId="14301" xr:uid="{00000000-0005-0000-0000-00004B1B0000}"/>
    <cellStyle name="Moneda 4 2 2 4 2 2" xfId="32483" xr:uid="{00000000-0005-0000-0000-00004C1B0000}"/>
    <cellStyle name="Moneda 4 2 2 4 3" xfId="23393" xr:uid="{00000000-0005-0000-0000-00004D1B0000}"/>
    <cellStyle name="Moneda 4 2 2 5" xfId="9767" xr:uid="{00000000-0005-0000-0000-00004E1B0000}"/>
    <cellStyle name="Moneda 4 2 2 5 2" xfId="27949" xr:uid="{00000000-0005-0000-0000-00004F1B0000}"/>
    <cellStyle name="Moneda 4 2 2 6" xfId="18858" xr:uid="{00000000-0005-0000-0000-0000501B0000}"/>
    <cellStyle name="Moneda 4 2 3" xfId="2065" xr:uid="{00000000-0005-0000-0000-0000511B0000}"/>
    <cellStyle name="Moneda 4 2 3 2" xfId="6652" xr:uid="{00000000-0005-0000-0000-0000521B0000}"/>
    <cellStyle name="Moneda 4 2 3 2 2" xfId="15752" xr:uid="{00000000-0005-0000-0000-0000531B0000}"/>
    <cellStyle name="Moneda 4 2 3 2 2 2" xfId="33934" xr:uid="{00000000-0005-0000-0000-0000541B0000}"/>
    <cellStyle name="Moneda 4 2 3 2 3" xfId="24844" xr:uid="{00000000-0005-0000-0000-0000551B0000}"/>
    <cellStyle name="Moneda 4 2 3 3" xfId="11216" xr:uid="{00000000-0005-0000-0000-0000561B0000}"/>
    <cellStyle name="Moneda 4 2 3 3 2" xfId="29398" xr:uid="{00000000-0005-0000-0000-0000571B0000}"/>
    <cellStyle name="Moneda 4 2 3 4" xfId="20308" xr:uid="{00000000-0005-0000-0000-0000581B0000}"/>
    <cellStyle name="Moneda 4 2 4" xfId="3561" xr:uid="{00000000-0005-0000-0000-0000591B0000}"/>
    <cellStyle name="Moneda 4 2 4 2" xfId="8117" xr:uid="{00000000-0005-0000-0000-00005A1B0000}"/>
    <cellStyle name="Moneda 4 2 4 2 2" xfId="17213" xr:uid="{00000000-0005-0000-0000-00005B1B0000}"/>
    <cellStyle name="Moneda 4 2 4 2 2 2" xfId="35395" xr:uid="{00000000-0005-0000-0000-00005C1B0000}"/>
    <cellStyle name="Moneda 4 2 4 2 3" xfId="26305" xr:uid="{00000000-0005-0000-0000-00005D1B0000}"/>
    <cellStyle name="Moneda 4 2 4 3" xfId="12673" xr:uid="{00000000-0005-0000-0000-00005E1B0000}"/>
    <cellStyle name="Moneda 4 2 4 3 2" xfId="30855" xr:uid="{00000000-0005-0000-0000-00005F1B0000}"/>
    <cellStyle name="Moneda 4 2 4 4" xfId="21765" xr:uid="{00000000-0005-0000-0000-0000601B0000}"/>
    <cellStyle name="Moneda 4 2 5" xfId="5200" xr:uid="{00000000-0005-0000-0000-0000611B0000}"/>
    <cellStyle name="Moneda 4 2 5 2" xfId="14300" xr:uid="{00000000-0005-0000-0000-0000621B0000}"/>
    <cellStyle name="Moneda 4 2 5 2 2" xfId="32482" xr:uid="{00000000-0005-0000-0000-0000631B0000}"/>
    <cellStyle name="Moneda 4 2 5 3" xfId="23392" xr:uid="{00000000-0005-0000-0000-0000641B0000}"/>
    <cellStyle name="Moneda 4 2 6" xfId="9766" xr:uid="{00000000-0005-0000-0000-0000651B0000}"/>
    <cellStyle name="Moneda 4 2 6 2" xfId="27948" xr:uid="{00000000-0005-0000-0000-0000661B0000}"/>
    <cellStyle name="Moneda 4 2 7" xfId="18857" xr:uid="{00000000-0005-0000-0000-0000671B0000}"/>
    <cellStyle name="Moneda 4 3" xfId="551" xr:uid="{00000000-0005-0000-0000-0000681B0000}"/>
    <cellStyle name="Moneda 4 3 2" xfId="2066" xr:uid="{00000000-0005-0000-0000-0000691B0000}"/>
    <cellStyle name="Moneda 4 3 2 2" xfId="6653" xr:uid="{00000000-0005-0000-0000-00006A1B0000}"/>
    <cellStyle name="Moneda 4 3 2 2 2" xfId="15753" xr:uid="{00000000-0005-0000-0000-00006B1B0000}"/>
    <cellStyle name="Moneda 4 3 2 2 2 2" xfId="33935" xr:uid="{00000000-0005-0000-0000-00006C1B0000}"/>
    <cellStyle name="Moneda 4 3 2 2 3" xfId="24845" xr:uid="{00000000-0005-0000-0000-00006D1B0000}"/>
    <cellStyle name="Moneda 4 3 2 3" xfId="11217" xr:uid="{00000000-0005-0000-0000-00006E1B0000}"/>
    <cellStyle name="Moneda 4 3 2 3 2" xfId="29399" xr:uid="{00000000-0005-0000-0000-00006F1B0000}"/>
    <cellStyle name="Moneda 4 3 2 4" xfId="20309" xr:uid="{00000000-0005-0000-0000-0000701B0000}"/>
    <cellStyle name="Moneda 4 3 3" xfId="3563" xr:uid="{00000000-0005-0000-0000-0000711B0000}"/>
    <cellStyle name="Moneda 4 3 3 2" xfId="8119" xr:uid="{00000000-0005-0000-0000-0000721B0000}"/>
    <cellStyle name="Moneda 4 3 3 2 2" xfId="17215" xr:uid="{00000000-0005-0000-0000-0000731B0000}"/>
    <cellStyle name="Moneda 4 3 3 2 2 2" xfId="35397" xr:uid="{00000000-0005-0000-0000-0000741B0000}"/>
    <cellStyle name="Moneda 4 3 3 2 3" xfId="26307" xr:uid="{00000000-0005-0000-0000-0000751B0000}"/>
    <cellStyle name="Moneda 4 3 3 3" xfId="12675" xr:uid="{00000000-0005-0000-0000-0000761B0000}"/>
    <cellStyle name="Moneda 4 3 3 3 2" xfId="30857" xr:uid="{00000000-0005-0000-0000-0000771B0000}"/>
    <cellStyle name="Moneda 4 3 3 4" xfId="21767" xr:uid="{00000000-0005-0000-0000-0000781B0000}"/>
    <cellStyle name="Moneda 4 3 4" xfId="5202" xr:uid="{00000000-0005-0000-0000-0000791B0000}"/>
    <cellStyle name="Moneda 4 3 4 2" xfId="14302" xr:uid="{00000000-0005-0000-0000-00007A1B0000}"/>
    <cellStyle name="Moneda 4 3 4 2 2" xfId="32484" xr:uid="{00000000-0005-0000-0000-00007B1B0000}"/>
    <cellStyle name="Moneda 4 3 4 3" xfId="23394" xr:uid="{00000000-0005-0000-0000-00007C1B0000}"/>
    <cellStyle name="Moneda 4 3 5" xfId="9768" xr:uid="{00000000-0005-0000-0000-00007D1B0000}"/>
    <cellStyle name="Moneda 4 3 5 2" xfId="27950" xr:uid="{00000000-0005-0000-0000-00007E1B0000}"/>
    <cellStyle name="Moneda 4 3 6" xfId="18859" xr:uid="{00000000-0005-0000-0000-00007F1B0000}"/>
    <cellStyle name="Moneda 4 4" xfId="2067" xr:uid="{00000000-0005-0000-0000-0000801B0000}"/>
    <cellStyle name="Moneda 4 4 2" xfId="6654" xr:uid="{00000000-0005-0000-0000-0000811B0000}"/>
    <cellStyle name="Moneda 4 4 2 2" xfId="15754" xr:uid="{00000000-0005-0000-0000-0000821B0000}"/>
    <cellStyle name="Moneda 4 4 2 2 2" xfId="33936" xr:uid="{00000000-0005-0000-0000-0000831B0000}"/>
    <cellStyle name="Moneda 4 4 2 3" xfId="24846" xr:uid="{00000000-0005-0000-0000-0000841B0000}"/>
    <cellStyle name="Moneda 4 4 3" xfId="11218" xr:uid="{00000000-0005-0000-0000-0000851B0000}"/>
    <cellStyle name="Moneda 4 4 3 2" xfId="29400" xr:uid="{00000000-0005-0000-0000-0000861B0000}"/>
    <cellStyle name="Moneda 4 4 4" xfId="20310" xr:uid="{00000000-0005-0000-0000-0000871B0000}"/>
    <cellStyle name="Moneda 4 5" xfId="2068" xr:uid="{00000000-0005-0000-0000-0000881B0000}"/>
    <cellStyle name="Moneda 4 6" xfId="3560" xr:uid="{00000000-0005-0000-0000-0000891B0000}"/>
    <cellStyle name="Moneda 4 6 2" xfId="8116" xr:uid="{00000000-0005-0000-0000-00008A1B0000}"/>
    <cellStyle name="Moneda 4 6 2 2" xfId="17212" xr:uid="{00000000-0005-0000-0000-00008B1B0000}"/>
    <cellStyle name="Moneda 4 6 2 2 2" xfId="35394" xr:uid="{00000000-0005-0000-0000-00008C1B0000}"/>
    <cellStyle name="Moneda 4 6 2 3" xfId="26304" xr:uid="{00000000-0005-0000-0000-00008D1B0000}"/>
    <cellStyle name="Moneda 4 6 3" xfId="12672" xr:uid="{00000000-0005-0000-0000-00008E1B0000}"/>
    <cellStyle name="Moneda 4 6 3 2" xfId="30854" xr:uid="{00000000-0005-0000-0000-00008F1B0000}"/>
    <cellStyle name="Moneda 4 6 4" xfId="21764" xr:uid="{00000000-0005-0000-0000-0000901B0000}"/>
    <cellStyle name="Moneda 4 7" xfId="5199" xr:uid="{00000000-0005-0000-0000-0000911B0000}"/>
    <cellStyle name="Moneda 4 7 2" xfId="14299" xr:uid="{00000000-0005-0000-0000-0000921B0000}"/>
    <cellStyle name="Moneda 4 7 2 2" xfId="32481" xr:uid="{00000000-0005-0000-0000-0000931B0000}"/>
    <cellStyle name="Moneda 4 7 3" xfId="23391" xr:uid="{00000000-0005-0000-0000-0000941B0000}"/>
    <cellStyle name="Moneda 4 8" xfId="9765" xr:uid="{00000000-0005-0000-0000-0000951B0000}"/>
    <cellStyle name="Moneda 4 8 2" xfId="27947" xr:uid="{00000000-0005-0000-0000-0000961B0000}"/>
    <cellStyle name="Moneda 4 9" xfId="18856" xr:uid="{00000000-0005-0000-0000-0000971B0000}"/>
    <cellStyle name="Moneda 5" xfId="552" xr:uid="{00000000-0005-0000-0000-0000981B0000}"/>
    <cellStyle name="Moneda 6" xfId="1818" xr:uid="{00000000-0005-0000-0000-0000991B0000}"/>
    <cellStyle name="Moneda 6 2" xfId="6434" xr:uid="{00000000-0005-0000-0000-00009A1B0000}"/>
    <cellStyle name="Moneda 6 2 2" xfId="15534" xr:uid="{00000000-0005-0000-0000-00009B1B0000}"/>
    <cellStyle name="Moneda 6 2 2 2" xfId="33716" xr:uid="{00000000-0005-0000-0000-00009C1B0000}"/>
    <cellStyle name="Moneda 6 2 3" xfId="24626" xr:uid="{00000000-0005-0000-0000-00009D1B0000}"/>
    <cellStyle name="Moneda 6 3" xfId="10999" xr:uid="{00000000-0005-0000-0000-00009E1B0000}"/>
    <cellStyle name="Moneda 6 3 2" xfId="29181" xr:uid="{00000000-0005-0000-0000-00009F1B0000}"/>
    <cellStyle name="Moneda 6 4" xfId="20091" xr:uid="{00000000-0005-0000-0000-0000A01B0000}"/>
    <cellStyle name="Moneda 7" xfId="4802" xr:uid="{00000000-0005-0000-0000-0000A11B0000}"/>
    <cellStyle name="Moneda 7 2" xfId="9357" xr:uid="{00000000-0005-0000-0000-0000A21B0000}"/>
    <cellStyle name="Neutra" xfId="553" xr:uid="{00000000-0005-0000-0000-0000A31B0000}"/>
    <cellStyle name="Normal" xfId="0" builtinId="0"/>
    <cellStyle name="Normal 10" xfId="33" xr:uid="{00000000-0005-0000-0000-0000A51B0000}"/>
    <cellStyle name="Normal 10 10" xfId="4823" xr:uid="{00000000-0005-0000-0000-0000A61B0000}"/>
    <cellStyle name="Normal 10 10 2" xfId="13923" xr:uid="{00000000-0005-0000-0000-0000A71B0000}"/>
    <cellStyle name="Normal 10 10 2 2" xfId="32105" xr:uid="{00000000-0005-0000-0000-0000A81B0000}"/>
    <cellStyle name="Normal 10 10 3" xfId="3154" xr:uid="{00000000-0005-0000-0000-0000A91B0000}"/>
    <cellStyle name="Normal 10 10 4" xfId="23015" xr:uid="{00000000-0005-0000-0000-0000AA1B0000}"/>
    <cellStyle name="Normal 10 11" xfId="9389" xr:uid="{00000000-0005-0000-0000-0000AB1B0000}"/>
    <cellStyle name="Normal 10 11 2" xfId="27571" xr:uid="{00000000-0005-0000-0000-0000AC1B0000}"/>
    <cellStyle name="Normal 10 12" xfId="18480" xr:uid="{00000000-0005-0000-0000-0000AD1B0000}"/>
    <cellStyle name="Normal 10 2" xfId="103" xr:uid="{00000000-0005-0000-0000-0000AE1B0000}"/>
    <cellStyle name="Normal 10 2 10" xfId="9416" xr:uid="{00000000-0005-0000-0000-0000AF1B0000}"/>
    <cellStyle name="Normal 10 2 10 2" xfId="27598" xr:uid="{00000000-0005-0000-0000-0000B01B0000}"/>
    <cellStyle name="Normal 10 2 11" xfId="18507" xr:uid="{00000000-0005-0000-0000-0000B11B0000}"/>
    <cellStyle name="Normal 10 2 2" xfId="554" xr:uid="{00000000-0005-0000-0000-0000B21B0000}"/>
    <cellStyle name="Normal 10 2 2 10" xfId="18860" xr:uid="{00000000-0005-0000-0000-0000B31B0000}"/>
    <cellStyle name="Normal 10 2 2 2" xfId="555" xr:uid="{00000000-0005-0000-0000-0000B41B0000}"/>
    <cellStyle name="Normal 10 2 2 2 2" xfId="556" xr:uid="{00000000-0005-0000-0000-0000B51B0000}"/>
    <cellStyle name="Normal 10 2 2 2 2 2" xfId="557" xr:uid="{00000000-0005-0000-0000-0000B61B0000}"/>
    <cellStyle name="Normal 10 2 2 2 2 2 2" xfId="2069" xr:uid="{00000000-0005-0000-0000-0000B71B0000}"/>
    <cellStyle name="Normal 10 2 2 2 2 2 2 2" xfId="6655" xr:uid="{00000000-0005-0000-0000-0000B81B0000}"/>
    <cellStyle name="Normal 10 2 2 2 2 2 2 2 2" xfId="15755" xr:uid="{00000000-0005-0000-0000-0000B91B0000}"/>
    <cellStyle name="Normal 10 2 2 2 2 2 2 2 2 2" xfId="33937" xr:uid="{00000000-0005-0000-0000-0000BA1B0000}"/>
    <cellStyle name="Normal 10 2 2 2 2 2 2 2 3" xfId="24847" xr:uid="{00000000-0005-0000-0000-0000BB1B0000}"/>
    <cellStyle name="Normal 10 2 2 2 2 2 2 3" xfId="11219" xr:uid="{00000000-0005-0000-0000-0000BC1B0000}"/>
    <cellStyle name="Normal 10 2 2 2 2 2 2 3 2" xfId="29401" xr:uid="{00000000-0005-0000-0000-0000BD1B0000}"/>
    <cellStyle name="Normal 10 2 2 2 2 2 2 4" xfId="20311" xr:uid="{00000000-0005-0000-0000-0000BE1B0000}"/>
    <cellStyle name="Normal 10 2 2 2 2 2 3" xfId="3567" xr:uid="{00000000-0005-0000-0000-0000BF1B0000}"/>
    <cellStyle name="Normal 10 2 2 2 2 2 3 2" xfId="8123" xr:uid="{00000000-0005-0000-0000-0000C01B0000}"/>
    <cellStyle name="Normal 10 2 2 2 2 2 3 2 2" xfId="17219" xr:uid="{00000000-0005-0000-0000-0000C11B0000}"/>
    <cellStyle name="Normal 10 2 2 2 2 2 3 2 2 2" xfId="35401" xr:uid="{00000000-0005-0000-0000-0000C21B0000}"/>
    <cellStyle name="Normal 10 2 2 2 2 2 3 2 3" xfId="26311" xr:uid="{00000000-0005-0000-0000-0000C31B0000}"/>
    <cellStyle name="Normal 10 2 2 2 2 2 3 3" xfId="12679" xr:uid="{00000000-0005-0000-0000-0000C41B0000}"/>
    <cellStyle name="Normal 10 2 2 2 2 2 3 3 2" xfId="30861" xr:uid="{00000000-0005-0000-0000-0000C51B0000}"/>
    <cellStyle name="Normal 10 2 2 2 2 2 3 4" xfId="21771" xr:uid="{00000000-0005-0000-0000-0000C61B0000}"/>
    <cellStyle name="Normal 10 2 2 2 2 2 4" xfId="5206" xr:uid="{00000000-0005-0000-0000-0000C71B0000}"/>
    <cellStyle name="Normal 10 2 2 2 2 2 4 2" xfId="14306" xr:uid="{00000000-0005-0000-0000-0000C81B0000}"/>
    <cellStyle name="Normal 10 2 2 2 2 2 4 2 2" xfId="32488" xr:uid="{00000000-0005-0000-0000-0000C91B0000}"/>
    <cellStyle name="Normal 10 2 2 2 2 2 4 3" xfId="23398" xr:uid="{00000000-0005-0000-0000-0000CA1B0000}"/>
    <cellStyle name="Normal 10 2 2 2 2 2 5" xfId="9772" xr:uid="{00000000-0005-0000-0000-0000CB1B0000}"/>
    <cellStyle name="Normal 10 2 2 2 2 2 5 2" xfId="27954" xr:uid="{00000000-0005-0000-0000-0000CC1B0000}"/>
    <cellStyle name="Normal 10 2 2 2 2 2 6" xfId="18863" xr:uid="{00000000-0005-0000-0000-0000CD1B0000}"/>
    <cellStyle name="Normal 10 2 2 2 2 3" xfId="2070" xr:uid="{00000000-0005-0000-0000-0000CE1B0000}"/>
    <cellStyle name="Normal 10 2 2 2 2 3 2" xfId="6656" xr:uid="{00000000-0005-0000-0000-0000CF1B0000}"/>
    <cellStyle name="Normal 10 2 2 2 2 3 2 2" xfId="15756" xr:uid="{00000000-0005-0000-0000-0000D01B0000}"/>
    <cellStyle name="Normal 10 2 2 2 2 3 2 2 2" xfId="33938" xr:uid="{00000000-0005-0000-0000-0000D11B0000}"/>
    <cellStyle name="Normal 10 2 2 2 2 3 2 3" xfId="24848" xr:uid="{00000000-0005-0000-0000-0000D21B0000}"/>
    <cellStyle name="Normal 10 2 2 2 2 3 3" xfId="11220" xr:uid="{00000000-0005-0000-0000-0000D31B0000}"/>
    <cellStyle name="Normal 10 2 2 2 2 3 3 2" xfId="29402" xr:uid="{00000000-0005-0000-0000-0000D41B0000}"/>
    <cellStyle name="Normal 10 2 2 2 2 3 4" xfId="20312" xr:uid="{00000000-0005-0000-0000-0000D51B0000}"/>
    <cellStyle name="Normal 10 2 2 2 2 4" xfId="3566" xr:uid="{00000000-0005-0000-0000-0000D61B0000}"/>
    <cellStyle name="Normal 10 2 2 2 2 4 2" xfId="8122" xr:uid="{00000000-0005-0000-0000-0000D71B0000}"/>
    <cellStyle name="Normal 10 2 2 2 2 4 2 2" xfId="17218" xr:uid="{00000000-0005-0000-0000-0000D81B0000}"/>
    <cellStyle name="Normal 10 2 2 2 2 4 2 2 2" xfId="35400" xr:uid="{00000000-0005-0000-0000-0000D91B0000}"/>
    <cellStyle name="Normal 10 2 2 2 2 4 2 3" xfId="26310" xr:uid="{00000000-0005-0000-0000-0000DA1B0000}"/>
    <cellStyle name="Normal 10 2 2 2 2 4 3" xfId="12678" xr:uid="{00000000-0005-0000-0000-0000DB1B0000}"/>
    <cellStyle name="Normal 10 2 2 2 2 4 3 2" xfId="30860" xr:uid="{00000000-0005-0000-0000-0000DC1B0000}"/>
    <cellStyle name="Normal 10 2 2 2 2 4 4" xfId="21770" xr:uid="{00000000-0005-0000-0000-0000DD1B0000}"/>
    <cellStyle name="Normal 10 2 2 2 2 5" xfId="5205" xr:uid="{00000000-0005-0000-0000-0000DE1B0000}"/>
    <cellStyle name="Normal 10 2 2 2 2 5 2" xfId="14305" xr:uid="{00000000-0005-0000-0000-0000DF1B0000}"/>
    <cellStyle name="Normal 10 2 2 2 2 5 2 2" xfId="32487" xr:uid="{00000000-0005-0000-0000-0000E01B0000}"/>
    <cellStyle name="Normal 10 2 2 2 2 5 3" xfId="23397" xr:uid="{00000000-0005-0000-0000-0000E11B0000}"/>
    <cellStyle name="Normal 10 2 2 2 2 6" xfId="9771" xr:uid="{00000000-0005-0000-0000-0000E21B0000}"/>
    <cellStyle name="Normal 10 2 2 2 2 6 2" xfId="27953" xr:uid="{00000000-0005-0000-0000-0000E31B0000}"/>
    <cellStyle name="Normal 10 2 2 2 2 7" xfId="18862" xr:uid="{00000000-0005-0000-0000-0000E41B0000}"/>
    <cellStyle name="Normal 10 2 2 2 3" xfId="558" xr:uid="{00000000-0005-0000-0000-0000E51B0000}"/>
    <cellStyle name="Normal 10 2 2 2 3 2" xfId="2071" xr:uid="{00000000-0005-0000-0000-0000E61B0000}"/>
    <cellStyle name="Normal 10 2 2 2 3 2 2" xfId="6657" xr:uid="{00000000-0005-0000-0000-0000E71B0000}"/>
    <cellStyle name="Normal 10 2 2 2 3 2 2 2" xfId="15757" xr:uid="{00000000-0005-0000-0000-0000E81B0000}"/>
    <cellStyle name="Normal 10 2 2 2 3 2 2 2 2" xfId="33939" xr:uid="{00000000-0005-0000-0000-0000E91B0000}"/>
    <cellStyle name="Normal 10 2 2 2 3 2 2 3" xfId="24849" xr:uid="{00000000-0005-0000-0000-0000EA1B0000}"/>
    <cellStyle name="Normal 10 2 2 2 3 2 3" xfId="11221" xr:uid="{00000000-0005-0000-0000-0000EB1B0000}"/>
    <cellStyle name="Normal 10 2 2 2 3 2 3 2" xfId="29403" xr:uid="{00000000-0005-0000-0000-0000EC1B0000}"/>
    <cellStyle name="Normal 10 2 2 2 3 2 4" xfId="20313" xr:uid="{00000000-0005-0000-0000-0000ED1B0000}"/>
    <cellStyle name="Normal 10 2 2 2 3 3" xfId="3568" xr:uid="{00000000-0005-0000-0000-0000EE1B0000}"/>
    <cellStyle name="Normal 10 2 2 2 3 3 2" xfId="8124" xr:uid="{00000000-0005-0000-0000-0000EF1B0000}"/>
    <cellStyle name="Normal 10 2 2 2 3 3 2 2" xfId="17220" xr:uid="{00000000-0005-0000-0000-0000F01B0000}"/>
    <cellStyle name="Normal 10 2 2 2 3 3 2 2 2" xfId="35402" xr:uid="{00000000-0005-0000-0000-0000F11B0000}"/>
    <cellStyle name="Normal 10 2 2 2 3 3 2 3" xfId="26312" xr:uid="{00000000-0005-0000-0000-0000F21B0000}"/>
    <cellStyle name="Normal 10 2 2 2 3 3 3" xfId="12680" xr:uid="{00000000-0005-0000-0000-0000F31B0000}"/>
    <cellStyle name="Normal 10 2 2 2 3 3 3 2" xfId="30862" xr:uid="{00000000-0005-0000-0000-0000F41B0000}"/>
    <cellStyle name="Normal 10 2 2 2 3 3 4" xfId="21772" xr:uid="{00000000-0005-0000-0000-0000F51B0000}"/>
    <cellStyle name="Normal 10 2 2 2 3 4" xfId="5207" xr:uid="{00000000-0005-0000-0000-0000F61B0000}"/>
    <cellStyle name="Normal 10 2 2 2 3 4 2" xfId="14307" xr:uid="{00000000-0005-0000-0000-0000F71B0000}"/>
    <cellStyle name="Normal 10 2 2 2 3 4 2 2" xfId="32489" xr:uid="{00000000-0005-0000-0000-0000F81B0000}"/>
    <cellStyle name="Normal 10 2 2 2 3 4 3" xfId="23399" xr:uid="{00000000-0005-0000-0000-0000F91B0000}"/>
    <cellStyle name="Normal 10 2 2 2 3 5" xfId="9773" xr:uid="{00000000-0005-0000-0000-0000FA1B0000}"/>
    <cellStyle name="Normal 10 2 2 2 3 5 2" xfId="27955" xr:uid="{00000000-0005-0000-0000-0000FB1B0000}"/>
    <cellStyle name="Normal 10 2 2 2 3 6" xfId="18864" xr:uid="{00000000-0005-0000-0000-0000FC1B0000}"/>
    <cellStyle name="Normal 10 2 2 2 4" xfId="559" xr:uid="{00000000-0005-0000-0000-0000FD1B0000}"/>
    <cellStyle name="Normal 10 2 2 2 4 2" xfId="3569" xr:uid="{00000000-0005-0000-0000-0000FE1B0000}"/>
    <cellStyle name="Normal 10 2 2 2 4 2 2" xfId="8125" xr:uid="{00000000-0005-0000-0000-0000FF1B0000}"/>
    <cellStyle name="Normal 10 2 2 2 4 2 2 2" xfId="17221" xr:uid="{00000000-0005-0000-0000-0000001C0000}"/>
    <cellStyle name="Normal 10 2 2 2 4 2 2 2 2" xfId="35403" xr:uid="{00000000-0005-0000-0000-0000011C0000}"/>
    <cellStyle name="Normal 10 2 2 2 4 2 2 3" xfId="26313" xr:uid="{00000000-0005-0000-0000-0000021C0000}"/>
    <cellStyle name="Normal 10 2 2 2 4 2 3" xfId="12681" xr:uid="{00000000-0005-0000-0000-0000031C0000}"/>
    <cellStyle name="Normal 10 2 2 2 4 2 3 2" xfId="30863" xr:uid="{00000000-0005-0000-0000-0000041C0000}"/>
    <cellStyle name="Normal 10 2 2 2 4 2 4" xfId="21773" xr:uid="{00000000-0005-0000-0000-0000051C0000}"/>
    <cellStyle name="Normal 10 2 2 2 4 3" xfId="5208" xr:uid="{00000000-0005-0000-0000-0000061C0000}"/>
    <cellStyle name="Normal 10 2 2 2 4 3 2" xfId="14308" xr:uid="{00000000-0005-0000-0000-0000071C0000}"/>
    <cellStyle name="Normal 10 2 2 2 4 3 2 2" xfId="32490" xr:uid="{00000000-0005-0000-0000-0000081C0000}"/>
    <cellStyle name="Normal 10 2 2 2 4 3 3" xfId="23400" xr:uid="{00000000-0005-0000-0000-0000091C0000}"/>
    <cellStyle name="Normal 10 2 2 2 4 4" xfId="9774" xr:uid="{00000000-0005-0000-0000-00000A1C0000}"/>
    <cellStyle name="Normal 10 2 2 2 4 4 2" xfId="27956" xr:uid="{00000000-0005-0000-0000-00000B1C0000}"/>
    <cellStyle name="Normal 10 2 2 2 4 5" xfId="18865" xr:uid="{00000000-0005-0000-0000-00000C1C0000}"/>
    <cellStyle name="Normal 10 2 2 2 5" xfId="2072" xr:uid="{00000000-0005-0000-0000-00000D1C0000}"/>
    <cellStyle name="Normal 10 2 2 2 5 2" xfId="6658" xr:uid="{00000000-0005-0000-0000-00000E1C0000}"/>
    <cellStyle name="Normal 10 2 2 2 5 2 2" xfId="15758" xr:uid="{00000000-0005-0000-0000-00000F1C0000}"/>
    <cellStyle name="Normal 10 2 2 2 5 2 2 2" xfId="33940" xr:uid="{00000000-0005-0000-0000-0000101C0000}"/>
    <cellStyle name="Normal 10 2 2 2 5 2 3" xfId="24850" xr:uid="{00000000-0005-0000-0000-0000111C0000}"/>
    <cellStyle name="Normal 10 2 2 2 5 3" xfId="11222" xr:uid="{00000000-0005-0000-0000-0000121C0000}"/>
    <cellStyle name="Normal 10 2 2 2 5 3 2" xfId="29404" xr:uid="{00000000-0005-0000-0000-0000131C0000}"/>
    <cellStyle name="Normal 10 2 2 2 5 4" xfId="20314" xr:uid="{00000000-0005-0000-0000-0000141C0000}"/>
    <cellStyle name="Normal 10 2 2 2 6" xfId="3565" xr:uid="{00000000-0005-0000-0000-0000151C0000}"/>
    <cellStyle name="Normal 10 2 2 2 6 2" xfId="8121" xr:uid="{00000000-0005-0000-0000-0000161C0000}"/>
    <cellStyle name="Normal 10 2 2 2 6 2 2" xfId="17217" xr:uid="{00000000-0005-0000-0000-0000171C0000}"/>
    <cellStyle name="Normal 10 2 2 2 6 2 2 2" xfId="35399" xr:uid="{00000000-0005-0000-0000-0000181C0000}"/>
    <cellStyle name="Normal 10 2 2 2 6 2 3" xfId="26309" xr:uid="{00000000-0005-0000-0000-0000191C0000}"/>
    <cellStyle name="Normal 10 2 2 2 6 3" xfId="12677" xr:uid="{00000000-0005-0000-0000-00001A1C0000}"/>
    <cellStyle name="Normal 10 2 2 2 6 3 2" xfId="30859" xr:uid="{00000000-0005-0000-0000-00001B1C0000}"/>
    <cellStyle name="Normal 10 2 2 2 6 4" xfId="21769" xr:uid="{00000000-0005-0000-0000-00001C1C0000}"/>
    <cellStyle name="Normal 10 2 2 2 7" xfId="5204" xr:uid="{00000000-0005-0000-0000-00001D1C0000}"/>
    <cellStyle name="Normal 10 2 2 2 7 2" xfId="14304" xr:uid="{00000000-0005-0000-0000-00001E1C0000}"/>
    <cellStyle name="Normal 10 2 2 2 7 2 2" xfId="32486" xr:uid="{00000000-0005-0000-0000-00001F1C0000}"/>
    <cellStyle name="Normal 10 2 2 2 7 3" xfId="23396" xr:uid="{00000000-0005-0000-0000-0000201C0000}"/>
    <cellStyle name="Normal 10 2 2 2 8" xfId="9770" xr:uid="{00000000-0005-0000-0000-0000211C0000}"/>
    <cellStyle name="Normal 10 2 2 2 8 2" xfId="27952" xr:uid="{00000000-0005-0000-0000-0000221C0000}"/>
    <cellStyle name="Normal 10 2 2 2 9" xfId="18861" xr:uid="{00000000-0005-0000-0000-0000231C0000}"/>
    <cellStyle name="Normal 10 2 2 3" xfId="560" xr:uid="{00000000-0005-0000-0000-0000241C0000}"/>
    <cellStyle name="Normal 10 2 2 3 2" xfId="561" xr:uid="{00000000-0005-0000-0000-0000251C0000}"/>
    <cellStyle name="Normal 10 2 2 3 2 2" xfId="2073" xr:uid="{00000000-0005-0000-0000-0000261C0000}"/>
    <cellStyle name="Normal 10 2 2 3 2 2 2" xfId="6659" xr:uid="{00000000-0005-0000-0000-0000271C0000}"/>
    <cellStyle name="Normal 10 2 2 3 2 2 2 2" xfId="15759" xr:uid="{00000000-0005-0000-0000-0000281C0000}"/>
    <cellStyle name="Normal 10 2 2 3 2 2 2 2 2" xfId="33941" xr:uid="{00000000-0005-0000-0000-0000291C0000}"/>
    <cellStyle name="Normal 10 2 2 3 2 2 2 3" xfId="24851" xr:uid="{00000000-0005-0000-0000-00002A1C0000}"/>
    <cellStyle name="Normal 10 2 2 3 2 2 3" xfId="11223" xr:uid="{00000000-0005-0000-0000-00002B1C0000}"/>
    <cellStyle name="Normal 10 2 2 3 2 2 3 2" xfId="29405" xr:uid="{00000000-0005-0000-0000-00002C1C0000}"/>
    <cellStyle name="Normal 10 2 2 3 2 2 4" xfId="20315" xr:uid="{00000000-0005-0000-0000-00002D1C0000}"/>
    <cellStyle name="Normal 10 2 2 3 2 3" xfId="3571" xr:uid="{00000000-0005-0000-0000-00002E1C0000}"/>
    <cellStyle name="Normal 10 2 2 3 2 3 2" xfId="8127" xr:uid="{00000000-0005-0000-0000-00002F1C0000}"/>
    <cellStyle name="Normal 10 2 2 3 2 3 2 2" xfId="17223" xr:uid="{00000000-0005-0000-0000-0000301C0000}"/>
    <cellStyle name="Normal 10 2 2 3 2 3 2 2 2" xfId="35405" xr:uid="{00000000-0005-0000-0000-0000311C0000}"/>
    <cellStyle name="Normal 10 2 2 3 2 3 2 3" xfId="26315" xr:uid="{00000000-0005-0000-0000-0000321C0000}"/>
    <cellStyle name="Normal 10 2 2 3 2 3 3" xfId="12683" xr:uid="{00000000-0005-0000-0000-0000331C0000}"/>
    <cellStyle name="Normal 10 2 2 3 2 3 3 2" xfId="30865" xr:uid="{00000000-0005-0000-0000-0000341C0000}"/>
    <cellStyle name="Normal 10 2 2 3 2 3 4" xfId="21775" xr:uid="{00000000-0005-0000-0000-0000351C0000}"/>
    <cellStyle name="Normal 10 2 2 3 2 4" xfId="5210" xr:uid="{00000000-0005-0000-0000-0000361C0000}"/>
    <cellStyle name="Normal 10 2 2 3 2 4 2" xfId="14310" xr:uid="{00000000-0005-0000-0000-0000371C0000}"/>
    <cellStyle name="Normal 10 2 2 3 2 4 2 2" xfId="32492" xr:uid="{00000000-0005-0000-0000-0000381C0000}"/>
    <cellStyle name="Normal 10 2 2 3 2 4 3" xfId="23402" xr:uid="{00000000-0005-0000-0000-0000391C0000}"/>
    <cellStyle name="Normal 10 2 2 3 2 5" xfId="9776" xr:uid="{00000000-0005-0000-0000-00003A1C0000}"/>
    <cellStyle name="Normal 10 2 2 3 2 5 2" xfId="27958" xr:uid="{00000000-0005-0000-0000-00003B1C0000}"/>
    <cellStyle name="Normal 10 2 2 3 2 6" xfId="18867" xr:uid="{00000000-0005-0000-0000-00003C1C0000}"/>
    <cellStyle name="Normal 10 2 2 3 3" xfId="2074" xr:uid="{00000000-0005-0000-0000-00003D1C0000}"/>
    <cellStyle name="Normal 10 2 2 3 3 2" xfId="6660" xr:uid="{00000000-0005-0000-0000-00003E1C0000}"/>
    <cellStyle name="Normal 10 2 2 3 3 2 2" xfId="15760" xr:uid="{00000000-0005-0000-0000-00003F1C0000}"/>
    <cellStyle name="Normal 10 2 2 3 3 2 2 2" xfId="33942" xr:uid="{00000000-0005-0000-0000-0000401C0000}"/>
    <cellStyle name="Normal 10 2 2 3 3 2 3" xfId="24852" xr:uid="{00000000-0005-0000-0000-0000411C0000}"/>
    <cellStyle name="Normal 10 2 2 3 3 3" xfId="11224" xr:uid="{00000000-0005-0000-0000-0000421C0000}"/>
    <cellStyle name="Normal 10 2 2 3 3 3 2" xfId="29406" xr:uid="{00000000-0005-0000-0000-0000431C0000}"/>
    <cellStyle name="Normal 10 2 2 3 3 4" xfId="20316" xr:uid="{00000000-0005-0000-0000-0000441C0000}"/>
    <cellStyle name="Normal 10 2 2 3 4" xfId="3570" xr:uid="{00000000-0005-0000-0000-0000451C0000}"/>
    <cellStyle name="Normal 10 2 2 3 4 2" xfId="8126" xr:uid="{00000000-0005-0000-0000-0000461C0000}"/>
    <cellStyle name="Normal 10 2 2 3 4 2 2" xfId="17222" xr:uid="{00000000-0005-0000-0000-0000471C0000}"/>
    <cellStyle name="Normal 10 2 2 3 4 2 2 2" xfId="35404" xr:uid="{00000000-0005-0000-0000-0000481C0000}"/>
    <cellStyle name="Normal 10 2 2 3 4 2 3" xfId="26314" xr:uid="{00000000-0005-0000-0000-0000491C0000}"/>
    <cellStyle name="Normal 10 2 2 3 4 3" xfId="12682" xr:uid="{00000000-0005-0000-0000-00004A1C0000}"/>
    <cellStyle name="Normal 10 2 2 3 4 3 2" xfId="30864" xr:uid="{00000000-0005-0000-0000-00004B1C0000}"/>
    <cellStyle name="Normal 10 2 2 3 4 4" xfId="21774" xr:uid="{00000000-0005-0000-0000-00004C1C0000}"/>
    <cellStyle name="Normal 10 2 2 3 5" xfId="5209" xr:uid="{00000000-0005-0000-0000-00004D1C0000}"/>
    <cellStyle name="Normal 10 2 2 3 5 2" xfId="14309" xr:uid="{00000000-0005-0000-0000-00004E1C0000}"/>
    <cellStyle name="Normal 10 2 2 3 5 2 2" xfId="32491" xr:uid="{00000000-0005-0000-0000-00004F1C0000}"/>
    <cellStyle name="Normal 10 2 2 3 5 3" xfId="23401" xr:uid="{00000000-0005-0000-0000-0000501C0000}"/>
    <cellStyle name="Normal 10 2 2 3 6" xfId="9775" xr:uid="{00000000-0005-0000-0000-0000511C0000}"/>
    <cellStyle name="Normal 10 2 2 3 6 2" xfId="27957" xr:uid="{00000000-0005-0000-0000-0000521C0000}"/>
    <cellStyle name="Normal 10 2 2 3 7" xfId="18866" xr:uid="{00000000-0005-0000-0000-0000531C0000}"/>
    <cellStyle name="Normal 10 2 2 4" xfId="562" xr:uid="{00000000-0005-0000-0000-0000541C0000}"/>
    <cellStyle name="Normal 10 2 2 4 2" xfId="2075" xr:uid="{00000000-0005-0000-0000-0000551C0000}"/>
    <cellStyle name="Normal 10 2 2 4 2 2" xfId="6661" xr:uid="{00000000-0005-0000-0000-0000561C0000}"/>
    <cellStyle name="Normal 10 2 2 4 2 2 2" xfId="15761" xr:uid="{00000000-0005-0000-0000-0000571C0000}"/>
    <cellStyle name="Normal 10 2 2 4 2 2 2 2" xfId="33943" xr:uid="{00000000-0005-0000-0000-0000581C0000}"/>
    <cellStyle name="Normal 10 2 2 4 2 2 3" xfId="24853" xr:uid="{00000000-0005-0000-0000-0000591C0000}"/>
    <cellStyle name="Normal 10 2 2 4 2 3" xfId="11225" xr:uid="{00000000-0005-0000-0000-00005A1C0000}"/>
    <cellStyle name="Normal 10 2 2 4 2 3 2" xfId="29407" xr:uid="{00000000-0005-0000-0000-00005B1C0000}"/>
    <cellStyle name="Normal 10 2 2 4 2 4" xfId="20317" xr:uid="{00000000-0005-0000-0000-00005C1C0000}"/>
    <cellStyle name="Normal 10 2 2 4 3" xfId="3572" xr:uid="{00000000-0005-0000-0000-00005D1C0000}"/>
    <cellStyle name="Normal 10 2 2 4 3 2" xfId="8128" xr:uid="{00000000-0005-0000-0000-00005E1C0000}"/>
    <cellStyle name="Normal 10 2 2 4 3 2 2" xfId="17224" xr:uid="{00000000-0005-0000-0000-00005F1C0000}"/>
    <cellStyle name="Normal 10 2 2 4 3 2 2 2" xfId="35406" xr:uid="{00000000-0005-0000-0000-0000601C0000}"/>
    <cellStyle name="Normal 10 2 2 4 3 2 3" xfId="26316" xr:uid="{00000000-0005-0000-0000-0000611C0000}"/>
    <cellStyle name="Normal 10 2 2 4 3 3" xfId="12684" xr:uid="{00000000-0005-0000-0000-0000621C0000}"/>
    <cellStyle name="Normal 10 2 2 4 3 3 2" xfId="30866" xr:uid="{00000000-0005-0000-0000-0000631C0000}"/>
    <cellStyle name="Normal 10 2 2 4 3 4" xfId="21776" xr:uid="{00000000-0005-0000-0000-0000641C0000}"/>
    <cellStyle name="Normal 10 2 2 4 4" xfId="5211" xr:uid="{00000000-0005-0000-0000-0000651C0000}"/>
    <cellStyle name="Normal 10 2 2 4 4 2" xfId="14311" xr:uid="{00000000-0005-0000-0000-0000661C0000}"/>
    <cellStyle name="Normal 10 2 2 4 4 2 2" xfId="32493" xr:uid="{00000000-0005-0000-0000-0000671C0000}"/>
    <cellStyle name="Normal 10 2 2 4 4 3" xfId="23403" xr:uid="{00000000-0005-0000-0000-0000681C0000}"/>
    <cellStyle name="Normal 10 2 2 4 5" xfId="9777" xr:uid="{00000000-0005-0000-0000-0000691C0000}"/>
    <cellStyle name="Normal 10 2 2 4 5 2" xfId="27959" xr:uid="{00000000-0005-0000-0000-00006A1C0000}"/>
    <cellStyle name="Normal 10 2 2 4 6" xfId="18868" xr:uid="{00000000-0005-0000-0000-00006B1C0000}"/>
    <cellStyle name="Normal 10 2 2 5" xfId="563" xr:uid="{00000000-0005-0000-0000-00006C1C0000}"/>
    <cellStyle name="Normal 10 2 2 5 2" xfId="3573" xr:uid="{00000000-0005-0000-0000-00006D1C0000}"/>
    <cellStyle name="Normal 10 2 2 5 2 2" xfId="8129" xr:uid="{00000000-0005-0000-0000-00006E1C0000}"/>
    <cellStyle name="Normal 10 2 2 5 2 2 2" xfId="17225" xr:uid="{00000000-0005-0000-0000-00006F1C0000}"/>
    <cellStyle name="Normal 10 2 2 5 2 2 2 2" xfId="35407" xr:uid="{00000000-0005-0000-0000-0000701C0000}"/>
    <cellStyle name="Normal 10 2 2 5 2 2 3" xfId="26317" xr:uid="{00000000-0005-0000-0000-0000711C0000}"/>
    <cellStyle name="Normal 10 2 2 5 2 3" xfId="12685" xr:uid="{00000000-0005-0000-0000-0000721C0000}"/>
    <cellStyle name="Normal 10 2 2 5 2 3 2" xfId="30867" xr:uid="{00000000-0005-0000-0000-0000731C0000}"/>
    <cellStyle name="Normal 10 2 2 5 2 4" xfId="21777" xr:uid="{00000000-0005-0000-0000-0000741C0000}"/>
    <cellStyle name="Normal 10 2 2 5 3" xfId="5212" xr:uid="{00000000-0005-0000-0000-0000751C0000}"/>
    <cellStyle name="Normal 10 2 2 5 3 2" xfId="14312" xr:uid="{00000000-0005-0000-0000-0000761C0000}"/>
    <cellStyle name="Normal 10 2 2 5 3 2 2" xfId="32494" xr:uid="{00000000-0005-0000-0000-0000771C0000}"/>
    <cellStyle name="Normal 10 2 2 5 3 3" xfId="23404" xr:uid="{00000000-0005-0000-0000-0000781C0000}"/>
    <cellStyle name="Normal 10 2 2 5 4" xfId="9778" xr:uid="{00000000-0005-0000-0000-0000791C0000}"/>
    <cellStyle name="Normal 10 2 2 5 4 2" xfId="27960" xr:uid="{00000000-0005-0000-0000-00007A1C0000}"/>
    <cellStyle name="Normal 10 2 2 5 5" xfId="18869" xr:uid="{00000000-0005-0000-0000-00007B1C0000}"/>
    <cellStyle name="Normal 10 2 2 6" xfId="2076" xr:uid="{00000000-0005-0000-0000-00007C1C0000}"/>
    <cellStyle name="Normal 10 2 2 6 2" xfId="6662" xr:uid="{00000000-0005-0000-0000-00007D1C0000}"/>
    <cellStyle name="Normal 10 2 2 6 2 2" xfId="15762" xr:uid="{00000000-0005-0000-0000-00007E1C0000}"/>
    <cellStyle name="Normal 10 2 2 6 2 2 2" xfId="33944" xr:uid="{00000000-0005-0000-0000-00007F1C0000}"/>
    <cellStyle name="Normal 10 2 2 6 2 3" xfId="24854" xr:uid="{00000000-0005-0000-0000-0000801C0000}"/>
    <cellStyle name="Normal 10 2 2 6 3" xfId="11226" xr:uid="{00000000-0005-0000-0000-0000811C0000}"/>
    <cellStyle name="Normal 10 2 2 6 3 2" xfId="29408" xr:uid="{00000000-0005-0000-0000-0000821C0000}"/>
    <cellStyle name="Normal 10 2 2 6 4" xfId="20318" xr:uid="{00000000-0005-0000-0000-0000831C0000}"/>
    <cellStyle name="Normal 10 2 2 7" xfId="3564" xr:uid="{00000000-0005-0000-0000-0000841C0000}"/>
    <cellStyle name="Normal 10 2 2 7 2" xfId="8120" xr:uid="{00000000-0005-0000-0000-0000851C0000}"/>
    <cellStyle name="Normal 10 2 2 7 2 2" xfId="17216" xr:uid="{00000000-0005-0000-0000-0000861C0000}"/>
    <cellStyle name="Normal 10 2 2 7 2 2 2" xfId="35398" xr:uid="{00000000-0005-0000-0000-0000871C0000}"/>
    <cellStyle name="Normal 10 2 2 7 2 3" xfId="26308" xr:uid="{00000000-0005-0000-0000-0000881C0000}"/>
    <cellStyle name="Normal 10 2 2 7 3" xfId="12676" xr:uid="{00000000-0005-0000-0000-0000891C0000}"/>
    <cellStyle name="Normal 10 2 2 7 3 2" xfId="30858" xr:uid="{00000000-0005-0000-0000-00008A1C0000}"/>
    <cellStyle name="Normal 10 2 2 7 4" xfId="21768" xr:uid="{00000000-0005-0000-0000-00008B1C0000}"/>
    <cellStyle name="Normal 10 2 2 8" xfId="5203" xr:uid="{00000000-0005-0000-0000-00008C1C0000}"/>
    <cellStyle name="Normal 10 2 2 8 2" xfId="14303" xr:uid="{00000000-0005-0000-0000-00008D1C0000}"/>
    <cellStyle name="Normal 10 2 2 8 2 2" xfId="32485" xr:uid="{00000000-0005-0000-0000-00008E1C0000}"/>
    <cellStyle name="Normal 10 2 2 8 3" xfId="23395" xr:uid="{00000000-0005-0000-0000-00008F1C0000}"/>
    <cellStyle name="Normal 10 2 2 9" xfId="9769" xr:uid="{00000000-0005-0000-0000-0000901C0000}"/>
    <cellStyle name="Normal 10 2 2 9 2" xfId="27951" xr:uid="{00000000-0005-0000-0000-0000911C0000}"/>
    <cellStyle name="Normal 10 2 3" xfId="564" xr:uid="{00000000-0005-0000-0000-0000921C0000}"/>
    <cellStyle name="Normal 10 2 3 2" xfId="565" xr:uid="{00000000-0005-0000-0000-0000931C0000}"/>
    <cellStyle name="Normal 10 2 3 2 2" xfId="566" xr:uid="{00000000-0005-0000-0000-0000941C0000}"/>
    <cellStyle name="Normal 10 2 3 2 2 2" xfId="2077" xr:uid="{00000000-0005-0000-0000-0000951C0000}"/>
    <cellStyle name="Normal 10 2 3 2 2 2 2" xfId="6663" xr:uid="{00000000-0005-0000-0000-0000961C0000}"/>
    <cellStyle name="Normal 10 2 3 2 2 2 2 2" xfId="15763" xr:uid="{00000000-0005-0000-0000-0000971C0000}"/>
    <cellStyle name="Normal 10 2 3 2 2 2 2 2 2" xfId="33945" xr:uid="{00000000-0005-0000-0000-0000981C0000}"/>
    <cellStyle name="Normal 10 2 3 2 2 2 2 3" xfId="24855" xr:uid="{00000000-0005-0000-0000-0000991C0000}"/>
    <cellStyle name="Normal 10 2 3 2 2 2 3" xfId="11227" xr:uid="{00000000-0005-0000-0000-00009A1C0000}"/>
    <cellStyle name="Normal 10 2 3 2 2 2 3 2" xfId="29409" xr:uid="{00000000-0005-0000-0000-00009B1C0000}"/>
    <cellStyle name="Normal 10 2 3 2 2 2 4" xfId="20319" xr:uid="{00000000-0005-0000-0000-00009C1C0000}"/>
    <cellStyle name="Normal 10 2 3 2 2 3" xfId="3576" xr:uid="{00000000-0005-0000-0000-00009D1C0000}"/>
    <cellStyle name="Normal 10 2 3 2 2 3 2" xfId="8132" xr:uid="{00000000-0005-0000-0000-00009E1C0000}"/>
    <cellStyle name="Normal 10 2 3 2 2 3 2 2" xfId="17228" xr:uid="{00000000-0005-0000-0000-00009F1C0000}"/>
    <cellStyle name="Normal 10 2 3 2 2 3 2 2 2" xfId="35410" xr:uid="{00000000-0005-0000-0000-0000A01C0000}"/>
    <cellStyle name="Normal 10 2 3 2 2 3 2 3" xfId="26320" xr:uid="{00000000-0005-0000-0000-0000A11C0000}"/>
    <cellStyle name="Normal 10 2 3 2 2 3 3" xfId="12688" xr:uid="{00000000-0005-0000-0000-0000A21C0000}"/>
    <cellStyle name="Normal 10 2 3 2 2 3 3 2" xfId="30870" xr:uid="{00000000-0005-0000-0000-0000A31C0000}"/>
    <cellStyle name="Normal 10 2 3 2 2 3 4" xfId="21780" xr:uid="{00000000-0005-0000-0000-0000A41C0000}"/>
    <cellStyle name="Normal 10 2 3 2 2 4" xfId="5215" xr:uid="{00000000-0005-0000-0000-0000A51C0000}"/>
    <cellStyle name="Normal 10 2 3 2 2 4 2" xfId="14315" xr:uid="{00000000-0005-0000-0000-0000A61C0000}"/>
    <cellStyle name="Normal 10 2 3 2 2 4 2 2" xfId="32497" xr:uid="{00000000-0005-0000-0000-0000A71C0000}"/>
    <cellStyle name="Normal 10 2 3 2 2 4 3" xfId="23407" xr:uid="{00000000-0005-0000-0000-0000A81C0000}"/>
    <cellStyle name="Normal 10 2 3 2 2 5" xfId="9781" xr:uid="{00000000-0005-0000-0000-0000A91C0000}"/>
    <cellStyle name="Normal 10 2 3 2 2 5 2" xfId="27963" xr:uid="{00000000-0005-0000-0000-0000AA1C0000}"/>
    <cellStyle name="Normal 10 2 3 2 2 6" xfId="18872" xr:uid="{00000000-0005-0000-0000-0000AB1C0000}"/>
    <cellStyle name="Normal 10 2 3 2 3" xfId="2078" xr:uid="{00000000-0005-0000-0000-0000AC1C0000}"/>
    <cellStyle name="Normal 10 2 3 2 3 2" xfId="6664" xr:uid="{00000000-0005-0000-0000-0000AD1C0000}"/>
    <cellStyle name="Normal 10 2 3 2 3 2 2" xfId="15764" xr:uid="{00000000-0005-0000-0000-0000AE1C0000}"/>
    <cellStyle name="Normal 10 2 3 2 3 2 2 2" xfId="33946" xr:uid="{00000000-0005-0000-0000-0000AF1C0000}"/>
    <cellStyle name="Normal 10 2 3 2 3 2 3" xfId="24856" xr:uid="{00000000-0005-0000-0000-0000B01C0000}"/>
    <cellStyle name="Normal 10 2 3 2 3 3" xfId="11228" xr:uid="{00000000-0005-0000-0000-0000B11C0000}"/>
    <cellStyle name="Normal 10 2 3 2 3 3 2" xfId="29410" xr:uid="{00000000-0005-0000-0000-0000B21C0000}"/>
    <cellStyle name="Normal 10 2 3 2 3 4" xfId="20320" xr:uid="{00000000-0005-0000-0000-0000B31C0000}"/>
    <cellStyle name="Normal 10 2 3 2 4" xfId="3575" xr:uid="{00000000-0005-0000-0000-0000B41C0000}"/>
    <cellStyle name="Normal 10 2 3 2 4 2" xfId="8131" xr:uid="{00000000-0005-0000-0000-0000B51C0000}"/>
    <cellStyle name="Normal 10 2 3 2 4 2 2" xfId="17227" xr:uid="{00000000-0005-0000-0000-0000B61C0000}"/>
    <cellStyle name="Normal 10 2 3 2 4 2 2 2" xfId="35409" xr:uid="{00000000-0005-0000-0000-0000B71C0000}"/>
    <cellStyle name="Normal 10 2 3 2 4 2 3" xfId="26319" xr:uid="{00000000-0005-0000-0000-0000B81C0000}"/>
    <cellStyle name="Normal 10 2 3 2 4 3" xfId="12687" xr:uid="{00000000-0005-0000-0000-0000B91C0000}"/>
    <cellStyle name="Normal 10 2 3 2 4 3 2" xfId="30869" xr:uid="{00000000-0005-0000-0000-0000BA1C0000}"/>
    <cellStyle name="Normal 10 2 3 2 4 4" xfId="21779" xr:uid="{00000000-0005-0000-0000-0000BB1C0000}"/>
    <cellStyle name="Normal 10 2 3 2 5" xfId="5214" xr:uid="{00000000-0005-0000-0000-0000BC1C0000}"/>
    <cellStyle name="Normal 10 2 3 2 5 2" xfId="14314" xr:uid="{00000000-0005-0000-0000-0000BD1C0000}"/>
    <cellStyle name="Normal 10 2 3 2 5 2 2" xfId="32496" xr:uid="{00000000-0005-0000-0000-0000BE1C0000}"/>
    <cellStyle name="Normal 10 2 3 2 5 3" xfId="23406" xr:uid="{00000000-0005-0000-0000-0000BF1C0000}"/>
    <cellStyle name="Normal 10 2 3 2 6" xfId="9780" xr:uid="{00000000-0005-0000-0000-0000C01C0000}"/>
    <cellStyle name="Normal 10 2 3 2 6 2" xfId="27962" xr:uid="{00000000-0005-0000-0000-0000C11C0000}"/>
    <cellStyle name="Normal 10 2 3 2 7" xfId="18871" xr:uid="{00000000-0005-0000-0000-0000C21C0000}"/>
    <cellStyle name="Normal 10 2 3 3" xfId="567" xr:uid="{00000000-0005-0000-0000-0000C31C0000}"/>
    <cellStyle name="Normal 10 2 3 3 2" xfId="2079" xr:uid="{00000000-0005-0000-0000-0000C41C0000}"/>
    <cellStyle name="Normal 10 2 3 3 2 2" xfId="6665" xr:uid="{00000000-0005-0000-0000-0000C51C0000}"/>
    <cellStyle name="Normal 10 2 3 3 2 2 2" xfId="15765" xr:uid="{00000000-0005-0000-0000-0000C61C0000}"/>
    <cellStyle name="Normal 10 2 3 3 2 2 2 2" xfId="33947" xr:uid="{00000000-0005-0000-0000-0000C71C0000}"/>
    <cellStyle name="Normal 10 2 3 3 2 2 3" xfId="24857" xr:uid="{00000000-0005-0000-0000-0000C81C0000}"/>
    <cellStyle name="Normal 10 2 3 3 2 3" xfId="11229" xr:uid="{00000000-0005-0000-0000-0000C91C0000}"/>
    <cellStyle name="Normal 10 2 3 3 2 3 2" xfId="29411" xr:uid="{00000000-0005-0000-0000-0000CA1C0000}"/>
    <cellStyle name="Normal 10 2 3 3 2 4" xfId="20321" xr:uid="{00000000-0005-0000-0000-0000CB1C0000}"/>
    <cellStyle name="Normal 10 2 3 3 3" xfId="3577" xr:uid="{00000000-0005-0000-0000-0000CC1C0000}"/>
    <cellStyle name="Normal 10 2 3 3 3 2" xfId="8133" xr:uid="{00000000-0005-0000-0000-0000CD1C0000}"/>
    <cellStyle name="Normal 10 2 3 3 3 2 2" xfId="17229" xr:uid="{00000000-0005-0000-0000-0000CE1C0000}"/>
    <cellStyle name="Normal 10 2 3 3 3 2 2 2" xfId="35411" xr:uid="{00000000-0005-0000-0000-0000CF1C0000}"/>
    <cellStyle name="Normal 10 2 3 3 3 2 3" xfId="26321" xr:uid="{00000000-0005-0000-0000-0000D01C0000}"/>
    <cellStyle name="Normal 10 2 3 3 3 3" xfId="12689" xr:uid="{00000000-0005-0000-0000-0000D11C0000}"/>
    <cellStyle name="Normal 10 2 3 3 3 3 2" xfId="30871" xr:uid="{00000000-0005-0000-0000-0000D21C0000}"/>
    <cellStyle name="Normal 10 2 3 3 3 4" xfId="21781" xr:uid="{00000000-0005-0000-0000-0000D31C0000}"/>
    <cellStyle name="Normal 10 2 3 3 4" xfId="5216" xr:uid="{00000000-0005-0000-0000-0000D41C0000}"/>
    <cellStyle name="Normal 10 2 3 3 4 2" xfId="14316" xr:uid="{00000000-0005-0000-0000-0000D51C0000}"/>
    <cellStyle name="Normal 10 2 3 3 4 2 2" xfId="32498" xr:uid="{00000000-0005-0000-0000-0000D61C0000}"/>
    <cellStyle name="Normal 10 2 3 3 4 3" xfId="23408" xr:uid="{00000000-0005-0000-0000-0000D71C0000}"/>
    <cellStyle name="Normal 10 2 3 3 5" xfId="9782" xr:uid="{00000000-0005-0000-0000-0000D81C0000}"/>
    <cellStyle name="Normal 10 2 3 3 5 2" xfId="27964" xr:uid="{00000000-0005-0000-0000-0000D91C0000}"/>
    <cellStyle name="Normal 10 2 3 3 6" xfId="18873" xr:uid="{00000000-0005-0000-0000-0000DA1C0000}"/>
    <cellStyle name="Normal 10 2 3 4" xfId="568" xr:uid="{00000000-0005-0000-0000-0000DB1C0000}"/>
    <cellStyle name="Normal 10 2 3 4 2" xfId="3578" xr:uid="{00000000-0005-0000-0000-0000DC1C0000}"/>
    <cellStyle name="Normal 10 2 3 4 2 2" xfId="8134" xr:uid="{00000000-0005-0000-0000-0000DD1C0000}"/>
    <cellStyle name="Normal 10 2 3 4 2 2 2" xfId="17230" xr:uid="{00000000-0005-0000-0000-0000DE1C0000}"/>
    <cellStyle name="Normal 10 2 3 4 2 2 2 2" xfId="35412" xr:uid="{00000000-0005-0000-0000-0000DF1C0000}"/>
    <cellStyle name="Normal 10 2 3 4 2 2 3" xfId="26322" xr:uid="{00000000-0005-0000-0000-0000E01C0000}"/>
    <cellStyle name="Normal 10 2 3 4 2 3" xfId="12690" xr:uid="{00000000-0005-0000-0000-0000E11C0000}"/>
    <cellStyle name="Normal 10 2 3 4 2 3 2" xfId="30872" xr:uid="{00000000-0005-0000-0000-0000E21C0000}"/>
    <cellStyle name="Normal 10 2 3 4 2 4" xfId="21782" xr:uid="{00000000-0005-0000-0000-0000E31C0000}"/>
    <cellStyle name="Normal 10 2 3 4 3" xfId="5217" xr:uid="{00000000-0005-0000-0000-0000E41C0000}"/>
    <cellStyle name="Normal 10 2 3 4 3 2" xfId="14317" xr:uid="{00000000-0005-0000-0000-0000E51C0000}"/>
    <cellStyle name="Normal 10 2 3 4 3 2 2" xfId="32499" xr:uid="{00000000-0005-0000-0000-0000E61C0000}"/>
    <cellStyle name="Normal 10 2 3 4 3 3" xfId="23409" xr:uid="{00000000-0005-0000-0000-0000E71C0000}"/>
    <cellStyle name="Normal 10 2 3 4 4" xfId="9783" xr:uid="{00000000-0005-0000-0000-0000E81C0000}"/>
    <cellStyle name="Normal 10 2 3 4 4 2" xfId="27965" xr:uid="{00000000-0005-0000-0000-0000E91C0000}"/>
    <cellStyle name="Normal 10 2 3 4 5" xfId="18874" xr:uid="{00000000-0005-0000-0000-0000EA1C0000}"/>
    <cellStyle name="Normal 10 2 3 5" xfId="2080" xr:uid="{00000000-0005-0000-0000-0000EB1C0000}"/>
    <cellStyle name="Normal 10 2 3 5 2" xfId="6666" xr:uid="{00000000-0005-0000-0000-0000EC1C0000}"/>
    <cellStyle name="Normal 10 2 3 5 2 2" xfId="15766" xr:uid="{00000000-0005-0000-0000-0000ED1C0000}"/>
    <cellStyle name="Normal 10 2 3 5 2 2 2" xfId="33948" xr:uid="{00000000-0005-0000-0000-0000EE1C0000}"/>
    <cellStyle name="Normal 10 2 3 5 2 3" xfId="24858" xr:uid="{00000000-0005-0000-0000-0000EF1C0000}"/>
    <cellStyle name="Normal 10 2 3 5 3" xfId="11230" xr:uid="{00000000-0005-0000-0000-0000F01C0000}"/>
    <cellStyle name="Normal 10 2 3 5 3 2" xfId="29412" xr:uid="{00000000-0005-0000-0000-0000F11C0000}"/>
    <cellStyle name="Normal 10 2 3 5 4" xfId="20322" xr:uid="{00000000-0005-0000-0000-0000F21C0000}"/>
    <cellStyle name="Normal 10 2 3 6" xfId="3574" xr:uid="{00000000-0005-0000-0000-0000F31C0000}"/>
    <cellStyle name="Normal 10 2 3 6 2" xfId="8130" xr:uid="{00000000-0005-0000-0000-0000F41C0000}"/>
    <cellStyle name="Normal 10 2 3 6 2 2" xfId="17226" xr:uid="{00000000-0005-0000-0000-0000F51C0000}"/>
    <cellStyle name="Normal 10 2 3 6 2 2 2" xfId="35408" xr:uid="{00000000-0005-0000-0000-0000F61C0000}"/>
    <cellStyle name="Normal 10 2 3 6 2 3" xfId="26318" xr:uid="{00000000-0005-0000-0000-0000F71C0000}"/>
    <cellStyle name="Normal 10 2 3 6 3" xfId="12686" xr:uid="{00000000-0005-0000-0000-0000F81C0000}"/>
    <cellStyle name="Normal 10 2 3 6 3 2" xfId="30868" xr:uid="{00000000-0005-0000-0000-0000F91C0000}"/>
    <cellStyle name="Normal 10 2 3 6 4" xfId="21778" xr:uid="{00000000-0005-0000-0000-0000FA1C0000}"/>
    <cellStyle name="Normal 10 2 3 7" xfId="5213" xr:uid="{00000000-0005-0000-0000-0000FB1C0000}"/>
    <cellStyle name="Normal 10 2 3 7 2" xfId="14313" xr:uid="{00000000-0005-0000-0000-0000FC1C0000}"/>
    <cellStyle name="Normal 10 2 3 7 2 2" xfId="32495" xr:uid="{00000000-0005-0000-0000-0000FD1C0000}"/>
    <cellStyle name="Normal 10 2 3 7 3" xfId="23405" xr:uid="{00000000-0005-0000-0000-0000FE1C0000}"/>
    <cellStyle name="Normal 10 2 3 8" xfId="9779" xr:uid="{00000000-0005-0000-0000-0000FF1C0000}"/>
    <cellStyle name="Normal 10 2 3 8 2" xfId="27961" xr:uid="{00000000-0005-0000-0000-0000001D0000}"/>
    <cellStyle name="Normal 10 2 3 9" xfId="18870" xr:uid="{00000000-0005-0000-0000-0000011D0000}"/>
    <cellStyle name="Normal 10 2 4" xfId="569" xr:uid="{00000000-0005-0000-0000-0000021D0000}"/>
    <cellStyle name="Normal 10 2 4 2" xfId="570" xr:uid="{00000000-0005-0000-0000-0000031D0000}"/>
    <cellStyle name="Normal 10 2 4 2 2" xfId="2081" xr:uid="{00000000-0005-0000-0000-0000041D0000}"/>
    <cellStyle name="Normal 10 2 4 2 2 2" xfId="6667" xr:uid="{00000000-0005-0000-0000-0000051D0000}"/>
    <cellStyle name="Normal 10 2 4 2 2 2 2" xfId="15767" xr:uid="{00000000-0005-0000-0000-0000061D0000}"/>
    <cellStyle name="Normal 10 2 4 2 2 2 2 2" xfId="33949" xr:uid="{00000000-0005-0000-0000-0000071D0000}"/>
    <cellStyle name="Normal 10 2 4 2 2 2 3" xfId="24859" xr:uid="{00000000-0005-0000-0000-0000081D0000}"/>
    <cellStyle name="Normal 10 2 4 2 2 3" xfId="11231" xr:uid="{00000000-0005-0000-0000-0000091D0000}"/>
    <cellStyle name="Normal 10 2 4 2 2 3 2" xfId="29413" xr:uid="{00000000-0005-0000-0000-00000A1D0000}"/>
    <cellStyle name="Normal 10 2 4 2 2 4" xfId="20323" xr:uid="{00000000-0005-0000-0000-00000B1D0000}"/>
    <cellStyle name="Normal 10 2 4 2 3" xfId="3580" xr:uid="{00000000-0005-0000-0000-00000C1D0000}"/>
    <cellStyle name="Normal 10 2 4 2 3 2" xfId="8136" xr:uid="{00000000-0005-0000-0000-00000D1D0000}"/>
    <cellStyle name="Normal 10 2 4 2 3 2 2" xfId="17232" xr:uid="{00000000-0005-0000-0000-00000E1D0000}"/>
    <cellStyle name="Normal 10 2 4 2 3 2 2 2" xfId="35414" xr:uid="{00000000-0005-0000-0000-00000F1D0000}"/>
    <cellStyle name="Normal 10 2 4 2 3 2 3" xfId="26324" xr:uid="{00000000-0005-0000-0000-0000101D0000}"/>
    <cellStyle name="Normal 10 2 4 2 3 3" xfId="12692" xr:uid="{00000000-0005-0000-0000-0000111D0000}"/>
    <cellStyle name="Normal 10 2 4 2 3 3 2" xfId="30874" xr:uid="{00000000-0005-0000-0000-0000121D0000}"/>
    <cellStyle name="Normal 10 2 4 2 3 4" xfId="21784" xr:uid="{00000000-0005-0000-0000-0000131D0000}"/>
    <cellStyle name="Normal 10 2 4 2 4" xfId="5219" xr:uid="{00000000-0005-0000-0000-0000141D0000}"/>
    <cellStyle name="Normal 10 2 4 2 4 2" xfId="14319" xr:uid="{00000000-0005-0000-0000-0000151D0000}"/>
    <cellStyle name="Normal 10 2 4 2 4 2 2" xfId="32501" xr:uid="{00000000-0005-0000-0000-0000161D0000}"/>
    <cellStyle name="Normal 10 2 4 2 4 3" xfId="23411" xr:uid="{00000000-0005-0000-0000-0000171D0000}"/>
    <cellStyle name="Normal 10 2 4 2 5" xfId="9785" xr:uid="{00000000-0005-0000-0000-0000181D0000}"/>
    <cellStyle name="Normal 10 2 4 2 5 2" xfId="27967" xr:uid="{00000000-0005-0000-0000-0000191D0000}"/>
    <cellStyle name="Normal 10 2 4 2 6" xfId="18876" xr:uid="{00000000-0005-0000-0000-00001A1D0000}"/>
    <cellStyle name="Normal 10 2 4 3" xfId="2082" xr:uid="{00000000-0005-0000-0000-00001B1D0000}"/>
    <cellStyle name="Normal 10 2 4 3 2" xfId="6668" xr:uid="{00000000-0005-0000-0000-00001C1D0000}"/>
    <cellStyle name="Normal 10 2 4 3 2 2" xfId="15768" xr:uid="{00000000-0005-0000-0000-00001D1D0000}"/>
    <cellStyle name="Normal 10 2 4 3 2 2 2" xfId="33950" xr:uid="{00000000-0005-0000-0000-00001E1D0000}"/>
    <cellStyle name="Normal 10 2 4 3 2 3" xfId="24860" xr:uid="{00000000-0005-0000-0000-00001F1D0000}"/>
    <cellStyle name="Normal 10 2 4 3 3" xfId="11232" xr:uid="{00000000-0005-0000-0000-0000201D0000}"/>
    <cellStyle name="Normal 10 2 4 3 3 2" xfId="29414" xr:uid="{00000000-0005-0000-0000-0000211D0000}"/>
    <cellStyle name="Normal 10 2 4 3 4" xfId="20324" xr:uid="{00000000-0005-0000-0000-0000221D0000}"/>
    <cellStyle name="Normal 10 2 4 4" xfId="3579" xr:uid="{00000000-0005-0000-0000-0000231D0000}"/>
    <cellStyle name="Normal 10 2 4 4 2" xfId="8135" xr:uid="{00000000-0005-0000-0000-0000241D0000}"/>
    <cellStyle name="Normal 10 2 4 4 2 2" xfId="17231" xr:uid="{00000000-0005-0000-0000-0000251D0000}"/>
    <cellStyle name="Normal 10 2 4 4 2 2 2" xfId="35413" xr:uid="{00000000-0005-0000-0000-0000261D0000}"/>
    <cellStyle name="Normal 10 2 4 4 2 3" xfId="26323" xr:uid="{00000000-0005-0000-0000-0000271D0000}"/>
    <cellStyle name="Normal 10 2 4 4 3" xfId="12691" xr:uid="{00000000-0005-0000-0000-0000281D0000}"/>
    <cellStyle name="Normal 10 2 4 4 3 2" xfId="30873" xr:uid="{00000000-0005-0000-0000-0000291D0000}"/>
    <cellStyle name="Normal 10 2 4 4 4" xfId="21783" xr:uid="{00000000-0005-0000-0000-00002A1D0000}"/>
    <cellStyle name="Normal 10 2 4 5" xfId="5218" xr:uid="{00000000-0005-0000-0000-00002B1D0000}"/>
    <cellStyle name="Normal 10 2 4 5 2" xfId="14318" xr:uid="{00000000-0005-0000-0000-00002C1D0000}"/>
    <cellStyle name="Normal 10 2 4 5 2 2" xfId="32500" xr:uid="{00000000-0005-0000-0000-00002D1D0000}"/>
    <cellStyle name="Normal 10 2 4 5 3" xfId="23410" xr:uid="{00000000-0005-0000-0000-00002E1D0000}"/>
    <cellStyle name="Normal 10 2 4 6" xfId="9784" xr:uid="{00000000-0005-0000-0000-00002F1D0000}"/>
    <cellStyle name="Normal 10 2 4 6 2" xfId="27966" xr:uid="{00000000-0005-0000-0000-0000301D0000}"/>
    <cellStyle name="Normal 10 2 4 7" xfId="18875" xr:uid="{00000000-0005-0000-0000-0000311D0000}"/>
    <cellStyle name="Normal 10 2 5" xfId="571" xr:uid="{00000000-0005-0000-0000-0000321D0000}"/>
    <cellStyle name="Normal 10 2 5 2" xfId="2083" xr:uid="{00000000-0005-0000-0000-0000331D0000}"/>
    <cellStyle name="Normal 10 2 5 2 2" xfId="6669" xr:uid="{00000000-0005-0000-0000-0000341D0000}"/>
    <cellStyle name="Normal 10 2 5 2 2 2" xfId="15769" xr:uid="{00000000-0005-0000-0000-0000351D0000}"/>
    <cellStyle name="Normal 10 2 5 2 2 2 2" xfId="33951" xr:uid="{00000000-0005-0000-0000-0000361D0000}"/>
    <cellStyle name="Normal 10 2 5 2 2 3" xfId="24861" xr:uid="{00000000-0005-0000-0000-0000371D0000}"/>
    <cellStyle name="Normal 10 2 5 2 3" xfId="11233" xr:uid="{00000000-0005-0000-0000-0000381D0000}"/>
    <cellStyle name="Normal 10 2 5 2 3 2" xfId="29415" xr:uid="{00000000-0005-0000-0000-0000391D0000}"/>
    <cellStyle name="Normal 10 2 5 2 4" xfId="20325" xr:uid="{00000000-0005-0000-0000-00003A1D0000}"/>
    <cellStyle name="Normal 10 2 5 3" xfId="3581" xr:uid="{00000000-0005-0000-0000-00003B1D0000}"/>
    <cellStyle name="Normal 10 2 5 3 2" xfId="8137" xr:uid="{00000000-0005-0000-0000-00003C1D0000}"/>
    <cellStyle name="Normal 10 2 5 3 2 2" xfId="17233" xr:uid="{00000000-0005-0000-0000-00003D1D0000}"/>
    <cellStyle name="Normal 10 2 5 3 2 2 2" xfId="35415" xr:uid="{00000000-0005-0000-0000-00003E1D0000}"/>
    <cellStyle name="Normal 10 2 5 3 2 3" xfId="26325" xr:uid="{00000000-0005-0000-0000-00003F1D0000}"/>
    <cellStyle name="Normal 10 2 5 3 3" xfId="12693" xr:uid="{00000000-0005-0000-0000-0000401D0000}"/>
    <cellStyle name="Normal 10 2 5 3 3 2" xfId="30875" xr:uid="{00000000-0005-0000-0000-0000411D0000}"/>
    <cellStyle name="Normal 10 2 5 3 4" xfId="21785" xr:uid="{00000000-0005-0000-0000-0000421D0000}"/>
    <cellStyle name="Normal 10 2 5 4" xfId="5220" xr:uid="{00000000-0005-0000-0000-0000431D0000}"/>
    <cellStyle name="Normal 10 2 5 4 2" xfId="14320" xr:uid="{00000000-0005-0000-0000-0000441D0000}"/>
    <cellStyle name="Normal 10 2 5 4 2 2" xfId="32502" xr:uid="{00000000-0005-0000-0000-0000451D0000}"/>
    <cellStyle name="Normal 10 2 5 4 3" xfId="23412" xr:uid="{00000000-0005-0000-0000-0000461D0000}"/>
    <cellStyle name="Normal 10 2 5 5" xfId="9786" xr:uid="{00000000-0005-0000-0000-0000471D0000}"/>
    <cellStyle name="Normal 10 2 5 5 2" xfId="27968" xr:uid="{00000000-0005-0000-0000-0000481D0000}"/>
    <cellStyle name="Normal 10 2 5 6" xfId="18877" xr:uid="{00000000-0005-0000-0000-0000491D0000}"/>
    <cellStyle name="Normal 10 2 6" xfId="572" xr:uid="{00000000-0005-0000-0000-00004A1D0000}"/>
    <cellStyle name="Normal 10 2 6 2" xfId="3582" xr:uid="{00000000-0005-0000-0000-00004B1D0000}"/>
    <cellStyle name="Normal 10 2 6 2 2" xfId="8138" xr:uid="{00000000-0005-0000-0000-00004C1D0000}"/>
    <cellStyle name="Normal 10 2 6 2 2 2" xfId="17234" xr:uid="{00000000-0005-0000-0000-00004D1D0000}"/>
    <cellStyle name="Normal 10 2 6 2 2 2 2" xfId="35416" xr:uid="{00000000-0005-0000-0000-00004E1D0000}"/>
    <cellStyle name="Normal 10 2 6 2 2 3" xfId="26326" xr:uid="{00000000-0005-0000-0000-00004F1D0000}"/>
    <cellStyle name="Normal 10 2 6 2 3" xfId="12694" xr:uid="{00000000-0005-0000-0000-0000501D0000}"/>
    <cellStyle name="Normal 10 2 6 2 3 2" xfId="30876" xr:uid="{00000000-0005-0000-0000-0000511D0000}"/>
    <cellStyle name="Normal 10 2 6 2 4" xfId="21786" xr:uid="{00000000-0005-0000-0000-0000521D0000}"/>
    <cellStyle name="Normal 10 2 6 3" xfId="5221" xr:uid="{00000000-0005-0000-0000-0000531D0000}"/>
    <cellStyle name="Normal 10 2 6 3 2" xfId="14321" xr:uid="{00000000-0005-0000-0000-0000541D0000}"/>
    <cellStyle name="Normal 10 2 6 3 2 2" xfId="32503" xr:uid="{00000000-0005-0000-0000-0000551D0000}"/>
    <cellStyle name="Normal 10 2 6 3 3" xfId="23413" xr:uid="{00000000-0005-0000-0000-0000561D0000}"/>
    <cellStyle name="Normal 10 2 6 4" xfId="9787" xr:uid="{00000000-0005-0000-0000-0000571D0000}"/>
    <cellStyle name="Normal 10 2 6 4 2" xfId="27969" xr:uid="{00000000-0005-0000-0000-0000581D0000}"/>
    <cellStyle name="Normal 10 2 6 5" xfId="18878" xr:uid="{00000000-0005-0000-0000-0000591D0000}"/>
    <cellStyle name="Normal 10 2 7" xfId="2084" xr:uid="{00000000-0005-0000-0000-00005A1D0000}"/>
    <cellStyle name="Normal 10 2 7 2" xfId="6670" xr:uid="{00000000-0005-0000-0000-00005B1D0000}"/>
    <cellStyle name="Normal 10 2 7 2 2" xfId="15770" xr:uid="{00000000-0005-0000-0000-00005C1D0000}"/>
    <cellStyle name="Normal 10 2 7 2 2 2" xfId="33952" xr:uid="{00000000-0005-0000-0000-00005D1D0000}"/>
    <cellStyle name="Normal 10 2 7 2 3" xfId="24862" xr:uid="{00000000-0005-0000-0000-00005E1D0000}"/>
    <cellStyle name="Normal 10 2 7 3" xfId="11234" xr:uid="{00000000-0005-0000-0000-00005F1D0000}"/>
    <cellStyle name="Normal 10 2 7 3 2" xfId="29416" xr:uid="{00000000-0005-0000-0000-0000601D0000}"/>
    <cellStyle name="Normal 10 2 7 4" xfId="20326" xr:uid="{00000000-0005-0000-0000-0000611D0000}"/>
    <cellStyle name="Normal 10 2 8" xfId="3201" xr:uid="{00000000-0005-0000-0000-0000621D0000}"/>
    <cellStyle name="Normal 10 2 8 2" xfId="7761" xr:uid="{00000000-0005-0000-0000-0000631D0000}"/>
    <cellStyle name="Normal 10 2 8 2 2" xfId="16857" xr:uid="{00000000-0005-0000-0000-0000641D0000}"/>
    <cellStyle name="Normal 10 2 8 2 2 2" xfId="35039" xr:uid="{00000000-0005-0000-0000-0000651D0000}"/>
    <cellStyle name="Normal 10 2 8 2 3" xfId="25949" xr:uid="{00000000-0005-0000-0000-0000661D0000}"/>
    <cellStyle name="Normal 10 2 8 3" xfId="12317" xr:uid="{00000000-0005-0000-0000-0000671D0000}"/>
    <cellStyle name="Normal 10 2 8 3 2" xfId="30499" xr:uid="{00000000-0005-0000-0000-0000681D0000}"/>
    <cellStyle name="Normal 10 2 8 4" xfId="21409" xr:uid="{00000000-0005-0000-0000-0000691D0000}"/>
    <cellStyle name="Normal 10 2 9" xfId="4850" xr:uid="{00000000-0005-0000-0000-00006A1D0000}"/>
    <cellStyle name="Normal 10 2 9 2" xfId="13950" xr:uid="{00000000-0005-0000-0000-00006B1D0000}"/>
    <cellStyle name="Normal 10 2 9 2 2" xfId="32132" xr:uid="{00000000-0005-0000-0000-00006C1D0000}"/>
    <cellStyle name="Normal 10 2 9 3" xfId="23042" xr:uid="{00000000-0005-0000-0000-00006D1D0000}"/>
    <cellStyle name="Normal 10 3" xfId="573" xr:uid="{00000000-0005-0000-0000-00006E1D0000}"/>
    <cellStyle name="Normal 10 3 10" xfId="18879" xr:uid="{00000000-0005-0000-0000-00006F1D0000}"/>
    <cellStyle name="Normal 10 3 2" xfId="574" xr:uid="{00000000-0005-0000-0000-0000701D0000}"/>
    <cellStyle name="Normal 10 3 2 2" xfId="575" xr:uid="{00000000-0005-0000-0000-0000711D0000}"/>
    <cellStyle name="Normal 10 3 2 2 2" xfId="576" xr:uid="{00000000-0005-0000-0000-0000721D0000}"/>
    <cellStyle name="Normal 10 3 2 2 2 2" xfId="2085" xr:uid="{00000000-0005-0000-0000-0000731D0000}"/>
    <cellStyle name="Normal 10 3 2 2 2 2 2" xfId="6671" xr:uid="{00000000-0005-0000-0000-0000741D0000}"/>
    <cellStyle name="Normal 10 3 2 2 2 2 2 2" xfId="15771" xr:uid="{00000000-0005-0000-0000-0000751D0000}"/>
    <cellStyle name="Normal 10 3 2 2 2 2 2 2 2" xfId="33953" xr:uid="{00000000-0005-0000-0000-0000761D0000}"/>
    <cellStyle name="Normal 10 3 2 2 2 2 2 3" xfId="24863" xr:uid="{00000000-0005-0000-0000-0000771D0000}"/>
    <cellStyle name="Normal 10 3 2 2 2 2 3" xfId="11235" xr:uid="{00000000-0005-0000-0000-0000781D0000}"/>
    <cellStyle name="Normal 10 3 2 2 2 2 3 2" xfId="29417" xr:uid="{00000000-0005-0000-0000-0000791D0000}"/>
    <cellStyle name="Normal 10 3 2 2 2 2 4" xfId="20327" xr:uid="{00000000-0005-0000-0000-00007A1D0000}"/>
    <cellStyle name="Normal 10 3 2 2 2 3" xfId="3586" xr:uid="{00000000-0005-0000-0000-00007B1D0000}"/>
    <cellStyle name="Normal 10 3 2 2 2 3 2" xfId="8142" xr:uid="{00000000-0005-0000-0000-00007C1D0000}"/>
    <cellStyle name="Normal 10 3 2 2 2 3 2 2" xfId="17238" xr:uid="{00000000-0005-0000-0000-00007D1D0000}"/>
    <cellStyle name="Normal 10 3 2 2 2 3 2 2 2" xfId="35420" xr:uid="{00000000-0005-0000-0000-00007E1D0000}"/>
    <cellStyle name="Normal 10 3 2 2 2 3 2 3" xfId="26330" xr:uid="{00000000-0005-0000-0000-00007F1D0000}"/>
    <cellStyle name="Normal 10 3 2 2 2 3 3" xfId="12698" xr:uid="{00000000-0005-0000-0000-0000801D0000}"/>
    <cellStyle name="Normal 10 3 2 2 2 3 3 2" xfId="30880" xr:uid="{00000000-0005-0000-0000-0000811D0000}"/>
    <cellStyle name="Normal 10 3 2 2 2 3 4" xfId="21790" xr:uid="{00000000-0005-0000-0000-0000821D0000}"/>
    <cellStyle name="Normal 10 3 2 2 2 4" xfId="5225" xr:uid="{00000000-0005-0000-0000-0000831D0000}"/>
    <cellStyle name="Normal 10 3 2 2 2 4 2" xfId="14325" xr:uid="{00000000-0005-0000-0000-0000841D0000}"/>
    <cellStyle name="Normal 10 3 2 2 2 4 2 2" xfId="32507" xr:uid="{00000000-0005-0000-0000-0000851D0000}"/>
    <cellStyle name="Normal 10 3 2 2 2 4 3" xfId="23417" xr:uid="{00000000-0005-0000-0000-0000861D0000}"/>
    <cellStyle name="Normal 10 3 2 2 2 5" xfId="9791" xr:uid="{00000000-0005-0000-0000-0000871D0000}"/>
    <cellStyle name="Normal 10 3 2 2 2 5 2" xfId="27973" xr:uid="{00000000-0005-0000-0000-0000881D0000}"/>
    <cellStyle name="Normal 10 3 2 2 2 6" xfId="18882" xr:uid="{00000000-0005-0000-0000-0000891D0000}"/>
    <cellStyle name="Normal 10 3 2 2 3" xfId="2086" xr:uid="{00000000-0005-0000-0000-00008A1D0000}"/>
    <cellStyle name="Normal 10 3 2 2 3 2" xfId="6672" xr:uid="{00000000-0005-0000-0000-00008B1D0000}"/>
    <cellStyle name="Normal 10 3 2 2 3 2 2" xfId="15772" xr:uid="{00000000-0005-0000-0000-00008C1D0000}"/>
    <cellStyle name="Normal 10 3 2 2 3 2 2 2" xfId="33954" xr:uid="{00000000-0005-0000-0000-00008D1D0000}"/>
    <cellStyle name="Normal 10 3 2 2 3 2 3" xfId="24864" xr:uid="{00000000-0005-0000-0000-00008E1D0000}"/>
    <cellStyle name="Normal 10 3 2 2 3 3" xfId="11236" xr:uid="{00000000-0005-0000-0000-00008F1D0000}"/>
    <cellStyle name="Normal 10 3 2 2 3 3 2" xfId="29418" xr:uid="{00000000-0005-0000-0000-0000901D0000}"/>
    <cellStyle name="Normal 10 3 2 2 3 4" xfId="20328" xr:uid="{00000000-0005-0000-0000-0000911D0000}"/>
    <cellStyle name="Normal 10 3 2 2 4" xfId="3585" xr:uid="{00000000-0005-0000-0000-0000921D0000}"/>
    <cellStyle name="Normal 10 3 2 2 4 2" xfId="8141" xr:uid="{00000000-0005-0000-0000-0000931D0000}"/>
    <cellStyle name="Normal 10 3 2 2 4 2 2" xfId="17237" xr:uid="{00000000-0005-0000-0000-0000941D0000}"/>
    <cellStyle name="Normal 10 3 2 2 4 2 2 2" xfId="35419" xr:uid="{00000000-0005-0000-0000-0000951D0000}"/>
    <cellStyle name="Normal 10 3 2 2 4 2 3" xfId="26329" xr:uid="{00000000-0005-0000-0000-0000961D0000}"/>
    <cellStyle name="Normal 10 3 2 2 4 3" xfId="12697" xr:uid="{00000000-0005-0000-0000-0000971D0000}"/>
    <cellStyle name="Normal 10 3 2 2 4 3 2" xfId="30879" xr:uid="{00000000-0005-0000-0000-0000981D0000}"/>
    <cellStyle name="Normal 10 3 2 2 4 4" xfId="21789" xr:uid="{00000000-0005-0000-0000-0000991D0000}"/>
    <cellStyle name="Normal 10 3 2 2 5" xfId="5224" xr:uid="{00000000-0005-0000-0000-00009A1D0000}"/>
    <cellStyle name="Normal 10 3 2 2 5 2" xfId="14324" xr:uid="{00000000-0005-0000-0000-00009B1D0000}"/>
    <cellStyle name="Normal 10 3 2 2 5 2 2" xfId="32506" xr:uid="{00000000-0005-0000-0000-00009C1D0000}"/>
    <cellStyle name="Normal 10 3 2 2 5 3" xfId="23416" xr:uid="{00000000-0005-0000-0000-00009D1D0000}"/>
    <cellStyle name="Normal 10 3 2 2 6" xfId="9790" xr:uid="{00000000-0005-0000-0000-00009E1D0000}"/>
    <cellStyle name="Normal 10 3 2 2 6 2" xfId="27972" xr:uid="{00000000-0005-0000-0000-00009F1D0000}"/>
    <cellStyle name="Normal 10 3 2 2 7" xfId="18881" xr:uid="{00000000-0005-0000-0000-0000A01D0000}"/>
    <cellStyle name="Normal 10 3 2 3" xfId="577" xr:uid="{00000000-0005-0000-0000-0000A11D0000}"/>
    <cellStyle name="Normal 10 3 2 3 2" xfId="2087" xr:uid="{00000000-0005-0000-0000-0000A21D0000}"/>
    <cellStyle name="Normal 10 3 2 3 2 2" xfId="6673" xr:uid="{00000000-0005-0000-0000-0000A31D0000}"/>
    <cellStyle name="Normal 10 3 2 3 2 2 2" xfId="15773" xr:uid="{00000000-0005-0000-0000-0000A41D0000}"/>
    <cellStyle name="Normal 10 3 2 3 2 2 2 2" xfId="33955" xr:uid="{00000000-0005-0000-0000-0000A51D0000}"/>
    <cellStyle name="Normal 10 3 2 3 2 2 3" xfId="24865" xr:uid="{00000000-0005-0000-0000-0000A61D0000}"/>
    <cellStyle name="Normal 10 3 2 3 2 3" xfId="11237" xr:uid="{00000000-0005-0000-0000-0000A71D0000}"/>
    <cellStyle name="Normal 10 3 2 3 2 3 2" xfId="29419" xr:uid="{00000000-0005-0000-0000-0000A81D0000}"/>
    <cellStyle name="Normal 10 3 2 3 2 4" xfId="20329" xr:uid="{00000000-0005-0000-0000-0000A91D0000}"/>
    <cellStyle name="Normal 10 3 2 3 3" xfId="3587" xr:uid="{00000000-0005-0000-0000-0000AA1D0000}"/>
    <cellStyle name="Normal 10 3 2 3 3 2" xfId="8143" xr:uid="{00000000-0005-0000-0000-0000AB1D0000}"/>
    <cellStyle name="Normal 10 3 2 3 3 2 2" xfId="17239" xr:uid="{00000000-0005-0000-0000-0000AC1D0000}"/>
    <cellStyle name="Normal 10 3 2 3 3 2 2 2" xfId="35421" xr:uid="{00000000-0005-0000-0000-0000AD1D0000}"/>
    <cellStyle name="Normal 10 3 2 3 3 2 3" xfId="26331" xr:uid="{00000000-0005-0000-0000-0000AE1D0000}"/>
    <cellStyle name="Normal 10 3 2 3 3 3" xfId="12699" xr:uid="{00000000-0005-0000-0000-0000AF1D0000}"/>
    <cellStyle name="Normal 10 3 2 3 3 3 2" xfId="30881" xr:uid="{00000000-0005-0000-0000-0000B01D0000}"/>
    <cellStyle name="Normal 10 3 2 3 3 4" xfId="21791" xr:uid="{00000000-0005-0000-0000-0000B11D0000}"/>
    <cellStyle name="Normal 10 3 2 3 4" xfId="5226" xr:uid="{00000000-0005-0000-0000-0000B21D0000}"/>
    <cellStyle name="Normal 10 3 2 3 4 2" xfId="14326" xr:uid="{00000000-0005-0000-0000-0000B31D0000}"/>
    <cellStyle name="Normal 10 3 2 3 4 2 2" xfId="32508" xr:uid="{00000000-0005-0000-0000-0000B41D0000}"/>
    <cellStyle name="Normal 10 3 2 3 4 3" xfId="23418" xr:uid="{00000000-0005-0000-0000-0000B51D0000}"/>
    <cellStyle name="Normal 10 3 2 3 5" xfId="9792" xr:uid="{00000000-0005-0000-0000-0000B61D0000}"/>
    <cellStyle name="Normal 10 3 2 3 5 2" xfId="27974" xr:uid="{00000000-0005-0000-0000-0000B71D0000}"/>
    <cellStyle name="Normal 10 3 2 3 6" xfId="18883" xr:uid="{00000000-0005-0000-0000-0000B81D0000}"/>
    <cellStyle name="Normal 10 3 2 4" xfId="578" xr:uid="{00000000-0005-0000-0000-0000B91D0000}"/>
    <cellStyle name="Normal 10 3 2 4 2" xfId="3588" xr:uid="{00000000-0005-0000-0000-0000BA1D0000}"/>
    <cellStyle name="Normal 10 3 2 4 2 2" xfId="8144" xr:uid="{00000000-0005-0000-0000-0000BB1D0000}"/>
    <cellStyle name="Normal 10 3 2 4 2 2 2" xfId="17240" xr:uid="{00000000-0005-0000-0000-0000BC1D0000}"/>
    <cellStyle name="Normal 10 3 2 4 2 2 2 2" xfId="35422" xr:uid="{00000000-0005-0000-0000-0000BD1D0000}"/>
    <cellStyle name="Normal 10 3 2 4 2 2 3" xfId="26332" xr:uid="{00000000-0005-0000-0000-0000BE1D0000}"/>
    <cellStyle name="Normal 10 3 2 4 2 3" xfId="12700" xr:uid="{00000000-0005-0000-0000-0000BF1D0000}"/>
    <cellStyle name="Normal 10 3 2 4 2 3 2" xfId="30882" xr:uid="{00000000-0005-0000-0000-0000C01D0000}"/>
    <cellStyle name="Normal 10 3 2 4 2 4" xfId="21792" xr:uid="{00000000-0005-0000-0000-0000C11D0000}"/>
    <cellStyle name="Normal 10 3 2 4 3" xfId="5227" xr:uid="{00000000-0005-0000-0000-0000C21D0000}"/>
    <cellStyle name="Normal 10 3 2 4 3 2" xfId="14327" xr:uid="{00000000-0005-0000-0000-0000C31D0000}"/>
    <cellStyle name="Normal 10 3 2 4 3 2 2" xfId="32509" xr:uid="{00000000-0005-0000-0000-0000C41D0000}"/>
    <cellStyle name="Normal 10 3 2 4 3 3" xfId="23419" xr:uid="{00000000-0005-0000-0000-0000C51D0000}"/>
    <cellStyle name="Normal 10 3 2 4 4" xfId="9793" xr:uid="{00000000-0005-0000-0000-0000C61D0000}"/>
    <cellStyle name="Normal 10 3 2 4 4 2" xfId="27975" xr:uid="{00000000-0005-0000-0000-0000C71D0000}"/>
    <cellStyle name="Normal 10 3 2 4 5" xfId="18884" xr:uid="{00000000-0005-0000-0000-0000C81D0000}"/>
    <cellStyle name="Normal 10 3 2 5" xfId="2088" xr:uid="{00000000-0005-0000-0000-0000C91D0000}"/>
    <cellStyle name="Normal 10 3 2 5 2" xfId="6674" xr:uid="{00000000-0005-0000-0000-0000CA1D0000}"/>
    <cellStyle name="Normal 10 3 2 5 2 2" xfId="15774" xr:uid="{00000000-0005-0000-0000-0000CB1D0000}"/>
    <cellStyle name="Normal 10 3 2 5 2 2 2" xfId="33956" xr:uid="{00000000-0005-0000-0000-0000CC1D0000}"/>
    <cellStyle name="Normal 10 3 2 5 2 3" xfId="24866" xr:uid="{00000000-0005-0000-0000-0000CD1D0000}"/>
    <cellStyle name="Normal 10 3 2 5 3" xfId="11238" xr:uid="{00000000-0005-0000-0000-0000CE1D0000}"/>
    <cellStyle name="Normal 10 3 2 5 3 2" xfId="29420" xr:uid="{00000000-0005-0000-0000-0000CF1D0000}"/>
    <cellStyle name="Normal 10 3 2 5 4" xfId="20330" xr:uid="{00000000-0005-0000-0000-0000D01D0000}"/>
    <cellStyle name="Normal 10 3 2 6" xfId="3584" xr:uid="{00000000-0005-0000-0000-0000D11D0000}"/>
    <cellStyle name="Normal 10 3 2 6 2" xfId="8140" xr:uid="{00000000-0005-0000-0000-0000D21D0000}"/>
    <cellStyle name="Normal 10 3 2 6 2 2" xfId="17236" xr:uid="{00000000-0005-0000-0000-0000D31D0000}"/>
    <cellStyle name="Normal 10 3 2 6 2 2 2" xfId="35418" xr:uid="{00000000-0005-0000-0000-0000D41D0000}"/>
    <cellStyle name="Normal 10 3 2 6 2 3" xfId="26328" xr:uid="{00000000-0005-0000-0000-0000D51D0000}"/>
    <cellStyle name="Normal 10 3 2 6 3" xfId="12696" xr:uid="{00000000-0005-0000-0000-0000D61D0000}"/>
    <cellStyle name="Normal 10 3 2 6 3 2" xfId="30878" xr:uid="{00000000-0005-0000-0000-0000D71D0000}"/>
    <cellStyle name="Normal 10 3 2 6 4" xfId="21788" xr:uid="{00000000-0005-0000-0000-0000D81D0000}"/>
    <cellStyle name="Normal 10 3 2 7" xfId="5223" xr:uid="{00000000-0005-0000-0000-0000D91D0000}"/>
    <cellStyle name="Normal 10 3 2 7 2" xfId="14323" xr:uid="{00000000-0005-0000-0000-0000DA1D0000}"/>
    <cellStyle name="Normal 10 3 2 7 2 2" xfId="32505" xr:uid="{00000000-0005-0000-0000-0000DB1D0000}"/>
    <cellStyle name="Normal 10 3 2 7 3" xfId="23415" xr:uid="{00000000-0005-0000-0000-0000DC1D0000}"/>
    <cellStyle name="Normal 10 3 2 8" xfId="9789" xr:uid="{00000000-0005-0000-0000-0000DD1D0000}"/>
    <cellStyle name="Normal 10 3 2 8 2" xfId="27971" xr:uid="{00000000-0005-0000-0000-0000DE1D0000}"/>
    <cellStyle name="Normal 10 3 2 9" xfId="18880" xr:uid="{00000000-0005-0000-0000-0000DF1D0000}"/>
    <cellStyle name="Normal 10 3 3" xfId="579" xr:uid="{00000000-0005-0000-0000-0000E01D0000}"/>
    <cellStyle name="Normal 10 3 3 2" xfId="580" xr:uid="{00000000-0005-0000-0000-0000E11D0000}"/>
    <cellStyle name="Normal 10 3 3 2 2" xfId="2089" xr:uid="{00000000-0005-0000-0000-0000E21D0000}"/>
    <cellStyle name="Normal 10 3 3 2 2 2" xfId="6675" xr:uid="{00000000-0005-0000-0000-0000E31D0000}"/>
    <cellStyle name="Normal 10 3 3 2 2 2 2" xfId="15775" xr:uid="{00000000-0005-0000-0000-0000E41D0000}"/>
    <cellStyle name="Normal 10 3 3 2 2 2 2 2" xfId="33957" xr:uid="{00000000-0005-0000-0000-0000E51D0000}"/>
    <cellStyle name="Normal 10 3 3 2 2 2 3" xfId="24867" xr:uid="{00000000-0005-0000-0000-0000E61D0000}"/>
    <cellStyle name="Normal 10 3 3 2 2 3" xfId="11239" xr:uid="{00000000-0005-0000-0000-0000E71D0000}"/>
    <cellStyle name="Normal 10 3 3 2 2 3 2" xfId="29421" xr:uid="{00000000-0005-0000-0000-0000E81D0000}"/>
    <cellStyle name="Normal 10 3 3 2 2 4" xfId="20331" xr:uid="{00000000-0005-0000-0000-0000E91D0000}"/>
    <cellStyle name="Normal 10 3 3 2 3" xfId="3590" xr:uid="{00000000-0005-0000-0000-0000EA1D0000}"/>
    <cellStyle name="Normal 10 3 3 2 3 2" xfId="8146" xr:uid="{00000000-0005-0000-0000-0000EB1D0000}"/>
    <cellStyle name="Normal 10 3 3 2 3 2 2" xfId="17242" xr:uid="{00000000-0005-0000-0000-0000EC1D0000}"/>
    <cellStyle name="Normal 10 3 3 2 3 2 2 2" xfId="35424" xr:uid="{00000000-0005-0000-0000-0000ED1D0000}"/>
    <cellStyle name="Normal 10 3 3 2 3 2 3" xfId="26334" xr:uid="{00000000-0005-0000-0000-0000EE1D0000}"/>
    <cellStyle name="Normal 10 3 3 2 3 3" xfId="12702" xr:uid="{00000000-0005-0000-0000-0000EF1D0000}"/>
    <cellStyle name="Normal 10 3 3 2 3 3 2" xfId="30884" xr:uid="{00000000-0005-0000-0000-0000F01D0000}"/>
    <cellStyle name="Normal 10 3 3 2 3 4" xfId="21794" xr:uid="{00000000-0005-0000-0000-0000F11D0000}"/>
    <cellStyle name="Normal 10 3 3 2 4" xfId="5229" xr:uid="{00000000-0005-0000-0000-0000F21D0000}"/>
    <cellStyle name="Normal 10 3 3 2 4 2" xfId="14329" xr:uid="{00000000-0005-0000-0000-0000F31D0000}"/>
    <cellStyle name="Normal 10 3 3 2 4 2 2" xfId="32511" xr:uid="{00000000-0005-0000-0000-0000F41D0000}"/>
    <cellStyle name="Normal 10 3 3 2 4 3" xfId="23421" xr:uid="{00000000-0005-0000-0000-0000F51D0000}"/>
    <cellStyle name="Normal 10 3 3 2 5" xfId="9795" xr:uid="{00000000-0005-0000-0000-0000F61D0000}"/>
    <cellStyle name="Normal 10 3 3 2 5 2" xfId="27977" xr:uid="{00000000-0005-0000-0000-0000F71D0000}"/>
    <cellStyle name="Normal 10 3 3 2 6" xfId="18886" xr:uid="{00000000-0005-0000-0000-0000F81D0000}"/>
    <cellStyle name="Normal 10 3 3 3" xfId="2090" xr:uid="{00000000-0005-0000-0000-0000F91D0000}"/>
    <cellStyle name="Normal 10 3 3 3 2" xfId="6676" xr:uid="{00000000-0005-0000-0000-0000FA1D0000}"/>
    <cellStyle name="Normal 10 3 3 3 2 2" xfId="15776" xr:uid="{00000000-0005-0000-0000-0000FB1D0000}"/>
    <cellStyle name="Normal 10 3 3 3 2 2 2" xfId="33958" xr:uid="{00000000-0005-0000-0000-0000FC1D0000}"/>
    <cellStyle name="Normal 10 3 3 3 2 3" xfId="24868" xr:uid="{00000000-0005-0000-0000-0000FD1D0000}"/>
    <cellStyle name="Normal 10 3 3 3 3" xfId="11240" xr:uid="{00000000-0005-0000-0000-0000FE1D0000}"/>
    <cellStyle name="Normal 10 3 3 3 3 2" xfId="29422" xr:uid="{00000000-0005-0000-0000-0000FF1D0000}"/>
    <cellStyle name="Normal 10 3 3 3 4" xfId="20332" xr:uid="{00000000-0005-0000-0000-0000001E0000}"/>
    <cellStyle name="Normal 10 3 3 4" xfId="3589" xr:uid="{00000000-0005-0000-0000-0000011E0000}"/>
    <cellStyle name="Normal 10 3 3 4 2" xfId="8145" xr:uid="{00000000-0005-0000-0000-0000021E0000}"/>
    <cellStyle name="Normal 10 3 3 4 2 2" xfId="17241" xr:uid="{00000000-0005-0000-0000-0000031E0000}"/>
    <cellStyle name="Normal 10 3 3 4 2 2 2" xfId="35423" xr:uid="{00000000-0005-0000-0000-0000041E0000}"/>
    <cellStyle name="Normal 10 3 3 4 2 3" xfId="26333" xr:uid="{00000000-0005-0000-0000-0000051E0000}"/>
    <cellStyle name="Normal 10 3 3 4 3" xfId="12701" xr:uid="{00000000-0005-0000-0000-0000061E0000}"/>
    <cellStyle name="Normal 10 3 3 4 3 2" xfId="30883" xr:uid="{00000000-0005-0000-0000-0000071E0000}"/>
    <cellStyle name="Normal 10 3 3 4 4" xfId="21793" xr:uid="{00000000-0005-0000-0000-0000081E0000}"/>
    <cellStyle name="Normal 10 3 3 5" xfId="5228" xr:uid="{00000000-0005-0000-0000-0000091E0000}"/>
    <cellStyle name="Normal 10 3 3 5 2" xfId="14328" xr:uid="{00000000-0005-0000-0000-00000A1E0000}"/>
    <cellStyle name="Normal 10 3 3 5 2 2" xfId="32510" xr:uid="{00000000-0005-0000-0000-00000B1E0000}"/>
    <cellStyle name="Normal 10 3 3 5 3" xfId="23420" xr:uid="{00000000-0005-0000-0000-00000C1E0000}"/>
    <cellStyle name="Normal 10 3 3 6" xfId="9794" xr:uid="{00000000-0005-0000-0000-00000D1E0000}"/>
    <cellStyle name="Normal 10 3 3 6 2" xfId="27976" xr:uid="{00000000-0005-0000-0000-00000E1E0000}"/>
    <cellStyle name="Normal 10 3 3 7" xfId="18885" xr:uid="{00000000-0005-0000-0000-00000F1E0000}"/>
    <cellStyle name="Normal 10 3 4" xfId="581" xr:uid="{00000000-0005-0000-0000-0000101E0000}"/>
    <cellStyle name="Normal 10 3 4 2" xfId="2091" xr:uid="{00000000-0005-0000-0000-0000111E0000}"/>
    <cellStyle name="Normal 10 3 4 2 2" xfId="6677" xr:uid="{00000000-0005-0000-0000-0000121E0000}"/>
    <cellStyle name="Normal 10 3 4 2 2 2" xfId="15777" xr:uid="{00000000-0005-0000-0000-0000131E0000}"/>
    <cellStyle name="Normal 10 3 4 2 2 2 2" xfId="33959" xr:uid="{00000000-0005-0000-0000-0000141E0000}"/>
    <cellStyle name="Normal 10 3 4 2 2 3" xfId="24869" xr:uid="{00000000-0005-0000-0000-0000151E0000}"/>
    <cellStyle name="Normal 10 3 4 2 3" xfId="11241" xr:uid="{00000000-0005-0000-0000-0000161E0000}"/>
    <cellStyle name="Normal 10 3 4 2 3 2" xfId="29423" xr:uid="{00000000-0005-0000-0000-0000171E0000}"/>
    <cellStyle name="Normal 10 3 4 2 4" xfId="20333" xr:uid="{00000000-0005-0000-0000-0000181E0000}"/>
    <cellStyle name="Normal 10 3 4 3" xfId="3591" xr:uid="{00000000-0005-0000-0000-0000191E0000}"/>
    <cellStyle name="Normal 10 3 4 3 2" xfId="8147" xr:uid="{00000000-0005-0000-0000-00001A1E0000}"/>
    <cellStyle name="Normal 10 3 4 3 2 2" xfId="17243" xr:uid="{00000000-0005-0000-0000-00001B1E0000}"/>
    <cellStyle name="Normal 10 3 4 3 2 2 2" xfId="35425" xr:uid="{00000000-0005-0000-0000-00001C1E0000}"/>
    <cellStyle name="Normal 10 3 4 3 2 3" xfId="26335" xr:uid="{00000000-0005-0000-0000-00001D1E0000}"/>
    <cellStyle name="Normal 10 3 4 3 3" xfId="12703" xr:uid="{00000000-0005-0000-0000-00001E1E0000}"/>
    <cellStyle name="Normal 10 3 4 3 3 2" xfId="30885" xr:uid="{00000000-0005-0000-0000-00001F1E0000}"/>
    <cellStyle name="Normal 10 3 4 3 4" xfId="21795" xr:uid="{00000000-0005-0000-0000-0000201E0000}"/>
    <cellStyle name="Normal 10 3 4 4" xfId="5230" xr:uid="{00000000-0005-0000-0000-0000211E0000}"/>
    <cellStyle name="Normal 10 3 4 4 2" xfId="14330" xr:uid="{00000000-0005-0000-0000-0000221E0000}"/>
    <cellStyle name="Normal 10 3 4 4 2 2" xfId="32512" xr:uid="{00000000-0005-0000-0000-0000231E0000}"/>
    <cellStyle name="Normal 10 3 4 4 3" xfId="23422" xr:uid="{00000000-0005-0000-0000-0000241E0000}"/>
    <cellStyle name="Normal 10 3 4 5" xfId="9796" xr:uid="{00000000-0005-0000-0000-0000251E0000}"/>
    <cellStyle name="Normal 10 3 4 5 2" xfId="27978" xr:uid="{00000000-0005-0000-0000-0000261E0000}"/>
    <cellStyle name="Normal 10 3 4 6" xfId="18887" xr:uid="{00000000-0005-0000-0000-0000271E0000}"/>
    <cellStyle name="Normal 10 3 5" xfId="582" xr:uid="{00000000-0005-0000-0000-0000281E0000}"/>
    <cellStyle name="Normal 10 3 5 2" xfId="3592" xr:uid="{00000000-0005-0000-0000-0000291E0000}"/>
    <cellStyle name="Normal 10 3 5 2 2" xfId="8148" xr:uid="{00000000-0005-0000-0000-00002A1E0000}"/>
    <cellStyle name="Normal 10 3 5 2 2 2" xfId="17244" xr:uid="{00000000-0005-0000-0000-00002B1E0000}"/>
    <cellStyle name="Normal 10 3 5 2 2 2 2" xfId="35426" xr:uid="{00000000-0005-0000-0000-00002C1E0000}"/>
    <cellStyle name="Normal 10 3 5 2 2 3" xfId="26336" xr:uid="{00000000-0005-0000-0000-00002D1E0000}"/>
    <cellStyle name="Normal 10 3 5 2 3" xfId="12704" xr:uid="{00000000-0005-0000-0000-00002E1E0000}"/>
    <cellStyle name="Normal 10 3 5 2 3 2" xfId="30886" xr:uid="{00000000-0005-0000-0000-00002F1E0000}"/>
    <cellStyle name="Normal 10 3 5 2 4" xfId="21796" xr:uid="{00000000-0005-0000-0000-0000301E0000}"/>
    <cellStyle name="Normal 10 3 5 3" xfId="5231" xr:uid="{00000000-0005-0000-0000-0000311E0000}"/>
    <cellStyle name="Normal 10 3 5 3 2" xfId="14331" xr:uid="{00000000-0005-0000-0000-0000321E0000}"/>
    <cellStyle name="Normal 10 3 5 3 2 2" xfId="32513" xr:uid="{00000000-0005-0000-0000-0000331E0000}"/>
    <cellStyle name="Normal 10 3 5 3 3" xfId="23423" xr:uid="{00000000-0005-0000-0000-0000341E0000}"/>
    <cellStyle name="Normal 10 3 5 4" xfId="9797" xr:uid="{00000000-0005-0000-0000-0000351E0000}"/>
    <cellStyle name="Normal 10 3 5 4 2" xfId="27979" xr:uid="{00000000-0005-0000-0000-0000361E0000}"/>
    <cellStyle name="Normal 10 3 5 5" xfId="18888" xr:uid="{00000000-0005-0000-0000-0000371E0000}"/>
    <cellStyle name="Normal 10 3 6" xfId="2092" xr:uid="{00000000-0005-0000-0000-0000381E0000}"/>
    <cellStyle name="Normal 10 3 6 2" xfId="6678" xr:uid="{00000000-0005-0000-0000-0000391E0000}"/>
    <cellStyle name="Normal 10 3 6 2 2" xfId="15778" xr:uid="{00000000-0005-0000-0000-00003A1E0000}"/>
    <cellStyle name="Normal 10 3 6 2 2 2" xfId="33960" xr:uid="{00000000-0005-0000-0000-00003B1E0000}"/>
    <cellStyle name="Normal 10 3 6 2 3" xfId="24870" xr:uid="{00000000-0005-0000-0000-00003C1E0000}"/>
    <cellStyle name="Normal 10 3 6 3" xfId="11242" xr:uid="{00000000-0005-0000-0000-00003D1E0000}"/>
    <cellStyle name="Normal 10 3 6 3 2" xfId="29424" xr:uid="{00000000-0005-0000-0000-00003E1E0000}"/>
    <cellStyle name="Normal 10 3 6 4" xfId="20334" xr:uid="{00000000-0005-0000-0000-00003F1E0000}"/>
    <cellStyle name="Normal 10 3 7" xfId="3583" xr:uid="{00000000-0005-0000-0000-0000401E0000}"/>
    <cellStyle name="Normal 10 3 7 2" xfId="8139" xr:uid="{00000000-0005-0000-0000-0000411E0000}"/>
    <cellStyle name="Normal 10 3 7 2 2" xfId="17235" xr:uid="{00000000-0005-0000-0000-0000421E0000}"/>
    <cellStyle name="Normal 10 3 7 2 2 2" xfId="35417" xr:uid="{00000000-0005-0000-0000-0000431E0000}"/>
    <cellStyle name="Normal 10 3 7 2 3" xfId="26327" xr:uid="{00000000-0005-0000-0000-0000441E0000}"/>
    <cellStyle name="Normal 10 3 7 3" xfId="12695" xr:uid="{00000000-0005-0000-0000-0000451E0000}"/>
    <cellStyle name="Normal 10 3 7 3 2" xfId="30877" xr:uid="{00000000-0005-0000-0000-0000461E0000}"/>
    <cellStyle name="Normal 10 3 7 4" xfId="21787" xr:uid="{00000000-0005-0000-0000-0000471E0000}"/>
    <cellStyle name="Normal 10 3 8" xfId="5222" xr:uid="{00000000-0005-0000-0000-0000481E0000}"/>
    <cellStyle name="Normal 10 3 8 2" xfId="14322" xr:uid="{00000000-0005-0000-0000-0000491E0000}"/>
    <cellStyle name="Normal 10 3 8 2 2" xfId="32504" xr:uid="{00000000-0005-0000-0000-00004A1E0000}"/>
    <cellStyle name="Normal 10 3 8 3" xfId="23414" xr:uid="{00000000-0005-0000-0000-00004B1E0000}"/>
    <cellStyle name="Normal 10 3 9" xfId="9788" xr:uid="{00000000-0005-0000-0000-00004C1E0000}"/>
    <cellStyle name="Normal 10 3 9 2" xfId="27970" xr:uid="{00000000-0005-0000-0000-00004D1E0000}"/>
    <cellStyle name="Normal 10 4" xfId="583" xr:uid="{00000000-0005-0000-0000-00004E1E0000}"/>
    <cellStyle name="Normal 10 4 2" xfId="584" xr:uid="{00000000-0005-0000-0000-00004F1E0000}"/>
    <cellStyle name="Normal 10 4 2 2" xfId="585" xr:uid="{00000000-0005-0000-0000-0000501E0000}"/>
    <cellStyle name="Normal 10 4 2 2 2" xfId="2093" xr:uid="{00000000-0005-0000-0000-0000511E0000}"/>
    <cellStyle name="Normal 10 4 2 2 2 2" xfId="6679" xr:uid="{00000000-0005-0000-0000-0000521E0000}"/>
    <cellStyle name="Normal 10 4 2 2 2 2 2" xfId="15779" xr:uid="{00000000-0005-0000-0000-0000531E0000}"/>
    <cellStyle name="Normal 10 4 2 2 2 2 2 2" xfId="33961" xr:uid="{00000000-0005-0000-0000-0000541E0000}"/>
    <cellStyle name="Normal 10 4 2 2 2 2 3" xfId="24871" xr:uid="{00000000-0005-0000-0000-0000551E0000}"/>
    <cellStyle name="Normal 10 4 2 2 2 3" xfId="11243" xr:uid="{00000000-0005-0000-0000-0000561E0000}"/>
    <cellStyle name="Normal 10 4 2 2 2 3 2" xfId="29425" xr:uid="{00000000-0005-0000-0000-0000571E0000}"/>
    <cellStyle name="Normal 10 4 2 2 2 4" xfId="20335" xr:uid="{00000000-0005-0000-0000-0000581E0000}"/>
    <cellStyle name="Normal 10 4 2 2 3" xfId="3595" xr:uid="{00000000-0005-0000-0000-0000591E0000}"/>
    <cellStyle name="Normal 10 4 2 2 3 2" xfId="8151" xr:uid="{00000000-0005-0000-0000-00005A1E0000}"/>
    <cellStyle name="Normal 10 4 2 2 3 2 2" xfId="17247" xr:uid="{00000000-0005-0000-0000-00005B1E0000}"/>
    <cellStyle name="Normal 10 4 2 2 3 2 2 2" xfId="35429" xr:uid="{00000000-0005-0000-0000-00005C1E0000}"/>
    <cellStyle name="Normal 10 4 2 2 3 2 3" xfId="26339" xr:uid="{00000000-0005-0000-0000-00005D1E0000}"/>
    <cellStyle name="Normal 10 4 2 2 3 3" xfId="12707" xr:uid="{00000000-0005-0000-0000-00005E1E0000}"/>
    <cellStyle name="Normal 10 4 2 2 3 3 2" xfId="30889" xr:uid="{00000000-0005-0000-0000-00005F1E0000}"/>
    <cellStyle name="Normal 10 4 2 2 3 4" xfId="21799" xr:uid="{00000000-0005-0000-0000-0000601E0000}"/>
    <cellStyle name="Normal 10 4 2 2 4" xfId="5234" xr:uid="{00000000-0005-0000-0000-0000611E0000}"/>
    <cellStyle name="Normal 10 4 2 2 4 2" xfId="14334" xr:uid="{00000000-0005-0000-0000-0000621E0000}"/>
    <cellStyle name="Normal 10 4 2 2 4 2 2" xfId="32516" xr:uid="{00000000-0005-0000-0000-0000631E0000}"/>
    <cellStyle name="Normal 10 4 2 2 4 3" xfId="23426" xr:uid="{00000000-0005-0000-0000-0000641E0000}"/>
    <cellStyle name="Normal 10 4 2 2 5" xfId="9800" xr:uid="{00000000-0005-0000-0000-0000651E0000}"/>
    <cellStyle name="Normal 10 4 2 2 5 2" xfId="27982" xr:uid="{00000000-0005-0000-0000-0000661E0000}"/>
    <cellStyle name="Normal 10 4 2 2 6" xfId="18891" xr:uid="{00000000-0005-0000-0000-0000671E0000}"/>
    <cellStyle name="Normal 10 4 2 3" xfId="2094" xr:uid="{00000000-0005-0000-0000-0000681E0000}"/>
    <cellStyle name="Normal 10 4 2 3 2" xfId="6680" xr:uid="{00000000-0005-0000-0000-0000691E0000}"/>
    <cellStyle name="Normal 10 4 2 3 2 2" xfId="15780" xr:uid="{00000000-0005-0000-0000-00006A1E0000}"/>
    <cellStyle name="Normal 10 4 2 3 2 2 2" xfId="33962" xr:uid="{00000000-0005-0000-0000-00006B1E0000}"/>
    <cellStyle name="Normal 10 4 2 3 2 3" xfId="24872" xr:uid="{00000000-0005-0000-0000-00006C1E0000}"/>
    <cellStyle name="Normal 10 4 2 3 3" xfId="11244" xr:uid="{00000000-0005-0000-0000-00006D1E0000}"/>
    <cellStyle name="Normal 10 4 2 3 3 2" xfId="29426" xr:uid="{00000000-0005-0000-0000-00006E1E0000}"/>
    <cellStyle name="Normal 10 4 2 3 4" xfId="20336" xr:uid="{00000000-0005-0000-0000-00006F1E0000}"/>
    <cellStyle name="Normal 10 4 2 4" xfId="3594" xr:uid="{00000000-0005-0000-0000-0000701E0000}"/>
    <cellStyle name="Normal 10 4 2 4 2" xfId="8150" xr:uid="{00000000-0005-0000-0000-0000711E0000}"/>
    <cellStyle name="Normal 10 4 2 4 2 2" xfId="17246" xr:uid="{00000000-0005-0000-0000-0000721E0000}"/>
    <cellStyle name="Normal 10 4 2 4 2 2 2" xfId="35428" xr:uid="{00000000-0005-0000-0000-0000731E0000}"/>
    <cellStyle name="Normal 10 4 2 4 2 3" xfId="26338" xr:uid="{00000000-0005-0000-0000-0000741E0000}"/>
    <cellStyle name="Normal 10 4 2 4 3" xfId="12706" xr:uid="{00000000-0005-0000-0000-0000751E0000}"/>
    <cellStyle name="Normal 10 4 2 4 3 2" xfId="30888" xr:uid="{00000000-0005-0000-0000-0000761E0000}"/>
    <cellStyle name="Normal 10 4 2 4 4" xfId="21798" xr:uid="{00000000-0005-0000-0000-0000771E0000}"/>
    <cellStyle name="Normal 10 4 2 5" xfId="5233" xr:uid="{00000000-0005-0000-0000-0000781E0000}"/>
    <cellStyle name="Normal 10 4 2 5 2" xfId="14333" xr:uid="{00000000-0005-0000-0000-0000791E0000}"/>
    <cellStyle name="Normal 10 4 2 5 2 2" xfId="32515" xr:uid="{00000000-0005-0000-0000-00007A1E0000}"/>
    <cellStyle name="Normal 10 4 2 5 3" xfId="23425" xr:uid="{00000000-0005-0000-0000-00007B1E0000}"/>
    <cellStyle name="Normal 10 4 2 6" xfId="9799" xr:uid="{00000000-0005-0000-0000-00007C1E0000}"/>
    <cellStyle name="Normal 10 4 2 6 2" xfId="27981" xr:uid="{00000000-0005-0000-0000-00007D1E0000}"/>
    <cellStyle name="Normal 10 4 2 7" xfId="18890" xr:uid="{00000000-0005-0000-0000-00007E1E0000}"/>
    <cellStyle name="Normal 10 4 3" xfId="586" xr:uid="{00000000-0005-0000-0000-00007F1E0000}"/>
    <cellStyle name="Normal 10 4 3 2" xfId="2095" xr:uid="{00000000-0005-0000-0000-0000801E0000}"/>
    <cellStyle name="Normal 10 4 3 2 2" xfId="6681" xr:uid="{00000000-0005-0000-0000-0000811E0000}"/>
    <cellStyle name="Normal 10 4 3 2 2 2" xfId="15781" xr:uid="{00000000-0005-0000-0000-0000821E0000}"/>
    <cellStyle name="Normal 10 4 3 2 2 2 2" xfId="33963" xr:uid="{00000000-0005-0000-0000-0000831E0000}"/>
    <cellStyle name="Normal 10 4 3 2 2 3" xfId="24873" xr:uid="{00000000-0005-0000-0000-0000841E0000}"/>
    <cellStyle name="Normal 10 4 3 2 3" xfId="11245" xr:uid="{00000000-0005-0000-0000-0000851E0000}"/>
    <cellStyle name="Normal 10 4 3 2 3 2" xfId="29427" xr:uid="{00000000-0005-0000-0000-0000861E0000}"/>
    <cellStyle name="Normal 10 4 3 2 4" xfId="20337" xr:uid="{00000000-0005-0000-0000-0000871E0000}"/>
    <cellStyle name="Normal 10 4 3 3" xfId="3596" xr:uid="{00000000-0005-0000-0000-0000881E0000}"/>
    <cellStyle name="Normal 10 4 3 3 2" xfId="8152" xr:uid="{00000000-0005-0000-0000-0000891E0000}"/>
    <cellStyle name="Normal 10 4 3 3 2 2" xfId="17248" xr:uid="{00000000-0005-0000-0000-00008A1E0000}"/>
    <cellStyle name="Normal 10 4 3 3 2 2 2" xfId="35430" xr:uid="{00000000-0005-0000-0000-00008B1E0000}"/>
    <cellStyle name="Normal 10 4 3 3 2 3" xfId="26340" xr:uid="{00000000-0005-0000-0000-00008C1E0000}"/>
    <cellStyle name="Normal 10 4 3 3 3" xfId="12708" xr:uid="{00000000-0005-0000-0000-00008D1E0000}"/>
    <cellStyle name="Normal 10 4 3 3 3 2" xfId="30890" xr:uid="{00000000-0005-0000-0000-00008E1E0000}"/>
    <cellStyle name="Normal 10 4 3 3 4" xfId="21800" xr:uid="{00000000-0005-0000-0000-00008F1E0000}"/>
    <cellStyle name="Normal 10 4 3 4" xfId="5235" xr:uid="{00000000-0005-0000-0000-0000901E0000}"/>
    <cellStyle name="Normal 10 4 3 4 2" xfId="14335" xr:uid="{00000000-0005-0000-0000-0000911E0000}"/>
    <cellStyle name="Normal 10 4 3 4 2 2" xfId="32517" xr:uid="{00000000-0005-0000-0000-0000921E0000}"/>
    <cellStyle name="Normal 10 4 3 4 3" xfId="23427" xr:uid="{00000000-0005-0000-0000-0000931E0000}"/>
    <cellStyle name="Normal 10 4 3 5" xfId="9801" xr:uid="{00000000-0005-0000-0000-0000941E0000}"/>
    <cellStyle name="Normal 10 4 3 5 2" xfId="27983" xr:uid="{00000000-0005-0000-0000-0000951E0000}"/>
    <cellStyle name="Normal 10 4 3 6" xfId="18892" xr:uid="{00000000-0005-0000-0000-0000961E0000}"/>
    <cellStyle name="Normal 10 4 4" xfId="587" xr:uid="{00000000-0005-0000-0000-0000971E0000}"/>
    <cellStyle name="Normal 10 4 4 2" xfId="3597" xr:uid="{00000000-0005-0000-0000-0000981E0000}"/>
    <cellStyle name="Normal 10 4 4 2 2" xfId="8153" xr:uid="{00000000-0005-0000-0000-0000991E0000}"/>
    <cellStyle name="Normal 10 4 4 2 2 2" xfId="17249" xr:uid="{00000000-0005-0000-0000-00009A1E0000}"/>
    <cellStyle name="Normal 10 4 4 2 2 2 2" xfId="35431" xr:uid="{00000000-0005-0000-0000-00009B1E0000}"/>
    <cellStyle name="Normal 10 4 4 2 2 3" xfId="26341" xr:uid="{00000000-0005-0000-0000-00009C1E0000}"/>
    <cellStyle name="Normal 10 4 4 2 3" xfId="12709" xr:uid="{00000000-0005-0000-0000-00009D1E0000}"/>
    <cellStyle name="Normal 10 4 4 2 3 2" xfId="30891" xr:uid="{00000000-0005-0000-0000-00009E1E0000}"/>
    <cellStyle name="Normal 10 4 4 2 4" xfId="21801" xr:uid="{00000000-0005-0000-0000-00009F1E0000}"/>
    <cellStyle name="Normal 10 4 4 3" xfId="5236" xr:uid="{00000000-0005-0000-0000-0000A01E0000}"/>
    <cellStyle name="Normal 10 4 4 3 2" xfId="14336" xr:uid="{00000000-0005-0000-0000-0000A11E0000}"/>
    <cellStyle name="Normal 10 4 4 3 2 2" xfId="32518" xr:uid="{00000000-0005-0000-0000-0000A21E0000}"/>
    <cellStyle name="Normal 10 4 4 3 3" xfId="23428" xr:uid="{00000000-0005-0000-0000-0000A31E0000}"/>
    <cellStyle name="Normal 10 4 4 4" xfId="9802" xr:uid="{00000000-0005-0000-0000-0000A41E0000}"/>
    <cellStyle name="Normal 10 4 4 4 2" xfId="27984" xr:uid="{00000000-0005-0000-0000-0000A51E0000}"/>
    <cellStyle name="Normal 10 4 4 5" xfId="18893" xr:uid="{00000000-0005-0000-0000-0000A61E0000}"/>
    <cellStyle name="Normal 10 4 5" xfId="2096" xr:uid="{00000000-0005-0000-0000-0000A71E0000}"/>
    <cellStyle name="Normal 10 4 5 2" xfId="6682" xr:uid="{00000000-0005-0000-0000-0000A81E0000}"/>
    <cellStyle name="Normal 10 4 5 2 2" xfId="15782" xr:uid="{00000000-0005-0000-0000-0000A91E0000}"/>
    <cellStyle name="Normal 10 4 5 2 2 2" xfId="33964" xr:uid="{00000000-0005-0000-0000-0000AA1E0000}"/>
    <cellStyle name="Normal 10 4 5 2 3" xfId="24874" xr:uid="{00000000-0005-0000-0000-0000AB1E0000}"/>
    <cellStyle name="Normal 10 4 5 3" xfId="11246" xr:uid="{00000000-0005-0000-0000-0000AC1E0000}"/>
    <cellStyle name="Normal 10 4 5 3 2" xfId="29428" xr:uid="{00000000-0005-0000-0000-0000AD1E0000}"/>
    <cellStyle name="Normal 10 4 5 4" xfId="20338" xr:uid="{00000000-0005-0000-0000-0000AE1E0000}"/>
    <cellStyle name="Normal 10 4 6" xfId="3593" xr:uid="{00000000-0005-0000-0000-0000AF1E0000}"/>
    <cellStyle name="Normal 10 4 6 2" xfId="8149" xr:uid="{00000000-0005-0000-0000-0000B01E0000}"/>
    <cellStyle name="Normal 10 4 6 2 2" xfId="17245" xr:uid="{00000000-0005-0000-0000-0000B11E0000}"/>
    <cellStyle name="Normal 10 4 6 2 2 2" xfId="35427" xr:uid="{00000000-0005-0000-0000-0000B21E0000}"/>
    <cellStyle name="Normal 10 4 6 2 3" xfId="26337" xr:uid="{00000000-0005-0000-0000-0000B31E0000}"/>
    <cellStyle name="Normal 10 4 6 3" xfId="12705" xr:uid="{00000000-0005-0000-0000-0000B41E0000}"/>
    <cellStyle name="Normal 10 4 6 3 2" xfId="30887" xr:uid="{00000000-0005-0000-0000-0000B51E0000}"/>
    <cellStyle name="Normal 10 4 6 4" xfId="21797" xr:uid="{00000000-0005-0000-0000-0000B61E0000}"/>
    <cellStyle name="Normal 10 4 7" xfId="5232" xr:uid="{00000000-0005-0000-0000-0000B71E0000}"/>
    <cellStyle name="Normal 10 4 7 2" xfId="14332" xr:uid="{00000000-0005-0000-0000-0000B81E0000}"/>
    <cellStyle name="Normal 10 4 7 2 2" xfId="32514" xr:uid="{00000000-0005-0000-0000-0000B91E0000}"/>
    <cellStyle name="Normal 10 4 7 3" xfId="23424" xr:uid="{00000000-0005-0000-0000-0000BA1E0000}"/>
    <cellStyle name="Normal 10 4 8" xfId="9798" xr:uid="{00000000-0005-0000-0000-0000BB1E0000}"/>
    <cellStyle name="Normal 10 4 8 2" xfId="27980" xr:uid="{00000000-0005-0000-0000-0000BC1E0000}"/>
    <cellStyle name="Normal 10 4 9" xfId="18889" xr:uid="{00000000-0005-0000-0000-0000BD1E0000}"/>
    <cellStyle name="Normal 10 5" xfId="588" xr:uid="{00000000-0005-0000-0000-0000BE1E0000}"/>
    <cellStyle name="Normal 10 5 2" xfId="589" xr:uid="{00000000-0005-0000-0000-0000BF1E0000}"/>
    <cellStyle name="Normal 10 5 2 2" xfId="2097" xr:uid="{00000000-0005-0000-0000-0000C01E0000}"/>
    <cellStyle name="Normal 10 5 2 2 2" xfId="6683" xr:uid="{00000000-0005-0000-0000-0000C11E0000}"/>
    <cellStyle name="Normal 10 5 2 2 2 2" xfId="15783" xr:uid="{00000000-0005-0000-0000-0000C21E0000}"/>
    <cellStyle name="Normal 10 5 2 2 2 2 2" xfId="33965" xr:uid="{00000000-0005-0000-0000-0000C31E0000}"/>
    <cellStyle name="Normal 10 5 2 2 2 3" xfId="24875" xr:uid="{00000000-0005-0000-0000-0000C41E0000}"/>
    <cellStyle name="Normal 10 5 2 2 3" xfId="11247" xr:uid="{00000000-0005-0000-0000-0000C51E0000}"/>
    <cellStyle name="Normal 10 5 2 2 3 2" xfId="29429" xr:uid="{00000000-0005-0000-0000-0000C61E0000}"/>
    <cellStyle name="Normal 10 5 2 2 4" xfId="20339" xr:uid="{00000000-0005-0000-0000-0000C71E0000}"/>
    <cellStyle name="Normal 10 5 2 3" xfId="3599" xr:uid="{00000000-0005-0000-0000-0000C81E0000}"/>
    <cellStyle name="Normal 10 5 2 3 2" xfId="8155" xr:uid="{00000000-0005-0000-0000-0000C91E0000}"/>
    <cellStyle name="Normal 10 5 2 3 2 2" xfId="17251" xr:uid="{00000000-0005-0000-0000-0000CA1E0000}"/>
    <cellStyle name="Normal 10 5 2 3 2 2 2" xfId="35433" xr:uid="{00000000-0005-0000-0000-0000CB1E0000}"/>
    <cellStyle name="Normal 10 5 2 3 2 3" xfId="26343" xr:uid="{00000000-0005-0000-0000-0000CC1E0000}"/>
    <cellStyle name="Normal 10 5 2 3 3" xfId="12711" xr:uid="{00000000-0005-0000-0000-0000CD1E0000}"/>
    <cellStyle name="Normal 10 5 2 3 3 2" xfId="30893" xr:uid="{00000000-0005-0000-0000-0000CE1E0000}"/>
    <cellStyle name="Normal 10 5 2 3 4" xfId="21803" xr:uid="{00000000-0005-0000-0000-0000CF1E0000}"/>
    <cellStyle name="Normal 10 5 2 4" xfId="5238" xr:uid="{00000000-0005-0000-0000-0000D01E0000}"/>
    <cellStyle name="Normal 10 5 2 4 2" xfId="14338" xr:uid="{00000000-0005-0000-0000-0000D11E0000}"/>
    <cellStyle name="Normal 10 5 2 4 2 2" xfId="32520" xr:uid="{00000000-0005-0000-0000-0000D21E0000}"/>
    <cellStyle name="Normal 10 5 2 4 3" xfId="23430" xr:uid="{00000000-0005-0000-0000-0000D31E0000}"/>
    <cellStyle name="Normal 10 5 2 5" xfId="9804" xr:uid="{00000000-0005-0000-0000-0000D41E0000}"/>
    <cellStyle name="Normal 10 5 2 5 2" xfId="27986" xr:uid="{00000000-0005-0000-0000-0000D51E0000}"/>
    <cellStyle name="Normal 10 5 2 6" xfId="18895" xr:uid="{00000000-0005-0000-0000-0000D61E0000}"/>
    <cellStyle name="Normal 10 5 3" xfId="2098" xr:uid="{00000000-0005-0000-0000-0000D71E0000}"/>
    <cellStyle name="Normal 10 5 3 2" xfId="6684" xr:uid="{00000000-0005-0000-0000-0000D81E0000}"/>
    <cellStyle name="Normal 10 5 3 2 2" xfId="15784" xr:uid="{00000000-0005-0000-0000-0000D91E0000}"/>
    <cellStyle name="Normal 10 5 3 2 2 2" xfId="33966" xr:uid="{00000000-0005-0000-0000-0000DA1E0000}"/>
    <cellStyle name="Normal 10 5 3 2 3" xfId="24876" xr:uid="{00000000-0005-0000-0000-0000DB1E0000}"/>
    <cellStyle name="Normal 10 5 3 3" xfId="11248" xr:uid="{00000000-0005-0000-0000-0000DC1E0000}"/>
    <cellStyle name="Normal 10 5 3 3 2" xfId="29430" xr:uid="{00000000-0005-0000-0000-0000DD1E0000}"/>
    <cellStyle name="Normal 10 5 3 4" xfId="20340" xr:uid="{00000000-0005-0000-0000-0000DE1E0000}"/>
    <cellStyle name="Normal 10 5 4" xfId="3598" xr:uid="{00000000-0005-0000-0000-0000DF1E0000}"/>
    <cellStyle name="Normal 10 5 4 2" xfId="8154" xr:uid="{00000000-0005-0000-0000-0000E01E0000}"/>
    <cellStyle name="Normal 10 5 4 2 2" xfId="17250" xr:uid="{00000000-0005-0000-0000-0000E11E0000}"/>
    <cellStyle name="Normal 10 5 4 2 2 2" xfId="35432" xr:uid="{00000000-0005-0000-0000-0000E21E0000}"/>
    <cellStyle name="Normal 10 5 4 2 3" xfId="26342" xr:uid="{00000000-0005-0000-0000-0000E31E0000}"/>
    <cellStyle name="Normal 10 5 4 3" xfId="12710" xr:uid="{00000000-0005-0000-0000-0000E41E0000}"/>
    <cellStyle name="Normal 10 5 4 3 2" xfId="30892" xr:uid="{00000000-0005-0000-0000-0000E51E0000}"/>
    <cellStyle name="Normal 10 5 4 4" xfId="21802" xr:uid="{00000000-0005-0000-0000-0000E61E0000}"/>
    <cellStyle name="Normal 10 5 5" xfId="5237" xr:uid="{00000000-0005-0000-0000-0000E71E0000}"/>
    <cellStyle name="Normal 10 5 5 2" xfId="14337" xr:uid="{00000000-0005-0000-0000-0000E81E0000}"/>
    <cellStyle name="Normal 10 5 5 2 2" xfId="32519" xr:uid="{00000000-0005-0000-0000-0000E91E0000}"/>
    <cellStyle name="Normal 10 5 5 3" xfId="23429" xr:uid="{00000000-0005-0000-0000-0000EA1E0000}"/>
    <cellStyle name="Normal 10 5 6" xfId="9803" xr:uid="{00000000-0005-0000-0000-0000EB1E0000}"/>
    <cellStyle name="Normal 10 5 6 2" xfId="27985" xr:uid="{00000000-0005-0000-0000-0000EC1E0000}"/>
    <cellStyle name="Normal 10 5 7" xfId="18894" xr:uid="{00000000-0005-0000-0000-0000ED1E0000}"/>
    <cellStyle name="Normal 10 6" xfId="590" xr:uid="{00000000-0005-0000-0000-0000EE1E0000}"/>
    <cellStyle name="Normal 10 6 2" xfId="2099" xr:uid="{00000000-0005-0000-0000-0000EF1E0000}"/>
    <cellStyle name="Normal 10 6 2 2" xfId="6685" xr:uid="{00000000-0005-0000-0000-0000F01E0000}"/>
    <cellStyle name="Normal 10 6 2 2 2" xfId="15785" xr:uid="{00000000-0005-0000-0000-0000F11E0000}"/>
    <cellStyle name="Normal 10 6 2 2 2 2" xfId="33967" xr:uid="{00000000-0005-0000-0000-0000F21E0000}"/>
    <cellStyle name="Normal 10 6 2 2 3" xfId="24877" xr:uid="{00000000-0005-0000-0000-0000F31E0000}"/>
    <cellStyle name="Normal 10 6 2 3" xfId="11249" xr:uid="{00000000-0005-0000-0000-0000F41E0000}"/>
    <cellStyle name="Normal 10 6 2 3 2" xfId="29431" xr:uid="{00000000-0005-0000-0000-0000F51E0000}"/>
    <cellStyle name="Normal 10 6 2 4" xfId="20341" xr:uid="{00000000-0005-0000-0000-0000F61E0000}"/>
    <cellStyle name="Normal 10 6 3" xfId="3600" xr:uid="{00000000-0005-0000-0000-0000F71E0000}"/>
    <cellStyle name="Normal 10 6 3 2" xfId="8156" xr:uid="{00000000-0005-0000-0000-0000F81E0000}"/>
    <cellStyle name="Normal 10 6 3 2 2" xfId="17252" xr:uid="{00000000-0005-0000-0000-0000F91E0000}"/>
    <cellStyle name="Normal 10 6 3 2 2 2" xfId="35434" xr:uid="{00000000-0005-0000-0000-0000FA1E0000}"/>
    <cellStyle name="Normal 10 6 3 2 3" xfId="26344" xr:uid="{00000000-0005-0000-0000-0000FB1E0000}"/>
    <cellStyle name="Normal 10 6 3 3" xfId="12712" xr:uid="{00000000-0005-0000-0000-0000FC1E0000}"/>
    <cellStyle name="Normal 10 6 3 3 2" xfId="30894" xr:uid="{00000000-0005-0000-0000-0000FD1E0000}"/>
    <cellStyle name="Normal 10 6 3 4" xfId="21804" xr:uid="{00000000-0005-0000-0000-0000FE1E0000}"/>
    <cellStyle name="Normal 10 6 4" xfId="5239" xr:uid="{00000000-0005-0000-0000-0000FF1E0000}"/>
    <cellStyle name="Normal 10 6 4 2" xfId="14339" xr:uid="{00000000-0005-0000-0000-0000001F0000}"/>
    <cellStyle name="Normal 10 6 4 2 2" xfId="32521" xr:uid="{00000000-0005-0000-0000-0000011F0000}"/>
    <cellStyle name="Normal 10 6 4 3" xfId="23431" xr:uid="{00000000-0005-0000-0000-0000021F0000}"/>
    <cellStyle name="Normal 10 6 5" xfId="9805" xr:uid="{00000000-0005-0000-0000-0000031F0000}"/>
    <cellStyle name="Normal 10 6 5 2" xfId="27987" xr:uid="{00000000-0005-0000-0000-0000041F0000}"/>
    <cellStyle name="Normal 10 6 6" xfId="18896" xr:uid="{00000000-0005-0000-0000-0000051F0000}"/>
    <cellStyle name="Normal 10 7" xfId="591" xr:uid="{00000000-0005-0000-0000-0000061F0000}"/>
    <cellStyle name="Normal 10 7 2" xfId="3601" xr:uid="{00000000-0005-0000-0000-0000071F0000}"/>
    <cellStyle name="Normal 10 7 2 2" xfId="8157" xr:uid="{00000000-0005-0000-0000-0000081F0000}"/>
    <cellStyle name="Normal 10 7 2 2 2" xfId="17253" xr:uid="{00000000-0005-0000-0000-0000091F0000}"/>
    <cellStyle name="Normal 10 7 2 2 2 2" xfId="35435" xr:uid="{00000000-0005-0000-0000-00000A1F0000}"/>
    <cellStyle name="Normal 10 7 2 2 3" xfId="26345" xr:uid="{00000000-0005-0000-0000-00000B1F0000}"/>
    <cellStyle name="Normal 10 7 2 3" xfId="12713" xr:uid="{00000000-0005-0000-0000-00000C1F0000}"/>
    <cellStyle name="Normal 10 7 2 3 2" xfId="30895" xr:uid="{00000000-0005-0000-0000-00000D1F0000}"/>
    <cellStyle name="Normal 10 7 2 4" xfId="21805" xr:uid="{00000000-0005-0000-0000-00000E1F0000}"/>
    <cellStyle name="Normal 10 7 3" xfId="5240" xr:uid="{00000000-0005-0000-0000-00000F1F0000}"/>
    <cellStyle name="Normal 10 7 3 2" xfId="14340" xr:uid="{00000000-0005-0000-0000-0000101F0000}"/>
    <cellStyle name="Normal 10 7 3 2 2" xfId="32522" xr:uid="{00000000-0005-0000-0000-0000111F0000}"/>
    <cellStyle name="Normal 10 7 3 3" xfId="23432" xr:uid="{00000000-0005-0000-0000-0000121F0000}"/>
    <cellStyle name="Normal 10 7 4" xfId="9806" xr:uid="{00000000-0005-0000-0000-0000131F0000}"/>
    <cellStyle name="Normal 10 7 4 2" xfId="27988" xr:uid="{00000000-0005-0000-0000-0000141F0000}"/>
    <cellStyle name="Normal 10 7 5" xfId="18897" xr:uid="{00000000-0005-0000-0000-0000151F0000}"/>
    <cellStyle name="Normal 10 8" xfId="2100" xr:uid="{00000000-0005-0000-0000-0000161F0000}"/>
    <cellStyle name="Normal 10 8 2" xfId="6686" xr:uid="{00000000-0005-0000-0000-0000171F0000}"/>
    <cellStyle name="Normal 10 8 2 2" xfId="15786" xr:uid="{00000000-0005-0000-0000-0000181F0000}"/>
    <cellStyle name="Normal 10 8 2 2 2" xfId="33968" xr:uid="{00000000-0005-0000-0000-0000191F0000}"/>
    <cellStyle name="Normal 10 8 2 3" xfId="24878" xr:uid="{00000000-0005-0000-0000-00001A1F0000}"/>
    <cellStyle name="Normal 10 8 3" xfId="11250" xr:uid="{00000000-0005-0000-0000-00001B1F0000}"/>
    <cellStyle name="Normal 10 8 3 2" xfId="29432" xr:uid="{00000000-0005-0000-0000-00001C1F0000}"/>
    <cellStyle name="Normal 10 8 4" xfId="20342" xr:uid="{00000000-0005-0000-0000-00001D1F0000}"/>
    <cellStyle name="Normal 10 9" xfId="3170" xr:uid="{00000000-0005-0000-0000-00001E1F0000}"/>
    <cellStyle name="Normal 10 9 2" xfId="7730" xr:uid="{00000000-0005-0000-0000-00001F1F0000}"/>
    <cellStyle name="Normal 10 9 2 2" xfId="16826" xr:uid="{00000000-0005-0000-0000-0000201F0000}"/>
    <cellStyle name="Normal 10 9 2 2 2" xfId="35008" xr:uid="{00000000-0005-0000-0000-0000211F0000}"/>
    <cellStyle name="Normal 10 9 2 3" xfId="25918" xr:uid="{00000000-0005-0000-0000-0000221F0000}"/>
    <cellStyle name="Normal 10 9 3" xfId="12286" xr:uid="{00000000-0005-0000-0000-0000231F0000}"/>
    <cellStyle name="Normal 10 9 3 2" xfId="30468" xr:uid="{00000000-0005-0000-0000-0000241F0000}"/>
    <cellStyle name="Normal 10 9 4" xfId="21378" xr:uid="{00000000-0005-0000-0000-0000251F0000}"/>
    <cellStyle name="Normal 11" xfId="48" xr:uid="{00000000-0005-0000-0000-0000261F0000}"/>
    <cellStyle name="Normal 11 2" xfId="104" xr:uid="{00000000-0005-0000-0000-0000271F0000}"/>
    <cellStyle name="Normal 12" xfId="70" xr:uid="{00000000-0005-0000-0000-0000281F0000}"/>
    <cellStyle name="Normal 12 10" xfId="9399" xr:uid="{00000000-0005-0000-0000-0000291F0000}"/>
    <cellStyle name="Normal 12 10 2" xfId="27581" xr:uid="{00000000-0005-0000-0000-00002A1F0000}"/>
    <cellStyle name="Normal 12 11" xfId="18490" xr:uid="{00000000-0005-0000-0000-00002B1F0000}"/>
    <cellStyle name="Normal 12 2" xfId="592" xr:uid="{00000000-0005-0000-0000-00002C1F0000}"/>
    <cellStyle name="Normal 12 2 10" xfId="18898" xr:uid="{00000000-0005-0000-0000-00002D1F0000}"/>
    <cellStyle name="Normal 12 2 2" xfId="593" xr:uid="{00000000-0005-0000-0000-00002E1F0000}"/>
    <cellStyle name="Normal 12 2 2 2" xfId="594" xr:uid="{00000000-0005-0000-0000-00002F1F0000}"/>
    <cellStyle name="Normal 12 2 2 2 2" xfId="595" xr:uid="{00000000-0005-0000-0000-0000301F0000}"/>
    <cellStyle name="Normal 12 2 2 2 2 2" xfId="2101" xr:uid="{00000000-0005-0000-0000-0000311F0000}"/>
    <cellStyle name="Normal 12 2 2 2 2 2 2" xfId="6687" xr:uid="{00000000-0005-0000-0000-0000321F0000}"/>
    <cellStyle name="Normal 12 2 2 2 2 2 2 2" xfId="15787" xr:uid="{00000000-0005-0000-0000-0000331F0000}"/>
    <cellStyle name="Normal 12 2 2 2 2 2 2 2 2" xfId="33969" xr:uid="{00000000-0005-0000-0000-0000341F0000}"/>
    <cellStyle name="Normal 12 2 2 2 2 2 2 3" xfId="24879" xr:uid="{00000000-0005-0000-0000-0000351F0000}"/>
    <cellStyle name="Normal 12 2 2 2 2 2 3" xfId="11251" xr:uid="{00000000-0005-0000-0000-0000361F0000}"/>
    <cellStyle name="Normal 12 2 2 2 2 2 3 2" xfId="29433" xr:uid="{00000000-0005-0000-0000-0000371F0000}"/>
    <cellStyle name="Normal 12 2 2 2 2 2 4" xfId="20343" xr:uid="{00000000-0005-0000-0000-0000381F0000}"/>
    <cellStyle name="Normal 12 2 2 2 2 3" xfId="3605" xr:uid="{00000000-0005-0000-0000-0000391F0000}"/>
    <cellStyle name="Normal 12 2 2 2 2 3 2" xfId="8161" xr:uid="{00000000-0005-0000-0000-00003A1F0000}"/>
    <cellStyle name="Normal 12 2 2 2 2 3 2 2" xfId="17257" xr:uid="{00000000-0005-0000-0000-00003B1F0000}"/>
    <cellStyle name="Normal 12 2 2 2 2 3 2 2 2" xfId="35439" xr:uid="{00000000-0005-0000-0000-00003C1F0000}"/>
    <cellStyle name="Normal 12 2 2 2 2 3 2 3" xfId="26349" xr:uid="{00000000-0005-0000-0000-00003D1F0000}"/>
    <cellStyle name="Normal 12 2 2 2 2 3 3" xfId="12717" xr:uid="{00000000-0005-0000-0000-00003E1F0000}"/>
    <cellStyle name="Normal 12 2 2 2 2 3 3 2" xfId="30899" xr:uid="{00000000-0005-0000-0000-00003F1F0000}"/>
    <cellStyle name="Normal 12 2 2 2 2 3 4" xfId="21809" xr:uid="{00000000-0005-0000-0000-0000401F0000}"/>
    <cellStyle name="Normal 12 2 2 2 2 4" xfId="5244" xr:uid="{00000000-0005-0000-0000-0000411F0000}"/>
    <cellStyle name="Normal 12 2 2 2 2 4 2" xfId="14344" xr:uid="{00000000-0005-0000-0000-0000421F0000}"/>
    <cellStyle name="Normal 12 2 2 2 2 4 2 2" xfId="32526" xr:uid="{00000000-0005-0000-0000-0000431F0000}"/>
    <cellStyle name="Normal 12 2 2 2 2 4 3" xfId="23436" xr:uid="{00000000-0005-0000-0000-0000441F0000}"/>
    <cellStyle name="Normal 12 2 2 2 2 5" xfId="9810" xr:uid="{00000000-0005-0000-0000-0000451F0000}"/>
    <cellStyle name="Normal 12 2 2 2 2 5 2" xfId="27992" xr:uid="{00000000-0005-0000-0000-0000461F0000}"/>
    <cellStyle name="Normal 12 2 2 2 2 6" xfId="18901" xr:uid="{00000000-0005-0000-0000-0000471F0000}"/>
    <cellStyle name="Normal 12 2 2 2 3" xfId="2102" xr:uid="{00000000-0005-0000-0000-0000481F0000}"/>
    <cellStyle name="Normal 12 2 2 2 3 2" xfId="6688" xr:uid="{00000000-0005-0000-0000-0000491F0000}"/>
    <cellStyle name="Normal 12 2 2 2 3 2 2" xfId="15788" xr:uid="{00000000-0005-0000-0000-00004A1F0000}"/>
    <cellStyle name="Normal 12 2 2 2 3 2 2 2" xfId="33970" xr:uid="{00000000-0005-0000-0000-00004B1F0000}"/>
    <cellStyle name="Normal 12 2 2 2 3 2 3" xfId="24880" xr:uid="{00000000-0005-0000-0000-00004C1F0000}"/>
    <cellStyle name="Normal 12 2 2 2 3 3" xfId="11252" xr:uid="{00000000-0005-0000-0000-00004D1F0000}"/>
    <cellStyle name="Normal 12 2 2 2 3 3 2" xfId="29434" xr:uid="{00000000-0005-0000-0000-00004E1F0000}"/>
    <cellStyle name="Normal 12 2 2 2 3 4" xfId="20344" xr:uid="{00000000-0005-0000-0000-00004F1F0000}"/>
    <cellStyle name="Normal 12 2 2 2 4" xfId="3604" xr:uid="{00000000-0005-0000-0000-0000501F0000}"/>
    <cellStyle name="Normal 12 2 2 2 4 2" xfId="8160" xr:uid="{00000000-0005-0000-0000-0000511F0000}"/>
    <cellStyle name="Normal 12 2 2 2 4 2 2" xfId="17256" xr:uid="{00000000-0005-0000-0000-0000521F0000}"/>
    <cellStyle name="Normal 12 2 2 2 4 2 2 2" xfId="35438" xr:uid="{00000000-0005-0000-0000-0000531F0000}"/>
    <cellStyle name="Normal 12 2 2 2 4 2 3" xfId="26348" xr:uid="{00000000-0005-0000-0000-0000541F0000}"/>
    <cellStyle name="Normal 12 2 2 2 4 3" xfId="12716" xr:uid="{00000000-0005-0000-0000-0000551F0000}"/>
    <cellStyle name="Normal 12 2 2 2 4 3 2" xfId="30898" xr:uid="{00000000-0005-0000-0000-0000561F0000}"/>
    <cellStyle name="Normal 12 2 2 2 4 4" xfId="21808" xr:uid="{00000000-0005-0000-0000-0000571F0000}"/>
    <cellStyle name="Normal 12 2 2 2 5" xfId="5243" xr:uid="{00000000-0005-0000-0000-0000581F0000}"/>
    <cellStyle name="Normal 12 2 2 2 5 2" xfId="14343" xr:uid="{00000000-0005-0000-0000-0000591F0000}"/>
    <cellStyle name="Normal 12 2 2 2 5 2 2" xfId="32525" xr:uid="{00000000-0005-0000-0000-00005A1F0000}"/>
    <cellStyle name="Normal 12 2 2 2 5 3" xfId="23435" xr:uid="{00000000-0005-0000-0000-00005B1F0000}"/>
    <cellStyle name="Normal 12 2 2 2 6" xfId="9809" xr:uid="{00000000-0005-0000-0000-00005C1F0000}"/>
    <cellStyle name="Normal 12 2 2 2 6 2" xfId="27991" xr:uid="{00000000-0005-0000-0000-00005D1F0000}"/>
    <cellStyle name="Normal 12 2 2 2 7" xfId="18900" xr:uid="{00000000-0005-0000-0000-00005E1F0000}"/>
    <cellStyle name="Normal 12 2 2 3" xfId="596" xr:uid="{00000000-0005-0000-0000-00005F1F0000}"/>
    <cellStyle name="Normal 12 2 2 3 2" xfId="2103" xr:uid="{00000000-0005-0000-0000-0000601F0000}"/>
    <cellStyle name="Normal 12 2 2 3 2 2" xfId="6689" xr:uid="{00000000-0005-0000-0000-0000611F0000}"/>
    <cellStyle name="Normal 12 2 2 3 2 2 2" xfId="15789" xr:uid="{00000000-0005-0000-0000-0000621F0000}"/>
    <cellStyle name="Normal 12 2 2 3 2 2 2 2" xfId="33971" xr:uid="{00000000-0005-0000-0000-0000631F0000}"/>
    <cellStyle name="Normal 12 2 2 3 2 2 3" xfId="24881" xr:uid="{00000000-0005-0000-0000-0000641F0000}"/>
    <cellStyle name="Normal 12 2 2 3 2 3" xfId="11253" xr:uid="{00000000-0005-0000-0000-0000651F0000}"/>
    <cellStyle name="Normal 12 2 2 3 2 3 2" xfId="29435" xr:uid="{00000000-0005-0000-0000-0000661F0000}"/>
    <cellStyle name="Normal 12 2 2 3 2 4" xfId="20345" xr:uid="{00000000-0005-0000-0000-0000671F0000}"/>
    <cellStyle name="Normal 12 2 2 3 3" xfId="3606" xr:uid="{00000000-0005-0000-0000-0000681F0000}"/>
    <cellStyle name="Normal 12 2 2 3 3 2" xfId="8162" xr:uid="{00000000-0005-0000-0000-0000691F0000}"/>
    <cellStyle name="Normal 12 2 2 3 3 2 2" xfId="17258" xr:uid="{00000000-0005-0000-0000-00006A1F0000}"/>
    <cellStyle name="Normal 12 2 2 3 3 2 2 2" xfId="35440" xr:uid="{00000000-0005-0000-0000-00006B1F0000}"/>
    <cellStyle name="Normal 12 2 2 3 3 2 3" xfId="26350" xr:uid="{00000000-0005-0000-0000-00006C1F0000}"/>
    <cellStyle name="Normal 12 2 2 3 3 3" xfId="12718" xr:uid="{00000000-0005-0000-0000-00006D1F0000}"/>
    <cellStyle name="Normal 12 2 2 3 3 3 2" xfId="30900" xr:uid="{00000000-0005-0000-0000-00006E1F0000}"/>
    <cellStyle name="Normal 12 2 2 3 3 4" xfId="21810" xr:uid="{00000000-0005-0000-0000-00006F1F0000}"/>
    <cellStyle name="Normal 12 2 2 3 4" xfId="5245" xr:uid="{00000000-0005-0000-0000-0000701F0000}"/>
    <cellStyle name="Normal 12 2 2 3 4 2" xfId="14345" xr:uid="{00000000-0005-0000-0000-0000711F0000}"/>
    <cellStyle name="Normal 12 2 2 3 4 2 2" xfId="32527" xr:uid="{00000000-0005-0000-0000-0000721F0000}"/>
    <cellStyle name="Normal 12 2 2 3 4 3" xfId="23437" xr:uid="{00000000-0005-0000-0000-0000731F0000}"/>
    <cellStyle name="Normal 12 2 2 3 5" xfId="9811" xr:uid="{00000000-0005-0000-0000-0000741F0000}"/>
    <cellStyle name="Normal 12 2 2 3 5 2" xfId="27993" xr:uid="{00000000-0005-0000-0000-0000751F0000}"/>
    <cellStyle name="Normal 12 2 2 3 6" xfId="18902" xr:uid="{00000000-0005-0000-0000-0000761F0000}"/>
    <cellStyle name="Normal 12 2 2 4" xfId="597" xr:uid="{00000000-0005-0000-0000-0000771F0000}"/>
    <cellStyle name="Normal 12 2 2 4 2" xfId="3607" xr:uid="{00000000-0005-0000-0000-0000781F0000}"/>
    <cellStyle name="Normal 12 2 2 4 2 2" xfId="8163" xr:uid="{00000000-0005-0000-0000-0000791F0000}"/>
    <cellStyle name="Normal 12 2 2 4 2 2 2" xfId="17259" xr:uid="{00000000-0005-0000-0000-00007A1F0000}"/>
    <cellStyle name="Normal 12 2 2 4 2 2 2 2" xfId="35441" xr:uid="{00000000-0005-0000-0000-00007B1F0000}"/>
    <cellStyle name="Normal 12 2 2 4 2 2 3" xfId="26351" xr:uid="{00000000-0005-0000-0000-00007C1F0000}"/>
    <cellStyle name="Normal 12 2 2 4 2 3" xfId="12719" xr:uid="{00000000-0005-0000-0000-00007D1F0000}"/>
    <cellStyle name="Normal 12 2 2 4 2 3 2" xfId="30901" xr:uid="{00000000-0005-0000-0000-00007E1F0000}"/>
    <cellStyle name="Normal 12 2 2 4 2 4" xfId="21811" xr:uid="{00000000-0005-0000-0000-00007F1F0000}"/>
    <cellStyle name="Normal 12 2 2 4 3" xfId="5246" xr:uid="{00000000-0005-0000-0000-0000801F0000}"/>
    <cellStyle name="Normal 12 2 2 4 3 2" xfId="14346" xr:uid="{00000000-0005-0000-0000-0000811F0000}"/>
    <cellStyle name="Normal 12 2 2 4 3 2 2" xfId="32528" xr:uid="{00000000-0005-0000-0000-0000821F0000}"/>
    <cellStyle name="Normal 12 2 2 4 3 3" xfId="23438" xr:uid="{00000000-0005-0000-0000-0000831F0000}"/>
    <cellStyle name="Normal 12 2 2 4 4" xfId="9812" xr:uid="{00000000-0005-0000-0000-0000841F0000}"/>
    <cellStyle name="Normal 12 2 2 4 4 2" xfId="27994" xr:uid="{00000000-0005-0000-0000-0000851F0000}"/>
    <cellStyle name="Normal 12 2 2 4 5" xfId="18903" xr:uid="{00000000-0005-0000-0000-0000861F0000}"/>
    <cellStyle name="Normal 12 2 2 5" xfId="2104" xr:uid="{00000000-0005-0000-0000-0000871F0000}"/>
    <cellStyle name="Normal 12 2 2 5 2" xfId="6690" xr:uid="{00000000-0005-0000-0000-0000881F0000}"/>
    <cellStyle name="Normal 12 2 2 5 2 2" xfId="15790" xr:uid="{00000000-0005-0000-0000-0000891F0000}"/>
    <cellStyle name="Normal 12 2 2 5 2 2 2" xfId="33972" xr:uid="{00000000-0005-0000-0000-00008A1F0000}"/>
    <cellStyle name="Normal 12 2 2 5 2 3" xfId="24882" xr:uid="{00000000-0005-0000-0000-00008B1F0000}"/>
    <cellStyle name="Normal 12 2 2 5 3" xfId="11254" xr:uid="{00000000-0005-0000-0000-00008C1F0000}"/>
    <cellStyle name="Normal 12 2 2 5 3 2" xfId="29436" xr:uid="{00000000-0005-0000-0000-00008D1F0000}"/>
    <cellStyle name="Normal 12 2 2 5 4" xfId="20346" xr:uid="{00000000-0005-0000-0000-00008E1F0000}"/>
    <cellStyle name="Normal 12 2 2 6" xfId="3603" xr:uid="{00000000-0005-0000-0000-00008F1F0000}"/>
    <cellStyle name="Normal 12 2 2 6 2" xfId="8159" xr:uid="{00000000-0005-0000-0000-0000901F0000}"/>
    <cellStyle name="Normal 12 2 2 6 2 2" xfId="17255" xr:uid="{00000000-0005-0000-0000-0000911F0000}"/>
    <cellStyle name="Normal 12 2 2 6 2 2 2" xfId="35437" xr:uid="{00000000-0005-0000-0000-0000921F0000}"/>
    <cellStyle name="Normal 12 2 2 6 2 3" xfId="26347" xr:uid="{00000000-0005-0000-0000-0000931F0000}"/>
    <cellStyle name="Normal 12 2 2 6 3" xfId="12715" xr:uid="{00000000-0005-0000-0000-0000941F0000}"/>
    <cellStyle name="Normal 12 2 2 6 3 2" xfId="30897" xr:uid="{00000000-0005-0000-0000-0000951F0000}"/>
    <cellStyle name="Normal 12 2 2 6 4" xfId="21807" xr:uid="{00000000-0005-0000-0000-0000961F0000}"/>
    <cellStyle name="Normal 12 2 2 7" xfId="5242" xr:uid="{00000000-0005-0000-0000-0000971F0000}"/>
    <cellStyle name="Normal 12 2 2 7 2" xfId="14342" xr:uid="{00000000-0005-0000-0000-0000981F0000}"/>
    <cellStyle name="Normal 12 2 2 7 2 2" xfId="32524" xr:uid="{00000000-0005-0000-0000-0000991F0000}"/>
    <cellStyle name="Normal 12 2 2 7 3" xfId="23434" xr:uid="{00000000-0005-0000-0000-00009A1F0000}"/>
    <cellStyle name="Normal 12 2 2 8" xfId="9808" xr:uid="{00000000-0005-0000-0000-00009B1F0000}"/>
    <cellStyle name="Normal 12 2 2 8 2" xfId="27990" xr:uid="{00000000-0005-0000-0000-00009C1F0000}"/>
    <cellStyle name="Normal 12 2 2 9" xfId="18899" xr:uid="{00000000-0005-0000-0000-00009D1F0000}"/>
    <cellStyle name="Normal 12 2 3" xfId="598" xr:uid="{00000000-0005-0000-0000-00009E1F0000}"/>
    <cellStyle name="Normal 12 2 3 2" xfId="599" xr:uid="{00000000-0005-0000-0000-00009F1F0000}"/>
    <cellStyle name="Normal 12 2 3 2 2" xfId="2105" xr:uid="{00000000-0005-0000-0000-0000A01F0000}"/>
    <cellStyle name="Normal 12 2 3 2 2 2" xfId="6691" xr:uid="{00000000-0005-0000-0000-0000A11F0000}"/>
    <cellStyle name="Normal 12 2 3 2 2 2 2" xfId="15791" xr:uid="{00000000-0005-0000-0000-0000A21F0000}"/>
    <cellStyle name="Normal 12 2 3 2 2 2 2 2" xfId="33973" xr:uid="{00000000-0005-0000-0000-0000A31F0000}"/>
    <cellStyle name="Normal 12 2 3 2 2 2 3" xfId="24883" xr:uid="{00000000-0005-0000-0000-0000A41F0000}"/>
    <cellStyle name="Normal 12 2 3 2 2 3" xfId="11255" xr:uid="{00000000-0005-0000-0000-0000A51F0000}"/>
    <cellStyle name="Normal 12 2 3 2 2 3 2" xfId="29437" xr:uid="{00000000-0005-0000-0000-0000A61F0000}"/>
    <cellStyle name="Normal 12 2 3 2 2 4" xfId="20347" xr:uid="{00000000-0005-0000-0000-0000A71F0000}"/>
    <cellStyle name="Normal 12 2 3 2 3" xfId="3609" xr:uid="{00000000-0005-0000-0000-0000A81F0000}"/>
    <cellStyle name="Normal 12 2 3 2 3 2" xfId="8165" xr:uid="{00000000-0005-0000-0000-0000A91F0000}"/>
    <cellStyle name="Normal 12 2 3 2 3 2 2" xfId="17261" xr:uid="{00000000-0005-0000-0000-0000AA1F0000}"/>
    <cellStyle name="Normal 12 2 3 2 3 2 2 2" xfId="35443" xr:uid="{00000000-0005-0000-0000-0000AB1F0000}"/>
    <cellStyle name="Normal 12 2 3 2 3 2 3" xfId="26353" xr:uid="{00000000-0005-0000-0000-0000AC1F0000}"/>
    <cellStyle name="Normal 12 2 3 2 3 3" xfId="12721" xr:uid="{00000000-0005-0000-0000-0000AD1F0000}"/>
    <cellStyle name="Normal 12 2 3 2 3 3 2" xfId="30903" xr:uid="{00000000-0005-0000-0000-0000AE1F0000}"/>
    <cellStyle name="Normal 12 2 3 2 3 4" xfId="21813" xr:uid="{00000000-0005-0000-0000-0000AF1F0000}"/>
    <cellStyle name="Normal 12 2 3 2 4" xfId="5248" xr:uid="{00000000-0005-0000-0000-0000B01F0000}"/>
    <cellStyle name="Normal 12 2 3 2 4 2" xfId="14348" xr:uid="{00000000-0005-0000-0000-0000B11F0000}"/>
    <cellStyle name="Normal 12 2 3 2 4 2 2" xfId="32530" xr:uid="{00000000-0005-0000-0000-0000B21F0000}"/>
    <cellStyle name="Normal 12 2 3 2 4 3" xfId="23440" xr:uid="{00000000-0005-0000-0000-0000B31F0000}"/>
    <cellStyle name="Normal 12 2 3 2 5" xfId="9814" xr:uid="{00000000-0005-0000-0000-0000B41F0000}"/>
    <cellStyle name="Normal 12 2 3 2 5 2" xfId="27996" xr:uid="{00000000-0005-0000-0000-0000B51F0000}"/>
    <cellStyle name="Normal 12 2 3 2 6" xfId="18905" xr:uid="{00000000-0005-0000-0000-0000B61F0000}"/>
    <cellStyle name="Normal 12 2 3 3" xfId="2106" xr:uid="{00000000-0005-0000-0000-0000B71F0000}"/>
    <cellStyle name="Normal 12 2 3 3 2" xfId="6692" xr:uid="{00000000-0005-0000-0000-0000B81F0000}"/>
    <cellStyle name="Normal 12 2 3 3 2 2" xfId="15792" xr:uid="{00000000-0005-0000-0000-0000B91F0000}"/>
    <cellStyle name="Normal 12 2 3 3 2 2 2" xfId="33974" xr:uid="{00000000-0005-0000-0000-0000BA1F0000}"/>
    <cellStyle name="Normal 12 2 3 3 2 3" xfId="24884" xr:uid="{00000000-0005-0000-0000-0000BB1F0000}"/>
    <cellStyle name="Normal 12 2 3 3 3" xfId="11256" xr:uid="{00000000-0005-0000-0000-0000BC1F0000}"/>
    <cellStyle name="Normal 12 2 3 3 3 2" xfId="29438" xr:uid="{00000000-0005-0000-0000-0000BD1F0000}"/>
    <cellStyle name="Normal 12 2 3 3 4" xfId="20348" xr:uid="{00000000-0005-0000-0000-0000BE1F0000}"/>
    <cellStyle name="Normal 12 2 3 4" xfId="3608" xr:uid="{00000000-0005-0000-0000-0000BF1F0000}"/>
    <cellStyle name="Normal 12 2 3 4 2" xfId="8164" xr:uid="{00000000-0005-0000-0000-0000C01F0000}"/>
    <cellStyle name="Normal 12 2 3 4 2 2" xfId="17260" xr:uid="{00000000-0005-0000-0000-0000C11F0000}"/>
    <cellStyle name="Normal 12 2 3 4 2 2 2" xfId="35442" xr:uid="{00000000-0005-0000-0000-0000C21F0000}"/>
    <cellStyle name="Normal 12 2 3 4 2 3" xfId="26352" xr:uid="{00000000-0005-0000-0000-0000C31F0000}"/>
    <cellStyle name="Normal 12 2 3 4 3" xfId="12720" xr:uid="{00000000-0005-0000-0000-0000C41F0000}"/>
    <cellStyle name="Normal 12 2 3 4 3 2" xfId="30902" xr:uid="{00000000-0005-0000-0000-0000C51F0000}"/>
    <cellStyle name="Normal 12 2 3 4 4" xfId="21812" xr:uid="{00000000-0005-0000-0000-0000C61F0000}"/>
    <cellStyle name="Normal 12 2 3 5" xfId="5247" xr:uid="{00000000-0005-0000-0000-0000C71F0000}"/>
    <cellStyle name="Normal 12 2 3 5 2" xfId="14347" xr:uid="{00000000-0005-0000-0000-0000C81F0000}"/>
    <cellStyle name="Normal 12 2 3 5 2 2" xfId="32529" xr:uid="{00000000-0005-0000-0000-0000C91F0000}"/>
    <cellStyle name="Normal 12 2 3 5 3" xfId="23439" xr:uid="{00000000-0005-0000-0000-0000CA1F0000}"/>
    <cellStyle name="Normal 12 2 3 6" xfId="9813" xr:uid="{00000000-0005-0000-0000-0000CB1F0000}"/>
    <cellStyle name="Normal 12 2 3 6 2" xfId="27995" xr:uid="{00000000-0005-0000-0000-0000CC1F0000}"/>
    <cellStyle name="Normal 12 2 3 7" xfId="18904" xr:uid="{00000000-0005-0000-0000-0000CD1F0000}"/>
    <cellStyle name="Normal 12 2 4" xfId="600" xr:uid="{00000000-0005-0000-0000-0000CE1F0000}"/>
    <cellStyle name="Normal 12 2 4 2" xfId="2107" xr:uid="{00000000-0005-0000-0000-0000CF1F0000}"/>
    <cellStyle name="Normal 12 2 4 2 2" xfId="6693" xr:uid="{00000000-0005-0000-0000-0000D01F0000}"/>
    <cellStyle name="Normal 12 2 4 2 2 2" xfId="15793" xr:uid="{00000000-0005-0000-0000-0000D11F0000}"/>
    <cellStyle name="Normal 12 2 4 2 2 2 2" xfId="33975" xr:uid="{00000000-0005-0000-0000-0000D21F0000}"/>
    <cellStyle name="Normal 12 2 4 2 2 3" xfId="24885" xr:uid="{00000000-0005-0000-0000-0000D31F0000}"/>
    <cellStyle name="Normal 12 2 4 2 3" xfId="11257" xr:uid="{00000000-0005-0000-0000-0000D41F0000}"/>
    <cellStyle name="Normal 12 2 4 2 3 2" xfId="29439" xr:uid="{00000000-0005-0000-0000-0000D51F0000}"/>
    <cellStyle name="Normal 12 2 4 2 4" xfId="20349" xr:uid="{00000000-0005-0000-0000-0000D61F0000}"/>
    <cellStyle name="Normal 12 2 4 3" xfId="3610" xr:uid="{00000000-0005-0000-0000-0000D71F0000}"/>
    <cellStyle name="Normal 12 2 4 3 2" xfId="8166" xr:uid="{00000000-0005-0000-0000-0000D81F0000}"/>
    <cellStyle name="Normal 12 2 4 3 2 2" xfId="17262" xr:uid="{00000000-0005-0000-0000-0000D91F0000}"/>
    <cellStyle name="Normal 12 2 4 3 2 2 2" xfId="35444" xr:uid="{00000000-0005-0000-0000-0000DA1F0000}"/>
    <cellStyle name="Normal 12 2 4 3 2 3" xfId="26354" xr:uid="{00000000-0005-0000-0000-0000DB1F0000}"/>
    <cellStyle name="Normal 12 2 4 3 3" xfId="12722" xr:uid="{00000000-0005-0000-0000-0000DC1F0000}"/>
    <cellStyle name="Normal 12 2 4 3 3 2" xfId="30904" xr:uid="{00000000-0005-0000-0000-0000DD1F0000}"/>
    <cellStyle name="Normal 12 2 4 3 4" xfId="21814" xr:uid="{00000000-0005-0000-0000-0000DE1F0000}"/>
    <cellStyle name="Normal 12 2 4 4" xfId="5249" xr:uid="{00000000-0005-0000-0000-0000DF1F0000}"/>
    <cellStyle name="Normal 12 2 4 4 2" xfId="14349" xr:uid="{00000000-0005-0000-0000-0000E01F0000}"/>
    <cellStyle name="Normal 12 2 4 4 2 2" xfId="32531" xr:uid="{00000000-0005-0000-0000-0000E11F0000}"/>
    <cellStyle name="Normal 12 2 4 4 3" xfId="23441" xr:uid="{00000000-0005-0000-0000-0000E21F0000}"/>
    <cellStyle name="Normal 12 2 4 5" xfId="9815" xr:uid="{00000000-0005-0000-0000-0000E31F0000}"/>
    <cellStyle name="Normal 12 2 4 5 2" xfId="27997" xr:uid="{00000000-0005-0000-0000-0000E41F0000}"/>
    <cellStyle name="Normal 12 2 4 6" xfId="18906" xr:uid="{00000000-0005-0000-0000-0000E51F0000}"/>
    <cellStyle name="Normal 12 2 5" xfId="601" xr:uid="{00000000-0005-0000-0000-0000E61F0000}"/>
    <cellStyle name="Normal 12 2 5 2" xfId="3611" xr:uid="{00000000-0005-0000-0000-0000E71F0000}"/>
    <cellStyle name="Normal 12 2 5 2 2" xfId="8167" xr:uid="{00000000-0005-0000-0000-0000E81F0000}"/>
    <cellStyle name="Normal 12 2 5 2 2 2" xfId="17263" xr:uid="{00000000-0005-0000-0000-0000E91F0000}"/>
    <cellStyle name="Normal 12 2 5 2 2 2 2" xfId="35445" xr:uid="{00000000-0005-0000-0000-0000EA1F0000}"/>
    <cellStyle name="Normal 12 2 5 2 2 3" xfId="26355" xr:uid="{00000000-0005-0000-0000-0000EB1F0000}"/>
    <cellStyle name="Normal 12 2 5 2 3" xfId="12723" xr:uid="{00000000-0005-0000-0000-0000EC1F0000}"/>
    <cellStyle name="Normal 12 2 5 2 3 2" xfId="30905" xr:uid="{00000000-0005-0000-0000-0000ED1F0000}"/>
    <cellStyle name="Normal 12 2 5 2 4" xfId="21815" xr:uid="{00000000-0005-0000-0000-0000EE1F0000}"/>
    <cellStyle name="Normal 12 2 5 3" xfId="5250" xr:uid="{00000000-0005-0000-0000-0000EF1F0000}"/>
    <cellStyle name="Normal 12 2 5 3 2" xfId="14350" xr:uid="{00000000-0005-0000-0000-0000F01F0000}"/>
    <cellStyle name="Normal 12 2 5 3 2 2" xfId="32532" xr:uid="{00000000-0005-0000-0000-0000F11F0000}"/>
    <cellStyle name="Normal 12 2 5 3 3" xfId="23442" xr:uid="{00000000-0005-0000-0000-0000F21F0000}"/>
    <cellStyle name="Normal 12 2 5 4" xfId="9816" xr:uid="{00000000-0005-0000-0000-0000F31F0000}"/>
    <cellStyle name="Normal 12 2 5 4 2" xfId="27998" xr:uid="{00000000-0005-0000-0000-0000F41F0000}"/>
    <cellStyle name="Normal 12 2 5 5" xfId="18907" xr:uid="{00000000-0005-0000-0000-0000F51F0000}"/>
    <cellStyle name="Normal 12 2 6" xfId="2108" xr:uid="{00000000-0005-0000-0000-0000F61F0000}"/>
    <cellStyle name="Normal 12 2 6 2" xfId="6694" xr:uid="{00000000-0005-0000-0000-0000F71F0000}"/>
    <cellStyle name="Normal 12 2 6 2 2" xfId="15794" xr:uid="{00000000-0005-0000-0000-0000F81F0000}"/>
    <cellStyle name="Normal 12 2 6 2 2 2" xfId="33976" xr:uid="{00000000-0005-0000-0000-0000F91F0000}"/>
    <cellStyle name="Normal 12 2 6 2 3" xfId="24886" xr:uid="{00000000-0005-0000-0000-0000FA1F0000}"/>
    <cellStyle name="Normal 12 2 6 3" xfId="11258" xr:uid="{00000000-0005-0000-0000-0000FB1F0000}"/>
    <cellStyle name="Normal 12 2 6 3 2" xfId="29440" xr:uid="{00000000-0005-0000-0000-0000FC1F0000}"/>
    <cellStyle name="Normal 12 2 6 4" xfId="20350" xr:uid="{00000000-0005-0000-0000-0000FD1F0000}"/>
    <cellStyle name="Normal 12 2 7" xfId="3602" xr:uid="{00000000-0005-0000-0000-0000FE1F0000}"/>
    <cellStyle name="Normal 12 2 7 2" xfId="8158" xr:uid="{00000000-0005-0000-0000-0000FF1F0000}"/>
    <cellStyle name="Normal 12 2 7 2 2" xfId="17254" xr:uid="{00000000-0005-0000-0000-000000200000}"/>
    <cellStyle name="Normal 12 2 7 2 2 2" xfId="35436" xr:uid="{00000000-0005-0000-0000-000001200000}"/>
    <cellStyle name="Normal 12 2 7 2 3" xfId="26346" xr:uid="{00000000-0005-0000-0000-000002200000}"/>
    <cellStyle name="Normal 12 2 7 3" xfId="12714" xr:uid="{00000000-0005-0000-0000-000003200000}"/>
    <cellStyle name="Normal 12 2 7 3 2" xfId="30896" xr:uid="{00000000-0005-0000-0000-000004200000}"/>
    <cellStyle name="Normal 12 2 7 4" xfId="21806" xr:uid="{00000000-0005-0000-0000-000005200000}"/>
    <cellStyle name="Normal 12 2 8" xfId="5241" xr:uid="{00000000-0005-0000-0000-000006200000}"/>
    <cellStyle name="Normal 12 2 8 2" xfId="14341" xr:uid="{00000000-0005-0000-0000-000007200000}"/>
    <cellStyle name="Normal 12 2 8 2 2" xfId="32523" xr:uid="{00000000-0005-0000-0000-000008200000}"/>
    <cellStyle name="Normal 12 2 8 3" xfId="23433" xr:uid="{00000000-0005-0000-0000-000009200000}"/>
    <cellStyle name="Normal 12 2 9" xfId="9807" xr:uid="{00000000-0005-0000-0000-00000A200000}"/>
    <cellStyle name="Normal 12 2 9 2" xfId="27989" xr:uid="{00000000-0005-0000-0000-00000B200000}"/>
    <cellStyle name="Normal 12 3" xfId="602" xr:uid="{00000000-0005-0000-0000-00000C200000}"/>
    <cellStyle name="Normal 12 3 2" xfId="603" xr:uid="{00000000-0005-0000-0000-00000D200000}"/>
    <cellStyle name="Normal 12 3 2 2" xfId="604" xr:uid="{00000000-0005-0000-0000-00000E200000}"/>
    <cellStyle name="Normal 12 3 2 2 2" xfId="2109" xr:uid="{00000000-0005-0000-0000-00000F200000}"/>
    <cellStyle name="Normal 12 3 2 2 2 2" xfId="6695" xr:uid="{00000000-0005-0000-0000-000010200000}"/>
    <cellStyle name="Normal 12 3 2 2 2 2 2" xfId="15795" xr:uid="{00000000-0005-0000-0000-000011200000}"/>
    <cellStyle name="Normal 12 3 2 2 2 2 2 2" xfId="33977" xr:uid="{00000000-0005-0000-0000-000012200000}"/>
    <cellStyle name="Normal 12 3 2 2 2 2 3" xfId="24887" xr:uid="{00000000-0005-0000-0000-000013200000}"/>
    <cellStyle name="Normal 12 3 2 2 2 3" xfId="11259" xr:uid="{00000000-0005-0000-0000-000014200000}"/>
    <cellStyle name="Normal 12 3 2 2 2 3 2" xfId="29441" xr:uid="{00000000-0005-0000-0000-000015200000}"/>
    <cellStyle name="Normal 12 3 2 2 2 4" xfId="20351" xr:uid="{00000000-0005-0000-0000-000016200000}"/>
    <cellStyle name="Normal 12 3 2 2 3" xfId="3614" xr:uid="{00000000-0005-0000-0000-000017200000}"/>
    <cellStyle name="Normal 12 3 2 2 3 2" xfId="8170" xr:uid="{00000000-0005-0000-0000-000018200000}"/>
    <cellStyle name="Normal 12 3 2 2 3 2 2" xfId="17266" xr:uid="{00000000-0005-0000-0000-000019200000}"/>
    <cellStyle name="Normal 12 3 2 2 3 2 2 2" xfId="35448" xr:uid="{00000000-0005-0000-0000-00001A200000}"/>
    <cellStyle name="Normal 12 3 2 2 3 2 3" xfId="26358" xr:uid="{00000000-0005-0000-0000-00001B200000}"/>
    <cellStyle name="Normal 12 3 2 2 3 3" xfId="12726" xr:uid="{00000000-0005-0000-0000-00001C200000}"/>
    <cellStyle name="Normal 12 3 2 2 3 3 2" xfId="30908" xr:uid="{00000000-0005-0000-0000-00001D200000}"/>
    <cellStyle name="Normal 12 3 2 2 3 4" xfId="21818" xr:uid="{00000000-0005-0000-0000-00001E200000}"/>
    <cellStyle name="Normal 12 3 2 2 4" xfId="5253" xr:uid="{00000000-0005-0000-0000-00001F200000}"/>
    <cellStyle name="Normal 12 3 2 2 4 2" xfId="14353" xr:uid="{00000000-0005-0000-0000-000020200000}"/>
    <cellStyle name="Normal 12 3 2 2 4 2 2" xfId="32535" xr:uid="{00000000-0005-0000-0000-000021200000}"/>
    <cellStyle name="Normal 12 3 2 2 4 3" xfId="23445" xr:uid="{00000000-0005-0000-0000-000022200000}"/>
    <cellStyle name="Normal 12 3 2 2 5" xfId="9819" xr:uid="{00000000-0005-0000-0000-000023200000}"/>
    <cellStyle name="Normal 12 3 2 2 5 2" xfId="28001" xr:uid="{00000000-0005-0000-0000-000024200000}"/>
    <cellStyle name="Normal 12 3 2 2 6" xfId="18910" xr:uid="{00000000-0005-0000-0000-000025200000}"/>
    <cellStyle name="Normal 12 3 2 3" xfId="2110" xr:uid="{00000000-0005-0000-0000-000026200000}"/>
    <cellStyle name="Normal 12 3 2 3 2" xfId="6696" xr:uid="{00000000-0005-0000-0000-000027200000}"/>
    <cellStyle name="Normal 12 3 2 3 2 2" xfId="15796" xr:uid="{00000000-0005-0000-0000-000028200000}"/>
    <cellStyle name="Normal 12 3 2 3 2 2 2" xfId="33978" xr:uid="{00000000-0005-0000-0000-000029200000}"/>
    <cellStyle name="Normal 12 3 2 3 2 3" xfId="24888" xr:uid="{00000000-0005-0000-0000-00002A200000}"/>
    <cellStyle name="Normal 12 3 2 3 3" xfId="11260" xr:uid="{00000000-0005-0000-0000-00002B200000}"/>
    <cellStyle name="Normal 12 3 2 3 3 2" xfId="29442" xr:uid="{00000000-0005-0000-0000-00002C200000}"/>
    <cellStyle name="Normal 12 3 2 3 4" xfId="20352" xr:uid="{00000000-0005-0000-0000-00002D200000}"/>
    <cellStyle name="Normal 12 3 2 4" xfId="3613" xr:uid="{00000000-0005-0000-0000-00002E200000}"/>
    <cellStyle name="Normal 12 3 2 4 2" xfId="8169" xr:uid="{00000000-0005-0000-0000-00002F200000}"/>
    <cellStyle name="Normal 12 3 2 4 2 2" xfId="17265" xr:uid="{00000000-0005-0000-0000-000030200000}"/>
    <cellStyle name="Normal 12 3 2 4 2 2 2" xfId="35447" xr:uid="{00000000-0005-0000-0000-000031200000}"/>
    <cellStyle name="Normal 12 3 2 4 2 3" xfId="26357" xr:uid="{00000000-0005-0000-0000-000032200000}"/>
    <cellStyle name="Normal 12 3 2 4 3" xfId="12725" xr:uid="{00000000-0005-0000-0000-000033200000}"/>
    <cellStyle name="Normal 12 3 2 4 3 2" xfId="30907" xr:uid="{00000000-0005-0000-0000-000034200000}"/>
    <cellStyle name="Normal 12 3 2 4 4" xfId="21817" xr:uid="{00000000-0005-0000-0000-000035200000}"/>
    <cellStyle name="Normal 12 3 2 5" xfId="5252" xr:uid="{00000000-0005-0000-0000-000036200000}"/>
    <cellStyle name="Normal 12 3 2 5 2" xfId="14352" xr:uid="{00000000-0005-0000-0000-000037200000}"/>
    <cellStyle name="Normal 12 3 2 5 2 2" xfId="32534" xr:uid="{00000000-0005-0000-0000-000038200000}"/>
    <cellStyle name="Normal 12 3 2 5 3" xfId="23444" xr:uid="{00000000-0005-0000-0000-000039200000}"/>
    <cellStyle name="Normal 12 3 2 6" xfId="9818" xr:uid="{00000000-0005-0000-0000-00003A200000}"/>
    <cellStyle name="Normal 12 3 2 6 2" xfId="28000" xr:uid="{00000000-0005-0000-0000-00003B200000}"/>
    <cellStyle name="Normal 12 3 2 7" xfId="18909" xr:uid="{00000000-0005-0000-0000-00003C200000}"/>
    <cellStyle name="Normal 12 3 3" xfId="605" xr:uid="{00000000-0005-0000-0000-00003D200000}"/>
    <cellStyle name="Normal 12 3 3 2" xfId="2111" xr:uid="{00000000-0005-0000-0000-00003E200000}"/>
    <cellStyle name="Normal 12 3 3 2 2" xfId="6697" xr:uid="{00000000-0005-0000-0000-00003F200000}"/>
    <cellStyle name="Normal 12 3 3 2 2 2" xfId="15797" xr:uid="{00000000-0005-0000-0000-000040200000}"/>
    <cellStyle name="Normal 12 3 3 2 2 2 2" xfId="33979" xr:uid="{00000000-0005-0000-0000-000041200000}"/>
    <cellStyle name="Normal 12 3 3 2 2 3" xfId="24889" xr:uid="{00000000-0005-0000-0000-000042200000}"/>
    <cellStyle name="Normal 12 3 3 2 3" xfId="11261" xr:uid="{00000000-0005-0000-0000-000043200000}"/>
    <cellStyle name="Normal 12 3 3 2 3 2" xfId="29443" xr:uid="{00000000-0005-0000-0000-000044200000}"/>
    <cellStyle name="Normal 12 3 3 2 4" xfId="20353" xr:uid="{00000000-0005-0000-0000-000045200000}"/>
    <cellStyle name="Normal 12 3 3 3" xfId="3615" xr:uid="{00000000-0005-0000-0000-000046200000}"/>
    <cellStyle name="Normal 12 3 3 3 2" xfId="8171" xr:uid="{00000000-0005-0000-0000-000047200000}"/>
    <cellStyle name="Normal 12 3 3 3 2 2" xfId="17267" xr:uid="{00000000-0005-0000-0000-000048200000}"/>
    <cellStyle name="Normal 12 3 3 3 2 2 2" xfId="35449" xr:uid="{00000000-0005-0000-0000-000049200000}"/>
    <cellStyle name="Normal 12 3 3 3 2 3" xfId="26359" xr:uid="{00000000-0005-0000-0000-00004A200000}"/>
    <cellStyle name="Normal 12 3 3 3 3" xfId="12727" xr:uid="{00000000-0005-0000-0000-00004B200000}"/>
    <cellStyle name="Normal 12 3 3 3 3 2" xfId="30909" xr:uid="{00000000-0005-0000-0000-00004C200000}"/>
    <cellStyle name="Normal 12 3 3 3 4" xfId="21819" xr:uid="{00000000-0005-0000-0000-00004D200000}"/>
    <cellStyle name="Normal 12 3 3 4" xfId="5254" xr:uid="{00000000-0005-0000-0000-00004E200000}"/>
    <cellStyle name="Normal 12 3 3 4 2" xfId="14354" xr:uid="{00000000-0005-0000-0000-00004F200000}"/>
    <cellStyle name="Normal 12 3 3 4 2 2" xfId="32536" xr:uid="{00000000-0005-0000-0000-000050200000}"/>
    <cellStyle name="Normal 12 3 3 4 3" xfId="23446" xr:uid="{00000000-0005-0000-0000-000051200000}"/>
    <cellStyle name="Normal 12 3 3 5" xfId="9820" xr:uid="{00000000-0005-0000-0000-000052200000}"/>
    <cellStyle name="Normal 12 3 3 5 2" xfId="28002" xr:uid="{00000000-0005-0000-0000-000053200000}"/>
    <cellStyle name="Normal 12 3 3 6" xfId="18911" xr:uid="{00000000-0005-0000-0000-000054200000}"/>
    <cellStyle name="Normal 12 3 4" xfId="606" xr:uid="{00000000-0005-0000-0000-000055200000}"/>
    <cellStyle name="Normal 12 3 4 2" xfId="3616" xr:uid="{00000000-0005-0000-0000-000056200000}"/>
    <cellStyle name="Normal 12 3 4 2 2" xfId="8172" xr:uid="{00000000-0005-0000-0000-000057200000}"/>
    <cellStyle name="Normal 12 3 4 2 2 2" xfId="17268" xr:uid="{00000000-0005-0000-0000-000058200000}"/>
    <cellStyle name="Normal 12 3 4 2 2 2 2" xfId="35450" xr:uid="{00000000-0005-0000-0000-000059200000}"/>
    <cellStyle name="Normal 12 3 4 2 2 3" xfId="26360" xr:uid="{00000000-0005-0000-0000-00005A200000}"/>
    <cellStyle name="Normal 12 3 4 2 3" xfId="12728" xr:uid="{00000000-0005-0000-0000-00005B200000}"/>
    <cellStyle name="Normal 12 3 4 2 3 2" xfId="30910" xr:uid="{00000000-0005-0000-0000-00005C200000}"/>
    <cellStyle name="Normal 12 3 4 2 4" xfId="21820" xr:uid="{00000000-0005-0000-0000-00005D200000}"/>
    <cellStyle name="Normal 12 3 4 3" xfId="5255" xr:uid="{00000000-0005-0000-0000-00005E200000}"/>
    <cellStyle name="Normal 12 3 4 3 2" xfId="14355" xr:uid="{00000000-0005-0000-0000-00005F200000}"/>
    <cellStyle name="Normal 12 3 4 3 2 2" xfId="32537" xr:uid="{00000000-0005-0000-0000-000060200000}"/>
    <cellStyle name="Normal 12 3 4 3 3" xfId="23447" xr:uid="{00000000-0005-0000-0000-000061200000}"/>
    <cellStyle name="Normal 12 3 4 4" xfId="9821" xr:uid="{00000000-0005-0000-0000-000062200000}"/>
    <cellStyle name="Normal 12 3 4 4 2" xfId="28003" xr:uid="{00000000-0005-0000-0000-000063200000}"/>
    <cellStyle name="Normal 12 3 4 5" xfId="18912" xr:uid="{00000000-0005-0000-0000-000064200000}"/>
    <cellStyle name="Normal 12 3 5" xfId="2112" xr:uid="{00000000-0005-0000-0000-000065200000}"/>
    <cellStyle name="Normal 12 3 5 2" xfId="6698" xr:uid="{00000000-0005-0000-0000-000066200000}"/>
    <cellStyle name="Normal 12 3 5 2 2" xfId="15798" xr:uid="{00000000-0005-0000-0000-000067200000}"/>
    <cellStyle name="Normal 12 3 5 2 2 2" xfId="33980" xr:uid="{00000000-0005-0000-0000-000068200000}"/>
    <cellStyle name="Normal 12 3 5 2 3" xfId="24890" xr:uid="{00000000-0005-0000-0000-000069200000}"/>
    <cellStyle name="Normal 12 3 5 3" xfId="11262" xr:uid="{00000000-0005-0000-0000-00006A200000}"/>
    <cellStyle name="Normal 12 3 5 3 2" xfId="29444" xr:uid="{00000000-0005-0000-0000-00006B200000}"/>
    <cellStyle name="Normal 12 3 5 4" xfId="20354" xr:uid="{00000000-0005-0000-0000-00006C200000}"/>
    <cellStyle name="Normal 12 3 6" xfId="3612" xr:uid="{00000000-0005-0000-0000-00006D200000}"/>
    <cellStyle name="Normal 12 3 6 2" xfId="8168" xr:uid="{00000000-0005-0000-0000-00006E200000}"/>
    <cellStyle name="Normal 12 3 6 2 2" xfId="17264" xr:uid="{00000000-0005-0000-0000-00006F200000}"/>
    <cellStyle name="Normal 12 3 6 2 2 2" xfId="35446" xr:uid="{00000000-0005-0000-0000-000070200000}"/>
    <cellStyle name="Normal 12 3 6 2 3" xfId="26356" xr:uid="{00000000-0005-0000-0000-000071200000}"/>
    <cellStyle name="Normal 12 3 6 3" xfId="12724" xr:uid="{00000000-0005-0000-0000-000072200000}"/>
    <cellStyle name="Normal 12 3 6 3 2" xfId="30906" xr:uid="{00000000-0005-0000-0000-000073200000}"/>
    <cellStyle name="Normal 12 3 6 4" xfId="21816" xr:uid="{00000000-0005-0000-0000-000074200000}"/>
    <cellStyle name="Normal 12 3 7" xfId="5251" xr:uid="{00000000-0005-0000-0000-000075200000}"/>
    <cellStyle name="Normal 12 3 7 2" xfId="14351" xr:uid="{00000000-0005-0000-0000-000076200000}"/>
    <cellStyle name="Normal 12 3 7 2 2" xfId="32533" xr:uid="{00000000-0005-0000-0000-000077200000}"/>
    <cellStyle name="Normal 12 3 7 3" xfId="23443" xr:uid="{00000000-0005-0000-0000-000078200000}"/>
    <cellStyle name="Normal 12 3 8" xfId="9817" xr:uid="{00000000-0005-0000-0000-000079200000}"/>
    <cellStyle name="Normal 12 3 8 2" xfId="27999" xr:uid="{00000000-0005-0000-0000-00007A200000}"/>
    <cellStyle name="Normal 12 3 9" xfId="18908" xr:uid="{00000000-0005-0000-0000-00007B200000}"/>
    <cellStyle name="Normal 12 4" xfId="607" xr:uid="{00000000-0005-0000-0000-00007C200000}"/>
    <cellStyle name="Normal 12 4 2" xfId="608" xr:uid="{00000000-0005-0000-0000-00007D200000}"/>
    <cellStyle name="Normal 12 4 2 2" xfId="2113" xr:uid="{00000000-0005-0000-0000-00007E200000}"/>
    <cellStyle name="Normal 12 4 2 2 2" xfId="6699" xr:uid="{00000000-0005-0000-0000-00007F200000}"/>
    <cellStyle name="Normal 12 4 2 2 2 2" xfId="15799" xr:uid="{00000000-0005-0000-0000-000080200000}"/>
    <cellStyle name="Normal 12 4 2 2 2 2 2" xfId="33981" xr:uid="{00000000-0005-0000-0000-000081200000}"/>
    <cellStyle name="Normal 12 4 2 2 2 3" xfId="24891" xr:uid="{00000000-0005-0000-0000-000082200000}"/>
    <cellStyle name="Normal 12 4 2 2 3" xfId="11263" xr:uid="{00000000-0005-0000-0000-000083200000}"/>
    <cellStyle name="Normal 12 4 2 2 3 2" xfId="29445" xr:uid="{00000000-0005-0000-0000-000084200000}"/>
    <cellStyle name="Normal 12 4 2 2 4" xfId="20355" xr:uid="{00000000-0005-0000-0000-000085200000}"/>
    <cellStyle name="Normal 12 4 2 3" xfId="3618" xr:uid="{00000000-0005-0000-0000-000086200000}"/>
    <cellStyle name="Normal 12 4 2 3 2" xfId="8174" xr:uid="{00000000-0005-0000-0000-000087200000}"/>
    <cellStyle name="Normal 12 4 2 3 2 2" xfId="17270" xr:uid="{00000000-0005-0000-0000-000088200000}"/>
    <cellStyle name="Normal 12 4 2 3 2 2 2" xfId="35452" xr:uid="{00000000-0005-0000-0000-000089200000}"/>
    <cellStyle name="Normal 12 4 2 3 2 3" xfId="26362" xr:uid="{00000000-0005-0000-0000-00008A200000}"/>
    <cellStyle name="Normal 12 4 2 3 3" xfId="12730" xr:uid="{00000000-0005-0000-0000-00008B200000}"/>
    <cellStyle name="Normal 12 4 2 3 3 2" xfId="30912" xr:uid="{00000000-0005-0000-0000-00008C200000}"/>
    <cellStyle name="Normal 12 4 2 3 4" xfId="21822" xr:uid="{00000000-0005-0000-0000-00008D200000}"/>
    <cellStyle name="Normal 12 4 2 4" xfId="5257" xr:uid="{00000000-0005-0000-0000-00008E200000}"/>
    <cellStyle name="Normal 12 4 2 4 2" xfId="14357" xr:uid="{00000000-0005-0000-0000-00008F200000}"/>
    <cellStyle name="Normal 12 4 2 4 2 2" xfId="32539" xr:uid="{00000000-0005-0000-0000-000090200000}"/>
    <cellStyle name="Normal 12 4 2 4 3" xfId="23449" xr:uid="{00000000-0005-0000-0000-000091200000}"/>
    <cellStyle name="Normal 12 4 2 5" xfId="9823" xr:uid="{00000000-0005-0000-0000-000092200000}"/>
    <cellStyle name="Normal 12 4 2 5 2" xfId="28005" xr:uid="{00000000-0005-0000-0000-000093200000}"/>
    <cellStyle name="Normal 12 4 2 6" xfId="18914" xr:uid="{00000000-0005-0000-0000-000094200000}"/>
    <cellStyle name="Normal 12 4 3" xfId="2114" xr:uid="{00000000-0005-0000-0000-000095200000}"/>
    <cellStyle name="Normal 12 4 3 2" xfId="6700" xr:uid="{00000000-0005-0000-0000-000096200000}"/>
    <cellStyle name="Normal 12 4 3 2 2" xfId="15800" xr:uid="{00000000-0005-0000-0000-000097200000}"/>
    <cellStyle name="Normal 12 4 3 2 2 2" xfId="33982" xr:uid="{00000000-0005-0000-0000-000098200000}"/>
    <cellStyle name="Normal 12 4 3 2 3" xfId="24892" xr:uid="{00000000-0005-0000-0000-000099200000}"/>
    <cellStyle name="Normal 12 4 3 3" xfId="11264" xr:uid="{00000000-0005-0000-0000-00009A200000}"/>
    <cellStyle name="Normal 12 4 3 3 2" xfId="29446" xr:uid="{00000000-0005-0000-0000-00009B200000}"/>
    <cellStyle name="Normal 12 4 3 4" xfId="20356" xr:uid="{00000000-0005-0000-0000-00009C200000}"/>
    <cellStyle name="Normal 12 4 4" xfId="3617" xr:uid="{00000000-0005-0000-0000-00009D200000}"/>
    <cellStyle name="Normal 12 4 4 2" xfId="8173" xr:uid="{00000000-0005-0000-0000-00009E200000}"/>
    <cellStyle name="Normal 12 4 4 2 2" xfId="17269" xr:uid="{00000000-0005-0000-0000-00009F200000}"/>
    <cellStyle name="Normal 12 4 4 2 2 2" xfId="35451" xr:uid="{00000000-0005-0000-0000-0000A0200000}"/>
    <cellStyle name="Normal 12 4 4 2 3" xfId="26361" xr:uid="{00000000-0005-0000-0000-0000A1200000}"/>
    <cellStyle name="Normal 12 4 4 3" xfId="12729" xr:uid="{00000000-0005-0000-0000-0000A2200000}"/>
    <cellStyle name="Normal 12 4 4 3 2" xfId="30911" xr:uid="{00000000-0005-0000-0000-0000A3200000}"/>
    <cellStyle name="Normal 12 4 4 4" xfId="21821" xr:uid="{00000000-0005-0000-0000-0000A4200000}"/>
    <cellStyle name="Normal 12 4 5" xfId="5256" xr:uid="{00000000-0005-0000-0000-0000A5200000}"/>
    <cellStyle name="Normal 12 4 5 2" xfId="14356" xr:uid="{00000000-0005-0000-0000-0000A6200000}"/>
    <cellStyle name="Normal 12 4 5 2 2" xfId="32538" xr:uid="{00000000-0005-0000-0000-0000A7200000}"/>
    <cellStyle name="Normal 12 4 5 3" xfId="23448" xr:uid="{00000000-0005-0000-0000-0000A8200000}"/>
    <cellStyle name="Normal 12 4 6" xfId="9822" xr:uid="{00000000-0005-0000-0000-0000A9200000}"/>
    <cellStyle name="Normal 12 4 6 2" xfId="28004" xr:uid="{00000000-0005-0000-0000-0000AA200000}"/>
    <cellStyle name="Normal 12 4 7" xfId="18913" xr:uid="{00000000-0005-0000-0000-0000AB200000}"/>
    <cellStyle name="Normal 12 5" xfId="609" xr:uid="{00000000-0005-0000-0000-0000AC200000}"/>
    <cellStyle name="Normal 12 5 2" xfId="2115" xr:uid="{00000000-0005-0000-0000-0000AD200000}"/>
    <cellStyle name="Normal 12 5 2 2" xfId="6701" xr:uid="{00000000-0005-0000-0000-0000AE200000}"/>
    <cellStyle name="Normal 12 5 2 2 2" xfId="15801" xr:uid="{00000000-0005-0000-0000-0000AF200000}"/>
    <cellStyle name="Normal 12 5 2 2 2 2" xfId="33983" xr:uid="{00000000-0005-0000-0000-0000B0200000}"/>
    <cellStyle name="Normal 12 5 2 2 3" xfId="24893" xr:uid="{00000000-0005-0000-0000-0000B1200000}"/>
    <cellStyle name="Normal 12 5 2 3" xfId="11265" xr:uid="{00000000-0005-0000-0000-0000B2200000}"/>
    <cellStyle name="Normal 12 5 2 3 2" xfId="29447" xr:uid="{00000000-0005-0000-0000-0000B3200000}"/>
    <cellStyle name="Normal 12 5 2 4" xfId="20357" xr:uid="{00000000-0005-0000-0000-0000B4200000}"/>
    <cellStyle name="Normal 12 5 3" xfId="3619" xr:uid="{00000000-0005-0000-0000-0000B5200000}"/>
    <cellStyle name="Normal 12 5 3 2" xfId="8175" xr:uid="{00000000-0005-0000-0000-0000B6200000}"/>
    <cellStyle name="Normal 12 5 3 2 2" xfId="17271" xr:uid="{00000000-0005-0000-0000-0000B7200000}"/>
    <cellStyle name="Normal 12 5 3 2 2 2" xfId="35453" xr:uid="{00000000-0005-0000-0000-0000B8200000}"/>
    <cellStyle name="Normal 12 5 3 2 3" xfId="26363" xr:uid="{00000000-0005-0000-0000-0000B9200000}"/>
    <cellStyle name="Normal 12 5 3 3" xfId="12731" xr:uid="{00000000-0005-0000-0000-0000BA200000}"/>
    <cellStyle name="Normal 12 5 3 3 2" xfId="30913" xr:uid="{00000000-0005-0000-0000-0000BB200000}"/>
    <cellStyle name="Normal 12 5 3 4" xfId="21823" xr:uid="{00000000-0005-0000-0000-0000BC200000}"/>
    <cellStyle name="Normal 12 5 4" xfId="5258" xr:uid="{00000000-0005-0000-0000-0000BD200000}"/>
    <cellStyle name="Normal 12 5 4 2" xfId="14358" xr:uid="{00000000-0005-0000-0000-0000BE200000}"/>
    <cellStyle name="Normal 12 5 4 2 2" xfId="32540" xr:uid="{00000000-0005-0000-0000-0000BF200000}"/>
    <cellStyle name="Normal 12 5 4 3" xfId="23450" xr:uid="{00000000-0005-0000-0000-0000C0200000}"/>
    <cellStyle name="Normal 12 5 5" xfId="9824" xr:uid="{00000000-0005-0000-0000-0000C1200000}"/>
    <cellStyle name="Normal 12 5 5 2" xfId="28006" xr:uid="{00000000-0005-0000-0000-0000C2200000}"/>
    <cellStyle name="Normal 12 5 6" xfId="18915" xr:uid="{00000000-0005-0000-0000-0000C3200000}"/>
    <cellStyle name="Normal 12 6" xfId="610" xr:uid="{00000000-0005-0000-0000-0000C4200000}"/>
    <cellStyle name="Normal 12 6 2" xfId="3620" xr:uid="{00000000-0005-0000-0000-0000C5200000}"/>
    <cellStyle name="Normal 12 6 2 2" xfId="8176" xr:uid="{00000000-0005-0000-0000-0000C6200000}"/>
    <cellStyle name="Normal 12 6 2 2 2" xfId="17272" xr:uid="{00000000-0005-0000-0000-0000C7200000}"/>
    <cellStyle name="Normal 12 6 2 2 2 2" xfId="35454" xr:uid="{00000000-0005-0000-0000-0000C8200000}"/>
    <cellStyle name="Normal 12 6 2 2 3" xfId="26364" xr:uid="{00000000-0005-0000-0000-0000C9200000}"/>
    <cellStyle name="Normal 12 6 2 3" xfId="12732" xr:uid="{00000000-0005-0000-0000-0000CA200000}"/>
    <cellStyle name="Normal 12 6 2 3 2" xfId="30914" xr:uid="{00000000-0005-0000-0000-0000CB200000}"/>
    <cellStyle name="Normal 12 6 2 4" xfId="21824" xr:uid="{00000000-0005-0000-0000-0000CC200000}"/>
    <cellStyle name="Normal 12 6 3" xfId="5259" xr:uid="{00000000-0005-0000-0000-0000CD200000}"/>
    <cellStyle name="Normal 12 6 3 2" xfId="14359" xr:uid="{00000000-0005-0000-0000-0000CE200000}"/>
    <cellStyle name="Normal 12 6 3 2 2" xfId="32541" xr:uid="{00000000-0005-0000-0000-0000CF200000}"/>
    <cellStyle name="Normal 12 6 3 3" xfId="23451" xr:uid="{00000000-0005-0000-0000-0000D0200000}"/>
    <cellStyle name="Normal 12 6 4" xfId="9825" xr:uid="{00000000-0005-0000-0000-0000D1200000}"/>
    <cellStyle name="Normal 12 6 4 2" xfId="28007" xr:uid="{00000000-0005-0000-0000-0000D2200000}"/>
    <cellStyle name="Normal 12 6 5" xfId="18916" xr:uid="{00000000-0005-0000-0000-0000D3200000}"/>
    <cellStyle name="Normal 12 7" xfId="2116" xr:uid="{00000000-0005-0000-0000-0000D4200000}"/>
    <cellStyle name="Normal 12 7 2" xfId="6702" xr:uid="{00000000-0005-0000-0000-0000D5200000}"/>
    <cellStyle name="Normal 12 7 2 2" xfId="15802" xr:uid="{00000000-0005-0000-0000-0000D6200000}"/>
    <cellStyle name="Normal 12 7 2 2 2" xfId="33984" xr:uid="{00000000-0005-0000-0000-0000D7200000}"/>
    <cellStyle name="Normal 12 7 2 3" xfId="24894" xr:uid="{00000000-0005-0000-0000-0000D8200000}"/>
    <cellStyle name="Normal 12 7 3" xfId="11266" xr:uid="{00000000-0005-0000-0000-0000D9200000}"/>
    <cellStyle name="Normal 12 7 3 2" xfId="29448" xr:uid="{00000000-0005-0000-0000-0000DA200000}"/>
    <cellStyle name="Normal 12 7 4" xfId="20358" xr:uid="{00000000-0005-0000-0000-0000DB200000}"/>
    <cellStyle name="Normal 12 8" xfId="3183" xr:uid="{00000000-0005-0000-0000-0000DC200000}"/>
    <cellStyle name="Normal 12 8 2" xfId="7743" xr:uid="{00000000-0005-0000-0000-0000DD200000}"/>
    <cellStyle name="Normal 12 8 2 2" xfId="16839" xr:uid="{00000000-0005-0000-0000-0000DE200000}"/>
    <cellStyle name="Normal 12 8 2 2 2" xfId="35021" xr:uid="{00000000-0005-0000-0000-0000DF200000}"/>
    <cellStyle name="Normal 12 8 2 3" xfId="25931" xr:uid="{00000000-0005-0000-0000-0000E0200000}"/>
    <cellStyle name="Normal 12 8 3" xfId="12299" xr:uid="{00000000-0005-0000-0000-0000E1200000}"/>
    <cellStyle name="Normal 12 8 3 2" xfId="30481" xr:uid="{00000000-0005-0000-0000-0000E2200000}"/>
    <cellStyle name="Normal 12 8 4" xfId="21391" xr:uid="{00000000-0005-0000-0000-0000E3200000}"/>
    <cellStyle name="Normal 12 9" xfId="4833" xr:uid="{00000000-0005-0000-0000-0000E4200000}"/>
    <cellStyle name="Normal 12 9 2" xfId="13933" xr:uid="{00000000-0005-0000-0000-0000E5200000}"/>
    <cellStyle name="Normal 12 9 2 2" xfId="32115" xr:uid="{00000000-0005-0000-0000-0000E6200000}"/>
    <cellStyle name="Normal 12 9 3" xfId="23025" xr:uid="{00000000-0005-0000-0000-0000E7200000}"/>
    <cellStyle name="Normal 13" xfId="115" xr:uid="{00000000-0005-0000-0000-0000E8200000}"/>
    <cellStyle name="Normal 13 10" xfId="9422" xr:uid="{00000000-0005-0000-0000-0000E9200000}"/>
    <cellStyle name="Normal 13 10 2" xfId="27604" xr:uid="{00000000-0005-0000-0000-0000EA200000}"/>
    <cellStyle name="Normal 13 11" xfId="18513" xr:uid="{00000000-0005-0000-0000-0000EB200000}"/>
    <cellStyle name="Normal 13 2" xfId="611" xr:uid="{00000000-0005-0000-0000-0000EC200000}"/>
    <cellStyle name="Normal 13 2 10" xfId="18917" xr:uid="{00000000-0005-0000-0000-0000ED200000}"/>
    <cellStyle name="Normal 13 2 2" xfId="612" xr:uid="{00000000-0005-0000-0000-0000EE200000}"/>
    <cellStyle name="Normal 13 2 2 2" xfId="613" xr:uid="{00000000-0005-0000-0000-0000EF200000}"/>
    <cellStyle name="Normal 13 2 2 2 2" xfId="614" xr:uid="{00000000-0005-0000-0000-0000F0200000}"/>
    <cellStyle name="Normal 13 2 2 2 2 2" xfId="2117" xr:uid="{00000000-0005-0000-0000-0000F1200000}"/>
    <cellStyle name="Normal 13 2 2 2 2 2 2" xfId="6703" xr:uid="{00000000-0005-0000-0000-0000F2200000}"/>
    <cellStyle name="Normal 13 2 2 2 2 2 2 2" xfId="15803" xr:uid="{00000000-0005-0000-0000-0000F3200000}"/>
    <cellStyle name="Normal 13 2 2 2 2 2 2 2 2" xfId="33985" xr:uid="{00000000-0005-0000-0000-0000F4200000}"/>
    <cellStyle name="Normal 13 2 2 2 2 2 2 3" xfId="24895" xr:uid="{00000000-0005-0000-0000-0000F5200000}"/>
    <cellStyle name="Normal 13 2 2 2 2 2 3" xfId="11267" xr:uid="{00000000-0005-0000-0000-0000F6200000}"/>
    <cellStyle name="Normal 13 2 2 2 2 2 3 2" xfId="29449" xr:uid="{00000000-0005-0000-0000-0000F7200000}"/>
    <cellStyle name="Normal 13 2 2 2 2 2 4" xfId="20359" xr:uid="{00000000-0005-0000-0000-0000F8200000}"/>
    <cellStyle name="Normal 13 2 2 2 2 3" xfId="3624" xr:uid="{00000000-0005-0000-0000-0000F9200000}"/>
    <cellStyle name="Normal 13 2 2 2 2 3 2" xfId="8180" xr:uid="{00000000-0005-0000-0000-0000FA200000}"/>
    <cellStyle name="Normal 13 2 2 2 2 3 2 2" xfId="17276" xr:uid="{00000000-0005-0000-0000-0000FB200000}"/>
    <cellStyle name="Normal 13 2 2 2 2 3 2 2 2" xfId="35458" xr:uid="{00000000-0005-0000-0000-0000FC200000}"/>
    <cellStyle name="Normal 13 2 2 2 2 3 2 3" xfId="26368" xr:uid="{00000000-0005-0000-0000-0000FD200000}"/>
    <cellStyle name="Normal 13 2 2 2 2 3 3" xfId="12736" xr:uid="{00000000-0005-0000-0000-0000FE200000}"/>
    <cellStyle name="Normal 13 2 2 2 2 3 3 2" xfId="30918" xr:uid="{00000000-0005-0000-0000-0000FF200000}"/>
    <cellStyle name="Normal 13 2 2 2 2 3 4" xfId="21828" xr:uid="{00000000-0005-0000-0000-000000210000}"/>
    <cellStyle name="Normal 13 2 2 2 2 4" xfId="5263" xr:uid="{00000000-0005-0000-0000-000001210000}"/>
    <cellStyle name="Normal 13 2 2 2 2 4 2" xfId="14363" xr:uid="{00000000-0005-0000-0000-000002210000}"/>
    <cellStyle name="Normal 13 2 2 2 2 4 2 2" xfId="32545" xr:uid="{00000000-0005-0000-0000-000003210000}"/>
    <cellStyle name="Normal 13 2 2 2 2 4 3" xfId="23455" xr:uid="{00000000-0005-0000-0000-000004210000}"/>
    <cellStyle name="Normal 13 2 2 2 2 5" xfId="9829" xr:uid="{00000000-0005-0000-0000-000005210000}"/>
    <cellStyle name="Normal 13 2 2 2 2 5 2" xfId="28011" xr:uid="{00000000-0005-0000-0000-000006210000}"/>
    <cellStyle name="Normal 13 2 2 2 2 6" xfId="18920" xr:uid="{00000000-0005-0000-0000-000007210000}"/>
    <cellStyle name="Normal 13 2 2 2 3" xfId="2118" xr:uid="{00000000-0005-0000-0000-000008210000}"/>
    <cellStyle name="Normal 13 2 2 2 3 2" xfId="6704" xr:uid="{00000000-0005-0000-0000-000009210000}"/>
    <cellStyle name="Normal 13 2 2 2 3 2 2" xfId="15804" xr:uid="{00000000-0005-0000-0000-00000A210000}"/>
    <cellStyle name="Normal 13 2 2 2 3 2 2 2" xfId="33986" xr:uid="{00000000-0005-0000-0000-00000B210000}"/>
    <cellStyle name="Normal 13 2 2 2 3 2 3" xfId="24896" xr:uid="{00000000-0005-0000-0000-00000C210000}"/>
    <cellStyle name="Normal 13 2 2 2 3 3" xfId="11268" xr:uid="{00000000-0005-0000-0000-00000D210000}"/>
    <cellStyle name="Normal 13 2 2 2 3 3 2" xfId="29450" xr:uid="{00000000-0005-0000-0000-00000E210000}"/>
    <cellStyle name="Normal 13 2 2 2 3 4" xfId="20360" xr:uid="{00000000-0005-0000-0000-00000F210000}"/>
    <cellStyle name="Normal 13 2 2 2 4" xfId="3623" xr:uid="{00000000-0005-0000-0000-000010210000}"/>
    <cellStyle name="Normal 13 2 2 2 4 2" xfId="8179" xr:uid="{00000000-0005-0000-0000-000011210000}"/>
    <cellStyle name="Normal 13 2 2 2 4 2 2" xfId="17275" xr:uid="{00000000-0005-0000-0000-000012210000}"/>
    <cellStyle name="Normal 13 2 2 2 4 2 2 2" xfId="35457" xr:uid="{00000000-0005-0000-0000-000013210000}"/>
    <cellStyle name="Normal 13 2 2 2 4 2 3" xfId="26367" xr:uid="{00000000-0005-0000-0000-000014210000}"/>
    <cellStyle name="Normal 13 2 2 2 4 3" xfId="12735" xr:uid="{00000000-0005-0000-0000-000015210000}"/>
    <cellStyle name="Normal 13 2 2 2 4 3 2" xfId="30917" xr:uid="{00000000-0005-0000-0000-000016210000}"/>
    <cellStyle name="Normal 13 2 2 2 4 4" xfId="21827" xr:uid="{00000000-0005-0000-0000-000017210000}"/>
    <cellStyle name="Normal 13 2 2 2 5" xfId="5262" xr:uid="{00000000-0005-0000-0000-000018210000}"/>
    <cellStyle name="Normal 13 2 2 2 5 2" xfId="14362" xr:uid="{00000000-0005-0000-0000-000019210000}"/>
    <cellStyle name="Normal 13 2 2 2 5 2 2" xfId="32544" xr:uid="{00000000-0005-0000-0000-00001A210000}"/>
    <cellStyle name="Normal 13 2 2 2 5 3" xfId="23454" xr:uid="{00000000-0005-0000-0000-00001B210000}"/>
    <cellStyle name="Normal 13 2 2 2 6" xfId="9828" xr:uid="{00000000-0005-0000-0000-00001C210000}"/>
    <cellStyle name="Normal 13 2 2 2 6 2" xfId="28010" xr:uid="{00000000-0005-0000-0000-00001D210000}"/>
    <cellStyle name="Normal 13 2 2 2 7" xfId="18919" xr:uid="{00000000-0005-0000-0000-00001E210000}"/>
    <cellStyle name="Normal 13 2 2 3" xfId="615" xr:uid="{00000000-0005-0000-0000-00001F210000}"/>
    <cellStyle name="Normal 13 2 2 3 2" xfId="2119" xr:uid="{00000000-0005-0000-0000-000020210000}"/>
    <cellStyle name="Normal 13 2 2 3 2 2" xfId="6705" xr:uid="{00000000-0005-0000-0000-000021210000}"/>
    <cellStyle name="Normal 13 2 2 3 2 2 2" xfId="15805" xr:uid="{00000000-0005-0000-0000-000022210000}"/>
    <cellStyle name="Normal 13 2 2 3 2 2 2 2" xfId="33987" xr:uid="{00000000-0005-0000-0000-000023210000}"/>
    <cellStyle name="Normal 13 2 2 3 2 2 3" xfId="24897" xr:uid="{00000000-0005-0000-0000-000024210000}"/>
    <cellStyle name="Normal 13 2 2 3 2 3" xfId="11269" xr:uid="{00000000-0005-0000-0000-000025210000}"/>
    <cellStyle name="Normal 13 2 2 3 2 3 2" xfId="29451" xr:uid="{00000000-0005-0000-0000-000026210000}"/>
    <cellStyle name="Normal 13 2 2 3 2 4" xfId="20361" xr:uid="{00000000-0005-0000-0000-000027210000}"/>
    <cellStyle name="Normal 13 2 2 3 3" xfId="3625" xr:uid="{00000000-0005-0000-0000-000028210000}"/>
    <cellStyle name="Normal 13 2 2 3 3 2" xfId="8181" xr:uid="{00000000-0005-0000-0000-000029210000}"/>
    <cellStyle name="Normal 13 2 2 3 3 2 2" xfId="17277" xr:uid="{00000000-0005-0000-0000-00002A210000}"/>
    <cellStyle name="Normal 13 2 2 3 3 2 2 2" xfId="35459" xr:uid="{00000000-0005-0000-0000-00002B210000}"/>
    <cellStyle name="Normal 13 2 2 3 3 2 3" xfId="26369" xr:uid="{00000000-0005-0000-0000-00002C210000}"/>
    <cellStyle name="Normal 13 2 2 3 3 3" xfId="12737" xr:uid="{00000000-0005-0000-0000-00002D210000}"/>
    <cellStyle name="Normal 13 2 2 3 3 3 2" xfId="30919" xr:uid="{00000000-0005-0000-0000-00002E210000}"/>
    <cellStyle name="Normal 13 2 2 3 3 4" xfId="21829" xr:uid="{00000000-0005-0000-0000-00002F210000}"/>
    <cellStyle name="Normal 13 2 2 3 4" xfId="5264" xr:uid="{00000000-0005-0000-0000-000030210000}"/>
    <cellStyle name="Normal 13 2 2 3 4 2" xfId="14364" xr:uid="{00000000-0005-0000-0000-000031210000}"/>
    <cellStyle name="Normal 13 2 2 3 4 2 2" xfId="32546" xr:uid="{00000000-0005-0000-0000-000032210000}"/>
    <cellStyle name="Normal 13 2 2 3 4 3" xfId="23456" xr:uid="{00000000-0005-0000-0000-000033210000}"/>
    <cellStyle name="Normal 13 2 2 3 5" xfId="9830" xr:uid="{00000000-0005-0000-0000-000034210000}"/>
    <cellStyle name="Normal 13 2 2 3 5 2" xfId="28012" xr:uid="{00000000-0005-0000-0000-000035210000}"/>
    <cellStyle name="Normal 13 2 2 3 6" xfId="18921" xr:uid="{00000000-0005-0000-0000-000036210000}"/>
    <cellStyle name="Normal 13 2 2 4" xfId="616" xr:uid="{00000000-0005-0000-0000-000037210000}"/>
    <cellStyle name="Normal 13 2 2 4 2" xfId="3626" xr:uid="{00000000-0005-0000-0000-000038210000}"/>
    <cellStyle name="Normal 13 2 2 4 2 2" xfId="8182" xr:uid="{00000000-0005-0000-0000-000039210000}"/>
    <cellStyle name="Normal 13 2 2 4 2 2 2" xfId="17278" xr:uid="{00000000-0005-0000-0000-00003A210000}"/>
    <cellStyle name="Normal 13 2 2 4 2 2 2 2" xfId="35460" xr:uid="{00000000-0005-0000-0000-00003B210000}"/>
    <cellStyle name="Normal 13 2 2 4 2 2 3" xfId="26370" xr:uid="{00000000-0005-0000-0000-00003C210000}"/>
    <cellStyle name="Normal 13 2 2 4 2 3" xfId="12738" xr:uid="{00000000-0005-0000-0000-00003D210000}"/>
    <cellStyle name="Normal 13 2 2 4 2 3 2" xfId="30920" xr:uid="{00000000-0005-0000-0000-00003E210000}"/>
    <cellStyle name="Normal 13 2 2 4 2 4" xfId="21830" xr:uid="{00000000-0005-0000-0000-00003F210000}"/>
    <cellStyle name="Normal 13 2 2 4 3" xfId="5265" xr:uid="{00000000-0005-0000-0000-000040210000}"/>
    <cellStyle name="Normal 13 2 2 4 3 2" xfId="14365" xr:uid="{00000000-0005-0000-0000-000041210000}"/>
    <cellStyle name="Normal 13 2 2 4 3 2 2" xfId="32547" xr:uid="{00000000-0005-0000-0000-000042210000}"/>
    <cellStyle name="Normal 13 2 2 4 3 3" xfId="23457" xr:uid="{00000000-0005-0000-0000-000043210000}"/>
    <cellStyle name="Normal 13 2 2 4 4" xfId="9831" xr:uid="{00000000-0005-0000-0000-000044210000}"/>
    <cellStyle name="Normal 13 2 2 4 4 2" xfId="28013" xr:uid="{00000000-0005-0000-0000-000045210000}"/>
    <cellStyle name="Normal 13 2 2 4 5" xfId="18922" xr:uid="{00000000-0005-0000-0000-000046210000}"/>
    <cellStyle name="Normal 13 2 2 5" xfId="2120" xr:uid="{00000000-0005-0000-0000-000047210000}"/>
    <cellStyle name="Normal 13 2 2 5 2" xfId="6706" xr:uid="{00000000-0005-0000-0000-000048210000}"/>
    <cellStyle name="Normal 13 2 2 5 2 2" xfId="15806" xr:uid="{00000000-0005-0000-0000-000049210000}"/>
    <cellStyle name="Normal 13 2 2 5 2 2 2" xfId="33988" xr:uid="{00000000-0005-0000-0000-00004A210000}"/>
    <cellStyle name="Normal 13 2 2 5 2 3" xfId="24898" xr:uid="{00000000-0005-0000-0000-00004B210000}"/>
    <cellStyle name="Normal 13 2 2 5 3" xfId="11270" xr:uid="{00000000-0005-0000-0000-00004C210000}"/>
    <cellStyle name="Normal 13 2 2 5 3 2" xfId="29452" xr:uid="{00000000-0005-0000-0000-00004D210000}"/>
    <cellStyle name="Normal 13 2 2 5 4" xfId="20362" xr:uid="{00000000-0005-0000-0000-00004E210000}"/>
    <cellStyle name="Normal 13 2 2 6" xfId="3622" xr:uid="{00000000-0005-0000-0000-00004F210000}"/>
    <cellStyle name="Normal 13 2 2 6 2" xfId="8178" xr:uid="{00000000-0005-0000-0000-000050210000}"/>
    <cellStyle name="Normal 13 2 2 6 2 2" xfId="17274" xr:uid="{00000000-0005-0000-0000-000051210000}"/>
    <cellStyle name="Normal 13 2 2 6 2 2 2" xfId="35456" xr:uid="{00000000-0005-0000-0000-000052210000}"/>
    <cellStyle name="Normal 13 2 2 6 2 3" xfId="26366" xr:uid="{00000000-0005-0000-0000-000053210000}"/>
    <cellStyle name="Normal 13 2 2 6 3" xfId="12734" xr:uid="{00000000-0005-0000-0000-000054210000}"/>
    <cellStyle name="Normal 13 2 2 6 3 2" xfId="30916" xr:uid="{00000000-0005-0000-0000-000055210000}"/>
    <cellStyle name="Normal 13 2 2 6 4" xfId="21826" xr:uid="{00000000-0005-0000-0000-000056210000}"/>
    <cellStyle name="Normal 13 2 2 7" xfId="5261" xr:uid="{00000000-0005-0000-0000-000057210000}"/>
    <cellStyle name="Normal 13 2 2 7 2" xfId="14361" xr:uid="{00000000-0005-0000-0000-000058210000}"/>
    <cellStyle name="Normal 13 2 2 7 2 2" xfId="32543" xr:uid="{00000000-0005-0000-0000-000059210000}"/>
    <cellStyle name="Normal 13 2 2 7 3" xfId="23453" xr:uid="{00000000-0005-0000-0000-00005A210000}"/>
    <cellStyle name="Normal 13 2 2 8" xfId="9827" xr:uid="{00000000-0005-0000-0000-00005B210000}"/>
    <cellStyle name="Normal 13 2 2 8 2" xfId="28009" xr:uid="{00000000-0005-0000-0000-00005C210000}"/>
    <cellStyle name="Normal 13 2 2 9" xfId="18918" xr:uid="{00000000-0005-0000-0000-00005D210000}"/>
    <cellStyle name="Normal 13 2 3" xfId="617" xr:uid="{00000000-0005-0000-0000-00005E210000}"/>
    <cellStyle name="Normal 13 2 3 2" xfId="618" xr:uid="{00000000-0005-0000-0000-00005F210000}"/>
    <cellStyle name="Normal 13 2 3 2 2" xfId="2121" xr:uid="{00000000-0005-0000-0000-000060210000}"/>
    <cellStyle name="Normal 13 2 3 2 2 2" xfId="6707" xr:uid="{00000000-0005-0000-0000-000061210000}"/>
    <cellStyle name="Normal 13 2 3 2 2 2 2" xfId="15807" xr:uid="{00000000-0005-0000-0000-000062210000}"/>
    <cellStyle name="Normal 13 2 3 2 2 2 2 2" xfId="33989" xr:uid="{00000000-0005-0000-0000-000063210000}"/>
    <cellStyle name="Normal 13 2 3 2 2 2 3" xfId="24899" xr:uid="{00000000-0005-0000-0000-000064210000}"/>
    <cellStyle name="Normal 13 2 3 2 2 3" xfId="11271" xr:uid="{00000000-0005-0000-0000-000065210000}"/>
    <cellStyle name="Normal 13 2 3 2 2 3 2" xfId="29453" xr:uid="{00000000-0005-0000-0000-000066210000}"/>
    <cellStyle name="Normal 13 2 3 2 2 4" xfId="20363" xr:uid="{00000000-0005-0000-0000-000067210000}"/>
    <cellStyle name="Normal 13 2 3 2 3" xfId="3628" xr:uid="{00000000-0005-0000-0000-000068210000}"/>
    <cellStyle name="Normal 13 2 3 2 3 2" xfId="8184" xr:uid="{00000000-0005-0000-0000-000069210000}"/>
    <cellStyle name="Normal 13 2 3 2 3 2 2" xfId="17280" xr:uid="{00000000-0005-0000-0000-00006A210000}"/>
    <cellStyle name="Normal 13 2 3 2 3 2 2 2" xfId="35462" xr:uid="{00000000-0005-0000-0000-00006B210000}"/>
    <cellStyle name="Normal 13 2 3 2 3 2 3" xfId="26372" xr:uid="{00000000-0005-0000-0000-00006C210000}"/>
    <cellStyle name="Normal 13 2 3 2 3 3" xfId="12740" xr:uid="{00000000-0005-0000-0000-00006D210000}"/>
    <cellStyle name="Normal 13 2 3 2 3 3 2" xfId="30922" xr:uid="{00000000-0005-0000-0000-00006E210000}"/>
    <cellStyle name="Normal 13 2 3 2 3 4" xfId="21832" xr:uid="{00000000-0005-0000-0000-00006F210000}"/>
    <cellStyle name="Normal 13 2 3 2 4" xfId="5267" xr:uid="{00000000-0005-0000-0000-000070210000}"/>
    <cellStyle name="Normal 13 2 3 2 4 2" xfId="14367" xr:uid="{00000000-0005-0000-0000-000071210000}"/>
    <cellStyle name="Normal 13 2 3 2 4 2 2" xfId="32549" xr:uid="{00000000-0005-0000-0000-000072210000}"/>
    <cellStyle name="Normal 13 2 3 2 4 3" xfId="23459" xr:uid="{00000000-0005-0000-0000-000073210000}"/>
    <cellStyle name="Normal 13 2 3 2 5" xfId="9833" xr:uid="{00000000-0005-0000-0000-000074210000}"/>
    <cellStyle name="Normal 13 2 3 2 5 2" xfId="28015" xr:uid="{00000000-0005-0000-0000-000075210000}"/>
    <cellStyle name="Normal 13 2 3 2 6" xfId="18924" xr:uid="{00000000-0005-0000-0000-000076210000}"/>
    <cellStyle name="Normal 13 2 3 3" xfId="2122" xr:uid="{00000000-0005-0000-0000-000077210000}"/>
    <cellStyle name="Normal 13 2 3 3 2" xfId="6708" xr:uid="{00000000-0005-0000-0000-000078210000}"/>
    <cellStyle name="Normal 13 2 3 3 2 2" xfId="15808" xr:uid="{00000000-0005-0000-0000-000079210000}"/>
    <cellStyle name="Normal 13 2 3 3 2 2 2" xfId="33990" xr:uid="{00000000-0005-0000-0000-00007A210000}"/>
    <cellStyle name="Normal 13 2 3 3 2 3" xfId="24900" xr:uid="{00000000-0005-0000-0000-00007B210000}"/>
    <cellStyle name="Normal 13 2 3 3 3" xfId="11272" xr:uid="{00000000-0005-0000-0000-00007C210000}"/>
    <cellStyle name="Normal 13 2 3 3 3 2" xfId="29454" xr:uid="{00000000-0005-0000-0000-00007D210000}"/>
    <cellStyle name="Normal 13 2 3 3 4" xfId="20364" xr:uid="{00000000-0005-0000-0000-00007E210000}"/>
    <cellStyle name="Normal 13 2 3 4" xfId="3627" xr:uid="{00000000-0005-0000-0000-00007F210000}"/>
    <cellStyle name="Normal 13 2 3 4 2" xfId="8183" xr:uid="{00000000-0005-0000-0000-000080210000}"/>
    <cellStyle name="Normal 13 2 3 4 2 2" xfId="17279" xr:uid="{00000000-0005-0000-0000-000081210000}"/>
    <cellStyle name="Normal 13 2 3 4 2 2 2" xfId="35461" xr:uid="{00000000-0005-0000-0000-000082210000}"/>
    <cellStyle name="Normal 13 2 3 4 2 3" xfId="26371" xr:uid="{00000000-0005-0000-0000-000083210000}"/>
    <cellStyle name="Normal 13 2 3 4 3" xfId="12739" xr:uid="{00000000-0005-0000-0000-000084210000}"/>
    <cellStyle name="Normal 13 2 3 4 3 2" xfId="30921" xr:uid="{00000000-0005-0000-0000-000085210000}"/>
    <cellStyle name="Normal 13 2 3 4 4" xfId="21831" xr:uid="{00000000-0005-0000-0000-000086210000}"/>
    <cellStyle name="Normal 13 2 3 5" xfId="5266" xr:uid="{00000000-0005-0000-0000-000087210000}"/>
    <cellStyle name="Normal 13 2 3 5 2" xfId="14366" xr:uid="{00000000-0005-0000-0000-000088210000}"/>
    <cellStyle name="Normal 13 2 3 5 2 2" xfId="32548" xr:uid="{00000000-0005-0000-0000-000089210000}"/>
    <cellStyle name="Normal 13 2 3 5 3" xfId="23458" xr:uid="{00000000-0005-0000-0000-00008A210000}"/>
    <cellStyle name="Normal 13 2 3 6" xfId="9832" xr:uid="{00000000-0005-0000-0000-00008B210000}"/>
    <cellStyle name="Normal 13 2 3 6 2" xfId="28014" xr:uid="{00000000-0005-0000-0000-00008C210000}"/>
    <cellStyle name="Normal 13 2 3 7" xfId="18923" xr:uid="{00000000-0005-0000-0000-00008D210000}"/>
    <cellStyle name="Normal 13 2 4" xfId="619" xr:uid="{00000000-0005-0000-0000-00008E210000}"/>
    <cellStyle name="Normal 13 2 4 2" xfId="2123" xr:uid="{00000000-0005-0000-0000-00008F210000}"/>
    <cellStyle name="Normal 13 2 4 2 2" xfId="6709" xr:uid="{00000000-0005-0000-0000-000090210000}"/>
    <cellStyle name="Normal 13 2 4 2 2 2" xfId="15809" xr:uid="{00000000-0005-0000-0000-000091210000}"/>
    <cellStyle name="Normal 13 2 4 2 2 2 2" xfId="33991" xr:uid="{00000000-0005-0000-0000-000092210000}"/>
    <cellStyle name="Normal 13 2 4 2 2 3" xfId="24901" xr:uid="{00000000-0005-0000-0000-000093210000}"/>
    <cellStyle name="Normal 13 2 4 2 3" xfId="11273" xr:uid="{00000000-0005-0000-0000-000094210000}"/>
    <cellStyle name="Normal 13 2 4 2 3 2" xfId="29455" xr:uid="{00000000-0005-0000-0000-000095210000}"/>
    <cellStyle name="Normal 13 2 4 2 4" xfId="20365" xr:uid="{00000000-0005-0000-0000-000096210000}"/>
    <cellStyle name="Normal 13 2 4 3" xfId="3629" xr:uid="{00000000-0005-0000-0000-000097210000}"/>
    <cellStyle name="Normal 13 2 4 3 2" xfId="8185" xr:uid="{00000000-0005-0000-0000-000098210000}"/>
    <cellStyle name="Normal 13 2 4 3 2 2" xfId="17281" xr:uid="{00000000-0005-0000-0000-000099210000}"/>
    <cellStyle name="Normal 13 2 4 3 2 2 2" xfId="35463" xr:uid="{00000000-0005-0000-0000-00009A210000}"/>
    <cellStyle name="Normal 13 2 4 3 2 3" xfId="26373" xr:uid="{00000000-0005-0000-0000-00009B210000}"/>
    <cellStyle name="Normal 13 2 4 3 3" xfId="12741" xr:uid="{00000000-0005-0000-0000-00009C210000}"/>
    <cellStyle name="Normal 13 2 4 3 3 2" xfId="30923" xr:uid="{00000000-0005-0000-0000-00009D210000}"/>
    <cellStyle name="Normal 13 2 4 3 4" xfId="21833" xr:uid="{00000000-0005-0000-0000-00009E210000}"/>
    <cellStyle name="Normal 13 2 4 4" xfId="5268" xr:uid="{00000000-0005-0000-0000-00009F210000}"/>
    <cellStyle name="Normal 13 2 4 4 2" xfId="14368" xr:uid="{00000000-0005-0000-0000-0000A0210000}"/>
    <cellStyle name="Normal 13 2 4 4 2 2" xfId="32550" xr:uid="{00000000-0005-0000-0000-0000A1210000}"/>
    <cellStyle name="Normal 13 2 4 4 3" xfId="23460" xr:uid="{00000000-0005-0000-0000-0000A2210000}"/>
    <cellStyle name="Normal 13 2 4 5" xfId="9834" xr:uid="{00000000-0005-0000-0000-0000A3210000}"/>
    <cellStyle name="Normal 13 2 4 5 2" xfId="28016" xr:uid="{00000000-0005-0000-0000-0000A4210000}"/>
    <cellStyle name="Normal 13 2 4 6" xfId="18925" xr:uid="{00000000-0005-0000-0000-0000A5210000}"/>
    <cellStyle name="Normal 13 2 5" xfId="620" xr:uid="{00000000-0005-0000-0000-0000A6210000}"/>
    <cellStyle name="Normal 13 2 5 2" xfId="3630" xr:uid="{00000000-0005-0000-0000-0000A7210000}"/>
    <cellStyle name="Normal 13 2 5 2 2" xfId="8186" xr:uid="{00000000-0005-0000-0000-0000A8210000}"/>
    <cellStyle name="Normal 13 2 5 2 2 2" xfId="17282" xr:uid="{00000000-0005-0000-0000-0000A9210000}"/>
    <cellStyle name="Normal 13 2 5 2 2 2 2" xfId="35464" xr:uid="{00000000-0005-0000-0000-0000AA210000}"/>
    <cellStyle name="Normal 13 2 5 2 2 3" xfId="26374" xr:uid="{00000000-0005-0000-0000-0000AB210000}"/>
    <cellStyle name="Normal 13 2 5 2 3" xfId="12742" xr:uid="{00000000-0005-0000-0000-0000AC210000}"/>
    <cellStyle name="Normal 13 2 5 2 3 2" xfId="30924" xr:uid="{00000000-0005-0000-0000-0000AD210000}"/>
    <cellStyle name="Normal 13 2 5 2 4" xfId="21834" xr:uid="{00000000-0005-0000-0000-0000AE210000}"/>
    <cellStyle name="Normal 13 2 5 3" xfId="5269" xr:uid="{00000000-0005-0000-0000-0000AF210000}"/>
    <cellStyle name="Normal 13 2 5 3 2" xfId="14369" xr:uid="{00000000-0005-0000-0000-0000B0210000}"/>
    <cellStyle name="Normal 13 2 5 3 2 2" xfId="32551" xr:uid="{00000000-0005-0000-0000-0000B1210000}"/>
    <cellStyle name="Normal 13 2 5 3 3" xfId="23461" xr:uid="{00000000-0005-0000-0000-0000B2210000}"/>
    <cellStyle name="Normal 13 2 5 4" xfId="9835" xr:uid="{00000000-0005-0000-0000-0000B3210000}"/>
    <cellStyle name="Normal 13 2 5 4 2" xfId="28017" xr:uid="{00000000-0005-0000-0000-0000B4210000}"/>
    <cellStyle name="Normal 13 2 5 5" xfId="18926" xr:uid="{00000000-0005-0000-0000-0000B5210000}"/>
    <cellStyle name="Normal 13 2 6" xfId="2124" xr:uid="{00000000-0005-0000-0000-0000B6210000}"/>
    <cellStyle name="Normal 13 2 6 2" xfId="6710" xr:uid="{00000000-0005-0000-0000-0000B7210000}"/>
    <cellStyle name="Normal 13 2 6 2 2" xfId="15810" xr:uid="{00000000-0005-0000-0000-0000B8210000}"/>
    <cellStyle name="Normal 13 2 6 2 2 2" xfId="33992" xr:uid="{00000000-0005-0000-0000-0000B9210000}"/>
    <cellStyle name="Normal 13 2 6 2 3" xfId="24902" xr:uid="{00000000-0005-0000-0000-0000BA210000}"/>
    <cellStyle name="Normal 13 2 6 3" xfId="11274" xr:uid="{00000000-0005-0000-0000-0000BB210000}"/>
    <cellStyle name="Normal 13 2 6 3 2" xfId="29456" xr:uid="{00000000-0005-0000-0000-0000BC210000}"/>
    <cellStyle name="Normal 13 2 6 4" xfId="20366" xr:uid="{00000000-0005-0000-0000-0000BD210000}"/>
    <cellStyle name="Normal 13 2 7" xfId="3621" xr:uid="{00000000-0005-0000-0000-0000BE210000}"/>
    <cellStyle name="Normal 13 2 7 2" xfId="8177" xr:uid="{00000000-0005-0000-0000-0000BF210000}"/>
    <cellStyle name="Normal 13 2 7 2 2" xfId="17273" xr:uid="{00000000-0005-0000-0000-0000C0210000}"/>
    <cellStyle name="Normal 13 2 7 2 2 2" xfId="35455" xr:uid="{00000000-0005-0000-0000-0000C1210000}"/>
    <cellStyle name="Normal 13 2 7 2 3" xfId="26365" xr:uid="{00000000-0005-0000-0000-0000C2210000}"/>
    <cellStyle name="Normal 13 2 7 3" xfId="12733" xr:uid="{00000000-0005-0000-0000-0000C3210000}"/>
    <cellStyle name="Normal 13 2 7 3 2" xfId="30915" xr:uid="{00000000-0005-0000-0000-0000C4210000}"/>
    <cellStyle name="Normal 13 2 7 4" xfId="21825" xr:uid="{00000000-0005-0000-0000-0000C5210000}"/>
    <cellStyle name="Normal 13 2 8" xfId="5260" xr:uid="{00000000-0005-0000-0000-0000C6210000}"/>
    <cellStyle name="Normal 13 2 8 2" xfId="14360" xr:uid="{00000000-0005-0000-0000-0000C7210000}"/>
    <cellStyle name="Normal 13 2 8 2 2" xfId="32542" xr:uid="{00000000-0005-0000-0000-0000C8210000}"/>
    <cellStyle name="Normal 13 2 8 3" xfId="23452" xr:uid="{00000000-0005-0000-0000-0000C9210000}"/>
    <cellStyle name="Normal 13 2 9" xfId="9826" xr:uid="{00000000-0005-0000-0000-0000CA210000}"/>
    <cellStyle name="Normal 13 2 9 2" xfId="28008" xr:uid="{00000000-0005-0000-0000-0000CB210000}"/>
    <cellStyle name="Normal 13 3" xfId="621" xr:uid="{00000000-0005-0000-0000-0000CC210000}"/>
    <cellStyle name="Normal 13 3 2" xfId="622" xr:uid="{00000000-0005-0000-0000-0000CD210000}"/>
    <cellStyle name="Normal 13 3 2 2" xfId="623" xr:uid="{00000000-0005-0000-0000-0000CE210000}"/>
    <cellStyle name="Normal 13 3 2 2 2" xfId="2125" xr:uid="{00000000-0005-0000-0000-0000CF210000}"/>
    <cellStyle name="Normal 13 3 2 2 2 2" xfId="6711" xr:uid="{00000000-0005-0000-0000-0000D0210000}"/>
    <cellStyle name="Normal 13 3 2 2 2 2 2" xfId="15811" xr:uid="{00000000-0005-0000-0000-0000D1210000}"/>
    <cellStyle name="Normal 13 3 2 2 2 2 2 2" xfId="33993" xr:uid="{00000000-0005-0000-0000-0000D2210000}"/>
    <cellStyle name="Normal 13 3 2 2 2 2 3" xfId="24903" xr:uid="{00000000-0005-0000-0000-0000D3210000}"/>
    <cellStyle name="Normal 13 3 2 2 2 3" xfId="11275" xr:uid="{00000000-0005-0000-0000-0000D4210000}"/>
    <cellStyle name="Normal 13 3 2 2 2 3 2" xfId="29457" xr:uid="{00000000-0005-0000-0000-0000D5210000}"/>
    <cellStyle name="Normal 13 3 2 2 2 4" xfId="20367" xr:uid="{00000000-0005-0000-0000-0000D6210000}"/>
    <cellStyle name="Normal 13 3 2 2 3" xfId="3633" xr:uid="{00000000-0005-0000-0000-0000D7210000}"/>
    <cellStyle name="Normal 13 3 2 2 3 2" xfId="8189" xr:uid="{00000000-0005-0000-0000-0000D8210000}"/>
    <cellStyle name="Normal 13 3 2 2 3 2 2" xfId="17285" xr:uid="{00000000-0005-0000-0000-0000D9210000}"/>
    <cellStyle name="Normal 13 3 2 2 3 2 2 2" xfId="35467" xr:uid="{00000000-0005-0000-0000-0000DA210000}"/>
    <cellStyle name="Normal 13 3 2 2 3 2 3" xfId="26377" xr:uid="{00000000-0005-0000-0000-0000DB210000}"/>
    <cellStyle name="Normal 13 3 2 2 3 3" xfId="12745" xr:uid="{00000000-0005-0000-0000-0000DC210000}"/>
    <cellStyle name="Normal 13 3 2 2 3 3 2" xfId="30927" xr:uid="{00000000-0005-0000-0000-0000DD210000}"/>
    <cellStyle name="Normal 13 3 2 2 3 4" xfId="21837" xr:uid="{00000000-0005-0000-0000-0000DE210000}"/>
    <cellStyle name="Normal 13 3 2 2 4" xfId="5272" xr:uid="{00000000-0005-0000-0000-0000DF210000}"/>
    <cellStyle name="Normal 13 3 2 2 4 2" xfId="14372" xr:uid="{00000000-0005-0000-0000-0000E0210000}"/>
    <cellStyle name="Normal 13 3 2 2 4 2 2" xfId="32554" xr:uid="{00000000-0005-0000-0000-0000E1210000}"/>
    <cellStyle name="Normal 13 3 2 2 4 3" xfId="23464" xr:uid="{00000000-0005-0000-0000-0000E2210000}"/>
    <cellStyle name="Normal 13 3 2 2 5" xfId="9838" xr:uid="{00000000-0005-0000-0000-0000E3210000}"/>
    <cellStyle name="Normal 13 3 2 2 5 2" xfId="28020" xr:uid="{00000000-0005-0000-0000-0000E4210000}"/>
    <cellStyle name="Normal 13 3 2 2 6" xfId="18929" xr:uid="{00000000-0005-0000-0000-0000E5210000}"/>
    <cellStyle name="Normal 13 3 2 3" xfId="2126" xr:uid="{00000000-0005-0000-0000-0000E6210000}"/>
    <cellStyle name="Normal 13 3 2 3 2" xfId="6712" xr:uid="{00000000-0005-0000-0000-0000E7210000}"/>
    <cellStyle name="Normal 13 3 2 3 2 2" xfId="15812" xr:uid="{00000000-0005-0000-0000-0000E8210000}"/>
    <cellStyle name="Normal 13 3 2 3 2 2 2" xfId="33994" xr:uid="{00000000-0005-0000-0000-0000E9210000}"/>
    <cellStyle name="Normal 13 3 2 3 2 3" xfId="24904" xr:uid="{00000000-0005-0000-0000-0000EA210000}"/>
    <cellStyle name="Normal 13 3 2 3 3" xfId="11276" xr:uid="{00000000-0005-0000-0000-0000EB210000}"/>
    <cellStyle name="Normal 13 3 2 3 3 2" xfId="29458" xr:uid="{00000000-0005-0000-0000-0000EC210000}"/>
    <cellStyle name="Normal 13 3 2 3 4" xfId="20368" xr:uid="{00000000-0005-0000-0000-0000ED210000}"/>
    <cellStyle name="Normal 13 3 2 4" xfId="3632" xr:uid="{00000000-0005-0000-0000-0000EE210000}"/>
    <cellStyle name="Normal 13 3 2 4 2" xfId="8188" xr:uid="{00000000-0005-0000-0000-0000EF210000}"/>
    <cellStyle name="Normal 13 3 2 4 2 2" xfId="17284" xr:uid="{00000000-0005-0000-0000-0000F0210000}"/>
    <cellStyle name="Normal 13 3 2 4 2 2 2" xfId="35466" xr:uid="{00000000-0005-0000-0000-0000F1210000}"/>
    <cellStyle name="Normal 13 3 2 4 2 3" xfId="26376" xr:uid="{00000000-0005-0000-0000-0000F2210000}"/>
    <cellStyle name="Normal 13 3 2 4 3" xfId="12744" xr:uid="{00000000-0005-0000-0000-0000F3210000}"/>
    <cellStyle name="Normal 13 3 2 4 3 2" xfId="30926" xr:uid="{00000000-0005-0000-0000-0000F4210000}"/>
    <cellStyle name="Normal 13 3 2 4 4" xfId="21836" xr:uid="{00000000-0005-0000-0000-0000F5210000}"/>
    <cellStyle name="Normal 13 3 2 5" xfId="5271" xr:uid="{00000000-0005-0000-0000-0000F6210000}"/>
    <cellStyle name="Normal 13 3 2 5 2" xfId="14371" xr:uid="{00000000-0005-0000-0000-0000F7210000}"/>
    <cellStyle name="Normal 13 3 2 5 2 2" xfId="32553" xr:uid="{00000000-0005-0000-0000-0000F8210000}"/>
    <cellStyle name="Normal 13 3 2 5 3" xfId="23463" xr:uid="{00000000-0005-0000-0000-0000F9210000}"/>
    <cellStyle name="Normal 13 3 2 6" xfId="9837" xr:uid="{00000000-0005-0000-0000-0000FA210000}"/>
    <cellStyle name="Normal 13 3 2 6 2" xfId="28019" xr:uid="{00000000-0005-0000-0000-0000FB210000}"/>
    <cellStyle name="Normal 13 3 2 7" xfId="18928" xr:uid="{00000000-0005-0000-0000-0000FC210000}"/>
    <cellStyle name="Normal 13 3 3" xfId="624" xr:uid="{00000000-0005-0000-0000-0000FD210000}"/>
    <cellStyle name="Normal 13 3 3 2" xfId="2127" xr:uid="{00000000-0005-0000-0000-0000FE210000}"/>
    <cellStyle name="Normal 13 3 3 2 2" xfId="6713" xr:uid="{00000000-0005-0000-0000-0000FF210000}"/>
    <cellStyle name="Normal 13 3 3 2 2 2" xfId="15813" xr:uid="{00000000-0005-0000-0000-000000220000}"/>
    <cellStyle name="Normal 13 3 3 2 2 2 2" xfId="33995" xr:uid="{00000000-0005-0000-0000-000001220000}"/>
    <cellStyle name="Normal 13 3 3 2 2 3" xfId="24905" xr:uid="{00000000-0005-0000-0000-000002220000}"/>
    <cellStyle name="Normal 13 3 3 2 3" xfId="11277" xr:uid="{00000000-0005-0000-0000-000003220000}"/>
    <cellStyle name="Normal 13 3 3 2 3 2" xfId="29459" xr:uid="{00000000-0005-0000-0000-000004220000}"/>
    <cellStyle name="Normal 13 3 3 2 4" xfId="20369" xr:uid="{00000000-0005-0000-0000-000005220000}"/>
    <cellStyle name="Normal 13 3 3 3" xfId="3634" xr:uid="{00000000-0005-0000-0000-000006220000}"/>
    <cellStyle name="Normal 13 3 3 3 2" xfId="8190" xr:uid="{00000000-0005-0000-0000-000007220000}"/>
    <cellStyle name="Normal 13 3 3 3 2 2" xfId="17286" xr:uid="{00000000-0005-0000-0000-000008220000}"/>
    <cellStyle name="Normal 13 3 3 3 2 2 2" xfId="35468" xr:uid="{00000000-0005-0000-0000-000009220000}"/>
    <cellStyle name="Normal 13 3 3 3 2 3" xfId="26378" xr:uid="{00000000-0005-0000-0000-00000A220000}"/>
    <cellStyle name="Normal 13 3 3 3 3" xfId="12746" xr:uid="{00000000-0005-0000-0000-00000B220000}"/>
    <cellStyle name="Normal 13 3 3 3 3 2" xfId="30928" xr:uid="{00000000-0005-0000-0000-00000C220000}"/>
    <cellStyle name="Normal 13 3 3 3 4" xfId="21838" xr:uid="{00000000-0005-0000-0000-00000D220000}"/>
    <cellStyle name="Normal 13 3 3 4" xfId="5273" xr:uid="{00000000-0005-0000-0000-00000E220000}"/>
    <cellStyle name="Normal 13 3 3 4 2" xfId="14373" xr:uid="{00000000-0005-0000-0000-00000F220000}"/>
    <cellStyle name="Normal 13 3 3 4 2 2" xfId="32555" xr:uid="{00000000-0005-0000-0000-000010220000}"/>
    <cellStyle name="Normal 13 3 3 4 3" xfId="23465" xr:uid="{00000000-0005-0000-0000-000011220000}"/>
    <cellStyle name="Normal 13 3 3 5" xfId="9839" xr:uid="{00000000-0005-0000-0000-000012220000}"/>
    <cellStyle name="Normal 13 3 3 5 2" xfId="28021" xr:uid="{00000000-0005-0000-0000-000013220000}"/>
    <cellStyle name="Normal 13 3 3 6" xfId="18930" xr:uid="{00000000-0005-0000-0000-000014220000}"/>
    <cellStyle name="Normal 13 3 4" xfId="625" xr:uid="{00000000-0005-0000-0000-000015220000}"/>
    <cellStyle name="Normal 13 3 4 2" xfId="3635" xr:uid="{00000000-0005-0000-0000-000016220000}"/>
    <cellStyle name="Normal 13 3 4 2 2" xfId="8191" xr:uid="{00000000-0005-0000-0000-000017220000}"/>
    <cellStyle name="Normal 13 3 4 2 2 2" xfId="17287" xr:uid="{00000000-0005-0000-0000-000018220000}"/>
    <cellStyle name="Normal 13 3 4 2 2 2 2" xfId="35469" xr:uid="{00000000-0005-0000-0000-000019220000}"/>
    <cellStyle name="Normal 13 3 4 2 2 3" xfId="26379" xr:uid="{00000000-0005-0000-0000-00001A220000}"/>
    <cellStyle name="Normal 13 3 4 2 3" xfId="12747" xr:uid="{00000000-0005-0000-0000-00001B220000}"/>
    <cellStyle name="Normal 13 3 4 2 3 2" xfId="30929" xr:uid="{00000000-0005-0000-0000-00001C220000}"/>
    <cellStyle name="Normal 13 3 4 2 4" xfId="21839" xr:uid="{00000000-0005-0000-0000-00001D220000}"/>
    <cellStyle name="Normal 13 3 4 3" xfId="5274" xr:uid="{00000000-0005-0000-0000-00001E220000}"/>
    <cellStyle name="Normal 13 3 4 3 2" xfId="14374" xr:uid="{00000000-0005-0000-0000-00001F220000}"/>
    <cellStyle name="Normal 13 3 4 3 2 2" xfId="32556" xr:uid="{00000000-0005-0000-0000-000020220000}"/>
    <cellStyle name="Normal 13 3 4 3 3" xfId="23466" xr:uid="{00000000-0005-0000-0000-000021220000}"/>
    <cellStyle name="Normal 13 3 4 4" xfId="9840" xr:uid="{00000000-0005-0000-0000-000022220000}"/>
    <cellStyle name="Normal 13 3 4 4 2" xfId="28022" xr:uid="{00000000-0005-0000-0000-000023220000}"/>
    <cellStyle name="Normal 13 3 4 5" xfId="18931" xr:uid="{00000000-0005-0000-0000-000024220000}"/>
    <cellStyle name="Normal 13 3 5" xfId="2128" xr:uid="{00000000-0005-0000-0000-000025220000}"/>
    <cellStyle name="Normal 13 3 5 2" xfId="6714" xr:uid="{00000000-0005-0000-0000-000026220000}"/>
    <cellStyle name="Normal 13 3 5 2 2" xfId="15814" xr:uid="{00000000-0005-0000-0000-000027220000}"/>
    <cellStyle name="Normal 13 3 5 2 2 2" xfId="33996" xr:uid="{00000000-0005-0000-0000-000028220000}"/>
    <cellStyle name="Normal 13 3 5 2 3" xfId="24906" xr:uid="{00000000-0005-0000-0000-000029220000}"/>
    <cellStyle name="Normal 13 3 5 3" xfId="11278" xr:uid="{00000000-0005-0000-0000-00002A220000}"/>
    <cellStyle name="Normal 13 3 5 3 2" xfId="29460" xr:uid="{00000000-0005-0000-0000-00002B220000}"/>
    <cellStyle name="Normal 13 3 5 4" xfId="20370" xr:uid="{00000000-0005-0000-0000-00002C220000}"/>
    <cellStyle name="Normal 13 3 6" xfId="3631" xr:uid="{00000000-0005-0000-0000-00002D220000}"/>
    <cellStyle name="Normal 13 3 6 2" xfId="8187" xr:uid="{00000000-0005-0000-0000-00002E220000}"/>
    <cellStyle name="Normal 13 3 6 2 2" xfId="17283" xr:uid="{00000000-0005-0000-0000-00002F220000}"/>
    <cellStyle name="Normal 13 3 6 2 2 2" xfId="35465" xr:uid="{00000000-0005-0000-0000-000030220000}"/>
    <cellStyle name="Normal 13 3 6 2 3" xfId="26375" xr:uid="{00000000-0005-0000-0000-000031220000}"/>
    <cellStyle name="Normal 13 3 6 3" xfId="12743" xr:uid="{00000000-0005-0000-0000-000032220000}"/>
    <cellStyle name="Normal 13 3 6 3 2" xfId="30925" xr:uid="{00000000-0005-0000-0000-000033220000}"/>
    <cellStyle name="Normal 13 3 6 4" xfId="21835" xr:uid="{00000000-0005-0000-0000-000034220000}"/>
    <cellStyle name="Normal 13 3 7" xfId="5270" xr:uid="{00000000-0005-0000-0000-000035220000}"/>
    <cellStyle name="Normal 13 3 7 2" xfId="14370" xr:uid="{00000000-0005-0000-0000-000036220000}"/>
    <cellStyle name="Normal 13 3 7 2 2" xfId="32552" xr:uid="{00000000-0005-0000-0000-000037220000}"/>
    <cellStyle name="Normal 13 3 7 3" xfId="23462" xr:uid="{00000000-0005-0000-0000-000038220000}"/>
    <cellStyle name="Normal 13 3 8" xfId="9836" xr:uid="{00000000-0005-0000-0000-000039220000}"/>
    <cellStyle name="Normal 13 3 8 2" xfId="28018" xr:uid="{00000000-0005-0000-0000-00003A220000}"/>
    <cellStyle name="Normal 13 3 9" xfId="18927" xr:uid="{00000000-0005-0000-0000-00003B220000}"/>
    <cellStyle name="Normal 13 4" xfId="626" xr:uid="{00000000-0005-0000-0000-00003C220000}"/>
    <cellStyle name="Normal 13 4 2" xfId="627" xr:uid="{00000000-0005-0000-0000-00003D220000}"/>
    <cellStyle name="Normal 13 4 2 2" xfId="2129" xr:uid="{00000000-0005-0000-0000-00003E220000}"/>
    <cellStyle name="Normal 13 4 2 2 2" xfId="6715" xr:uid="{00000000-0005-0000-0000-00003F220000}"/>
    <cellStyle name="Normal 13 4 2 2 2 2" xfId="15815" xr:uid="{00000000-0005-0000-0000-000040220000}"/>
    <cellStyle name="Normal 13 4 2 2 2 2 2" xfId="33997" xr:uid="{00000000-0005-0000-0000-000041220000}"/>
    <cellStyle name="Normal 13 4 2 2 2 3" xfId="24907" xr:uid="{00000000-0005-0000-0000-000042220000}"/>
    <cellStyle name="Normal 13 4 2 2 3" xfId="11279" xr:uid="{00000000-0005-0000-0000-000043220000}"/>
    <cellStyle name="Normal 13 4 2 2 3 2" xfId="29461" xr:uid="{00000000-0005-0000-0000-000044220000}"/>
    <cellStyle name="Normal 13 4 2 2 4" xfId="20371" xr:uid="{00000000-0005-0000-0000-000045220000}"/>
    <cellStyle name="Normal 13 4 2 3" xfId="3637" xr:uid="{00000000-0005-0000-0000-000046220000}"/>
    <cellStyle name="Normal 13 4 2 3 2" xfId="8193" xr:uid="{00000000-0005-0000-0000-000047220000}"/>
    <cellStyle name="Normal 13 4 2 3 2 2" xfId="17289" xr:uid="{00000000-0005-0000-0000-000048220000}"/>
    <cellStyle name="Normal 13 4 2 3 2 2 2" xfId="35471" xr:uid="{00000000-0005-0000-0000-000049220000}"/>
    <cellStyle name="Normal 13 4 2 3 2 3" xfId="26381" xr:uid="{00000000-0005-0000-0000-00004A220000}"/>
    <cellStyle name="Normal 13 4 2 3 3" xfId="12749" xr:uid="{00000000-0005-0000-0000-00004B220000}"/>
    <cellStyle name="Normal 13 4 2 3 3 2" xfId="30931" xr:uid="{00000000-0005-0000-0000-00004C220000}"/>
    <cellStyle name="Normal 13 4 2 3 4" xfId="21841" xr:uid="{00000000-0005-0000-0000-00004D220000}"/>
    <cellStyle name="Normal 13 4 2 4" xfId="5276" xr:uid="{00000000-0005-0000-0000-00004E220000}"/>
    <cellStyle name="Normal 13 4 2 4 2" xfId="14376" xr:uid="{00000000-0005-0000-0000-00004F220000}"/>
    <cellStyle name="Normal 13 4 2 4 2 2" xfId="32558" xr:uid="{00000000-0005-0000-0000-000050220000}"/>
    <cellStyle name="Normal 13 4 2 4 3" xfId="23468" xr:uid="{00000000-0005-0000-0000-000051220000}"/>
    <cellStyle name="Normal 13 4 2 5" xfId="9842" xr:uid="{00000000-0005-0000-0000-000052220000}"/>
    <cellStyle name="Normal 13 4 2 5 2" xfId="28024" xr:uid="{00000000-0005-0000-0000-000053220000}"/>
    <cellStyle name="Normal 13 4 2 6" xfId="18933" xr:uid="{00000000-0005-0000-0000-000054220000}"/>
    <cellStyle name="Normal 13 4 3" xfId="2130" xr:uid="{00000000-0005-0000-0000-000055220000}"/>
    <cellStyle name="Normal 13 4 3 2" xfId="6716" xr:uid="{00000000-0005-0000-0000-000056220000}"/>
    <cellStyle name="Normal 13 4 3 2 2" xfId="15816" xr:uid="{00000000-0005-0000-0000-000057220000}"/>
    <cellStyle name="Normal 13 4 3 2 2 2" xfId="33998" xr:uid="{00000000-0005-0000-0000-000058220000}"/>
    <cellStyle name="Normal 13 4 3 2 3" xfId="24908" xr:uid="{00000000-0005-0000-0000-000059220000}"/>
    <cellStyle name="Normal 13 4 3 3" xfId="11280" xr:uid="{00000000-0005-0000-0000-00005A220000}"/>
    <cellStyle name="Normal 13 4 3 3 2" xfId="29462" xr:uid="{00000000-0005-0000-0000-00005B220000}"/>
    <cellStyle name="Normal 13 4 3 4" xfId="20372" xr:uid="{00000000-0005-0000-0000-00005C220000}"/>
    <cellStyle name="Normal 13 4 4" xfId="3636" xr:uid="{00000000-0005-0000-0000-00005D220000}"/>
    <cellStyle name="Normal 13 4 4 2" xfId="8192" xr:uid="{00000000-0005-0000-0000-00005E220000}"/>
    <cellStyle name="Normal 13 4 4 2 2" xfId="17288" xr:uid="{00000000-0005-0000-0000-00005F220000}"/>
    <cellStyle name="Normal 13 4 4 2 2 2" xfId="35470" xr:uid="{00000000-0005-0000-0000-000060220000}"/>
    <cellStyle name="Normal 13 4 4 2 3" xfId="26380" xr:uid="{00000000-0005-0000-0000-000061220000}"/>
    <cellStyle name="Normal 13 4 4 3" xfId="12748" xr:uid="{00000000-0005-0000-0000-000062220000}"/>
    <cellStyle name="Normal 13 4 4 3 2" xfId="30930" xr:uid="{00000000-0005-0000-0000-000063220000}"/>
    <cellStyle name="Normal 13 4 4 4" xfId="21840" xr:uid="{00000000-0005-0000-0000-000064220000}"/>
    <cellStyle name="Normal 13 4 5" xfId="5275" xr:uid="{00000000-0005-0000-0000-000065220000}"/>
    <cellStyle name="Normal 13 4 5 2" xfId="14375" xr:uid="{00000000-0005-0000-0000-000066220000}"/>
    <cellStyle name="Normal 13 4 5 2 2" xfId="32557" xr:uid="{00000000-0005-0000-0000-000067220000}"/>
    <cellStyle name="Normal 13 4 5 3" xfId="23467" xr:uid="{00000000-0005-0000-0000-000068220000}"/>
    <cellStyle name="Normal 13 4 6" xfId="9841" xr:uid="{00000000-0005-0000-0000-000069220000}"/>
    <cellStyle name="Normal 13 4 6 2" xfId="28023" xr:uid="{00000000-0005-0000-0000-00006A220000}"/>
    <cellStyle name="Normal 13 4 7" xfId="18932" xr:uid="{00000000-0005-0000-0000-00006B220000}"/>
    <cellStyle name="Normal 13 5" xfId="628" xr:uid="{00000000-0005-0000-0000-00006C220000}"/>
    <cellStyle name="Normal 13 5 2" xfId="2131" xr:uid="{00000000-0005-0000-0000-00006D220000}"/>
    <cellStyle name="Normal 13 5 2 2" xfId="6717" xr:uid="{00000000-0005-0000-0000-00006E220000}"/>
    <cellStyle name="Normal 13 5 2 2 2" xfId="15817" xr:uid="{00000000-0005-0000-0000-00006F220000}"/>
    <cellStyle name="Normal 13 5 2 2 2 2" xfId="33999" xr:uid="{00000000-0005-0000-0000-000070220000}"/>
    <cellStyle name="Normal 13 5 2 2 3" xfId="24909" xr:uid="{00000000-0005-0000-0000-000071220000}"/>
    <cellStyle name="Normal 13 5 2 3" xfId="11281" xr:uid="{00000000-0005-0000-0000-000072220000}"/>
    <cellStyle name="Normal 13 5 2 3 2" xfId="29463" xr:uid="{00000000-0005-0000-0000-000073220000}"/>
    <cellStyle name="Normal 13 5 2 4" xfId="20373" xr:uid="{00000000-0005-0000-0000-000074220000}"/>
    <cellStyle name="Normal 13 5 3" xfId="3638" xr:uid="{00000000-0005-0000-0000-000075220000}"/>
    <cellStyle name="Normal 13 5 3 2" xfId="8194" xr:uid="{00000000-0005-0000-0000-000076220000}"/>
    <cellStyle name="Normal 13 5 3 2 2" xfId="17290" xr:uid="{00000000-0005-0000-0000-000077220000}"/>
    <cellStyle name="Normal 13 5 3 2 2 2" xfId="35472" xr:uid="{00000000-0005-0000-0000-000078220000}"/>
    <cellStyle name="Normal 13 5 3 2 3" xfId="26382" xr:uid="{00000000-0005-0000-0000-000079220000}"/>
    <cellStyle name="Normal 13 5 3 3" xfId="12750" xr:uid="{00000000-0005-0000-0000-00007A220000}"/>
    <cellStyle name="Normal 13 5 3 3 2" xfId="30932" xr:uid="{00000000-0005-0000-0000-00007B220000}"/>
    <cellStyle name="Normal 13 5 3 4" xfId="21842" xr:uid="{00000000-0005-0000-0000-00007C220000}"/>
    <cellStyle name="Normal 13 5 4" xfId="5277" xr:uid="{00000000-0005-0000-0000-00007D220000}"/>
    <cellStyle name="Normal 13 5 4 2" xfId="14377" xr:uid="{00000000-0005-0000-0000-00007E220000}"/>
    <cellStyle name="Normal 13 5 4 2 2" xfId="32559" xr:uid="{00000000-0005-0000-0000-00007F220000}"/>
    <cellStyle name="Normal 13 5 4 3" xfId="23469" xr:uid="{00000000-0005-0000-0000-000080220000}"/>
    <cellStyle name="Normal 13 5 5" xfId="9843" xr:uid="{00000000-0005-0000-0000-000081220000}"/>
    <cellStyle name="Normal 13 5 5 2" xfId="28025" xr:uid="{00000000-0005-0000-0000-000082220000}"/>
    <cellStyle name="Normal 13 5 6" xfId="18934" xr:uid="{00000000-0005-0000-0000-000083220000}"/>
    <cellStyle name="Normal 13 6" xfId="629" xr:uid="{00000000-0005-0000-0000-000084220000}"/>
    <cellStyle name="Normal 13 6 2" xfId="3639" xr:uid="{00000000-0005-0000-0000-000085220000}"/>
    <cellStyle name="Normal 13 6 2 2" xfId="8195" xr:uid="{00000000-0005-0000-0000-000086220000}"/>
    <cellStyle name="Normal 13 6 2 2 2" xfId="17291" xr:uid="{00000000-0005-0000-0000-000087220000}"/>
    <cellStyle name="Normal 13 6 2 2 2 2" xfId="35473" xr:uid="{00000000-0005-0000-0000-000088220000}"/>
    <cellStyle name="Normal 13 6 2 2 3" xfId="26383" xr:uid="{00000000-0005-0000-0000-000089220000}"/>
    <cellStyle name="Normal 13 6 2 3" xfId="12751" xr:uid="{00000000-0005-0000-0000-00008A220000}"/>
    <cellStyle name="Normal 13 6 2 3 2" xfId="30933" xr:uid="{00000000-0005-0000-0000-00008B220000}"/>
    <cellStyle name="Normal 13 6 2 4" xfId="21843" xr:uid="{00000000-0005-0000-0000-00008C220000}"/>
    <cellStyle name="Normal 13 6 3" xfId="5278" xr:uid="{00000000-0005-0000-0000-00008D220000}"/>
    <cellStyle name="Normal 13 6 3 2" xfId="14378" xr:uid="{00000000-0005-0000-0000-00008E220000}"/>
    <cellStyle name="Normal 13 6 3 2 2" xfId="32560" xr:uid="{00000000-0005-0000-0000-00008F220000}"/>
    <cellStyle name="Normal 13 6 3 3" xfId="23470" xr:uid="{00000000-0005-0000-0000-000090220000}"/>
    <cellStyle name="Normal 13 6 4" xfId="9844" xr:uid="{00000000-0005-0000-0000-000091220000}"/>
    <cellStyle name="Normal 13 6 4 2" xfId="28026" xr:uid="{00000000-0005-0000-0000-000092220000}"/>
    <cellStyle name="Normal 13 6 5" xfId="18935" xr:uid="{00000000-0005-0000-0000-000093220000}"/>
    <cellStyle name="Normal 13 7" xfId="2132" xr:uid="{00000000-0005-0000-0000-000094220000}"/>
    <cellStyle name="Normal 13 7 2" xfId="6718" xr:uid="{00000000-0005-0000-0000-000095220000}"/>
    <cellStyle name="Normal 13 7 2 2" xfId="15818" xr:uid="{00000000-0005-0000-0000-000096220000}"/>
    <cellStyle name="Normal 13 7 2 2 2" xfId="34000" xr:uid="{00000000-0005-0000-0000-000097220000}"/>
    <cellStyle name="Normal 13 7 2 3" xfId="24910" xr:uid="{00000000-0005-0000-0000-000098220000}"/>
    <cellStyle name="Normal 13 7 3" xfId="11282" xr:uid="{00000000-0005-0000-0000-000099220000}"/>
    <cellStyle name="Normal 13 7 3 2" xfId="29464" xr:uid="{00000000-0005-0000-0000-00009A220000}"/>
    <cellStyle name="Normal 13 7 4" xfId="20374" xr:uid="{00000000-0005-0000-0000-00009B220000}"/>
    <cellStyle name="Normal 13 8" xfId="3207" xr:uid="{00000000-0005-0000-0000-00009C220000}"/>
    <cellStyle name="Normal 13 8 2" xfId="7767" xr:uid="{00000000-0005-0000-0000-00009D220000}"/>
    <cellStyle name="Normal 13 8 2 2" xfId="16863" xr:uid="{00000000-0005-0000-0000-00009E220000}"/>
    <cellStyle name="Normal 13 8 2 2 2" xfId="35045" xr:uid="{00000000-0005-0000-0000-00009F220000}"/>
    <cellStyle name="Normal 13 8 2 3" xfId="25955" xr:uid="{00000000-0005-0000-0000-0000A0220000}"/>
    <cellStyle name="Normal 13 8 3" xfId="12323" xr:uid="{00000000-0005-0000-0000-0000A1220000}"/>
    <cellStyle name="Normal 13 8 3 2" xfId="30505" xr:uid="{00000000-0005-0000-0000-0000A2220000}"/>
    <cellStyle name="Normal 13 8 4" xfId="21415" xr:uid="{00000000-0005-0000-0000-0000A3220000}"/>
    <cellStyle name="Normal 13 9" xfId="4856" xr:uid="{00000000-0005-0000-0000-0000A4220000}"/>
    <cellStyle name="Normal 13 9 2" xfId="13956" xr:uid="{00000000-0005-0000-0000-0000A5220000}"/>
    <cellStyle name="Normal 13 9 2 2" xfId="32138" xr:uid="{00000000-0005-0000-0000-0000A6220000}"/>
    <cellStyle name="Normal 13 9 3" xfId="23048" xr:uid="{00000000-0005-0000-0000-0000A7220000}"/>
    <cellStyle name="Normal 14" xfId="117" xr:uid="{00000000-0005-0000-0000-0000A8220000}"/>
    <cellStyle name="Normal 14 10" xfId="4857" xr:uid="{00000000-0005-0000-0000-0000A9220000}"/>
    <cellStyle name="Normal 14 10 2" xfId="13957" xr:uid="{00000000-0005-0000-0000-0000AA220000}"/>
    <cellStyle name="Normal 14 10 2 2" xfId="32139" xr:uid="{00000000-0005-0000-0000-0000AB220000}"/>
    <cellStyle name="Normal 14 10 3" xfId="23049" xr:uid="{00000000-0005-0000-0000-0000AC220000}"/>
    <cellStyle name="Normal 14 11" xfId="9423" xr:uid="{00000000-0005-0000-0000-0000AD220000}"/>
    <cellStyle name="Normal 14 11 2" xfId="27605" xr:uid="{00000000-0005-0000-0000-0000AE220000}"/>
    <cellStyle name="Normal 14 12" xfId="18514" xr:uid="{00000000-0005-0000-0000-0000AF220000}"/>
    <cellStyle name="Normal 14 2" xfId="121" xr:uid="{00000000-0005-0000-0000-0000B0220000}"/>
    <cellStyle name="Normal 14 2 10" xfId="3212" xr:uid="{00000000-0005-0000-0000-0000B1220000}"/>
    <cellStyle name="Normal 14 2 10 2" xfId="7772" xr:uid="{00000000-0005-0000-0000-0000B2220000}"/>
    <cellStyle name="Normal 14 2 10 2 2" xfId="16868" xr:uid="{00000000-0005-0000-0000-0000B3220000}"/>
    <cellStyle name="Normal 14 2 10 2 2 2" xfId="35050" xr:uid="{00000000-0005-0000-0000-0000B4220000}"/>
    <cellStyle name="Normal 14 2 10 2 3" xfId="25960" xr:uid="{00000000-0005-0000-0000-0000B5220000}"/>
    <cellStyle name="Normal 14 2 10 3" xfId="12328" xr:uid="{00000000-0005-0000-0000-0000B6220000}"/>
    <cellStyle name="Normal 14 2 10 3 2" xfId="30510" xr:uid="{00000000-0005-0000-0000-0000B7220000}"/>
    <cellStyle name="Normal 14 2 10 4" xfId="21420" xr:uid="{00000000-0005-0000-0000-0000B8220000}"/>
    <cellStyle name="Normal 14 2 11" xfId="4860" xr:uid="{00000000-0005-0000-0000-0000B9220000}"/>
    <cellStyle name="Normal 14 2 11 2" xfId="13960" xr:uid="{00000000-0005-0000-0000-0000BA220000}"/>
    <cellStyle name="Normal 14 2 11 2 2" xfId="32142" xr:uid="{00000000-0005-0000-0000-0000BB220000}"/>
    <cellStyle name="Normal 14 2 11 3" xfId="23052" xr:uid="{00000000-0005-0000-0000-0000BC220000}"/>
    <cellStyle name="Normal 14 2 12" xfId="9426" xr:uid="{00000000-0005-0000-0000-0000BD220000}"/>
    <cellStyle name="Normal 14 2 12 2" xfId="27608" xr:uid="{00000000-0005-0000-0000-0000BE220000}"/>
    <cellStyle name="Normal 14 2 13" xfId="18517" xr:uid="{00000000-0005-0000-0000-0000BF220000}"/>
    <cellStyle name="Normal 14 2 2" xfId="630" xr:uid="{00000000-0005-0000-0000-0000C0220000}"/>
    <cellStyle name="Normal 14 2 2 10" xfId="18936" xr:uid="{00000000-0005-0000-0000-0000C1220000}"/>
    <cellStyle name="Normal 14 2 2 2" xfId="631" xr:uid="{00000000-0005-0000-0000-0000C2220000}"/>
    <cellStyle name="Normal 14 2 2 2 2" xfId="632" xr:uid="{00000000-0005-0000-0000-0000C3220000}"/>
    <cellStyle name="Normal 14 2 2 2 2 2" xfId="633" xr:uid="{00000000-0005-0000-0000-0000C4220000}"/>
    <cellStyle name="Normal 14 2 2 2 2 2 2" xfId="2133" xr:uid="{00000000-0005-0000-0000-0000C5220000}"/>
    <cellStyle name="Normal 14 2 2 2 2 2 2 2" xfId="6719" xr:uid="{00000000-0005-0000-0000-0000C6220000}"/>
    <cellStyle name="Normal 14 2 2 2 2 2 2 2 2" xfId="15819" xr:uid="{00000000-0005-0000-0000-0000C7220000}"/>
    <cellStyle name="Normal 14 2 2 2 2 2 2 2 2 2" xfId="34001" xr:uid="{00000000-0005-0000-0000-0000C8220000}"/>
    <cellStyle name="Normal 14 2 2 2 2 2 2 2 3" xfId="24911" xr:uid="{00000000-0005-0000-0000-0000C9220000}"/>
    <cellStyle name="Normal 14 2 2 2 2 2 2 3" xfId="11283" xr:uid="{00000000-0005-0000-0000-0000CA220000}"/>
    <cellStyle name="Normal 14 2 2 2 2 2 2 3 2" xfId="29465" xr:uid="{00000000-0005-0000-0000-0000CB220000}"/>
    <cellStyle name="Normal 14 2 2 2 2 2 2 4" xfId="20375" xr:uid="{00000000-0005-0000-0000-0000CC220000}"/>
    <cellStyle name="Normal 14 2 2 2 2 2 3" xfId="3643" xr:uid="{00000000-0005-0000-0000-0000CD220000}"/>
    <cellStyle name="Normal 14 2 2 2 2 2 3 2" xfId="8199" xr:uid="{00000000-0005-0000-0000-0000CE220000}"/>
    <cellStyle name="Normal 14 2 2 2 2 2 3 2 2" xfId="17295" xr:uid="{00000000-0005-0000-0000-0000CF220000}"/>
    <cellStyle name="Normal 14 2 2 2 2 2 3 2 2 2" xfId="35477" xr:uid="{00000000-0005-0000-0000-0000D0220000}"/>
    <cellStyle name="Normal 14 2 2 2 2 2 3 2 3" xfId="26387" xr:uid="{00000000-0005-0000-0000-0000D1220000}"/>
    <cellStyle name="Normal 14 2 2 2 2 2 3 3" xfId="12755" xr:uid="{00000000-0005-0000-0000-0000D2220000}"/>
    <cellStyle name="Normal 14 2 2 2 2 2 3 3 2" xfId="30937" xr:uid="{00000000-0005-0000-0000-0000D3220000}"/>
    <cellStyle name="Normal 14 2 2 2 2 2 3 4" xfId="21847" xr:uid="{00000000-0005-0000-0000-0000D4220000}"/>
    <cellStyle name="Normal 14 2 2 2 2 2 4" xfId="5282" xr:uid="{00000000-0005-0000-0000-0000D5220000}"/>
    <cellStyle name="Normal 14 2 2 2 2 2 4 2" xfId="14382" xr:uid="{00000000-0005-0000-0000-0000D6220000}"/>
    <cellStyle name="Normal 14 2 2 2 2 2 4 2 2" xfId="32564" xr:uid="{00000000-0005-0000-0000-0000D7220000}"/>
    <cellStyle name="Normal 14 2 2 2 2 2 4 3" xfId="23474" xr:uid="{00000000-0005-0000-0000-0000D8220000}"/>
    <cellStyle name="Normal 14 2 2 2 2 2 5" xfId="9848" xr:uid="{00000000-0005-0000-0000-0000D9220000}"/>
    <cellStyle name="Normal 14 2 2 2 2 2 5 2" xfId="28030" xr:uid="{00000000-0005-0000-0000-0000DA220000}"/>
    <cellStyle name="Normal 14 2 2 2 2 2 6" xfId="18939" xr:uid="{00000000-0005-0000-0000-0000DB220000}"/>
    <cellStyle name="Normal 14 2 2 2 2 3" xfId="2134" xr:uid="{00000000-0005-0000-0000-0000DC220000}"/>
    <cellStyle name="Normal 14 2 2 2 2 3 2" xfId="6720" xr:uid="{00000000-0005-0000-0000-0000DD220000}"/>
    <cellStyle name="Normal 14 2 2 2 2 3 2 2" xfId="15820" xr:uid="{00000000-0005-0000-0000-0000DE220000}"/>
    <cellStyle name="Normal 14 2 2 2 2 3 2 2 2" xfId="34002" xr:uid="{00000000-0005-0000-0000-0000DF220000}"/>
    <cellStyle name="Normal 14 2 2 2 2 3 2 3" xfId="24912" xr:uid="{00000000-0005-0000-0000-0000E0220000}"/>
    <cellStyle name="Normal 14 2 2 2 2 3 3" xfId="11284" xr:uid="{00000000-0005-0000-0000-0000E1220000}"/>
    <cellStyle name="Normal 14 2 2 2 2 3 3 2" xfId="29466" xr:uid="{00000000-0005-0000-0000-0000E2220000}"/>
    <cellStyle name="Normal 14 2 2 2 2 3 4" xfId="20376" xr:uid="{00000000-0005-0000-0000-0000E3220000}"/>
    <cellStyle name="Normal 14 2 2 2 2 4" xfId="3642" xr:uid="{00000000-0005-0000-0000-0000E4220000}"/>
    <cellStyle name="Normal 14 2 2 2 2 4 2" xfId="8198" xr:uid="{00000000-0005-0000-0000-0000E5220000}"/>
    <cellStyle name="Normal 14 2 2 2 2 4 2 2" xfId="17294" xr:uid="{00000000-0005-0000-0000-0000E6220000}"/>
    <cellStyle name="Normal 14 2 2 2 2 4 2 2 2" xfId="35476" xr:uid="{00000000-0005-0000-0000-0000E7220000}"/>
    <cellStyle name="Normal 14 2 2 2 2 4 2 3" xfId="26386" xr:uid="{00000000-0005-0000-0000-0000E8220000}"/>
    <cellStyle name="Normal 14 2 2 2 2 4 3" xfId="12754" xr:uid="{00000000-0005-0000-0000-0000E9220000}"/>
    <cellStyle name="Normal 14 2 2 2 2 4 3 2" xfId="30936" xr:uid="{00000000-0005-0000-0000-0000EA220000}"/>
    <cellStyle name="Normal 14 2 2 2 2 4 4" xfId="21846" xr:uid="{00000000-0005-0000-0000-0000EB220000}"/>
    <cellStyle name="Normal 14 2 2 2 2 5" xfId="5281" xr:uid="{00000000-0005-0000-0000-0000EC220000}"/>
    <cellStyle name="Normal 14 2 2 2 2 5 2" xfId="14381" xr:uid="{00000000-0005-0000-0000-0000ED220000}"/>
    <cellStyle name="Normal 14 2 2 2 2 5 2 2" xfId="32563" xr:uid="{00000000-0005-0000-0000-0000EE220000}"/>
    <cellStyle name="Normal 14 2 2 2 2 5 3" xfId="23473" xr:uid="{00000000-0005-0000-0000-0000EF220000}"/>
    <cellStyle name="Normal 14 2 2 2 2 6" xfId="9847" xr:uid="{00000000-0005-0000-0000-0000F0220000}"/>
    <cellStyle name="Normal 14 2 2 2 2 6 2" xfId="28029" xr:uid="{00000000-0005-0000-0000-0000F1220000}"/>
    <cellStyle name="Normal 14 2 2 2 2 7" xfId="18938" xr:uid="{00000000-0005-0000-0000-0000F2220000}"/>
    <cellStyle name="Normal 14 2 2 2 3" xfId="634" xr:uid="{00000000-0005-0000-0000-0000F3220000}"/>
    <cellStyle name="Normal 14 2 2 2 3 2" xfId="2135" xr:uid="{00000000-0005-0000-0000-0000F4220000}"/>
    <cellStyle name="Normal 14 2 2 2 3 2 2" xfId="6721" xr:uid="{00000000-0005-0000-0000-0000F5220000}"/>
    <cellStyle name="Normal 14 2 2 2 3 2 2 2" xfId="15821" xr:uid="{00000000-0005-0000-0000-0000F6220000}"/>
    <cellStyle name="Normal 14 2 2 2 3 2 2 2 2" xfId="34003" xr:uid="{00000000-0005-0000-0000-0000F7220000}"/>
    <cellStyle name="Normal 14 2 2 2 3 2 2 3" xfId="24913" xr:uid="{00000000-0005-0000-0000-0000F8220000}"/>
    <cellStyle name="Normal 14 2 2 2 3 2 3" xfId="11285" xr:uid="{00000000-0005-0000-0000-0000F9220000}"/>
    <cellStyle name="Normal 14 2 2 2 3 2 3 2" xfId="29467" xr:uid="{00000000-0005-0000-0000-0000FA220000}"/>
    <cellStyle name="Normal 14 2 2 2 3 2 4" xfId="20377" xr:uid="{00000000-0005-0000-0000-0000FB220000}"/>
    <cellStyle name="Normal 14 2 2 2 3 3" xfId="3644" xr:uid="{00000000-0005-0000-0000-0000FC220000}"/>
    <cellStyle name="Normal 14 2 2 2 3 3 2" xfId="8200" xr:uid="{00000000-0005-0000-0000-0000FD220000}"/>
    <cellStyle name="Normal 14 2 2 2 3 3 2 2" xfId="17296" xr:uid="{00000000-0005-0000-0000-0000FE220000}"/>
    <cellStyle name="Normal 14 2 2 2 3 3 2 2 2" xfId="35478" xr:uid="{00000000-0005-0000-0000-0000FF220000}"/>
    <cellStyle name="Normal 14 2 2 2 3 3 2 3" xfId="26388" xr:uid="{00000000-0005-0000-0000-000000230000}"/>
    <cellStyle name="Normal 14 2 2 2 3 3 3" xfId="12756" xr:uid="{00000000-0005-0000-0000-000001230000}"/>
    <cellStyle name="Normal 14 2 2 2 3 3 3 2" xfId="30938" xr:uid="{00000000-0005-0000-0000-000002230000}"/>
    <cellStyle name="Normal 14 2 2 2 3 3 4" xfId="21848" xr:uid="{00000000-0005-0000-0000-000003230000}"/>
    <cellStyle name="Normal 14 2 2 2 3 4" xfId="5283" xr:uid="{00000000-0005-0000-0000-000004230000}"/>
    <cellStyle name="Normal 14 2 2 2 3 4 2" xfId="14383" xr:uid="{00000000-0005-0000-0000-000005230000}"/>
    <cellStyle name="Normal 14 2 2 2 3 4 2 2" xfId="32565" xr:uid="{00000000-0005-0000-0000-000006230000}"/>
    <cellStyle name="Normal 14 2 2 2 3 4 3" xfId="23475" xr:uid="{00000000-0005-0000-0000-000007230000}"/>
    <cellStyle name="Normal 14 2 2 2 3 5" xfId="9849" xr:uid="{00000000-0005-0000-0000-000008230000}"/>
    <cellStyle name="Normal 14 2 2 2 3 5 2" xfId="28031" xr:uid="{00000000-0005-0000-0000-000009230000}"/>
    <cellStyle name="Normal 14 2 2 2 3 6" xfId="18940" xr:uid="{00000000-0005-0000-0000-00000A230000}"/>
    <cellStyle name="Normal 14 2 2 2 4" xfId="635" xr:uid="{00000000-0005-0000-0000-00000B230000}"/>
    <cellStyle name="Normal 14 2 2 2 4 2" xfId="3645" xr:uid="{00000000-0005-0000-0000-00000C230000}"/>
    <cellStyle name="Normal 14 2 2 2 4 2 2" xfId="8201" xr:uid="{00000000-0005-0000-0000-00000D230000}"/>
    <cellStyle name="Normal 14 2 2 2 4 2 2 2" xfId="17297" xr:uid="{00000000-0005-0000-0000-00000E230000}"/>
    <cellStyle name="Normal 14 2 2 2 4 2 2 2 2" xfId="35479" xr:uid="{00000000-0005-0000-0000-00000F230000}"/>
    <cellStyle name="Normal 14 2 2 2 4 2 2 3" xfId="26389" xr:uid="{00000000-0005-0000-0000-000010230000}"/>
    <cellStyle name="Normal 14 2 2 2 4 2 3" xfId="12757" xr:uid="{00000000-0005-0000-0000-000011230000}"/>
    <cellStyle name="Normal 14 2 2 2 4 2 3 2" xfId="30939" xr:uid="{00000000-0005-0000-0000-000012230000}"/>
    <cellStyle name="Normal 14 2 2 2 4 2 4" xfId="21849" xr:uid="{00000000-0005-0000-0000-000013230000}"/>
    <cellStyle name="Normal 14 2 2 2 4 3" xfId="5284" xr:uid="{00000000-0005-0000-0000-000014230000}"/>
    <cellStyle name="Normal 14 2 2 2 4 3 2" xfId="14384" xr:uid="{00000000-0005-0000-0000-000015230000}"/>
    <cellStyle name="Normal 14 2 2 2 4 3 2 2" xfId="32566" xr:uid="{00000000-0005-0000-0000-000016230000}"/>
    <cellStyle name="Normal 14 2 2 2 4 3 3" xfId="23476" xr:uid="{00000000-0005-0000-0000-000017230000}"/>
    <cellStyle name="Normal 14 2 2 2 4 4" xfId="9850" xr:uid="{00000000-0005-0000-0000-000018230000}"/>
    <cellStyle name="Normal 14 2 2 2 4 4 2" xfId="28032" xr:uid="{00000000-0005-0000-0000-000019230000}"/>
    <cellStyle name="Normal 14 2 2 2 4 5" xfId="18941" xr:uid="{00000000-0005-0000-0000-00001A230000}"/>
    <cellStyle name="Normal 14 2 2 2 5" xfId="2136" xr:uid="{00000000-0005-0000-0000-00001B230000}"/>
    <cellStyle name="Normal 14 2 2 2 5 2" xfId="6722" xr:uid="{00000000-0005-0000-0000-00001C230000}"/>
    <cellStyle name="Normal 14 2 2 2 5 2 2" xfId="15822" xr:uid="{00000000-0005-0000-0000-00001D230000}"/>
    <cellStyle name="Normal 14 2 2 2 5 2 2 2" xfId="34004" xr:uid="{00000000-0005-0000-0000-00001E230000}"/>
    <cellStyle name="Normal 14 2 2 2 5 2 3" xfId="24914" xr:uid="{00000000-0005-0000-0000-00001F230000}"/>
    <cellStyle name="Normal 14 2 2 2 5 3" xfId="11286" xr:uid="{00000000-0005-0000-0000-000020230000}"/>
    <cellStyle name="Normal 14 2 2 2 5 3 2" xfId="29468" xr:uid="{00000000-0005-0000-0000-000021230000}"/>
    <cellStyle name="Normal 14 2 2 2 5 4" xfId="20378" xr:uid="{00000000-0005-0000-0000-000022230000}"/>
    <cellStyle name="Normal 14 2 2 2 6" xfId="3641" xr:uid="{00000000-0005-0000-0000-000023230000}"/>
    <cellStyle name="Normal 14 2 2 2 6 2" xfId="8197" xr:uid="{00000000-0005-0000-0000-000024230000}"/>
    <cellStyle name="Normal 14 2 2 2 6 2 2" xfId="17293" xr:uid="{00000000-0005-0000-0000-000025230000}"/>
    <cellStyle name="Normal 14 2 2 2 6 2 2 2" xfId="35475" xr:uid="{00000000-0005-0000-0000-000026230000}"/>
    <cellStyle name="Normal 14 2 2 2 6 2 3" xfId="26385" xr:uid="{00000000-0005-0000-0000-000027230000}"/>
    <cellStyle name="Normal 14 2 2 2 6 3" xfId="12753" xr:uid="{00000000-0005-0000-0000-000028230000}"/>
    <cellStyle name="Normal 14 2 2 2 6 3 2" xfId="30935" xr:uid="{00000000-0005-0000-0000-000029230000}"/>
    <cellStyle name="Normal 14 2 2 2 6 4" xfId="21845" xr:uid="{00000000-0005-0000-0000-00002A230000}"/>
    <cellStyle name="Normal 14 2 2 2 7" xfId="5280" xr:uid="{00000000-0005-0000-0000-00002B230000}"/>
    <cellStyle name="Normal 14 2 2 2 7 2" xfId="14380" xr:uid="{00000000-0005-0000-0000-00002C230000}"/>
    <cellStyle name="Normal 14 2 2 2 7 2 2" xfId="32562" xr:uid="{00000000-0005-0000-0000-00002D230000}"/>
    <cellStyle name="Normal 14 2 2 2 7 3" xfId="23472" xr:uid="{00000000-0005-0000-0000-00002E230000}"/>
    <cellStyle name="Normal 14 2 2 2 8" xfId="9846" xr:uid="{00000000-0005-0000-0000-00002F230000}"/>
    <cellStyle name="Normal 14 2 2 2 8 2" xfId="28028" xr:uid="{00000000-0005-0000-0000-000030230000}"/>
    <cellStyle name="Normal 14 2 2 2 9" xfId="18937" xr:uid="{00000000-0005-0000-0000-000031230000}"/>
    <cellStyle name="Normal 14 2 2 3" xfId="636" xr:uid="{00000000-0005-0000-0000-000032230000}"/>
    <cellStyle name="Normal 14 2 2 3 2" xfId="637" xr:uid="{00000000-0005-0000-0000-000033230000}"/>
    <cellStyle name="Normal 14 2 2 3 2 2" xfId="2137" xr:uid="{00000000-0005-0000-0000-000034230000}"/>
    <cellStyle name="Normal 14 2 2 3 2 2 2" xfId="6723" xr:uid="{00000000-0005-0000-0000-000035230000}"/>
    <cellStyle name="Normal 14 2 2 3 2 2 2 2" xfId="15823" xr:uid="{00000000-0005-0000-0000-000036230000}"/>
    <cellStyle name="Normal 14 2 2 3 2 2 2 2 2" xfId="34005" xr:uid="{00000000-0005-0000-0000-000037230000}"/>
    <cellStyle name="Normal 14 2 2 3 2 2 2 3" xfId="24915" xr:uid="{00000000-0005-0000-0000-000038230000}"/>
    <cellStyle name="Normal 14 2 2 3 2 2 3" xfId="11287" xr:uid="{00000000-0005-0000-0000-000039230000}"/>
    <cellStyle name="Normal 14 2 2 3 2 2 3 2" xfId="29469" xr:uid="{00000000-0005-0000-0000-00003A230000}"/>
    <cellStyle name="Normal 14 2 2 3 2 2 4" xfId="20379" xr:uid="{00000000-0005-0000-0000-00003B230000}"/>
    <cellStyle name="Normal 14 2 2 3 2 3" xfId="3647" xr:uid="{00000000-0005-0000-0000-00003C230000}"/>
    <cellStyle name="Normal 14 2 2 3 2 3 2" xfId="8203" xr:uid="{00000000-0005-0000-0000-00003D230000}"/>
    <cellStyle name="Normal 14 2 2 3 2 3 2 2" xfId="17299" xr:uid="{00000000-0005-0000-0000-00003E230000}"/>
    <cellStyle name="Normal 14 2 2 3 2 3 2 2 2" xfId="35481" xr:uid="{00000000-0005-0000-0000-00003F230000}"/>
    <cellStyle name="Normal 14 2 2 3 2 3 2 3" xfId="26391" xr:uid="{00000000-0005-0000-0000-000040230000}"/>
    <cellStyle name="Normal 14 2 2 3 2 3 3" xfId="12759" xr:uid="{00000000-0005-0000-0000-000041230000}"/>
    <cellStyle name="Normal 14 2 2 3 2 3 3 2" xfId="30941" xr:uid="{00000000-0005-0000-0000-000042230000}"/>
    <cellStyle name="Normal 14 2 2 3 2 3 4" xfId="21851" xr:uid="{00000000-0005-0000-0000-000043230000}"/>
    <cellStyle name="Normal 14 2 2 3 2 4" xfId="5286" xr:uid="{00000000-0005-0000-0000-000044230000}"/>
    <cellStyle name="Normal 14 2 2 3 2 4 2" xfId="14386" xr:uid="{00000000-0005-0000-0000-000045230000}"/>
    <cellStyle name="Normal 14 2 2 3 2 4 2 2" xfId="32568" xr:uid="{00000000-0005-0000-0000-000046230000}"/>
    <cellStyle name="Normal 14 2 2 3 2 4 3" xfId="23478" xr:uid="{00000000-0005-0000-0000-000047230000}"/>
    <cellStyle name="Normal 14 2 2 3 2 5" xfId="9852" xr:uid="{00000000-0005-0000-0000-000048230000}"/>
    <cellStyle name="Normal 14 2 2 3 2 5 2" xfId="28034" xr:uid="{00000000-0005-0000-0000-000049230000}"/>
    <cellStyle name="Normal 14 2 2 3 2 6" xfId="18943" xr:uid="{00000000-0005-0000-0000-00004A230000}"/>
    <cellStyle name="Normal 14 2 2 3 3" xfId="2138" xr:uid="{00000000-0005-0000-0000-00004B230000}"/>
    <cellStyle name="Normal 14 2 2 3 3 2" xfId="6724" xr:uid="{00000000-0005-0000-0000-00004C230000}"/>
    <cellStyle name="Normal 14 2 2 3 3 2 2" xfId="15824" xr:uid="{00000000-0005-0000-0000-00004D230000}"/>
    <cellStyle name="Normal 14 2 2 3 3 2 2 2" xfId="34006" xr:uid="{00000000-0005-0000-0000-00004E230000}"/>
    <cellStyle name="Normal 14 2 2 3 3 2 3" xfId="24916" xr:uid="{00000000-0005-0000-0000-00004F230000}"/>
    <cellStyle name="Normal 14 2 2 3 3 3" xfId="11288" xr:uid="{00000000-0005-0000-0000-000050230000}"/>
    <cellStyle name="Normal 14 2 2 3 3 3 2" xfId="29470" xr:uid="{00000000-0005-0000-0000-000051230000}"/>
    <cellStyle name="Normal 14 2 2 3 3 4" xfId="20380" xr:uid="{00000000-0005-0000-0000-000052230000}"/>
    <cellStyle name="Normal 14 2 2 3 4" xfId="3646" xr:uid="{00000000-0005-0000-0000-000053230000}"/>
    <cellStyle name="Normal 14 2 2 3 4 2" xfId="8202" xr:uid="{00000000-0005-0000-0000-000054230000}"/>
    <cellStyle name="Normal 14 2 2 3 4 2 2" xfId="17298" xr:uid="{00000000-0005-0000-0000-000055230000}"/>
    <cellStyle name="Normal 14 2 2 3 4 2 2 2" xfId="35480" xr:uid="{00000000-0005-0000-0000-000056230000}"/>
    <cellStyle name="Normal 14 2 2 3 4 2 3" xfId="26390" xr:uid="{00000000-0005-0000-0000-000057230000}"/>
    <cellStyle name="Normal 14 2 2 3 4 3" xfId="12758" xr:uid="{00000000-0005-0000-0000-000058230000}"/>
    <cellStyle name="Normal 14 2 2 3 4 3 2" xfId="30940" xr:uid="{00000000-0005-0000-0000-000059230000}"/>
    <cellStyle name="Normal 14 2 2 3 4 4" xfId="21850" xr:uid="{00000000-0005-0000-0000-00005A230000}"/>
    <cellStyle name="Normal 14 2 2 3 5" xfId="5285" xr:uid="{00000000-0005-0000-0000-00005B230000}"/>
    <cellStyle name="Normal 14 2 2 3 5 2" xfId="14385" xr:uid="{00000000-0005-0000-0000-00005C230000}"/>
    <cellStyle name="Normal 14 2 2 3 5 2 2" xfId="32567" xr:uid="{00000000-0005-0000-0000-00005D230000}"/>
    <cellStyle name="Normal 14 2 2 3 5 3" xfId="23477" xr:uid="{00000000-0005-0000-0000-00005E230000}"/>
    <cellStyle name="Normal 14 2 2 3 6" xfId="9851" xr:uid="{00000000-0005-0000-0000-00005F230000}"/>
    <cellStyle name="Normal 14 2 2 3 6 2" xfId="28033" xr:uid="{00000000-0005-0000-0000-000060230000}"/>
    <cellStyle name="Normal 14 2 2 3 7" xfId="18942" xr:uid="{00000000-0005-0000-0000-000061230000}"/>
    <cellStyle name="Normal 14 2 2 4" xfId="638" xr:uid="{00000000-0005-0000-0000-000062230000}"/>
    <cellStyle name="Normal 14 2 2 4 2" xfId="2139" xr:uid="{00000000-0005-0000-0000-000063230000}"/>
    <cellStyle name="Normal 14 2 2 4 2 2" xfId="6725" xr:uid="{00000000-0005-0000-0000-000064230000}"/>
    <cellStyle name="Normal 14 2 2 4 2 2 2" xfId="15825" xr:uid="{00000000-0005-0000-0000-000065230000}"/>
    <cellStyle name="Normal 14 2 2 4 2 2 2 2" xfId="34007" xr:uid="{00000000-0005-0000-0000-000066230000}"/>
    <cellStyle name="Normal 14 2 2 4 2 2 3" xfId="24917" xr:uid="{00000000-0005-0000-0000-000067230000}"/>
    <cellStyle name="Normal 14 2 2 4 2 3" xfId="11289" xr:uid="{00000000-0005-0000-0000-000068230000}"/>
    <cellStyle name="Normal 14 2 2 4 2 3 2" xfId="29471" xr:uid="{00000000-0005-0000-0000-000069230000}"/>
    <cellStyle name="Normal 14 2 2 4 2 4" xfId="20381" xr:uid="{00000000-0005-0000-0000-00006A230000}"/>
    <cellStyle name="Normal 14 2 2 4 3" xfId="3648" xr:uid="{00000000-0005-0000-0000-00006B230000}"/>
    <cellStyle name="Normal 14 2 2 4 3 2" xfId="8204" xr:uid="{00000000-0005-0000-0000-00006C230000}"/>
    <cellStyle name="Normal 14 2 2 4 3 2 2" xfId="17300" xr:uid="{00000000-0005-0000-0000-00006D230000}"/>
    <cellStyle name="Normal 14 2 2 4 3 2 2 2" xfId="35482" xr:uid="{00000000-0005-0000-0000-00006E230000}"/>
    <cellStyle name="Normal 14 2 2 4 3 2 3" xfId="26392" xr:uid="{00000000-0005-0000-0000-00006F230000}"/>
    <cellStyle name="Normal 14 2 2 4 3 3" xfId="12760" xr:uid="{00000000-0005-0000-0000-000070230000}"/>
    <cellStyle name="Normal 14 2 2 4 3 3 2" xfId="30942" xr:uid="{00000000-0005-0000-0000-000071230000}"/>
    <cellStyle name="Normal 14 2 2 4 3 4" xfId="21852" xr:uid="{00000000-0005-0000-0000-000072230000}"/>
    <cellStyle name="Normal 14 2 2 4 4" xfId="5287" xr:uid="{00000000-0005-0000-0000-000073230000}"/>
    <cellStyle name="Normal 14 2 2 4 4 2" xfId="14387" xr:uid="{00000000-0005-0000-0000-000074230000}"/>
    <cellStyle name="Normal 14 2 2 4 4 2 2" xfId="32569" xr:uid="{00000000-0005-0000-0000-000075230000}"/>
    <cellStyle name="Normal 14 2 2 4 4 3" xfId="23479" xr:uid="{00000000-0005-0000-0000-000076230000}"/>
    <cellStyle name="Normal 14 2 2 4 5" xfId="9853" xr:uid="{00000000-0005-0000-0000-000077230000}"/>
    <cellStyle name="Normal 14 2 2 4 5 2" xfId="28035" xr:uid="{00000000-0005-0000-0000-000078230000}"/>
    <cellStyle name="Normal 14 2 2 4 6" xfId="18944" xr:uid="{00000000-0005-0000-0000-000079230000}"/>
    <cellStyle name="Normal 14 2 2 5" xfId="639" xr:uid="{00000000-0005-0000-0000-00007A230000}"/>
    <cellStyle name="Normal 14 2 2 5 2" xfId="3649" xr:uid="{00000000-0005-0000-0000-00007B230000}"/>
    <cellStyle name="Normal 14 2 2 5 2 2" xfId="8205" xr:uid="{00000000-0005-0000-0000-00007C230000}"/>
    <cellStyle name="Normal 14 2 2 5 2 2 2" xfId="17301" xr:uid="{00000000-0005-0000-0000-00007D230000}"/>
    <cellStyle name="Normal 14 2 2 5 2 2 2 2" xfId="35483" xr:uid="{00000000-0005-0000-0000-00007E230000}"/>
    <cellStyle name="Normal 14 2 2 5 2 2 3" xfId="26393" xr:uid="{00000000-0005-0000-0000-00007F230000}"/>
    <cellStyle name="Normal 14 2 2 5 2 3" xfId="12761" xr:uid="{00000000-0005-0000-0000-000080230000}"/>
    <cellStyle name="Normal 14 2 2 5 2 3 2" xfId="30943" xr:uid="{00000000-0005-0000-0000-000081230000}"/>
    <cellStyle name="Normal 14 2 2 5 2 4" xfId="21853" xr:uid="{00000000-0005-0000-0000-000082230000}"/>
    <cellStyle name="Normal 14 2 2 5 3" xfId="5288" xr:uid="{00000000-0005-0000-0000-000083230000}"/>
    <cellStyle name="Normal 14 2 2 5 3 2" xfId="14388" xr:uid="{00000000-0005-0000-0000-000084230000}"/>
    <cellStyle name="Normal 14 2 2 5 3 2 2" xfId="32570" xr:uid="{00000000-0005-0000-0000-000085230000}"/>
    <cellStyle name="Normal 14 2 2 5 3 3" xfId="23480" xr:uid="{00000000-0005-0000-0000-000086230000}"/>
    <cellStyle name="Normal 14 2 2 5 4" xfId="9854" xr:uid="{00000000-0005-0000-0000-000087230000}"/>
    <cellStyle name="Normal 14 2 2 5 4 2" xfId="28036" xr:uid="{00000000-0005-0000-0000-000088230000}"/>
    <cellStyle name="Normal 14 2 2 5 5" xfId="18945" xr:uid="{00000000-0005-0000-0000-000089230000}"/>
    <cellStyle name="Normal 14 2 2 6" xfId="2140" xr:uid="{00000000-0005-0000-0000-00008A230000}"/>
    <cellStyle name="Normal 14 2 2 6 2" xfId="6726" xr:uid="{00000000-0005-0000-0000-00008B230000}"/>
    <cellStyle name="Normal 14 2 2 6 2 2" xfId="15826" xr:uid="{00000000-0005-0000-0000-00008C230000}"/>
    <cellStyle name="Normal 14 2 2 6 2 2 2" xfId="34008" xr:uid="{00000000-0005-0000-0000-00008D230000}"/>
    <cellStyle name="Normal 14 2 2 6 2 3" xfId="24918" xr:uid="{00000000-0005-0000-0000-00008E230000}"/>
    <cellStyle name="Normal 14 2 2 6 3" xfId="11290" xr:uid="{00000000-0005-0000-0000-00008F230000}"/>
    <cellStyle name="Normal 14 2 2 6 3 2" xfId="29472" xr:uid="{00000000-0005-0000-0000-000090230000}"/>
    <cellStyle name="Normal 14 2 2 6 4" xfId="20382" xr:uid="{00000000-0005-0000-0000-000091230000}"/>
    <cellStyle name="Normal 14 2 2 7" xfId="3640" xr:uid="{00000000-0005-0000-0000-000092230000}"/>
    <cellStyle name="Normal 14 2 2 7 2" xfId="8196" xr:uid="{00000000-0005-0000-0000-000093230000}"/>
    <cellStyle name="Normal 14 2 2 7 2 2" xfId="17292" xr:uid="{00000000-0005-0000-0000-000094230000}"/>
    <cellStyle name="Normal 14 2 2 7 2 2 2" xfId="35474" xr:uid="{00000000-0005-0000-0000-000095230000}"/>
    <cellStyle name="Normal 14 2 2 7 2 3" xfId="26384" xr:uid="{00000000-0005-0000-0000-000096230000}"/>
    <cellStyle name="Normal 14 2 2 7 3" xfId="12752" xr:uid="{00000000-0005-0000-0000-000097230000}"/>
    <cellStyle name="Normal 14 2 2 7 3 2" xfId="30934" xr:uid="{00000000-0005-0000-0000-000098230000}"/>
    <cellStyle name="Normal 14 2 2 7 4" xfId="21844" xr:uid="{00000000-0005-0000-0000-000099230000}"/>
    <cellStyle name="Normal 14 2 2 8" xfId="5279" xr:uid="{00000000-0005-0000-0000-00009A230000}"/>
    <cellStyle name="Normal 14 2 2 8 2" xfId="14379" xr:uid="{00000000-0005-0000-0000-00009B230000}"/>
    <cellStyle name="Normal 14 2 2 8 2 2" xfId="32561" xr:uid="{00000000-0005-0000-0000-00009C230000}"/>
    <cellStyle name="Normal 14 2 2 8 3" xfId="23471" xr:uid="{00000000-0005-0000-0000-00009D230000}"/>
    <cellStyle name="Normal 14 2 2 9" xfId="9845" xr:uid="{00000000-0005-0000-0000-00009E230000}"/>
    <cellStyle name="Normal 14 2 2 9 2" xfId="28027" xr:uid="{00000000-0005-0000-0000-00009F230000}"/>
    <cellStyle name="Normal 14 2 3" xfId="640" xr:uid="{00000000-0005-0000-0000-0000A0230000}"/>
    <cellStyle name="Normal 14 2 3 10" xfId="18946" xr:uid="{00000000-0005-0000-0000-0000A1230000}"/>
    <cellStyle name="Normal 14 2 3 2" xfId="641" xr:uid="{00000000-0005-0000-0000-0000A2230000}"/>
    <cellStyle name="Normal 14 2 3 2 2" xfId="642" xr:uid="{00000000-0005-0000-0000-0000A3230000}"/>
    <cellStyle name="Normal 14 2 3 2 2 2" xfId="643" xr:uid="{00000000-0005-0000-0000-0000A4230000}"/>
    <cellStyle name="Normal 14 2 3 2 2 2 2" xfId="2141" xr:uid="{00000000-0005-0000-0000-0000A5230000}"/>
    <cellStyle name="Normal 14 2 3 2 2 2 2 2" xfId="6727" xr:uid="{00000000-0005-0000-0000-0000A6230000}"/>
    <cellStyle name="Normal 14 2 3 2 2 2 2 2 2" xfId="15827" xr:uid="{00000000-0005-0000-0000-0000A7230000}"/>
    <cellStyle name="Normal 14 2 3 2 2 2 2 2 2 2" xfId="34009" xr:uid="{00000000-0005-0000-0000-0000A8230000}"/>
    <cellStyle name="Normal 14 2 3 2 2 2 2 2 3" xfId="24919" xr:uid="{00000000-0005-0000-0000-0000A9230000}"/>
    <cellStyle name="Normal 14 2 3 2 2 2 2 3" xfId="11291" xr:uid="{00000000-0005-0000-0000-0000AA230000}"/>
    <cellStyle name="Normal 14 2 3 2 2 2 2 3 2" xfId="29473" xr:uid="{00000000-0005-0000-0000-0000AB230000}"/>
    <cellStyle name="Normal 14 2 3 2 2 2 2 4" xfId="20383" xr:uid="{00000000-0005-0000-0000-0000AC230000}"/>
    <cellStyle name="Normal 14 2 3 2 2 2 3" xfId="3653" xr:uid="{00000000-0005-0000-0000-0000AD230000}"/>
    <cellStyle name="Normal 14 2 3 2 2 2 3 2" xfId="8209" xr:uid="{00000000-0005-0000-0000-0000AE230000}"/>
    <cellStyle name="Normal 14 2 3 2 2 2 3 2 2" xfId="17305" xr:uid="{00000000-0005-0000-0000-0000AF230000}"/>
    <cellStyle name="Normal 14 2 3 2 2 2 3 2 2 2" xfId="35487" xr:uid="{00000000-0005-0000-0000-0000B0230000}"/>
    <cellStyle name="Normal 14 2 3 2 2 2 3 2 3" xfId="26397" xr:uid="{00000000-0005-0000-0000-0000B1230000}"/>
    <cellStyle name="Normal 14 2 3 2 2 2 3 3" xfId="12765" xr:uid="{00000000-0005-0000-0000-0000B2230000}"/>
    <cellStyle name="Normal 14 2 3 2 2 2 3 3 2" xfId="30947" xr:uid="{00000000-0005-0000-0000-0000B3230000}"/>
    <cellStyle name="Normal 14 2 3 2 2 2 3 4" xfId="21857" xr:uid="{00000000-0005-0000-0000-0000B4230000}"/>
    <cellStyle name="Normal 14 2 3 2 2 2 4" xfId="5292" xr:uid="{00000000-0005-0000-0000-0000B5230000}"/>
    <cellStyle name="Normal 14 2 3 2 2 2 4 2" xfId="14392" xr:uid="{00000000-0005-0000-0000-0000B6230000}"/>
    <cellStyle name="Normal 14 2 3 2 2 2 4 2 2" xfId="32574" xr:uid="{00000000-0005-0000-0000-0000B7230000}"/>
    <cellStyle name="Normal 14 2 3 2 2 2 4 3" xfId="23484" xr:uid="{00000000-0005-0000-0000-0000B8230000}"/>
    <cellStyle name="Normal 14 2 3 2 2 2 5" xfId="9858" xr:uid="{00000000-0005-0000-0000-0000B9230000}"/>
    <cellStyle name="Normal 14 2 3 2 2 2 5 2" xfId="28040" xr:uid="{00000000-0005-0000-0000-0000BA230000}"/>
    <cellStyle name="Normal 14 2 3 2 2 2 6" xfId="18949" xr:uid="{00000000-0005-0000-0000-0000BB230000}"/>
    <cellStyle name="Normal 14 2 3 2 2 3" xfId="2142" xr:uid="{00000000-0005-0000-0000-0000BC230000}"/>
    <cellStyle name="Normal 14 2 3 2 2 3 2" xfId="6728" xr:uid="{00000000-0005-0000-0000-0000BD230000}"/>
    <cellStyle name="Normal 14 2 3 2 2 3 2 2" xfId="15828" xr:uid="{00000000-0005-0000-0000-0000BE230000}"/>
    <cellStyle name="Normal 14 2 3 2 2 3 2 2 2" xfId="34010" xr:uid="{00000000-0005-0000-0000-0000BF230000}"/>
    <cellStyle name="Normal 14 2 3 2 2 3 2 3" xfId="24920" xr:uid="{00000000-0005-0000-0000-0000C0230000}"/>
    <cellStyle name="Normal 14 2 3 2 2 3 3" xfId="11292" xr:uid="{00000000-0005-0000-0000-0000C1230000}"/>
    <cellStyle name="Normal 14 2 3 2 2 3 3 2" xfId="29474" xr:uid="{00000000-0005-0000-0000-0000C2230000}"/>
    <cellStyle name="Normal 14 2 3 2 2 3 4" xfId="20384" xr:uid="{00000000-0005-0000-0000-0000C3230000}"/>
    <cellStyle name="Normal 14 2 3 2 2 4" xfId="3652" xr:uid="{00000000-0005-0000-0000-0000C4230000}"/>
    <cellStyle name="Normal 14 2 3 2 2 4 2" xfId="8208" xr:uid="{00000000-0005-0000-0000-0000C5230000}"/>
    <cellStyle name="Normal 14 2 3 2 2 4 2 2" xfId="17304" xr:uid="{00000000-0005-0000-0000-0000C6230000}"/>
    <cellStyle name="Normal 14 2 3 2 2 4 2 2 2" xfId="35486" xr:uid="{00000000-0005-0000-0000-0000C7230000}"/>
    <cellStyle name="Normal 14 2 3 2 2 4 2 3" xfId="26396" xr:uid="{00000000-0005-0000-0000-0000C8230000}"/>
    <cellStyle name="Normal 14 2 3 2 2 4 3" xfId="12764" xr:uid="{00000000-0005-0000-0000-0000C9230000}"/>
    <cellStyle name="Normal 14 2 3 2 2 4 3 2" xfId="30946" xr:uid="{00000000-0005-0000-0000-0000CA230000}"/>
    <cellStyle name="Normal 14 2 3 2 2 4 4" xfId="21856" xr:uid="{00000000-0005-0000-0000-0000CB230000}"/>
    <cellStyle name="Normal 14 2 3 2 2 5" xfId="5291" xr:uid="{00000000-0005-0000-0000-0000CC230000}"/>
    <cellStyle name="Normal 14 2 3 2 2 5 2" xfId="14391" xr:uid="{00000000-0005-0000-0000-0000CD230000}"/>
    <cellStyle name="Normal 14 2 3 2 2 5 2 2" xfId="32573" xr:uid="{00000000-0005-0000-0000-0000CE230000}"/>
    <cellStyle name="Normal 14 2 3 2 2 5 3" xfId="23483" xr:uid="{00000000-0005-0000-0000-0000CF230000}"/>
    <cellStyle name="Normal 14 2 3 2 2 6" xfId="9857" xr:uid="{00000000-0005-0000-0000-0000D0230000}"/>
    <cellStyle name="Normal 14 2 3 2 2 6 2" xfId="28039" xr:uid="{00000000-0005-0000-0000-0000D1230000}"/>
    <cellStyle name="Normal 14 2 3 2 2 7" xfId="18948" xr:uid="{00000000-0005-0000-0000-0000D2230000}"/>
    <cellStyle name="Normal 14 2 3 2 3" xfId="644" xr:uid="{00000000-0005-0000-0000-0000D3230000}"/>
    <cellStyle name="Normal 14 2 3 2 3 2" xfId="2143" xr:uid="{00000000-0005-0000-0000-0000D4230000}"/>
    <cellStyle name="Normal 14 2 3 2 3 2 2" xfId="6729" xr:uid="{00000000-0005-0000-0000-0000D5230000}"/>
    <cellStyle name="Normal 14 2 3 2 3 2 2 2" xfId="15829" xr:uid="{00000000-0005-0000-0000-0000D6230000}"/>
    <cellStyle name="Normal 14 2 3 2 3 2 2 2 2" xfId="34011" xr:uid="{00000000-0005-0000-0000-0000D7230000}"/>
    <cellStyle name="Normal 14 2 3 2 3 2 2 3" xfId="24921" xr:uid="{00000000-0005-0000-0000-0000D8230000}"/>
    <cellStyle name="Normal 14 2 3 2 3 2 3" xfId="11293" xr:uid="{00000000-0005-0000-0000-0000D9230000}"/>
    <cellStyle name="Normal 14 2 3 2 3 2 3 2" xfId="29475" xr:uid="{00000000-0005-0000-0000-0000DA230000}"/>
    <cellStyle name="Normal 14 2 3 2 3 2 4" xfId="20385" xr:uid="{00000000-0005-0000-0000-0000DB230000}"/>
    <cellStyle name="Normal 14 2 3 2 3 3" xfId="3654" xr:uid="{00000000-0005-0000-0000-0000DC230000}"/>
    <cellStyle name="Normal 14 2 3 2 3 3 2" xfId="8210" xr:uid="{00000000-0005-0000-0000-0000DD230000}"/>
    <cellStyle name="Normal 14 2 3 2 3 3 2 2" xfId="17306" xr:uid="{00000000-0005-0000-0000-0000DE230000}"/>
    <cellStyle name="Normal 14 2 3 2 3 3 2 2 2" xfId="35488" xr:uid="{00000000-0005-0000-0000-0000DF230000}"/>
    <cellStyle name="Normal 14 2 3 2 3 3 2 3" xfId="26398" xr:uid="{00000000-0005-0000-0000-0000E0230000}"/>
    <cellStyle name="Normal 14 2 3 2 3 3 3" xfId="12766" xr:uid="{00000000-0005-0000-0000-0000E1230000}"/>
    <cellStyle name="Normal 14 2 3 2 3 3 3 2" xfId="30948" xr:uid="{00000000-0005-0000-0000-0000E2230000}"/>
    <cellStyle name="Normal 14 2 3 2 3 3 4" xfId="21858" xr:uid="{00000000-0005-0000-0000-0000E3230000}"/>
    <cellStyle name="Normal 14 2 3 2 3 4" xfId="5293" xr:uid="{00000000-0005-0000-0000-0000E4230000}"/>
    <cellStyle name="Normal 14 2 3 2 3 4 2" xfId="14393" xr:uid="{00000000-0005-0000-0000-0000E5230000}"/>
    <cellStyle name="Normal 14 2 3 2 3 4 2 2" xfId="32575" xr:uid="{00000000-0005-0000-0000-0000E6230000}"/>
    <cellStyle name="Normal 14 2 3 2 3 4 3" xfId="23485" xr:uid="{00000000-0005-0000-0000-0000E7230000}"/>
    <cellStyle name="Normal 14 2 3 2 3 5" xfId="9859" xr:uid="{00000000-0005-0000-0000-0000E8230000}"/>
    <cellStyle name="Normal 14 2 3 2 3 5 2" xfId="28041" xr:uid="{00000000-0005-0000-0000-0000E9230000}"/>
    <cellStyle name="Normal 14 2 3 2 3 6" xfId="18950" xr:uid="{00000000-0005-0000-0000-0000EA230000}"/>
    <cellStyle name="Normal 14 2 3 2 4" xfId="645" xr:uid="{00000000-0005-0000-0000-0000EB230000}"/>
    <cellStyle name="Normal 14 2 3 2 4 2" xfId="3655" xr:uid="{00000000-0005-0000-0000-0000EC230000}"/>
    <cellStyle name="Normal 14 2 3 2 4 2 2" xfId="8211" xr:uid="{00000000-0005-0000-0000-0000ED230000}"/>
    <cellStyle name="Normal 14 2 3 2 4 2 2 2" xfId="17307" xr:uid="{00000000-0005-0000-0000-0000EE230000}"/>
    <cellStyle name="Normal 14 2 3 2 4 2 2 2 2" xfId="35489" xr:uid="{00000000-0005-0000-0000-0000EF230000}"/>
    <cellStyle name="Normal 14 2 3 2 4 2 2 3" xfId="26399" xr:uid="{00000000-0005-0000-0000-0000F0230000}"/>
    <cellStyle name="Normal 14 2 3 2 4 2 3" xfId="12767" xr:uid="{00000000-0005-0000-0000-0000F1230000}"/>
    <cellStyle name="Normal 14 2 3 2 4 2 3 2" xfId="30949" xr:uid="{00000000-0005-0000-0000-0000F2230000}"/>
    <cellStyle name="Normal 14 2 3 2 4 2 4" xfId="21859" xr:uid="{00000000-0005-0000-0000-0000F3230000}"/>
    <cellStyle name="Normal 14 2 3 2 4 3" xfId="5294" xr:uid="{00000000-0005-0000-0000-0000F4230000}"/>
    <cellStyle name="Normal 14 2 3 2 4 3 2" xfId="14394" xr:uid="{00000000-0005-0000-0000-0000F5230000}"/>
    <cellStyle name="Normal 14 2 3 2 4 3 2 2" xfId="32576" xr:uid="{00000000-0005-0000-0000-0000F6230000}"/>
    <cellStyle name="Normal 14 2 3 2 4 3 3" xfId="23486" xr:uid="{00000000-0005-0000-0000-0000F7230000}"/>
    <cellStyle name="Normal 14 2 3 2 4 4" xfId="9860" xr:uid="{00000000-0005-0000-0000-0000F8230000}"/>
    <cellStyle name="Normal 14 2 3 2 4 4 2" xfId="28042" xr:uid="{00000000-0005-0000-0000-0000F9230000}"/>
    <cellStyle name="Normal 14 2 3 2 4 5" xfId="18951" xr:uid="{00000000-0005-0000-0000-0000FA230000}"/>
    <cellStyle name="Normal 14 2 3 2 5" xfId="2144" xr:uid="{00000000-0005-0000-0000-0000FB230000}"/>
    <cellStyle name="Normal 14 2 3 2 5 2" xfId="6730" xr:uid="{00000000-0005-0000-0000-0000FC230000}"/>
    <cellStyle name="Normal 14 2 3 2 5 2 2" xfId="15830" xr:uid="{00000000-0005-0000-0000-0000FD230000}"/>
    <cellStyle name="Normal 14 2 3 2 5 2 2 2" xfId="34012" xr:uid="{00000000-0005-0000-0000-0000FE230000}"/>
    <cellStyle name="Normal 14 2 3 2 5 2 3" xfId="24922" xr:uid="{00000000-0005-0000-0000-0000FF230000}"/>
    <cellStyle name="Normal 14 2 3 2 5 3" xfId="11294" xr:uid="{00000000-0005-0000-0000-000000240000}"/>
    <cellStyle name="Normal 14 2 3 2 5 3 2" xfId="29476" xr:uid="{00000000-0005-0000-0000-000001240000}"/>
    <cellStyle name="Normal 14 2 3 2 5 4" xfId="20386" xr:uid="{00000000-0005-0000-0000-000002240000}"/>
    <cellStyle name="Normal 14 2 3 2 6" xfId="3651" xr:uid="{00000000-0005-0000-0000-000003240000}"/>
    <cellStyle name="Normal 14 2 3 2 6 2" xfId="8207" xr:uid="{00000000-0005-0000-0000-000004240000}"/>
    <cellStyle name="Normal 14 2 3 2 6 2 2" xfId="17303" xr:uid="{00000000-0005-0000-0000-000005240000}"/>
    <cellStyle name="Normal 14 2 3 2 6 2 2 2" xfId="35485" xr:uid="{00000000-0005-0000-0000-000006240000}"/>
    <cellStyle name="Normal 14 2 3 2 6 2 3" xfId="26395" xr:uid="{00000000-0005-0000-0000-000007240000}"/>
    <cellStyle name="Normal 14 2 3 2 6 3" xfId="12763" xr:uid="{00000000-0005-0000-0000-000008240000}"/>
    <cellStyle name="Normal 14 2 3 2 6 3 2" xfId="30945" xr:uid="{00000000-0005-0000-0000-000009240000}"/>
    <cellStyle name="Normal 14 2 3 2 6 4" xfId="21855" xr:uid="{00000000-0005-0000-0000-00000A240000}"/>
    <cellStyle name="Normal 14 2 3 2 7" xfId="5290" xr:uid="{00000000-0005-0000-0000-00000B240000}"/>
    <cellStyle name="Normal 14 2 3 2 7 2" xfId="14390" xr:uid="{00000000-0005-0000-0000-00000C240000}"/>
    <cellStyle name="Normal 14 2 3 2 7 2 2" xfId="32572" xr:uid="{00000000-0005-0000-0000-00000D240000}"/>
    <cellStyle name="Normal 14 2 3 2 7 3" xfId="23482" xr:uid="{00000000-0005-0000-0000-00000E240000}"/>
    <cellStyle name="Normal 14 2 3 2 8" xfId="9856" xr:uid="{00000000-0005-0000-0000-00000F240000}"/>
    <cellStyle name="Normal 14 2 3 2 8 2" xfId="28038" xr:uid="{00000000-0005-0000-0000-000010240000}"/>
    <cellStyle name="Normal 14 2 3 2 9" xfId="18947" xr:uid="{00000000-0005-0000-0000-000011240000}"/>
    <cellStyle name="Normal 14 2 3 3" xfId="646" xr:uid="{00000000-0005-0000-0000-000012240000}"/>
    <cellStyle name="Normal 14 2 3 3 2" xfId="647" xr:uid="{00000000-0005-0000-0000-000013240000}"/>
    <cellStyle name="Normal 14 2 3 3 2 2" xfId="2145" xr:uid="{00000000-0005-0000-0000-000014240000}"/>
    <cellStyle name="Normal 14 2 3 3 2 2 2" xfId="6731" xr:uid="{00000000-0005-0000-0000-000015240000}"/>
    <cellStyle name="Normal 14 2 3 3 2 2 2 2" xfId="15831" xr:uid="{00000000-0005-0000-0000-000016240000}"/>
    <cellStyle name="Normal 14 2 3 3 2 2 2 2 2" xfId="34013" xr:uid="{00000000-0005-0000-0000-000017240000}"/>
    <cellStyle name="Normal 14 2 3 3 2 2 2 3" xfId="24923" xr:uid="{00000000-0005-0000-0000-000018240000}"/>
    <cellStyle name="Normal 14 2 3 3 2 2 3" xfId="11295" xr:uid="{00000000-0005-0000-0000-000019240000}"/>
    <cellStyle name="Normal 14 2 3 3 2 2 3 2" xfId="29477" xr:uid="{00000000-0005-0000-0000-00001A240000}"/>
    <cellStyle name="Normal 14 2 3 3 2 2 4" xfId="20387" xr:uid="{00000000-0005-0000-0000-00001B240000}"/>
    <cellStyle name="Normal 14 2 3 3 2 3" xfId="3657" xr:uid="{00000000-0005-0000-0000-00001C240000}"/>
    <cellStyle name="Normal 14 2 3 3 2 3 2" xfId="8213" xr:uid="{00000000-0005-0000-0000-00001D240000}"/>
    <cellStyle name="Normal 14 2 3 3 2 3 2 2" xfId="17309" xr:uid="{00000000-0005-0000-0000-00001E240000}"/>
    <cellStyle name="Normal 14 2 3 3 2 3 2 2 2" xfId="35491" xr:uid="{00000000-0005-0000-0000-00001F240000}"/>
    <cellStyle name="Normal 14 2 3 3 2 3 2 3" xfId="26401" xr:uid="{00000000-0005-0000-0000-000020240000}"/>
    <cellStyle name="Normal 14 2 3 3 2 3 3" xfId="12769" xr:uid="{00000000-0005-0000-0000-000021240000}"/>
    <cellStyle name="Normal 14 2 3 3 2 3 3 2" xfId="30951" xr:uid="{00000000-0005-0000-0000-000022240000}"/>
    <cellStyle name="Normal 14 2 3 3 2 3 4" xfId="21861" xr:uid="{00000000-0005-0000-0000-000023240000}"/>
    <cellStyle name="Normal 14 2 3 3 2 4" xfId="5296" xr:uid="{00000000-0005-0000-0000-000024240000}"/>
    <cellStyle name="Normal 14 2 3 3 2 4 2" xfId="14396" xr:uid="{00000000-0005-0000-0000-000025240000}"/>
    <cellStyle name="Normal 14 2 3 3 2 4 2 2" xfId="32578" xr:uid="{00000000-0005-0000-0000-000026240000}"/>
    <cellStyle name="Normal 14 2 3 3 2 4 3" xfId="23488" xr:uid="{00000000-0005-0000-0000-000027240000}"/>
    <cellStyle name="Normal 14 2 3 3 2 5" xfId="9862" xr:uid="{00000000-0005-0000-0000-000028240000}"/>
    <cellStyle name="Normal 14 2 3 3 2 5 2" xfId="28044" xr:uid="{00000000-0005-0000-0000-000029240000}"/>
    <cellStyle name="Normal 14 2 3 3 2 6" xfId="18953" xr:uid="{00000000-0005-0000-0000-00002A240000}"/>
    <cellStyle name="Normal 14 2 3 3 3" xfId="2146" xr:uid="{00000000-0005-0000-0000-00002B240000}"/>
    <cellStyle name="Normal 14 2 3 3 3 2" xfId="6732" xr:uid="{00000000-0005-0000-0000-00002C240000}"/>
    <cellStyle name="Normal 14 2 3 3 3 2 2" xfId="15832" xr:uid="{00000000-0005-0000-0000-00002D240000}"/>
    <cellStyle name="Normal 14 2 3 3 3 2 2 2" xfId="34014" xr:uid="{00000000-0005-0000-0000-00002E240000}"/>
    <cellStyle name="Normal 14 2 3 3 3 2 3" xfId="24924" xr:uid="{00000000-0005-0000-0000-00002F240000}"/>
    <cellStyle name="Normal 14 2 3 3 3 3" xfId="11296" xr:uid="{00000000-0005-0000-0000-000030240000}"/>
    <cellStyle name="Normal 14 2 3 3 3 3 2" xfId="29478" xr:uid="{00000000-0005-0000-0000-000031240000}"/>
    <cellStyle name="Normal 14 2 3 3 3 4" xfId="20388" xr:uid="{00000000-0005-0000-0000-000032240000}"/>
    <cellStyle name="Normal 14 2 3 3 4" xfId="3656" xr:uid="{00000000-0005-0000-0000-000033240000}"/>
    <cellStyle name="Normal 14 2 3 3 4 2" xfId="8212" xr:uid="{00000000-0005-0000-0000-000034240000}"/>
    <cellStyle name="Normal 14 2 3 3 4 2 2" xfId="17308" xr:uid="{00000000-0005-0000-0000-000035240000}"/>
    <cellStyle name="Normal 14 2 3 3 4 2 2 2" xfId="35490" xr:uid="{00000000-0005-0000-0000-000036240000}"/>
    <cellStyle name="Normal 14 2 3 3 4 2 3" xfId="26400" xr:uid="{00000000-0005-0000-0000-000037240000}"/>
    <cellStyle name="Normal 14 2 3 3 4 3" xfId="12768" xr:uid="{00000000-0005-0000-0000-000038240000}"/>
    <cellStyle name="Normal 14 2 3 3 4 3 2" xfId="30950" xr:uid="{00000000-0005-0000-0000-000039240000}"/>
    <cellStyle name="Normal 14 2 3 3 4 4" xfId="21860" xr:uid="{00000000-0005-0000-0000-00003A240000}"/>
    <cellStyle name="Normal 14 2 3 3 5" xfId="5295" xr:uid="{00000000-0005-0000-0000-00003B240000}"/>
    <cellStyle name="Normal 14 2 3 3 5 2" xfId="14395" xr:uid="{00000000-0005-0000-0000-00003C240000}"/>
    <cellStyle name="Normal 14 2 3 3 5 2 2" xfId="32577" xr:uid="{00000000-0005-0000-0000-00003D240000}"/>
    <cellStyle name="Normal 14 2 3 3 5 3" xfId="23487" xr:uid="{00000000-0005-0000-0000-00003E240000}"/>
    <cellStyle name="Normal 14 2 3 3 6" xfId="9861" xr:uid="{00000000-0005-0000-0000-00003F240000}"/>
    <cellStyle name="Normal 14 2 3 3 6 2" xfId="28043" xr:uid="{00000000-0005-0000-0000-000040240000}"/>
    <cellStyle name="Normal 14 2 3 3 7" xfId="18952" xr:uid="{00000000-0005-0000-0000-000041240000}"/>
    <cellStyle name="Normal 14 2 3 4" xfId="648" xr:uid="{00000000-0005-0000-0000-000042240000}"/>
    <cellStyle name="Normal 14 2 3 4 2" xfId="2147" xr:uid="{00000000-0005-0000-0000-000043240000}"/>
    <cellStyle name="Normal 14 2 3 4 2 2" xfId="6733" xr:uid="{00000000-0005-0000-0000-000044240000}"/>
    <cellStyle name="Normal 14 2 3 4 2 2 2" xfId="15833" xr:uid="{00000000-0005-0000-0000-000045240000}"/>
    <cellStyle name="Normal 14 2 3 4 2 2 2 2" xfId="34015" xr:uid="{00000000-0005-0000-0000-000046240000}"/>
    <cellStyle name="Normal 14 2 3 4 2 2 3" xfId="24925" xr:uid="{00000000-0005-0000-0000-000047240000}"/>
    <cellStyle name="Normal 14 2 3 4 2 3" xfId="11297" xr:uid="{00000000-0005-0000-0000-000048240000}"/>
    <cellStyle name="Normal 14 2 3 4 2 3 2" xfId="29479" xr:uid="{00000000-0005-0000-0000-000049240000}"/>
    <cellStyle name="Normal 14 2 3 4 2 4" xfId="20389" xr:uid="{00000000-0005-0000-0000-00004A240000}"/>
    <cellStyle name="Normal 14 2 3 4 3" xfId="3658" xr:uid="{00000000-0005-0000-0000-00004B240000}"/>
    <cellStyle name="Normal 14 2 3 4 3 2" xfId="8214" xr:uid="{00000000-0005-0000-0000-00004C240000}"/>
    <cellStyle name="Normal 14 2 3 4 3 2 2" xfId="17310" xr:uid="{00000000-0005-0000-0000-00004D240000}"/>
    <cellStyle name="Normal 14 2 3 4 3 2 2 2" xfId="35492" xr:uid="{00000000-0005-0000-0000-00004E240000}"/>
    <cellStyle name="Normal 14 2 3 4 3 2 3" xfId="26402" xr:uid="{00000000-0005-0000-0000-00004F240000}"/>
    <cellStyle name="Normal 14 2 3 4 3 3" xfId="12770" xr:uid="{00000000-0005-0000-0000-000050240000}"/>
    <cellStyle name="Normal 14 2 3 4 3 3 2" xfId="30952" xr:uid="{00000000-0005-0000-0000-000051240000}"/>
    <cellStyle name="Normal 14 2 3 4 3 4" xfId="21862" xr:uid="{00000000-0005-0000-0000-000052240000}"/>
    <cellStyle name="Normal 14 2 3 4 4" xfId="5297" xr:uid="{00000000-0005-0000-0000-000053240000}"/>
    <cellStyle name="Normal 14 2 3 4 4 2" xfId="14397" xr:uid="{00000000-0005-0000-0000-000054240000}"/>
    <cellStyle name="Normal 14 2 3 4 4 2 2" xfId="32579" xr:uid="{00000000-0005-0000-0000-000055240000}"/>
    <cellStyle name="Normal 14 2 3 4 4 3" xfId="23489" xr:uid="{00000000-0005-0000-0000-000056240000}"/>
    <cellStyle name="Normal 14 2 3 4 5" xfId="9863" xr:uid="{00000000-0005-0000-0000-000057240000}"/>
    <cellStyle name="Normal 14 2 3 4 5 2" xfId="28045" xr:uid="{00000000-0005-0000-0000-000058240000}"/>
    <cellStyle name="Normal 14 2 3 4 6" xfId="18954" xr:uid="{00000000-0005-0000-0000-000059240000}"/>
    <cellStyle name="Normal 14 2 3 5" xfId="649" xr:uid="{00000000-0005-0000-0000-00005A240000}"/>
    <cellStyle name="Normal 14 2 3 5 2" xfId="3659" xr:uid="{00000000-0005-0000-0000-00005B240000}"/>
    <cellStyle name="Normal 14 2 3 5 2 2" xfId="8215" xr:uid="{00000000-0005-0000-0000-00005C240000}"/>
    <cellStyle name="Normal 14 2 3 5 2 2 2" xfId="17311" xr:uid="{00000000-0005-0000-0000-00005D240000}"/>
    <cellStyle name="Normal 14 2 3 5 2 2 2 2" xfId="35493" xr:uid="{00000000-0005-0000-0000-00005E240000}"/>
    <cellStyle name="Normal 14 2 3 5 2 2 3" xfId="26403" xr:uid="{00000000-0005-0000-0000-00005F240000}"/>
    <cellStyle name="Normal 14 2 3 5 2 3" xfId="12771" xr:uid="{00000000-0005-0000-0000-000060240000}"/>
    <cellStyle name="Normal 14 2 3 5 2 3 2" xfId="30953" xr:uid="{00000000-0005-0000-0000-000061240000}"/>
    <cellStyle name="Normal 14 2 3 5 2 4" xfId="21863" xr:uid="{00000000-0005-0000-0000-000062240000}"/>
    <cellStyle name="Normal 14 2 3 5 3" xfId="5298" xr:uid="{00000000-0005-0000-0000-000063240000}"/>
    <cellStyle name="Normal 14 2 3 5 3 2" xfId="14398" xr:uid="{00000000-0005-0000-0000-000064240000}"/>
    <cellStyle name="Normal 14 2 3 5 3 2 2" xfId="32580" xr:uid="{00000000-0005-0000-0000-000065240000}"/>
    <cellStyle name="Normal 14 2 3 5 3 3" xfId="23490" xr:uid="{00000000-0005-0000-0000-000066240000}"/>
    <cellStyle name="Normal 14 2 3 5 4" xfId="9864" xr:uid="{00000000-0005-0000-0000-000067240000}"/>
    <cellStyle name="Normal 14 2 3 5 4 2" xfId="28046" xr:uid="{00000000-0005-0000-0000-000068240000}"/>
    <cellStyle name="Normal 14 2 3 5 5" xfId="18955" xr:uid="{00000000-0005-0000-0000-000069240000}"/>
    <cellStyle name="Normal 14 2 3 6" xfId="2148" xr:uid="{00000000-0005-0000-0000-00006A240000}"/>
    <cellStyle name="Normal 14 2 3 6 2" xfId="6734" xr:uid="{00000000-0005-0000-0000-00006B240000}"/>
    <cellStyle name="Normal 14 2 3 6 2 2" xfId="15834" xr:uid="{00000000-0005-0000-0000-00006C240000}"/>
    <cellStyle name="Normal 14 2 3 6 2 2 2" xfId="34016" xr:uid="{00000000-0005-0000-0000-00006D240000}"/>
    <cellStyle name="Normal 14 2 3 6 2 3" xfId="24926" xr:uid="{00000000-0005-0000-0000-00006E240000}"/>
    <cellStyle name="Normal 14 2 3 6 3" xfId="11298" xr:uid="{00000000-0005-0000-0000-00006F240000}"/>
    <cellStyle name="Normal 14 2 3 6 3 2" xfId="29480" xr:uid="{00000000-0005-0000-0000-000070240000}"/>
    <cellStyle name="Normal 14 2 3 6 4" xfId="20390" xr:uid="{00000000-0005-0000-0000-000071240000}"/>
    <cellStyle name="Normal 14 2 3 7" xfId="3650" xr:uid="{00000000-0005-0000-0000-000072240000}"/>
    <cellStyle name="Normal 14 2 3 7 2" xfId="8206" xr:uid="{00000000-0005-0000-0000-000073240000}"/>
    <cellStyle name="Normal 14 2 3 7 2 2" xfId="17302" xr:uid="{00000000-0005-0000-0000-000074240000}"/>
    <cellStyle name="Normal 14 2 3 7 2 2 2" xfId="35484" xr:uid="{00000000-0005-0000-0000-000075240000}"/>
    <cellStyle name="Normal 14 2 3 7 2 3" xfId="26394" xr:uid="{00000000-0005-0000-0000-000076240000}"/>
    <cellStyle name="Normal 14 2 3 7 3" xfId="12762" xr:uid="{00000000-0005-0000-0000-000077240000}"/>
    <cellStyle name="Normal 14 2 3 7 3 2" xfId="30944" xr:uid="{00000000-0005-0000-0000-000078240000}"/>
    <cellStyle name="Normal 14 2 3 7 4" xfId="21854" xr:uid="{00000000-0005-0000-0000-000079240000}"/>
    <cellStyle name="Normal 14 2 3 8" xfId="5289" xr:uid="{00000000-0005-0000-0000-00007A240000}"/>
    <cellStyle name="Normal 14 2 3 8 2" xfId="14389" xr:uid="{00000000-0005-0000-0000-00007B240000}"/>
    <cellStyle name="Normal 14 2 3 8 2 2" xfId="32571" xr:uid="{00000000-0005-0000-0000-00007C240000}"/>
    <cellStyle name="Normal 14 2 3 8 3" xfId="23481" xr:uid="{00000000-0005-0000-0000-00007D240000}"/>
    <cellStyle name="Normal 14 2 3 9" xfId="9855" xr:uid="{00000000-0005-0000-0000-00007E240000}"/>
    <cellStyle name="Normal 14 2 3 9 2" xfId="28037" xr:uid="{00000000-0005-0000-0000-00007F240000}"/>
    <cellStyle name="Normal 14 2 4" xfId="650" xr:uid="{00000000-0005-0000-0000-000080240000}"/>
    <cellStyle name="Normal 14 2 4 2" xfId="651" xr:uid="{00000000-0005-0000-0000-000081240000}"/>
    <cellStyle name="Normal 14 2 4 2 2" xfId="652" xr:uid="{00000000-0005-0000-0000-000082240000}"/>
    <cellStyle name="Normal 14 2 4 2 2 2" xfId="2149" xr:uid="{00000000-0005-0000-0000-000083240000}"/>
    <cellStyle name="Normal 14 2 4 2 2 2 2" xfId="6735" xr:uid="{00000000-0005-0000-0000-000084240000}"/>
    <cellStyle name="Normal 14 2 4 2 2 2 2 2" xfId="15835" xr:uid="{00000000-0005-0000-0000-000085240000}"/>
    <cellStyle name="Normal 14 2 4 2 2 2 2 2 2" xfId="34017" xr:uid="{00000000-0005-0000-0000-000086240000}"/>
    <cellStyle name="Normal 14 2 4 2 2 2 2 3" xfId="24927" xr:uid="{00000000-0005-0000-0000-000087240000}"/>
    <cellStyle name="Normal 14 2 4 2 2 2 3" xfId="11299" xr:uid="{00000000-0005-0000-0000-000088240000}"/>
    <cellStyle name="Normal 14 2 4 2 2 2 3 2" xfId="29481" xr:uid="{00000000-0005-0000-0000-000089240000}"/>
    <cellStyle name="Normal 14 2 4 2 2 2 4" xfId="20391" xr:uid="{00000000-0005-0000-0000-00008A240000}"/>
    <cellStyle name="Normal 14 2 4 2 2 3" xfId="3662" xr:uid="{00000000-0005-0000-0000-00008B240000}"/>
    <cellStyle name="Normal 14 2 4 2 2 3 2" xfId="8218" xr:uid="{00000000-0005-0000-0000-00008C240000}"/>
    <cellStyle name="Normal 14 2 4 2 2 3 2 2" xfId="17314" xr:uid="{00000000-0005-0000-0000-00008D240000}"/>
    <cellStyle name="Normal 14 2 4 2 2 3 2 2 2" xfId="35496" xr:uid="{00000000-0005-0000-0000-00008E240000}"/>
    <cellStyle name="Normal 14 2 4 2 2 3 2 3" xfId="26406" xr:uid="{00000000-0005-0000-0000-00008F240000}"/>
    <cellStyle name="Normal 14 2 4 2 2 3 3" xfId="12774" xr:uid="{00000000-0005-0000-0000-000090240000}"/>
    <cellStyle name="Normal 14 2 4 2 2 3 3 2" xfId="30956" xr:uid="{00000000-0005-0000-0000-000091240000}"/>
    <cellStyle name="Normal 14 2 4 2 2 3 4" xfId="21866" xr:uid="{00000000-0005-0000-0000-000092240000}"/>
    <cellStyle name="Normal 14 2 4 2 2 4" xfId="5301" xr:uid="{00000000-0005-0000-0000-000093240000}"/>
    <cellStyle name="Normal 14 2 4 2 2 4 2" xfId="14401" xr:uid="{00000000-0005-0000-0000-000094240000}"/>
    <cellStyle name="Normal 14 2 4 2 2 4 2 2" xfId="32583" xr:uid="{00000000-0005-0000-0000-000095240000}"/>
    <cellStyle name="Normal 14 2 4 2 2 4 3" xfId="23493" xr:uid="{00000000-0005-0000-0000-000096240000}"/>
    <cellStyle name="Normal 14 2 4 2 2 5" xfId="9867" xr:uid="{00000000-0005-0000-0000-000097240000}"/>
    <cellStyle name="Normal 14 2 4 2 2 5 2" xfId="28049" xr:uid="{00000000-0005-0000-0000-000098240000}"/>
    <cellStyle name="Normal 14 2 4 2 2 6" xfId="18958" xr:uid="{00000000-0005-0000-0000-000099240000}"/>
    <cellStyle name="Normal 14 2 4 2 3" xfId="2150" xr:uid="{00000000-0005-0000-0000-00009A240000}"/>
    <cellStyle name="Normal 14 2 4 2 3 2" xfId="6736" xr:uid="{00000000-0005-0000-0000-00009B240000}"/>
    <cellStyle name="Normal 14 2 4 2 3 2 2" xfId="15836" xr:uid="{00000000-0005-0000-0000-00009C240000}"/>
    <cellStyle name="Normal 14 2 4 2 3 2 2 2" xfId="34018" xr:uid="{00000000-0005-0000-0000-00009D240000}"/>
    <cellStyle name="Normal 14 2 4 2 3 2 3" xfId="24928" xr:uid="{00000000-0005-0000-0000-00009E240000}"/>
    <cellStyle name="Normal 14 2 4 2 3 3" xfId="11300" xr:uid="{00000000-0005-0000-0000-00009F240000}"/>
    <cellStyle name="Normal 14 2 4 2 3 3 2" xfId="29482" xr:uid="{00000000-0005-0000-0000-0000A0240000}"/>
    <cellStyle name="Normal 14 2 4 2 3 4" xfId="20392" xr:uid="{00000000-0005-0000-0000-0000A1240000}"/>
    <cellStyle name="Normal 14 2 4 2 4" xfId="3661" xr:uid="{00000000-0005-0000-0000-0000A2240000}"/>
    <cellStyle name="Normal 14 2 4 2 4 2" xfId="8217" xr:uid="{00000000-0005-0000-0000-0000A3240000}"/>
    <cellStyle name="Normal 14 2 4 2 4 2 2" xfId="17313" xr:uid="{00000000-0005-0000-0000-0000A4240000}"/>
    <cellStyle name="Normal 14 2 4 2 4 2 2 2" xfId="35495" xr:uid="{00000000-0005-0000-0000-0000A5240000}"/>
    <cellStyle name="Normal 14 2 4 2 4 2 3" xfId="26405" xr:uid="{00000000-0005-0000-0000-0000A6240000}"/>
    <cellStyle name="Normal 14 2 4 2 4 3" xfId="12773" xr:uid="{00000000-0005-0000-0000-0000A7240000}"/>
    <cellStyle name="Normal 14 2 4 2 4 3 2" xfId="30955" xr:uid="{00000000-0005-0000-0000-0000A8240000}"/>
    <cellStyle name="Normal 14 2 4 2 4 4" xfId="21865" xr:uid="{00000000-0005-0000-0000-0000A9240000}"/>
    <cellStyle name="Normal 14 2 4 2 5" xfId="5300" xr:uid="{00000000-0005-0000-0000-0000AA240000}"/>
    <cellStyle name="Normal 14 2 4 2 5 2" xfId="14400" xr:uid="{00000000-0005-0000-0000-0000AB240000}"/>
    <cellStyle name="Normal 14 2 4 2 5 2 2" xfId="32582" xr:uid="{00000000-0005-0000-0000-0000AC240000}"/>
    <cellStyle name="Normal 14 2 4 2 5 3" xfId="23492" xr:uid="{00000000-0005-0000-0000-0000AD240000}"/>
    <cellStyle name="Normal 14 2 4 2 6" xfId="9866" xr:uid="{00000000-0005-0000-0000-0000AE240000}"/>
    <cellStyle name="Normal 14 2 4 2 6 2" xfId="28048" xr:uid="{00000000-0005-0000-0000-0000AF240000}"/>
    <cellStyle name="Normal 14 2 4 2 7" xfId="18957" xr:uid="{00000000-0005-0000-0000-0000B0240000}"/>
    <cellStyle name="Normal 14 2 4 3" xfId="653" xr:uid="{00000000-0005-0000-0000-0000B1240000}"/>
    <cellStyle name="Normal 14 2 4 3 2" xfId="2151" xr:uid="{00000000-0005-0000-0000-0000B2240000}"/>
    <cellStyle name="Normal 14 2 4 3 2 2" xfId="6737" xr:uid="{00000000-0005-0000-0000-0000B3240000}"/>
    <cellStyle name="Normal 14 2 4 3 2 2 2" xfId="15837" xr:uid="{00000000-0005-0000-0000-0000B4240000}"/>
    <cellStyle name="Normal 14 2 4 3 2 2 2 2" xfId="34019" xr:uid="{00000000-0005-0000-0000-0000B5240000}"/>
    <cellStyle name="Normal 14 2 4 3 2 2 3" xfId="24929" xr:uid="{00000000-0005-0000-0000-0000B6240000}"/>
    <cellStyle name="Normal 14 2 4 3 2 3" xfId="11301" xr:uid="{00000000-0005-0000-0000-0000B7240000}"/>
    <cellStyle name="Normal 14 2 4 3 2 3 2" xfId="29483" xr:uid="{00000000-0005-0000-0000-0000B8240000}"/>
    <cellStyle name="Normal 14 2 4 3 2 4" xfId="20393" xr:uid="{00000000-0005-0000-0000-0000B9240000}"/>
    <cellStyle name="Normal 14 2 4 3 3" xfId="3663" xr:uid="{00000000-0005-0000-0000-0000BA240000}"/>
    <cellStyle name="Normal 14 2 4 3 3 2" xfId="8219" xr:uid="{00000000-0005-0000-0000-0000BB240000}"/>
    <cellStyle name="Normal 14 2 4 3 3 2 2" xfId="17315" xr:uid="{00000000-0005-0000-0000-0000BC240000}"/>
    <cellStyle name="Normal 14 2 4 3 3 2 2 2" xfId="35497" xr:uid="{00000000-0005-0000-0000-0000BD240000}"/>
    <cellStyle name="Normal 14 2 4 3 3 2 3" xfId="26407" xr:uid="{00000000-0005-0000-0000-0000BE240000}"/>
    <cellStyle name="Normal 14 2 4 3 3 3" xfId="12775" xr:uid="{00000000-0005-0000-0000-0000BF240000}"/>
    <cellStyle name="Normal 14 2 4 3 3 3 2" xfId="30957" xr:uid="{00000000-0005-0000-0000-0000C0240000}"/>
    <cellStyle name="Normal 14 2 4 3 3 4" xfId="21867" xr:uid="{00000000-0005-0000-0000-0000C1240000}"/>
    <cellStyle name="Normal 14 2 4 3 4" xfId="5302" xr:uid="{00000000-0005-0000-0000-0000C2240000}"/>
    <cellStyle name="Normal 14 2 4 3 4 2" xfId="14402" xr:uid="{00000000-0005-0000-0000-0000C3240000}"/>
    <cellStyle name="Normal 14 2 4 3 4 2 2" xfId="32584" xr:uid="{00000000-0005-0000-0000-0000C4240000}"/>
    <cellStyle name="Normal 14 2 4 3 4 3" xfId="23494" xr:uid="{00000000-0005-0000-0000-0000C5240000}"/>
    <cellStyle name="Normal 14 2 4 3 5" xfId="9868" xr:uid="{00000000-0005-0000-0000-0000C6240000}"/>
    <cellStyle name="Normal 14 2 4 3 5 2" xfId="28050" xr:uid="{00000000-0005-0000-0000-0000C7240000}"/>
    <cellStyle name="Normal 14 2 4 3 6" xfId="18959" xr:uid="{00000000-0005-0000-0000-0000C8240000}"/>
    <cellStyle name="Normal 14 2 4 4" xfId="654" xr:uid="{00000000-0005-0000-0000-0000C9240000}"/>
    <cellStyle name="Normal 14 2 4 4 2" xfId="3664" xr:uid="{00000000-0005-0000-0000-0000CA240000}"/>
    <cellStyle name="Normal 14 2 4 4 2 2" xfId="8220" xr:uid="{00000000-0005-0000-0000-0000CB240000}"/>
    <cellStyle name="Normal 14 2 4 4 2 2 2" xfId="17316" xr:uid="{00000000-0005-0000-0000-0000CC240000}"/>
    <cellStyle name="Normal 14 2 4 4 2 2 2 2" xfId="35498" xr:uid="{00000000-0005-0000-0000-0000CD240000}"/>
    <cellStyle name="Normal 14 2 4 4 2 2 3" xfId="26408" xr:uid="{00000000-0005-0000-0000-0000CE240000}"/>
    <cellStyle name="Normal 14 2 4 4 2 3" xfId="12776" xr:uid="{00000000-0005-0000-0000-0000CF240000}"/>
    <cellStyle name="Normal 14 2 4 4 2 3 2" xfId="30958" xr:uid="{00000000-0005-0000-0000-0000D0240000}"/>
    <cellStyle name="Normal 14 2 4 4 2 4" xfId="21868" xr:uid="{00000000-0005-0000-0000-0000D1240000}"/>
    <cellStyle name="Normal 14 2 4 4 3" xfId="5303" xr:uid="{00000000-0005-0000-0000-0000D2240000}"/>
    <cellStyle name="Normal 14 2 4 4 3 2" xfId="14403" xr:uid="{00000000-0005-0000-0000-0000D3240000}"/>
    <cellStyle name="Normal 14 2 4 4 3 2 2" xfId="32585" xr:uid="{00000000-0005-0000-0000-0000D4240000}"/>
    <cellStyle name="Normal 14 2 4 4 3 3" xfId="23495" xr:uid="{00000000-0005-0000-0000-0000D5240000}"/>
    <cellStyle name="Normal 14 2 4 4 4" xfId="9869" xr:uid="{00000000-0005-0000-0000-0000D6240000}"/>
    <cellStyle name="Normal 14 2 4 4 4 2" xfId="28051" xr:uid="{00000000-0005-0000-0000-0000D7240000}"/>
    <cellStyle name="Normal 14 2 4 4 5" xfId="18960" xr:uid="{00000000-0005-0000-0000-0000D8240000}"/>
    <cellStyle name="Normal 14 2 4 5" xfId="2152" xr:uid="{00000000-0005-0000-0000-0000D9240000}"/>
    <cellStyle name="Normal 14 2 4 5 2" xfId="6738" xr:uid="{00000000-0005-0000-0000-0000DA240000}"/>
    <cellStyle name="Normal 14 2 4 5 2 2" xfId="15838" xr:uid="{00000000-0005-0000-0000-0000DB240000}"/>
    <cellStyle name="Normal 14 2 4 5 2 2 2" xfId="34020" xr:uid="{00000000-0005-0000-0000-0000DC240000}"/>
    <cellStyle name="Normal 14 2 4 5 2 3" xfId="24930" xr:uid="{00000000-0005-0000-0000-0000DD240000}"/>
    <cellStyle name="Normal 14 2 4 5 3" xfId="11302" xr:uid="{00000000-0005-0000-0000-0000DE240000}"/>
    <cellStyle name="Normal 14 2 4 5 3 2" xfId="29484" xr:uid="{00000000-0005-0000-0000-0000DF240000}"/>
    <cellStyle name="Normal 14 2 4 5 4" xfId="20394" xr:uid="{00000000-0005-0000-0000-0000E0240000}"/>
    <cellStyle name="Normal 14 2 4 6" xfId="3660" xr:uid="{00000000-0005-0000-0000-0000E1240000}"/>
    <cellStyle name="Normal 14 2 4 6 2" xfId="8216" xr:uid="{00000000-0005-0000-0000-0000E2240000}"/>
    <cellStyle name="Normal 14 2 4 6 2 2" xfId="17312" xr:uid="{00000000-0005-0000-0000-0000E3240000}"/>
    <cellStyle name="Normal 14 2 4 6 2 2 2" xfId="35494" xr:uid="{00000000-0005-0000-0000-0000E4240000}"/>
    <cellStyle name="Normal 14 2 4 6 2 3" xfId="26404" xr:uid="{00000000-0005-0000-0000-0000E5240000}"/>
    <cellStyle name="Normal 14 2 4 6 3" xfId="12772" xr:uid="{00000000-0005-0000-0000-0000E6240000}"/>
    <cellStyle name="Normal 14 2 4 6 3 2" xfId="30954" xr:uid="{00000000-0005-0000-0000-0000E7240000}"/>
    <cellStyle name="Normal 14 2 4 6 4" xfId="21864" xr:uid="{00000000-0005-0000-0000-0000E8240000}"/>
    <cellStyle name="Normal 14 2 4 7" xfId="5299" xr:uid="{00000000-0005-0000-0000-0000E9240000}"/>
    <cellStyle name="Normal 14 2 4 7 2" xfId="14399" xr:uid="{00000000-0005-0000-0000-0000EA240000}"/>
    <cellStyle name="Normal 14 2 4 7 2 2" xfId="32581" xr:uid="{00000000-0005-0000-0000-0000EB240000}"/>
    <cellStyle name="Normal 14 2 4 7 3" xfId="23491" xr:uid="{00000000-0005-0000-0000-0000EC240000}"/>
    <cellStyle name="Normal 14 2 4 8" xfId="9865" xr:uid="{00000000-0005-0000-0000-0000ED240000}"/>
    <cellStyle name="Normal 14 2 4 8 2" xfId="28047" xr:uid="{00000000-0005-0000-0000-0000EE240000}"/>
    <cellStyle name="Normal 14 2 4 9" xfId="18956" xr:uid="{00000000-0005-0000-0000-0000EF240000}"/>
    <cellStyle name="Normal 14 2 5" xfId="655" xr:uid="{00000000-0005-0000-0000-0000F0240000}"/>
    <cellStyle name="Normal 14 2 5 2" xfId="656" xr:uid="{00000000-0005-0000-0000-0000F1240000}"/>
    <cellStyle name="Normal 14 2 5 2 2" xfId="2153" xr:uid="{00000000-0005-0000-0000-0000F2240000}"/>
    <cellStyle name="Normal 14 2 5 2 2 2" xfId="6739" xr:uid="{00000000-0005-0000-0000-0000F3240000}"/>
    <cellStyle name="Normal 14 2 5 2 2 2 2" xfId="15839" xr:uid="{00000000-0005-0000-0000-0000F4240000}"/>
    <cellStyle name="Normal 14 2 5 2 2 2 2 2" xfId="34021" xr:uid="{00000000-0005-0000-0000-0000F5240000}"/>
    <cellStyle name="Normal 14 2 5 2 2 2 3" xfId="24931" xr:uid="{00000000-0005-0000-0000-0000F6240000}"/>
    <cellStyle name="Normal 14 2 5 2 2 3" xfId="11303" xr:uid="{00000000-0005-0000-0000-0000F7240000}"/>
    <cellStyle name="Normal 14 2 5 2 2 3 2" xfId="29485" xr:uid="{00000000-0005-0000-0000-0000F8240000}"/>
    <cellStyle name="Normal 14 2 5 2 2 4" xfId="20395" xr:uid="{00000000-0005-0000-0000-0000F9240000}"/>
    <cellStyle name="Normal 14 2 5 2 3" xfId="3666" xr:uid="{00000000-0005-0000-0000-0000FA240000}"/>
    <cellStyle name="Normal 14 2 5 2 3 2" xfId="8222" xr:uid="{00000000-0005-0000-0000-0000FB240000}"/>
    <cellStyle name="Normal 14 2 5 2 3 2 2" xfId="17318" xr:uid="{00000000-0005-0000-0000-0000FC240000}"/>
    <cellStyle name="Normal 14 2 5 2 3 2 2 2" xfId="35500" xr:uid="{00000000-0005-0000-0000-0000FD240000}"/>
    <cellStyle name="Normal 14 2 5 2 3 2 3" xfId="26410" xr:uid="{00000000-0005-0000-0000-0000FE240000}"/>
    <cellStyle name="Normal 14 2 5 2 3 3" xfId="12778" xr:uid="{00000000-0005-0000-0000-0000FF240000}"/>
    <cellStyle name="Normal 14 2 5 2 3 3 2" xfId="30960" xr:uid="{00000000-0005-0000-0000-000000250000}"/>
    <cellStyle name="Normal 14 2 5 2 3 4" xfId="21870" xr:uid="{00000000-0005-0000-0000-000001250000}"/>
    <cellStyle name="Normal 14 2 5 2 4" xfId="5305" xr:uid="{00000000-0005-0000-0000-000002250000}"/>
    <cellStyle name="Normal 14 2 5 2 4 2" xfId="14405" xr:uid="{00000000-0005-0000-0000-000003250000}"/>
    <cellStyle name="Normal 14 2 5 2 4 2 2" xfId="32587" xr:uid="{00000000-0005-0000-0000-000004250000}"/>
    <cellStyle name="Normal 14 2 5 2 4 3" xfId="23497" xr:uid="{00000000-0005-0000-0000-000005250000}"/>
    <cellStyle name="Normal 14 2 5 2 5" xfId="9871" xr:uid="{00000000-0005-0000-0000-000006250000}"/>
    <cellStyle name="Normal 14 2 5 2 5 2" xfId="28053" xr:uid="{00000000-0005-0000-0000-000007250000}"/>
    <cellStyle name="Normal 14 2 5 2 6" xfId="18962" xr:uid="{00000000-0005-0000-0000-000008250000}"/>
    <cellStyle name="Normal 14 2 5 3" xfId="2154" xr:uid="{00000000-0005-0000-0000-000009250000}"/>
    <cellStyle name="Normal 14 2 5 3 2" xfId="6740" xr:uid="{00000000-0005-0000-0000-00000A250000}"/>
    <cellStyle name="Normal 14 2 5 3 2 2" xfId="15840" xr:uid="{00000000-0005-0000-0000-00000B250000}"/>
    <cellStyle name="Normal 14 2 5 3 2 2 2" xfId="34022" xr:uid="{00000000-0005-0000-0000-00000C250000}"/>
    <cellStyle name="Normal 14 2 5 3 2 3" xfId="24932" xr:uid="{00000000-0005-0000-0000-00000D250000}"/>
    <cellStyle name="Normal 14 2 5 3 3" xfId="11304" xr:uid="{00000000-0005-0000-0000-00000E250000}"/>
    <cellStyle name="Normal 14 2 5 3 3 2" xfId="29486" xr:uid="{00000000-0005-0000-0000-00000F250000}"/>
    <cellStyle name="Normal 14 2 5 3 4" xfId="20396" xr:uid="{00000000-0005-0000-0000-000010250000}"/>
    <cellStyle name="Normal 14 2 5 4" xfId="3665" xr:uid="{00000000-0005-0000-0000-000011250000}"/>
    <cellStyle name="Normal 14 2 5 4 2" xfId="8221" xr:uid="{00000000-0005-0000-0000-000012250000}"/>
    <cellStyle name="Normal 14 2 5 4 2 2" xfId="17317" xr:uid="{00000000-0005-0000-0000-000013250000}"/>
    <cellStyle name="Normal 14 2 5 4 2 2 2" xfId="35499" xr:uid="{00000000-0005-0000-0000-000014250000}"/>
    <cellStyle name="Normal 14 2 5 4 2 3" xfId="26409" xr:uid="{00000000-0005-0000-0000-000015250000}"/>
    <cellStyle name="Normal 14 2 5 4 3" xfId="12777" xr:uid="{00000000-0005-0000-0000-000016250000}"/>
    <cellStyle name="Normal 14 2 5 4 3 2" xfId="30959" xr:uid="{00000000-0005-0000-0000-000017250000}"/>
    <cellStyle name="Normal 14 2 5 4 4" xfId="21869" xr:uid="{00000000-0005-0000-0000-000018250000}"/>
    <cellStyle name="Normal 14 2 5 5" xfId="5304" xr:uid="{00000000-0005-0000-0000-000019250000}"/>
    <cellStyle name="Normal 14 2 5 5 2" xfId="14404" xr:uid="{00000000-0005-0000-0000-00001A250000}"/>
    <cellStyle name="Normal 14 2 5 5 2 2" xfId="32586" xr:uid="{00000000-0005-0000-0000-00001B250000}"/>
    <cellStyle name="Normal 14 2 5 5 3" xfId="23496" xr:uid="{00000000-0005-0000-0000-00001C250000}"/>
    <cellStyle name="Normal 14 2 5 6" xfId="9870" xr:uid="{00000000-0005-0000-0000-00001D250000}"/>
    <cellStyle name="Normal 14 2 5 6 2" xfId="28052" xr:uid="{00000000-0005-0000-0000-00001E250000}"/>
    <cellStyle name="Normal 14 2 5 7" xfId="18961" xr:uid="{00000000-0005-0000-0000-00001F250000}"/>
    <cellStyle name="Normal 14 2 6" xfId="657" xr:uid="{00000000-0005-0000-0000-000020250000}"/>
    <cellStyle name="Normal 14 2 6 2" xfId="2155" xr:uid="{00000000-0005-0000-0000-000021250000}"/>
    <cellStyle name="Normal 14 2 6 2 2" xfId="6741" xr:uid="{00000000-0005-0000-0000-000022250000}"/>
    <cellStyle name="Normal 14 2 6 2 2 2" xfId="15841" xr:uid="{00000000-0005-0000-0000-000023250000}"/>
    <cellStyle name="Normal 14 2 6 2 2 2 2" xfId="34023" xr:uid="{00000000-0005-0000-0000-000024250000}"/>
    <cellStyle name="Normal 14 2 6 2 2 3" xfId="24933" xr:uid="{00000000-0005-0000-0000-000025250000}"/>
    <cellStyle name="Normal 14 2 6 2 3" xfId="11305" xr:uid="{00000000-0005-0000-0000-000026250000}"/>
    <cellStyle name="Normal 14 2 6 2 3 2" xfId="29487" xr:uid="{00000000-0005-0000-0000-000027250000}"/>
    <cellStyle name="Normal 14 2 6 2 4" xfId="20397" xr:uid="{00000000-0005-0000-0000-000028250000}"/>
    <cellStyle name="Normal 14 2 6 3" xfId="3667" xr:uid="{00000000-0005-0000-0000-000029250000}"/>
    <cellStyle name="Normal 14 2 6 3 2" xfId="8223" xr:uid="{00000000-0005-0000-0000-00002A250000}"/>
    <cellStyle name="Normal 14 2 6 3 2 2" xfId="17319" xr:uid="{00000000-0005-0000-0000-00002B250000}"/>
    <cellStyle name="Normal 14 2 6 3 2 2 2" xfId="35501" xr:uid="{00000000-0005-0000-0000-00002C250000}"/>
    <cellStyle name="Normal 14 2 6 3 2 3" xfId="26411" xr:uid="{00000000-0005-0000-0000-00002D250000}"/>
    <cellStyle name="Normal 14 2 6 3 3" xfId="12779" xr:uid="{00000000-0005-0000-0000-00002E250000}"/>
    <cellStyle name="Normal 14 2 6 3 3 2" xfId="30961" xr:uid="{00000000-0005-0000-0000-00002F250000}"/>
    <cellStyle name="Normal 14 2 6 3 4" xfId="21871" xr:uid="{00000000-0005-0000-0000-000030250000}"/>
    <cellStyle name="Normal 14 2 6 4" xfId="5306" xr:uid="{00000000-0005-0000-0000-000031250000}"/>
    <cellStyle name="Normal 14 2 6 4 2" xfId="14406" xr:uid="{00000000-0005-0000-0000-000032250000}"/>
    <cellStyle name="Normal 14 2 6 4 2 2" xfId="32588" xr:uid="{00000000-0005-0000-0000-000033250000}"/>
    <cellStyle name="Normal 14 2 6 4 3" xfId="23498" xr:uid="{00000000-0005-0000-0000-000034250000}"/>
    <cellStyle name="Normal 14 2 6 5" xfId="9872" xr:uid="{00000000-0005-0000-0000-000035250000}"/>
    <cellStyle name="Normal 14 2 6 5 2" xfId="28054" xr:uid="{00000000-0005-0000-0000-000036250000}"/>
    <cellStyle name="Normal 14 2 6 6" xfId="18963" xr:uid="{00000000-0005-0000-0000-000037250000}"/>
    <cellStyle name="Normal 14 2 7" xfId="199" xr:uid="{00000000-0005-0000-0000-000038250000}"/>
    <cellStyle name="Normal 14 2 7 2" xfId="3269" xr:uid="{00000000-0005-0000-0000-000039250000}"/>
    <cellStyle name="Normal 14 2 7 2 2" xfId="7829" xr:uid="{00000000-0005-0000-0000-00003A250000}"/>
    <cellStyle name="Normal 14 2 7 2 2 2" xfId="16925" xr:uid="{00000000-0005-0000-0000-00003B250000}"/>
    <cellStyle name="Normal 14 2 7 2 2 2 2" xfId="35107" xr:uid="{00000000-0005-0000-0000-00003C250000}"/>
    <cellStyle name="Normal 14 2 7 2 2 3" xfId="26017" xr:uid="{00000000-0005-0000-0000-00003D250000}"/>
    <cellStyle name="Normal 14 2 7 2 3" xfId="12385" xr:uid="{00000000-0005-0000-0000-00003E250000}"/>
    <cellStyle name="Normal 14 2 7 2 3 2" xfId="30567" xr:uid="{00000000-0005-0000-0000-00003F250000}"/>
    <cellStyle name="Normal 14 2 7 2 4" xfId="21477" xr:uid="{00000000-0005-0000-0000-000040250000}"/>
    <cellStyle name="Normal 14 2 7 3" xfId="4915" xr:uid="{00000000-0005-0000-0000-000041250000}"/>
    <cellStyle name="Normal 14 2 7 3 2" xfId="14015" xr:uid="{00000000-0005-0000-0000-000042250000}"/>
    <cellStyle name="Normal 14 2 7 3 2 2" xfId="32197" xr:uid="{00000000-0005-0000-0000-000043250000}"/>
    <cellStyle name="Normal 14 2 7 3 3" xfId="23107" xr:uid="{00000000-0005-0000-0000-000044250000}"/>
    <cellStyle name="Normal 14 2 7 4" xfId="9481" xr:uid="{00000000-0005-0000-0000-000045250000}"/>
    <cellStyle name="Normal 14 2 7 4 2" xfId="27663" xr:uid="{00000000-0005-0000-0000-000046250000}"/>
    <cellStyle name="Normal 14 2 7 5" xfId="18572" xr:uid="{00000000-0005-0000-0000-000047250000}"/>
    <cellStyle name="Normal 14 2 8" xfId="658" xr:uid="{00000000-0005-0000-0000-000048250000}"/>
    <cellStyle name="Normal 14 2 8 2" xfId="3668" xr:uid="{00000000-0005-0000-0000-000049250000}"/>
    <cellStyle name="Normal 14 2 8 2 2" xfId="8224" xr:uid="{00000000-0005-0000-0000-00004A250000}"/>
    <cellStyle name="Normal 14 2 8 2 2 2" xfId="17320" xr:uid="{00000000-0005-0000-0000-00004B250000}"/>
    <cellStyle name="Normal 14 2 8 2 2 2 2" xfId="35502" xr:uid="{00000000-0005-0000-0000-00004C250000}"/>
    <cellStyle name="Normal 14 2 8 2 2 3" xfId="26412" xr:uid="{00000000-0005-0000-0000-00004D250000}"/>
    <cellStyle name="Normal 14 2 8 2 3" xfId="12780" xr:uid="{00000000-0005-0000-0000-00004E250000}"/>
    <cellStyle name="Normal 14 2 8 2 3 2" xfId="30962" xr:uid="{00000000-0005-0000-0000-00004F250000}"/>
    <cellStyle name="Normal 14 2 8 2 4" xfId="21872" xr:uid="{00000000-0005-0000-0000-000050250000}"/>
    <cellStyle name="Normal 14 2 8 3" xfId="5307" xr:uid="{00000000-0005-0000-0000-000051250000}"/>
    <cellStyle name="Normal 14 2 8 3 2" xfId="14407" xr:uid="{00000000-0005-0000-0000-000052250000}"/>
    <cellStyle name="Normal 14 2 8 3 2 2" xfId="32589" xr:uid="{00000000-0005-0000-0000-000053250000}"/>
    <cellStyle name="Normal 14 2 8 3 3" xfId="23499" xr:uid="{00000000-0005-0000-0000-000054250000}"/>
    <cellStyle name="Normal 14 2 8 4" xfId="9873" xr:uid="{00000000-0005-0000-0000-000055250000}"/>
    <cellStyle name="Normal 14 2 8 4 2" xfId="28055" xr:uid="{00000000-0005-0000-0000-000056250000}"/>
    <cellStyle name="Normal 14 2 8 5" xfId="18964" xr:uid="{00000000-0005-0000-0000-000057250000}"/>
    <cellStyle name="Normal 14 2 9" xfId="2156" xr:uid="{00000000-0005-0000-0000-000058250000}"/>
    <cellStyle name="Normal 14 2 9 2" xfId="6742" xr:uid="{00000000-0005-0000-0000-000059250000}"/>
    <cellStyle name="Normal 14 2 9 2 2" xfId="15842" xr:uid="{00000000-0005-0000-0000-00005A250000}"/>
    <cellStyle name="Normal 14 2 9 2 2 2" xfId="34024" xr:uid="{00000000-0005-0000-0000-00005B250000}"/>
    <cellStyle name="Normal 14 2 9 2 3" xfId="24934" xr:uid="{00000000-0005-0000-0000-00005C250000}"/>
    <cellStyle name="Normal 14 2 9 3" xfId="11306" xr:uid="{00000000-0005-0000-0000-00005D250000}"/>
    <cellStyle name="Normal 14 2 9 3 2" xfId="29488" xr:uid="{00000000-0005-0000-0000-00005E250000}"/>
    <cellStyle name="Normal 14 2 9 4" xfId="20398" xr:uid="{00000000-0005-0000-0000-00005F250000}"/>
    <cellStyle name="Normal 14 3" xfId="659" xr:uid="{00000000-0005-0000-0000-000060250000}"/>
    <cellStyle name="Normal 14 3 10" xfId="18965" xr:uid="{00000000-0005-0000-0000-000061250000}"/>
    <cellStyle name="Normal 14 3 2" xfId="660" xr:uid="{00000000-0005-0000-0000-000062250000}"/>
    <cellStyle name="Normal 14 3 2 2" xfId="661" xr:uid="{00000000-0005-0000-0000-000063250000}"/>
    <cellStyle name="Normal 14 3 2 2 2" xfId="662" xr:uid="{00000000-0005-0000-0000-000064250000}"/>
    <cellStyle name="Normal 14 3 2 2 2 2" xfId="2157" xr:uid="{00000000-0005-0000-0000-000065250000}"/>
    <cellStyle name="Normal 14 3 2 2 2 2 2" xfId="6743" xr:uid="{00000000-0005-0000-0000-000066250000}"/>
    <cellStyle name="Normal 14 3 2 2 2 2 2 2" xfId="15843" xr:uid="{00000000-0005-0000-0000-000067250000}"/>
    <cellStyle name="Normal 14 3 2 2 2 2 2 2 2" xfId="34025" xr:uid="{00000000-0005-0000-0000-000068250000}"/>
    <cellStyle name="Normal 14 3 2 2 2 2 2 3" xfId="24935" xr:uid="{00000000-0005-0000-0000-000069250000}"/>
    <cellStyle name="Normal 14 3 2 2 2 2 3" xfId="11307" xr:uid="{00000000-0005-0000-0000-00006A250000}"/>
    <cellStyle name="Normal 14 3 2 2 2 2 3 2" xfId="29489" xr:uid="{00000000-0005-0000-0000-00006B250000}"/>
    <cellStyle name="Normal 14 3 2 2 2 2 4" xfId="20399" xr:uid="{00000000-0005-0000-0000-00006C250000}"/>
    <cellStyle name="Normal 14 3 2 2 2 3" xfId="3672" xr:uid="{00000000-0005-0000-0000-00006D250000}"/>
    <cellStyle name="Normal 14 3 2 2 2 3 2" xfId="8228" xr:uid="{00000000-0005-0000-0000-00006E250000}"/>
    <cellStyle name="Normal 14 3 2 2 2 3 2 2" xfId="17324" xr:uid="{00000000-0005-0000-0000-00006F250000}"/>
    <cellStyle name="Normal 14 3 2 2 2 3 2 2 2" xfId="35506" xr:uid="{00000000-0005-0000-0000-000070250000}"/>
    <cellStyle name="Normal 14 3 2 2 2 3 2 3" xfId="26416" xr:uid="{00000000-0005-0000-0000-000071250000}"/>
    <cellStyle name="Normal 14 3 2 2 2 3 3" xfId="12784" xr:uid="{00000000-0005-0000-0000-000072250000}"/>
    <cellStyle name="Normal 14 3 2 2 2 3 3 2" xfId="30966" xr:uid="{00000000-0005-0000-0000-000073250000}"/>
    <cellStyle name="Normal 14 3 2 2 2 3 4" xfId="21876" xr:uid="{00000000-0005-0000-0000-000074250000}"/>
    <cellStyle name="Normal 14 3 2 2 2 4" xfId="5311" xr:uid="{00000000-0005-0000-0000-000075250000}"/>
    <cellStyle name="Normal 14 3 2 2 2 4 2" xfId="14411" xr:uid="{00000000-0005-0000-0000-000076250000}"/>
    <cellStyle name="Normal 14 3 2 2 2 4 2 2" xfId="32593" xr:uid="{00000000-0005-0000-0000-000077250000}"/>
    <cellStyle name="Normal 14 3 2 2 2 4 3" xfId="23503" xr:uid="{00000000-0005-0000-0000-000078250000}"/>
    <cellStyle name="Normal 14 3 2 2 2 5" xfId="9877" xr:uid="{00000000-0005-0000-0000-000079250000}"/>
    <cellStyle name="Normal 14 3 2 2 2 5 2" xfId="28059" xr:uid="{00000000-0005-0000-0000-00007A250000}"/>
    <cellStyle name="Normal 14 3 2 2 2 6" xfId="18968" xr:uid="{00000000-0005-0000-0000-00007B250000}"/>
    <cellStyle name="Normal 14 3 2 2 3" xfId="2158" xr:uid="{00000000-0005-0000-0000-00007C250000}"/>
    <cellStyle name="Normal 14 3 2 2 3 2" xfId="6744" xr:uid="{00000000-0005-0000-0000-00007D250000}"/>
    <cellStyle name="Normal 14 3 2 2 3 2 2" xfId="15844" xr:uid="{00000000-0005-0000-0000-00007E250000}"/>
    <cellStyle name="Normal 14 3 2 2 3 2 2 2" xfId="34026" xr:uid="{00000000-0005-0000-0000-00007F250000}"/>
    <cellStyle name="Normal 14 3 2 2 3 2 3" xfId="24936" xr:uid="{00000000-0005-0000-0000-000080250000}"/>
    <cellStyle name="Normal 14 3 2 2 3 3" xfId="11308" xr:uid="{00000000-0005-0000-0000-000081250000}"/>
    <cellStyle name="Normal 14 3 2 2 3 3 2" xfId="29490" xr:uid="{00000000-0005-0000-0000-000082250000}"/>
    <cellStyle name="Normal 14 3 2 2 3 4" xfId="20400" xr:uid="{00000000-0005-0000-0000-000083250000}"/>
    <cellStyle name="Normal 14 3 2 2 4" xfId="3671" xr:uid="{00000000-0005-0000-0000-000084250000}"/>
    <cellStyle name="Normal 14 3 2 2 4 2" xfId="8227" xr:uid="{00000000-0005-0000-0000-000085250000}"/>
    <cellStyle name="Normal 14 3 2 2 4 2 2" xfId="17323" xr:uid="{00000000-0005-0000-0000-000086250000}"/>
    <cellStyle name="Normal 14 3 2 2 4 2 2 2" xfId="35505" xr:uid="{00000000-0005-0000-0000-000087250000}"/>
    <cellStyle name="Normal 14 3 2 2 4 2 3" xfId="26415" xr:uid="{00000000-0005-0000-0000-000088250000}"/>
    <cellStyle name="Normal 14 3 2 2 4 3" xfId="12783" xr:uid="{00000000-0005-0000-0000-000089250000}"/>
    <cellStyle name="Normal 14 3 2 2 4 3 2" xfId="30965" xr:uid="{00000000-0005-0000-0000-00008A250000}"/>
    <cellStyle name="Normal 14 3 2 2 4 4" xfId="21875" xr:uid="{00000000-0005-0000-0000-00008B250000}"/>
    <cellStyle name="Normal 14 3 2 2 5" xfId="5310" xr:uid="{00000000-0005-0000-0000-00008C250000}"/>
    <cellStyle name="Normal 14 3 2 2 5 2" xfId="14410" xr:uid="{00000000-0005-0000-0000-00008D250000}"/>
    <cellStyle name="Normal 14 3 2 2 5 2 2" xfId="32592" xr:uid="{00000000-0005-0000-0000-00008E250000}"/>
    <cellStyle name="Normal 14 3 2 2 5 3" xfId="23502" xr:uid="{00000000-0005-0000-0000-00008F250000}"/>
    <cellStyle name="Normal 14 3 2 2 6" xfId="9876" xr:uid="{00000000-0005-0000-0000-000090250000}"/>
    <cellStyle name="Normal 14 3 2 2 6 2" xfId="28058" xr:uid="{00000000-0005-0000-0000-000091250000}"/>
    <cellStyle name="Normal 14 3 2 2 7" xfId="18967" xr:uid="{00000000-0005-0000-0000-000092250000}"/>
    <cellStyle name="Normal 14 3 2 3" xfId="663" xr:uid="{00000000-0005-0000-0000-000093250000}"/>
    <cellStyle name="Normal 14 3 2 3 2" xfId="2159" xr:uid="{00000000-0005-0000-0000-000094250000}"/>
    <cellStyle name="Normal 14 3 2 3 2 2" xfId="6745" xr:uid="{00000000-0005-0000-0000-000095250000}"/>
    <cellStyle name="Normal 14 3 2 3 2 2 2" xfId="15845" xr:uid="{00000000-0005-0000-0000-000096250000}"/>
    <cellStyle name="Normal 14 3 2 3 2 2 2 2" xfId="34027" xr:uid="{00000000-0005-0000-0000-000097250000}"/>
    <cellStyle name="Normal 14 3 2 3 2 2 3" xfId="24937" xr:uid="{00000000-0005-0000-0000-000098250000}"/>
    <cellStyle name="Normal 14 3 2 3 2 3" xfId="11309" xr:uid="{00000000-0005-0000-0000-000099250000}"/>
    <cellStyle name="Normal 14 3 2 3 2 3 2" xfId="29491" xr:uid="{00000000-0005-0000-0000-00009A250000}"/>
    <cellStyle name="Normal 14 3 2 3 2 4" xfId="20401" xr:uid="{00000000-0005-0000-0000-00009B250000}"/>
    <cellStyle name="Normal 14 3 2 3 3" xfId="3673" xr:uid="{00000000-0005-0000-0000-00009C250000}"/>
    <cellStyle name="Normal 14 3 2 3 3 2" xfId="8229" xr:uid="{00000000-0005-0000-0000-00009D250000}"/>
    <cellStyle name="Normal 14 3 2 3 3 2 2" xfId="17325" xr:uid="{00000000-0005-0000-0000-00009E250000}"/>
    <cellStyle name="Normal 14 3 2 3 3 2 2 2" xfId="35507" xr:uid="{00000000-0005-0000-0000-00009F250000}"/>
    <cellStyle name="Normal 14 3 2 3 3 2 3" xfId="26417" xr:uid="{00000000-0005-0000-0000-0000A0250000}"/>
    <cellStyle name="Normal 14 3 2 3 3 3" xfId="12785" xr:uid="{00000000-0005-0000-0000-0000A1250000}"/>
    <cellStyle name="Normal 14 3 2 3 3 3 2" xfId="30967" xr:uid="{00000000-0005-0000-0000-0000A2250000}"/>
    <cellStyle name="Normal 14 3 2 3 3 4" xfId="21877" xr:uid="{00000000-0005-0000-0000-0000A3250000}"/>
    <cellStyle name="Normal 14 3 2 3 4" xfId="5312" xr:uid="{00000000-0005-0000-0000-0000A4250000}"/>
    <cellStyle name="Normal 14 3 2 3 4 2" xfId="14412" xr:uid="{00000000-0005-0000-0000-0000A5250000}"/>
    <cellStyle name="Normal 14 3 2 3 4 2 2" xfId="32594" xr:uid="{00000000-0005-0000-0000-0000A6250000}"/>
    <cellStyle name="Normal 14 3 2 3 4 3" xfId="23504" xr:uid="{00000000-0005-0000-0000-0000A7250000}"/>
    <cellStyle name="Normal 14 3 2 3 5" xfId="9878" xr:uid="{00000000-0005-0000-0000-0000A8250000}"/>
    <cellStyle name="Normal 14 3 2 3 5 2" xfId="28060" xr:uid="{00000000-0005-0000-0000-0000A9250000}"/>
    <cellStyle name="Normal 14 3 2 3 6" xfId="18969" xr:uid="{00000000-0005-0000-0000-0000AA250000}"/>
    <cellStyle name="Normal 14 3 2 4" xfId="664" xr:uid="{00000000-0005-0000-0000-0000AB250000}"/>
    <cellStyle name="Normal 14 3 2 4 2" xfId="3674" xr:uid="{00000000-0005-0000-0000-0000AC250000}"/>
    <cellStyle name="Normal 14 3 2 4 2 2" xfId="8230" xr:uid="{00000000-0005-0000-0000-0000AD250000}"/>
    <cellStyle name="Normal 14 3 2 4 2 2 2" xfId="17326" xr:uid="{00000000-0005-0000-0000-0000AE250000}"/>
    <cellStyle name="Normal 14 3 2 4 2 2 2 2" xfId="35508" xr:uid="{00000000-0005-0000-0000-0000AF250000}"/>
    <cellStyle name="Normal 14 3 2 4 2 2 3" xfId="26418" xr:uid="{00000000-0005-0000-0000-0000B0250000}"/>
    <cellStyle name="Normal 14 3 2 4 2 3" xfId="12786" xr:uid="{00000000-0005-0000-0000-0000B1250000}"/>
    <cellStyle name="Normal 14 3 2 4 2 3 2" xfId="30968" xr:uid="{00000000-0005-0000-0000-0000B2250000}"/>
    <cellStyle name="Normal 14 3 2 4 2 4" xfId="21878" xr:uid="{00000000-0005-0000-0000-0000B3250000}"/>
    <cellStyle name="Normal 14 3 2 4 3" xfId="5313" xr:uid="{00000000-0005-0000-0000-0000B4250000}"/>
    <cellStyle name="Normal 14 3 2 4 3 2" xfId="14413" xr:uid="{00000000-0005-0000-0000-0000B5250000}"/>
    <cellStyle name="Normal 14 3 2 4 3 2 2" xfId="32595" xr:uid="{00000000-0005-0000-0000-0000B6250000}"/>
    <cellStyle name="Normal 14 3 2 4 3 3" xfId="23505" xr:uid="{00000000-0005-0000-0000-0000B7250000}"/>
    <cellStyle name="Normal 14 3 2 4 4" xfId="9879" xr:uid="{00000000-0005-0000-0000-0000B8250000}"/>
    <cellStyle name="Normal 14 3 2 4 4 2" xfId="28061" xr:uid="{00000000-0005-0000-0000-0000B9250000}"/>
    <cellStyle name="Normal 14 3 2 4 5" xfId="18970" xr:uid="{00000000-0005-0000-0000-0000BA250000}"/>
    <cellStyle name="Normal 14 3 2 5" xfId="2160" xr:uid="{00000000-0005-0000-0000-0000BB250000}"/>
    <cellStyle name="Normal 14 3 2 5 2" xfId="6746" xr:uid="{00000000-0005-0000-0000-0000BC250000}"/>
    <cellStyle name="Normal 14 3 2 5 2 2" xfId="15846" xr:uid="{00000000-0005-0000-0000-0000BD250000}"/>
    <cellStyle name="Normal 14 3 2 5 2 2 2" xfId="34028" xr:uid="{00000000-0005-0000-0000-0000BE250000}"/>
    <cellStyle name="Normal 14 3 2 5 2 3" xfId="24938" xr:uid="{00000000-0005-0000-0000-0000BF250000}"/>
    <cellStyle name="Normal 14 3 2 5 3" xfId="11310" xr:uid="{00000000-0005-0000-0000-0000C0250000}"/>
    <cellStyle name="Normal 14 3 2 5 3 2" xfId="29492" xr:uid="{00000000-0005-0000-0000-0000C1250000}"/>
    <cellStyle name="Normal 14 3 2 5 4" xfId="20402" xr:uid="{00000000-0005-0000-0000-0000C2250000}"/>
    <cellStyle name="Normal 14 3 2 6" xfId="3670" xr:uid="{00000000-0005-0000-0000-0000C3250000}"/>
    <cellStyle name="Normal 14 3 2 6 2" xfId="8226" xr:uid="{00000000-0005-0000-0000-0000C4250000}"/>
    <cellStyle name="Normal 14 3 2 6 2 2" xfId="17322" xr:uid="{00000000-0005-0000-0000-0000C5250000}"/>
    <cellStyle name="Normal 14 3 2 6 2 2 2" xfId="35504" xr:uid="{00000000-0005-0000-0000-0000C6250000}"/>
    <cellStyle name="Normal 14 3 2 6 2 3" xfId="26414" xr:uid="{00000000-0005-0000-0000-0000C7250000}"/>
    <cellStyle name="Normal 14 3 2 6 3" xfId="12782" xr:uid="{00000000-0005-0000-0000-0000C8250000}"/>
    <cellStyle name="Normal 14 3 2 6 3 2" xfId="30964" xr:uid="{00000000-0005-0000-0000-0000C9250000}"/>
    <cellStyle name="Normal 14 3 2 6 4" xfId="21874" xr:uid="{00000000-0005-0000-0000-0000CA250000}"/>
    <cellStyle name="Normal 14 3 2 7" xfId="5309" xr:uid="{00000000-0005-0000-0000-0000CB250000}"/>
    <cellStyle name="Normal 14 3 2 7 2" xfId="14409" xr:uid="{00000000-0005-0000-0000-0000CC250000}"/>
    <cellStyle name="Normal 14 3 2 7 2 2" xfId="32591" xr:uid="{00000000-0005-0000-0000-0000CD250000}"/>
    <cellStyle name="Normal 14 3 2 7 3" xfId="23501" xr:uid="{00000000-0005-0000-0000-0000CE250000}"/>
    <cellStyle name="Normal 14 3 2 8" xfId="9875" xr:uid="{00000000-0005-0000-0000-0000CF250000}"/>
    <cellStyle name="Normal 14 3 2 8 2" xfId="28057" xr:uid="{00000000-0005-0000-0000-0000D0250000}"/>
    <cellStyle name="Normal 14 3 2 9" xfId="18966" xr:uid="{00000000-0005-0000-0000-0000D1250000}"/>
    <cellStyle name="Normal 14 3 3" xfId="665" xr:uid="{00000000-0005-0000-0000-0000D2250000}"/>
    <cellStyle name="Normal 14 3 3 2" xfId="666" xr:uid="{00000000-0005-0000-0000-0000D3250000}"/>
    <cellStyle name="Normal 14 3 3 2 2" xfId="2161" xr:uid="{00000000-0005-0000-0000-0000D4250000}"/>
    <cellStyle name="Normal 14 3 3 2 2 2" xfId="6747" xr:uid="{00000000-0005-0000-0000-0000D5250000}"/>
    <cellStyle name="Normal 14 3 3 2 2 2 2" xfId="15847" xr:uid="{00000000-0005-0000-0000-0000D6250000}"/>
    <cellStyle name="Normal 14 3 3 2 2 2 2 2" xfId="34029" xr:uid="{00000000-0005-0000-0000-0000D7250000}"/>
    <cellStyle name="Normal 14 3 3 2 2 2 3" xfId="24939" xr:uid="{00000000-0005-0000-0000-0000D8250000}"/>
    <cellStyle name="Normal 14 3 3 2 2 3" xfId="11311" xr:uid="{00000000-0005-0000-0000-0000D9250000}"/>
    <cellStyle name="Normal 14 3 3 2 2 3 2" xfId="29493" xr:uid="{00000000-0005-0000-0000-0000DA250000}"/>
    <cellStyle name="Normal 14 3 3 2 2 4" xfId="20403" xr:uid="{00000000-0005-0000-0000-0000DB250000}"/>
    <cellStyle name="Normal 14 3 3 2 3" xfId="3676" xr:uid="{00000000-0005-0000-0000-0000DC250000}"/>
    <cellStyle name="Normal 14 3 3 2 3 2" xfId="8232" xr:uid="{00000000-0005-0000-0000-0000DD250000}"/>
    <cellStyle name="Normal 14 3 3 2 3 2 2" xfId="17328" xr:uid="{00000000-0005-0000-0000-0000DE250000}"/>
    <cellStyle name="Normal 14 3 3 2 3 2 2 2" xfId="35510" xr:uid="{00000000-0005-0000-0000-0000DF250000}"/>
    <cellStyle name="Normal 14 3 3 2 3 2 3" xfId="26420" xr:uid="{00000000-0005-0000-0000-0000E0250000}"/>
    <cellStyle name="Normal 14 3 3 2 3 3" xfId="12788" xr:uid="{00000000-0005-0000-0000-0000E1250000}"/>
    <cellStyle name="Normal 14 3 3 2 3 3 2" xfId="30970" xr:uid="{00000000-0005-0000-0000-0000E2250000}"/>
    <cellStyle name="Normal 14 3 3 2 3 4" xfId="21880" xr:uid="{00000000-0005-0000-0000-0000E3250000}"/>
    <cellStyle name="Normal 14 3 3 2 4" xfId="5315" xr:uid="{00000000-0005-0000-0000-0000E4250000}"/>
    <cellStyle name="Normal 14 3 3 2 4 2" xfId="14415" xr:uid="{00000000-0005-0000-0000-0000E5250000}"/>
    <cellStyle name="Normal 14 3 3 2 4 2 2" xfId="32597" xr:uid="{00000000-0005-0000-0000-0000E6250000}"/>
    <cellStyle name="Normal 14 3 3 2 4 3" xfId="23507" xr:uid="{00000000-0005-0000-0000-0000E7250000}"/>
    <cellStyle name="Normal 14 3 3 2 5" xfId="9881" xr:uid="{00000000-0005-0000-0000-0000E8250000}"/>
    <cellStyle name="Normal 14 3 3 2 5 2" xfId="28063" xr:uid="{00000000-0005-0000-0000-0000E9250000}"/>
    <cellStyle name="Normal 14 3 3 2 6" xfId="18972" xr:uid="{00000000-0005-0000-0000-0000EA250000}"/>
    <cellStyle name="Normal 14 3 3 3" xfId="2162" xr:uid="{00000000-0005-0000-0000-0000EB250000}"/>
    <cellStyle name="Normal 14 3 3 3 2" xfId="6748" xr:uid="{00000000-0005-0000-0000-0000EC250000}"/>
    <cellStyle name="Normal 14 3 3 3 2 2" xfId="15848" xr:uid="{00000000-0005-0000-0000-0000ED250000}"/>
    <cellStyle name="Normal 14 3 3 3 2 2 2" xfId="34030" xr:uid="{00000000-0005-0000-0000-0000EE250000}"/>
    <cellStyle name="Normal 14 3 3 3 2 3" xfId="24940" xr:uid="{00000000-0005-0000-0000-0000EF250000}"/>
    <cellStyle name="Normal 14 3 3 3 3" xfId="11312" xr:uid="{00000000-0005-0000-0000-0000F0250000}"/>
    <cellStyle name="Normal 14 3 3 3 3 2" xfId="29494" xr:uid="{00000000-0005-0000-0000-0000F1250000}"/>
    <cellStyle name="Normal 14 3 3 3 4" xfId="20404" xr:uid="{00000000-0005-0000-0000-0000F2250000}"/>
    <cellStyle name="Normal 14 3 3 4" xfId="3675" xr:uid="{00000000-0005-0000-0000-0000F3250000}"/>
    <cellStyle name="Normal 14 3 3 4 2" xfId="8231" xr:uid="{00000000-0005-0000-0000-0000F4250000}"/>
    <cellStyle name="Normal 14 3 3 4 2 2" xfId="17327" xr:uid="{00000000-0005-0000-0000-0000F5250000}"/>
    <cellStyle name="Normal 14 3 3 4 2 2 2" xfId="35509" xr:uid="{00000000-0005-0000-0000-0000F6250000}"/>
    <cellStyle name="Normal 14 3 3 4 2 3" xfId="26419" xr:uid="{00000000-0005-0000-0000-0000F7250000}"/>
    <cellStyle name="Normal 14 3 3 4 3" xfId="12787" xr:uid="{00000000-0005-0000-0000-0000F8250000}"/>
    <cellStyle name="Normal 14 3 3 4 3 2" xfId="30969" xr:uid="{00000000-0005-0000-0000-0000F9250000}"/>
    <cellStyle name="Normal 14 3 3 4 4" xfId="21879" xr:uid="{00000000-0005-0000-0000-0000FA250000}"/>
    <cellStyle name="Normal 14 3 3 5" xfId="5314" xr:uid="{00000000-0005-0000-0000-0000FB250000}"/>
    <cellStyle name="Normal 14 3 3 5 2" xfId="14414" xr:uid="{00000000-0005-0000-0000-0000FC250000}"/>
    <cellStyle name="Normal 14 3 3 5 2 2" xfId="32596" xr:uid="{00000000-0005-0000-0000-0000FD250000}"/>
    <cellStyle name="Normal 14 3 3 5 3" xfId="23506" xr:uid="{00000000-0005-0000-0000-0000FE250000}"/>
    <cellStyle name="Normal 14 3 3 6" xfId="9880" xr:uid="{00000000-0005-0000-0000-0000FF250000}"/>
    <cellStyle name="Normal 14 3 3 6 2" xfId="28062" xr:uid="{00000000-0005-0000-0000-000000260000}"/>
    <cellStyle name="Normal 14 3 3 7" xfId="18971" xr:uid="{00000000-0005-0000-0000-000001260000}"/>
    <cellStyle name="Normal 14 3 4" xfId="667" xr:uid="{00000000-0005-0000-0000-000002260000}"/>
    <cellStyle name="Normal 14 3 4 2" xfId="2163" xr:uid="{00000000-0005-0000-0000-000003260000}"/>
    <cellStyle name="Normal 14 3 4 2 2" xfId="6749" xr:uid="{00000000-0005-0000-0000-000004260000}"/>
    <cellStyle name="Normal 14 3 4 2 2 2" xfId="15849" xr:uid="{00000000-0005-0000-0000-000005260000}"/>
    <cellStyle name="Normal 14 3 4 2 2 2 2" xfId="34031" xr:uid="{00000000-0005-0000-0000-000006260000}"/>
    <cellStyle name="Normal 14 3 4 2 2 3" xfId="24941" xr:uid="{00000000-0005-0000-0000-000007260000}"/>
    <cellStyle name="Normal 14 3 4 2 3" xfId="11313" xr:uid="{00000000-0005-0000-0000-000008260000}"/>
    <cellStyle name="Normal 14 3 4 2 3 2" xfId="29495" xr:uid="{00000000-0005-0000-0000-000009260000}"/>
    <cellStyle name="Normal 14 3 4 2 4" xfId="20405" xr:uid="{00000000-0005-0000-0000-00000A260000}"/>
    <cellStyle name="Normal 14 3 4 3" xfId="3677" xr:uid="{00000000-0005-0000-0000-00000B260000}"/>
    <cellStyle name="Normal 14 3 4 3 2" xfId="8233" xr:uid="{00000000-0005-0000-0000-00000C260000}"/>
    <cellStyle name="Normal 14 3 4 3 2 2" xfId="17329" xr:uid="{00000000-0005-0000-0000-00000D260000}"/>
    <cellStyle name="Normal 14 3 4 3 2 2 2" xfId="35511" xr:uid="{00000000-0005-0000-0000-00000E260000}"/>
    <cellStyle name="Normal 14 3 4 3 2 3" xfId="26421" xr:uid="{00000000-0005-0000-0000-00000F260000}"/>
    <cellStyle name="Normal 14 3 4 3 3" xfId="12789" xr:uid="{00000000-0005-0000-0000-000010260000}"/>
    <cellStyle name="Normal 14 3 4 3 3 2" xfId="30971" xr:uid="{00000000-0005-0000-0000-000011260000}"/>
    <cellStyle name="Normal 14 3 4 3 4" xfId="21881" xr:uid="{00000000-0005-0000-0000-000012260000}"/>
    <cellStyle name="Normal 14 3 4 4" xfId="5316" xr:uid="{00000000-0005-0000-0000-000013260000}"/>
    <cellStyle name="Normal 14 3 4 4 2" xfId="14416" xr:uid="{00000000-0005-0000-0000-000014260000}"/>
    <cellStyle name="Normal 14 3 4 4 2 2" xfId="32598" xr:uid="{00000000-0005-0000-0000-000015260000}"/>
    <cellStyle name="Normal 14 3 4 4 3" xfId="23508" xr:uid="{00000000-0005-0000-0000-000016260000}"/>
    <cellStyle name="Normal 14 3 4 5" xfId="9882" xr:uid="{00000000-0005-0000-0000-000017260000}"/>
    <cellStyle name="Normal 14 3 4 5 2" xfId="28064" xr:uid="{00000000-0005-0000-0000-000018260000}"/>
    <cellStyle name="Normal 14 3 4 6" xfId="18973" xr:uid="{00000000-0005-0000-0000-000019260000}"/>
    <cellStyle name="Normal 14 3 5" xfId="668" xr:uid="{00000000-0005-0000-0000-00001A260000}"/>
    <cellStyle name="Normal 14 3 5 2" xfId="3678" xr:uid="{00000000-0005-0000-0000-00001B260000}"/>
    <cellStyle name="Normal 14 3 5 2 2" xfId="8234" xr:uid="{00000000-0005-0000-0000-00001C260000}"/>
    <cellStyle name="Normal 14 3 5 2 2 2" xfId="17330" xr:uid="{00000000-0005-0000-0000-00001D260000}"/>
    <cellStyle name="Normal 14 3 5 2 2 2 2" xfId="35512" xr:uid="{00000000-0005-0000-0000-00001E260000}"/>
    <cellStyle name="Normal 14 3 5 2 2 3" xfId="26422" xr:uid="{00000000-0005-0000-0000-00001F260000}"/>
    <cellStyle name="Normal 14 3 5 2 3" xfId="12790" xr:uid="{00000000-0005-0000-0000-000020260000}"/>
    <cellStyle name="Normal 14 3 5 2 3 2" xfId="30972" xr:uid="{00000000-0005-0000-0000-000021260000}"/>
    <cellStyle name="Normal 14 3 5 2 4" xfId="21882" xr:uid="{00000000-0005-0000-0000-000022260000}"/>
    <cellStyle name="Normal 14 3 5 3" xfId="5317" xr:uid="{00000000-0005-0000-0000-000023260000}"/>
    <cellStyle name="Normal 14 3 5 3 2" xfId="14417" xr:uid="{00000000-0005-0000-0000-000024260000}"/>
    <cellStyle name="Normal 14 3 5 3 2 2" xfId="32599" xr:uid="{00000000-0005-0000-0000-000025260000}"/>
    <cellStyle name="Normal 14 3 5 3 3" xfId="23509" xr:uid="{00000000-0005-0000-0000-000026260000}"/>
    <cellStyle name="Normal 14 3 5 4" xfId="9883" xr:uid="{00000000-0005-0000-0000-000027260000}"/>
    <cellStyle name="Normal 14 3 5 4 2" xfId="28065" xr:uid="{00000000-0005-0000-0000-000028260000}"/>
    <cellStyle name="Normal 14 3 5 5" xfId="18974" xr:uid="{00000000-0005-0000-0000-000029260000}"/>
    <cellStyle name="Normal 14 3 6" xfId="2164" xr:uid="{00000000-0005-0000-0000-00002A260000}"/>
    <cellStyle name="Normal 14 3 6 2" xfId="6750" xr:uid="{00000000-0005-0000-0000-00002B260000}"/>
    <cellStyle name="Normal 14 3 6 2 2" xfId="15850" xr:uid="{00000000-0005-0000-0000-00002C260000}"/>
    <cellStyle name="Normal 14 3 6 2 2 2" xfId="34032" xr:uid="{00000000-0005-0000-0000-00002D260000}"/>
    <cellStyle name="Normal 14 3 6 2 3" xfId="24942" xr:uid="{00000000-0005-0000-0000-00002E260000}"/>
    <cellStyle name="Normal 14 3 6 3" xfId="11314" xr:uid="{00000000-0005-0000-0000-00002F260000}"/>
    <cellStyle name="Normal 14 3 6 3 2" xfId="29496" xr:uid="{00000000-0005-0000-0000-000030260000}"/>
    <cellStyle name="Normal 14 3 6 4" xfId="20406" xr:uid="{00000000-0005-0000-0000-000031260000}"/>
    <cellStyle name="Normal 14 3 7" xfId="3669" xr:uid="{00000000-0005-0000-0000-000032260000}"/>
    <cellStyle name="Normal 14 3 7 2" xfId="8225" xr:uid="{00000000-0005-0000-0000-000033260000}"/>
    <cellStyle name="Normal 14 3 7 2 2" xfId="17321" xr:uid="{00000000-0005-0000-0000-000034260000}"/>
    <cellStyle name="Normal 14 3 7 2 2 2" xfId="35503" xr:uid="{00000000-0005-0000-0000-000035260000}"/>
    <cellStyle name="Normal 14 3 7 2 3" xfId="26413" xr:uid="{00000000-0005-0000-0000-000036260000}"/>
    <cellStyle name="Normal 14 3 7 3" xfId="12781" xr:uid="{00000000-0005-0000-0000-000037260000}"/>
    <cellStyle name="Normal 14 3 7 3 2" xfId="30963" xr:uid="{00000000-0005-0000-0000-000038260000}"/>
    <cellStyle name="Normal 14 3 7 4" xfId="21873" xr:uid="{00000000-0005-0000-0000-000039260000}"/>
    <cellStyle name="Normal 14 3 8" xfId="5308" xr:uid="{00000000-0005-0000-0000-00003A260000}"/>
    <cellStyle name="Normal 14 3 8 2" xfId="14408" xr:uid="{00000000-0005-0000-0000-00003B260000}"/>
    <cellStyle name="Normal 14 3 8 2 2" xfId="32590" xr:uid="{00000000-0005-0000-0000-00003C260000}"/>
    <cellStyle name="Normal 14 3 8 3" xfId="23500" xr:uid="{00000000-0005-0000-0000-00003D260000}"/>
    <cellStyle name="Normal 14 3 9" xfId="9874" xr:uid="{00000000-0005-0000-0000-00003E260000}"/>
    <cellStyle name="Normal 14 3 9 2" xfId="28056" xr:uid="{00000000-0005-0000-0000-00003F260000}"/>
    <cellStyle name="Normal 14 4" xfId="669" xr:uid="{00000000-0005-0000-0000-000040260000}"/>
    <cellStyle name="Normal 14 4 2" xfId="670" xr:uid="{00000000-0005-0000-0000-000041260000}"/>
    <cellStyle name="Normal 14 4 2 2" xfId="671" xr:uid="{00000000-0005-0000-0000-000042260000}"/>
    <cellStyle name="Normal 14 4 2 2 2" xfId="2165" xr:uid="{00000000-0005-0000-0000-000043260000}"/>
    <cellStyle name="Normal 14 4 2 2 2 2" xfId="6751" xr:uid="{00000000-0005-0000-0000-000044260000}"/>
    <cellStyle name="Normal 14 4 2 2 2 2 2" xfId="15851" xr:uid="{00000000-0005-0000-0000-000045260000}"/>
    <cellStyle name="Normal 14 4 2 2 2 2 2 2" xfId="34033" xr:uid="{00000000-0005-0000-0000-000046260000}"/>
    <cellStyle name="Normal 14 4 2 2 2 2 3" xfId="24943" xr:uid="{00000000-0005-0000-0000-000047260000}"/>
    <cellStyle name="Normal 14 4 2 2 2 3" xfId="11315" xr:uid="{00000000-0005-0000-0000-000048260000}"/>
    <cellStyle name="Normal 14 4 2 2 2 3 2" xfId="29497" xr:uid="{00000000-0005-0000-0000-000049260000}"/>
    <cellStyle name="Normal 14 4 2 2 2 4" xfId="20407" xr:uid="{00000000-0005-0000-0000-00004A260000}"/>
    <cellStyle name="Normal 14 4 2 2 3" xfId="3681" xr:uid="{00000000-0005-0000-0000-00004B260000}"/>
    <cellStyle name="Normal 14 4 2 2 3 2" xfId="8237" xr:uid="{00000000-0005-0000-0000-00004C260000}"/>
    <cellStyle name="Normal 14 4 2 2 3 2 2" xfId="17333" xr:uid="{00000000-0005-0000-0000-00004D260000}"/>
    <cellStyle name="Normal 14 4 2 2 3 2 2 2" xfId="35515" xr:uid="{00000000-0005-0000-0000-00004E260000}"/>
    <cellStyle name="Normal 14 4 2 2 3 2 3" xfId="26425" xr:uid="{00000000-0005-0000-0000-00004F260000}"/>
    <cellStyle name="Normal 14 4 2 2 3 3" xfId="12793" xr:uid="{00000000-0005-0000-0000-000050260000}"/>
    <cellStyle name="Normal 14 4 2 2 3 3 2" xfId="30975" xr:uid="{00000000-0005-0000-0000-000051260000}"/>
    <cellStyle name="Normal 14 4 2 2 3 4" xfId="21885" xr:uid="{00000000-0005-0000-0000-000052260000}"/>
    <cellStyle name="Normal 14 4 2 2 4" xfId="5320" xr:uid="{00000000-0005-0000-0000-000053260000}"/>
    <cellStyle name="Normal 14 4 2 2 4 2" xfId="14420" xr:uid="{00000000-0005-0000-0000-000054260000}"/>
    <cellStyle name="Normal 14 4 2 2 4 2 2" xfId="32602" xr:uid="{00000000-0005-0000-0000-000055260000}"/>
    <cellStyle name="Normal 14 4 2 2 4 3" xfId="23512" xr:uid="{00000000-0005-0000-0000-000056260000}"/>
    <cellStyle name="Normal 14 4 2 2 5" xfId="9886" xr:uid="{00000000-0005-0000-0000-000057260000}"/>
    <cellStyle name="Normal 14 4 2 2 5 2" xfId="28068" xr:uid="{00000000-0005-0000-0000-000058260000}"/>
    <cellStyle name="Normal 14 4 2 2 6" xfId="18977" xr:uid="{00000000-0005-0000-0000-000059260000}"/>
    <cellStyle name="Normal 14 4 2 3" xfId="2166" xr:uid="{00000000-0005-0000-0000-00005A260000}"/>
    <cellStyle name="Normal 14 4 2 3 2" xfId="6752" xr:uid="{00000000-0005-0000-0000-00005B260000}"/>
    <cellStyle name="Normal 14 4 2 3 2 2" xfId="15852" xr:uid="{00000000-0005-0000-0000-00005C260000}"/>
    <cellStyle name="Normal 14 4 2 3 2 2 2" xfId="34034" xr:uid="{00000000-0005-0000-0000-00005D260000}"/>
    <cellStyle name="Normal 14 4 2 3 2 3" xfId="24944" xr:uid="{00000000-0005-0000-0000-00005E260000}"/>
    <cellStyle name="Normal 14 4 2 3 3" xfId="11316" xr:uid="{00000000-0005-0000-0000-00005F260000}"/>
    <cellStyle name="Normal 14 4 2 3 3 2" xfId="29498" xr:uid="{00000000-0005-0000-0000-000060260000}"/>
    <cellStyle name="Normal 14 4 2 3 4" xfId="20408" xr:uid="{00000000-0005-0000-0000-000061260000}"/>
    <cellStyle name="Normal 14 4 2 4" xfId="3680" xr:uid="{00000000-0005-0000-0000-000062260000}"/>
    <cellStyle name="Normal 14 4 2 4 2" xfId="8236" xr:uid="{00000000-0005-0000-0000-000063260000}"/>
    <cellStyle name="Normal 14 4 2 4 2 2" xfId="17332" xr:uid="{00000000-0005-0000-0000-000064260000}"/>
    <cellStyle name="Normal 14 4 2 4 2 2 2" xfId="35514" xr:uid="{00000000-0005-0000-0000-000065260000}"/>
    <cellStyle name="Normal 14 4 2 4 2 3" xfId="26424" xr:uid="{00000000-0005-0000-0000-000066260000}"/>
    <cellStyle name="Normal 14 4 2 4 3" xfId="12792" xr:uid="{00000000-0005-0000-0000-000067260000}"/>
    <cellStyle name="Normal 14 4 2 4 3 2" xfId="30974" xr:uid="{00000000-0005-0000-0000-000068260000}"/>
    <cellStyle name="Normal 14 4 2 4 4" xfId="21884" xr:uid="{00000000-0005-0000-0000-000069260000}"/>
    <cellStyle name="Normal 14 4 2 5" xfId="5319" xr:uid="{00000000-0005-0000-0000-00006A260000}"/>
    <cellStyle name="Normal 14 4 2 5 2" xfId="14419" xr:uid="{00000000-0005-0000-0000-00006B260000}"/>
    <cellStyle name="Normal 14 4 2 5 2 2" xfId="32601" xr:uid="{00000000-0005-0000-0000-00006C260000}"/>
    <cellStyle name="Normal 14 4 2 5 3" xfId="23511" xr:uid="{00000000-0005-0000-0000-00006D260000}"/>
    <cellStyle name="Normal 14 4 2 6" xfId="9885" xr:uid="{00000000-0005-0000-0000-00006E260000}"/>
    <cellStyle name="Normal 14 4 2 6 2" xfId="28067" xr:uid="{00000000-0005-0000-0000-00006F260000}"/>
    <cellStyle name="Normal 14 4 2 7" xfId="18976" xr:uid="{00000000-0005-0000-0000-000070260000}"/>
    <cellStyle name="Normal 14 4 3" xfId="672" xr:uid="{00000000-0005-0000-0000-000071260000}"/>
    <cellStyle name="Normal 14 4 3 2" xfId="2167" xr:uid="{00000000-0005-0000-0000-000072260000}"/>
    <cellStyle name="Normal 14 4 3 2 2" xfId="6753" xr:uid="{00000000-0005-0000-0000-000073260000}"/>
    <cellStyle name="Normal 14 4 3 2 2 2" xfId="15853" xr:uid="{00000000-0005-0000-0000-000074260000}"/>
    <cellStyle name="Normal 14 4 3 2 2 2 2" xfId="34035" xr:uid="{00000000-0005-0000-0000-000075260000}"/>
    <cellStyle name="Normal 14 4 3 2 2 3" xfId="24945" xr:uid="{00000000-0005-0000-0000-000076260000}"/>
    <cellStyle name="Normal 14 4 3 2 3" xfId="11317" xr:uid="{00000000-0005-0000-0000-000077260000}"/>
    <cellStyle name="Normal 14 4 3 2 3 2" xfId="29499" xr:uid="{00000000-0005-0000-0000-000078260000}"/>
    <cellStyle name="Normal 14 4 3 2 4" xfId="20409" xr:uid="{00000000-0005-0000-0000-000079260000}"/>
    <cellStyle name="Normal 14 4 3 3" xfId="3682" xr:uid="{00000000-0005-0000-0000-00007A260000}"/>
    <cellStyle name="Normal 14 4 3 3 2" xfId="8238" xr:uid="{00000000-0005-0000-0000-00007B260000}"/>
    <cellStyle name="Normal 14 4 3 3 2 2" xfId="17334" xr:uid="{00000000-0005-0000-0000-00007C260000}"/>
    <cellStyle name="Normal 14 4 3 3 2 2 2" xfId="35516" xr:uid="{00000000-0005-0000-0000-00007D260000}"/>
    <cellStyle name="Normal 14 4 3 3 2 3" xfId="26426" xr:uid="{00000000-0005-0000-0000-00007E260000}"/>
    <cellStyle name="Normal 14 4 3 3 3" xfId="12794" xr:uid="{00000000-0005-0000-0000-00007F260000}"/>
    <cellStyle name="Normal 14 4 3 3 3 2" xfId="30976" xr:uid="{00000000-0005-0000-0000-000080260000}"/>
    <cellStyle name="Normal 14 4 3 3 4" xfId="21886" xr:uid="{00000000-0005-0000-0000-000081260000}"/>
    <cellStyle name="Normal 14 4 3 4" xfId="5321" xr:uid="{00000000-0005-0000-0000-000082260000}"/>
    <cellStyle name="Normal 14 4 3 4 2" xfId="14421" xr:uid="{00000000-0005-0000-0000-000083260000}"/>
    <cellStyle name="Normal 14 4 3 4 2 2" xfId="32603" xr:uid="{00000000-0005-0000-0000-000084260000}"/>
    <cellStyle name="Normal 14 4 3 4 3" xfId="23513" xr:uid="{00000000-0005-0000-0000-000085260000}"/>
    <cellStyle name="Normal 14 4 3 5" xfId="9887" xr:uid="{00000000-0005-0000-0000-000086260000}"/>
    <cellStyle name="Normal 14 4 3 5 2" xfId="28069" xr:uid="{00000000-0005-0000-0000-000087260000}"/>
    <cellStyle name="Normal 14 4 3 6" xfId="18978" xr:uid="{00000000-0005-0000-0000-000088260000}"/>
    <cellStyle name="Normal 14 4 4" xfId="673" xr:uid="{00000000-0005-0000-0000-000089260000}"/>
    <cellStyle name="Normal 14 4 4 2" xfId="3683" xr:uid="{00000000-0005-0000-0000-00008A260000}"/>
    <cellStyle name="Normal 14 4 4 2 2" xfId="8239" xr:uid="{00000000-0005-0000-0000-00008B260000}"/>
    <cellStyle name="Normal 14 4 4 2 2 2" xfId="17335" xr:uid="{00000000-0005-0000-0000-00008C260000}"/>
    <cellStyle name="Normal 14 4 4 2 2 2 2" xfId="35517" xr:uid="{00000000-0005-0000-0000-00008D260000}"/>
    <cellStyle name="Normal 14 4 4 2 2 3" xfId="26427" xr:uid="{00000000-0005-0000-0000-00008E260000}"/>
    <cellStyle name="Normal 14 4 4 2 3" xfId="12795" xr:uid="{00000000-0005-0000-0000-00008F260000}"/>
    <cellStyle name="Normal 14 4 4 2 3 2" xfId="30977" xr:uid="{00000000-0005-0000-0000-000090260000}"/>
    <cellStyle name="Normal 14 4 4 2 4" xfId="21887" xr:uid="{00000000-0005-0000-0000-000091260000}"/>
    <cellStyle name="Normal 14 4 4 3" xfId="5322" xr:uid="{00000000-0005-0000-0000-000092260000}"/>
    <cellStyle name="Normal 14 4 4 3 2" xfId="14422" xr:uid="{00000000-0005-0000-0000-000093260000}"/>
    <cellStyle name="Normal 14 4 4 3 2 2" xfId="32604" xr:uid="{00000000-0005-0000-0000-000094260000}"/>
    <cellStyle name="Normal 14 4 4 3 3" xfId="23514" xr:uid="{00000000-0005-0000-0000-000095260000}"/>
    <cellStyle name="Normal 14 4 4 4" xfId="9888" xr:uid="{00000000-0005-0000-0000-000096260000}"/>
    <cellStyle name="Normal 14 4 4 4 2" xfId="28070" xr:uid="{00000000-0005-0000-0000-000097260000}"/>
    <cellStyle name="Normal 14 4 4 5" xfId="18979" xr:uid="{00000000-0005-0000-0000-000098260000}"/>
    <cellStyle name="Normal 14 4 5" xfId="2168" xr:uid="{00000000-0005-0000-0000-000099260000}"/>
    <cellStyle name="Normal 14 4 5 2" xfId="6754" xr:uid="{00000000-0005-0000-0000-00009A260000}"/>
    <cellStyle name="Normal 14 4 5 2 2" xfId="15854" xr:uid="{00000000-0005-0000-0000-00009B260000}"/>
    <cellStyle name="Normal 14 4 5 2 2 2" xfId="34036" xr:uid="{00000000-0005-0000-0000-00009C260000}"/>
    <cellStyle name="Normal 14 4 5 2 3" xfId="24946" xr:uid="{00000000-0005-0000-0000-00009D260000}"/>
    <cellStyle name="Normal 14 4 5 3" xfId="11318" xr:uid="{00000000-0005-0000-0000-00009E260000}"/>
    <cellStyle name="Normal 14 4 5 3 2" xfId="29500" xr:uid="{00000000-0005-0000-0000-00009F260000}"/>
    <cellStyle name="Normal 14 4 5 4" xfId="20410" xr:uid="{00000000-0005-0000-0000-0000A0260000}"/>
    <cellStyle name="Normal 14 4 6" xfId="3679" xr:uid="{00000000-0005-0000-0000-0000A1260000}"/>
    <cellStyle name="Normal 14 4 6 2" xfId="8235" xr:uid="{00000000-0005-0000-0000-0000A2260000}"/>
    <cellStyle name="Normal 14 4 6 2 2" xfId="17331" xr:uid="{00000000-0005-0000-0000-0000A3260000}"/>
    <cellStyle name="Normal 14 4 6 2 2 2" xfId="35513" xr:uid="{00000000-0005-0000-0000-0000A4260000}"/>
    <cellStyle name="Normal 14 4 6 2 3" xfId="26423" xr:uid="{00000000-0005-0000-0000-0000A5260000}"/>
    <cellStyle name="Normal 14 4 6 3" xfId="12791" xr:uid="{00000000-0005-0000-0000-0000A6260000}"/>
    <cellStyle name="Normal 14 4 6 3 2" xfId="30973" xr:uid="{00000000-0005-0000-0000-0000A7260000}"/>
    <cellStyle name="Normal 14 4 6 4" xfId="21883" xr:uid="{00000000-0005-0000-0000-0000A8260000}"/>
    <cellStyle name="Normal 14 4 7" xfId="5318" xr:uid="{00000000-0005-0000-0000-0000A9260000}"/>
    <cellStyle name="Normal 14 4 7 2" xfId="14418" xr:uid="{00000000-0005-0000-0000-0000AA260000}"/>
    <cellStyle name="Normal 14 4 7 2 2" xfId="32600" xr:uid="{00000000-0005-0000-0000-0000AB260000}"/>
    <cellStyle name="Normal 14 4 7 3" xfId="23510" xr:uid="{00000000-0005-0000-0000-0000AC260000}"/>
    <cellStyle name="Normal 14 4 8" xfId="9884" xr:uid="{00000000-0005-0000-0000-0000AD260000}"/>
    <cellStyle name="Normal 14 4 8 2" xfId="28066" xr:uid="{00000000-0005-0000-0000-0000AE260000}"/>
    <cellStyle name="Normal 14 4 9" xfId="18975" xr:uid="{00000000-0005-0000-0000-0000AF260000}"/>
    <cellStyle name="Normal 14 5" xfId="674" xr:uid="{00000000-0005-0000-0000-0000B0260000}"/>
    <cellStyle name="Normal 14 5 2" xfId="675" xr:uid="{00000000-0005-0000-0000-0000B1260000}"/>
    <cellStyle name="Normal 14 5 2 2" xfId="2169" xr:uid="{00000000-0005-0000-0000-0000B2260000}"/>
    <cellStyle name="Normal 14 5 2 2 2" xfId="6755" xr:uid="{00000000-0005-0000-0000-0000B3260000}"/>
    <cellStyle name="Normal 14 5 2 2 2 2" xfId="15855" xr:uid="{00000000-0005-0000-0000-0000B4260000}"/>
    <cellStyle name="Normal 14 5 2 2 2 2 2" xfId="34037" xr:uid="{00000000-0005-0000-0000-0000B5260000}"/>
    <cellStyle name="Normal 14 5 2 2 2 3" xfId="24947" xr:uid="{00000000-0005-0000-0000-0000B6260000}"/>
    <cellStyle name="Normal 14 5 2 2 3" xfId="11319" xr:uid="{00000000-0005-0000-0000-0000B7260000}"/>
    <cellStyle name="Normal 14 5 2 2 3 2" xfId="29501" xr:uid="{00000000-0005-0000-0000-0000B8260000}"/>
    <cellStyle name="Normal 14 5 2 2 4" xfId="20411" xr:uid="{00000000-0005-0000-0000-0000B9260000}"/>
    <cellStyle name="Normal 14 5 2 3" xfId="3685" xr:uid="{00000000-0005-0000-0000-0000BA260000}"/>
    <cellStyle name="Normal 14 5 2 3 2" xfId="8241" xr:uid="{00000000-0005-0000-0000-0000BB260000}"/>
    <cellStyle name="Normal 14 5 2 3 2 2" xfId="17337" xr:uid="{00000000-0005-0000-0000-0000BC260000}"/>
    <cellStyle name="Normal 14 5 2 3 2 2 2" xfId="35519" xr:uid="{00000000-0005-0000-0000-0000BD260000}"/>
    <cellStyle name="Normal 14 5 2 3 2 3" xfId="26429" xr:uid="{00000000-0005-0000-0000-0000BE260000}"/>
    <cellStyle name="Normal 14 5 2 3 3" xfId="12797" xr:uid="{00000000-0005-0000-0000-0000BF260000}"/>
    <cellStyle name="Normal 14 5 2 3 3 2" xfId="30979" xr:uid="{00000000-0005-0000-0000-0000C0260000}"/>
    <cellStyle name="Normal 14 5 2 3 4" xfId="21889" xr:uid="{00000000-0005-0000-0000-0000C1260000}"/>
    <cellStyle name="Normal 14 5 2 4" xfId="5324" xr:uid="{00000000-0005-0000-0000-0000C2260000}"/>
    <cellStyle name="Normal 14 5 2 4 2" xfId="14424" xr:uid="{00000000-0005-0000-0000-0000C3260000}"/>
    <cellStyle name="Normal 14 5 2 4 2 2" xfId="32606" xr:uid="{00000000-0005-0000-0000-0000C4260000}"/>
    <cellStyle name="Normal 14 5 2 4 3" xfId="23516" xr:uid="{00000000-0005-0000-0000-0000C5260000}"/>
    <cellStyle name="Normal 14 5 2 5" xfId="9890" xr:uid="{00000000-0005-0000-0000-0000C6260000}"/>
    <cellStyle name="Normal 14 5 2 5 2" xfId="28072" xr:uid="{00000000-0005-0000-0000-0000C7260000}"/>
    <cellStyle name="Normal 14 5 2 6" xfId="18981" xr:uid="{00000000-0005-0000-0000-0000C8260000}"/>
    <cellStyle name="Normal 14 5 3" xfId="2170" xr:uid="{00000000-0005-0000-0000-0000C9260000}"/>
    <cellStyle name="Normal 14 5 3 2" xfId="6756" xr:uid="{00000000-0005-0000-0000-0000CA260000}"/>
    <cellStyle name="Normal 14 5 3 2 2" xfId="15856" xr:uid="{00000000-0005-0000-0000-0000CB260000}"/>
    <cellStyle name="Normal 14 5 3 2 2 2" xfId="34038" xr:uid="{00000000-0005-0000-0000-0000CC260000}"/>
    <cellStyle name="Normal 14 5 3 2 3" xfId="24948" xr:uid="{00000000-0005-0000-0000-0000CD260000}"/>
    <cellStyle name="Normal 14 5 3 3" xfId="11320" xr:uid="{00000000-0005-0000-0000-0000CE260000}"/>
    <cellStyle name="Normal 14 5 3 3 2" xfId="29502" xr:uid="{00000000-0005-0000-0000-0000CF260000}"/>
    <cellStyle name="Normal 14 5 3 4" xfId="20412" xr:uid="{00000000-0005-0000-0000-0000D0260000}"/>
    <cellStyle name="Normal 14 5 4" xfId="3684" xr:uid="{00000000-0005-0000-0000-0000D1260000}"/>
    <cellStyle name="Normal 14 5 4 2" xfId="8240" xr:uid="{00000000-0005-0000-0000-0000D2260000}"/>
    <cellStyle name="Normal 14 5 4 2 2" xfId="17336" xr:uid="{00000000-0005-0000-0000-0000D3260000}"/>
    <cellStyle name="Normal 14 5 4 2 2 2" xfId="35518" xr:uid="{00000000-0005-0000-0000-0000D4260000}"/>
    <cellStyle name="Normal 14 5 4 2 3" xfId="26428" xr:uid="{00000000-0005-0000-0000-0000D5260000}"/>
    <cellStyle name="Normal 14 5 4 3" xfId="12796" xr:uid="{00000000-0005-0000-0000-0000D6260000}"/>
    <cellStyle name="Normal 14 5 4 3 2" xfId="30978" xr:uid="{00000000-0005-0000-0000-0000D7260000}"/>
    <cellStyle name="Normal 14 5 4 4" xfId="21888" xr:uid="{00000000-0005-0000-0000-0000D8260000}"/>
    <cellStyle name="Normal 14 5 5" xfId="5323" xr:uid="{00000000-0005-0000-0000-0000D9260000}"/>
    <cellStyle name="Normal 14 5 5 2" xfId="14423" xr:uid="{00000000-0005-0000-0000-0000DA260000}"/>
    <cellStyle name="Normal 14 5 5 2 2" xfId="32605" xr:uid="{00000000-0005-0000-0000-0000DB260000}"/>
    <cellStyle name="Normal 14 5 5 3" xfId="23515" xr:uid="{00000000-0005-0000-0000-0000DC260000}"/>
    <cellStyle name="Normal 14 5 6" xfId="9889" xr:uid="{00000000-0005-0000-0000-0000DD260000}"/>
    <cellStyle name="Normal 14 5 6 2" xfId="28071" xr:uid="{00000000-0005-0000-0000-0000DE260000}"/>
    <cellStyle name="Normal 14 5 7" xfId="18980" xr:uid="{00000000-0005-0000-0000-0000DF260000}"/>
    <cellStyle name="Normal 14 6" xfId="676" xr:uid="{00000000-0005-0000-0000-0000E0260000}"/>
    <cellStyle name="Normal 14 6 2" xfId="2171" xr:uid="{00000000-0005-0000-0000-0000E1260000}"/>
    <cellStyle name="Normal 14 6 2 2" xfId="6757" xr:uid="{00000000-0005-0000-0000-0000E2260000}"/>
    <cellStyle name="Normal 14 6 2 2 2" xfId="15857" xr:uid="{00000000-0005-0000-0000-0000E3260000}"/>
    <cellStyle name="Normal 14 6 2 2 2 2" xfId="34039" xr:uid="{00000000-0005-0000-0000-0000E4260000}"/>
    <cellStyle name="Normal 14 6 2 2 3" xfId="24949" xr:uid="{00000000-0005-0000-0000-0000E5260000}"/>
    <cellStyle name="Normal 14 6 2 3" xfId="11321" xr:uid="{00000000-0005-0000-0000-0000E6260000}"/>
    <cellStyle name="Normal 14 6 2 3 2" xfId="29503" xr:uid="{00000000-0005-0000-0000-0000E7260000}"/>
    <cellStyle name="Normal 14 6 2 4" xfId="20413" xr:uid="{00000000-0005-0000-0000-0000E8260000}"/>
    <cellStyle name="Normal 14 6 3" xfId="3686" xr:uid="{00000000-0005-0000-0000-0000E9260000}"/>
    <cellStyle name="Normal 14 6 3 2" xfId="8242" xr:uid="{00000000-0005-0000-0000-0000EA260000}"/>
    <cellStyle name="Normal 14 6 3 2 2" xfId="17338" xr:uid="{00000000-0005-0000-0000-0000EB260000}"/>
    <cellStyle name="Normal 14 6 3 2 2 2" xfId="35520" xr:uid="{00000000-0005-0000-0000-0000EC260000}"/>
    <cellStyle name="Normal 14 6 3 2 3" xfId="26430" xr:uid="{00000000-0005-0000-0000-0000ED260000}"/>
    <cellStyle name="Normal 14 6 3 3" xfId="12798" xr:uid="{00000000-0005-0000-0000-0000EE260000}"/>
    <cellStyle name="Normal 14 6 3 3 2" xfId="30980" xr:uid="{00000000-0005-0000-0000-0000EF260000}"/>
    <cellStyle name="Normal 14 6 3 4" xfId="21890" xr:uid="{00000000-0005-0000-0000-0000F0260000}"/>
    <cellStyle name="Normal 14 6 4" xfId="5325" xr:uid="{00000000-0005-0000-0000-0000F1260000}"/>
    <cellStyle name="Normal 14 6 4 2" xfId="14425" xr:uid="{00000000-0005-0000-0000-0000F2260000}"/>
    <cellStyle name="Normal 14 6 4 2 2" xfId="32607" xr:uid="{00000000-0005-0000-0000-0000F3260000}"/>
    <cellStyle name="Normal 14 6 4 3" xfId="23517" xr:uid="{00000000-0005-0000-0000-0000F4260000}"/>
    <cellStyle name="Normal 14 6 5" xfId="9891" xr:uid="{00000000-0005-0000-0000-0000F5260000}"/>
    <cellStyle name="Normal 14 6 5 2" xfId="28073" xr:uid="{00000000-0005-0000-0000-0000F6260000}"/>
    <cellStyle name="Normal 14 6 6" xfId="18982" xr:uid="{00000000-0005-0000-0000-0000F7260000}"/>
    <cellStyle name="Normal 14 7" xfId="677" xr:uid="{00000000-0005-0000-0000-0000F8260000}"/>
    <cellStyle name="Normal 14 7 2" xfId="3687" xr:uid="{00000000-0005-0000-0000-0000F9260000}"/>
    <cellStyle name="Normal 14 7 2 2" xfId="8243" xr:uid="{00000000-0005-0000-0000-0000FA260000}"/>
    <cellStyle name="Normal 14 7 2 2 2" xfId="17339" xr:uid="{00000000-0005-0000-0000-0000FB260000}"/>
    <cellStyle name="Normal 14 7 2 2 2 2" xfId="35521" xr:uid="{00000000-0005-0000-0000-0000FC260000}"/>
    <cellStyle name="Normal 14 7 2 2 3" xfId="26431" xr:uid="{00000000-0005-0000-0000-0000FD260000}"/>
    <cellStyle name="Normal 14 7 2 3" xfId="12799" xr:uid="{00000000-0005-0000-0000-0000FE260000}"/>
    <cellStyle name="Normal 14 7 2 3 2" xfId="30981" xr:uid="{00000000-0005-0000-0000-0000FF260000}"/>
    <cellStyle name="Normal 14 7 2 4" xfId="21891" xr:uid="{00000000-0005-0000-0000-000000270000}"/>
    <cellStyle name="Normal 14 7 3" xfId="5326" xr:uid="{00000000-0005-0000-0000-000001270000}"/>
    <cellStyle name="Normal 14 7 3 2" xfId="14426" xr:uid="{00000000-0005-0000-0000-000002270000}"/>
    <cellStyle name="Normal 14 7 3 2 2" xfId="32608" xr:uid="{00000000-0005-0000-0000-000003270000}"/>
    <cellStyle name="Normal 14 7 3 3" xfId="23518" xr:uid="{00000000-0005-0000-0000-000004270000}"/>
    <cellStyle name="Normal 14 7 4" xfId="9892" xr:uid="{00000000-0005-0000-0000-000005270000}"/>
    <cellStyle name="Normal 14 7 4 2" xfId="28074" xr:uid="{00000000-0005-0000-0000-000006270000}"/>
    <cellStyle name="Normal 14 7 5" xfId="18983" xr:uid="{00000000-0005-0000-0000-000007270000}"/>
    <cellStyle name="Normal 14 8" xfId="2172" xr:uid="{00000000-0005-0000-0000-000008270000}"/>
    <cellStyle name="Normal 14 8 2" xfId="6758" xr:uid="{00000000-0005-0000-0000-000009270000}"/>
    <cellStyle name="Normal 14 8 2 2" xfId="15858" xr:uid="{00000000-0005-0000-0000-00000A270000}"/>
    <cellStyle name="Normal 14 8 2 2 2" xfId="34040" xr:uid="{00000000-0005-0000-0000-00000B270000}"/>
    <cellStyle name="Normal 14 8 2 3" xfId="24950" xr:uid="{00000000-0005-0000-0000-00000C270000}"/>
    <cellStyle name="Normal 14 8 3" xfId="11322" xr:uid="{00000000-0005-0000-0000-00000D270000}"/>
    <cellStyle name="Normal 14 8 3 2" xfId="29504" xr:uid="{00000000-0005-0000-0000-00000E270000}"/>
    <cellStyle name="Normal 14 8 4" xfId="20414" xr:uid="{00000000-0005-0000-0000-00000F270000}"/>
    <cellStyle name="Normal 14 9" xfId="3209" xr:uid="{00000000-0005-0000-0000-000010270000}"/>
    <cellStyle name="Normal 14 9 2" xfId="7769" xr:uid="{00000000-0005-0000-0000-000011270000}"/>
    <cellStyle name="Normal 14 9 2 2" xfId="16865" xr:uid="{00000000-0005-0000-0000-000012270000}"/>
    <cellStyle name="Normal 14 9 2 2 2" xfId="35047" xr:uid="{00000000-0005-0000-0000-000013270000}"/>
    <cellStyle name="Normal 14 9 2 3" xfId="25957" xr:uid="{00000000-0005-0000-0000-000014270000}"/>
    <cellStyle name="Normal 14 9 3" xfId="12325" xr:uid="{00000000-0005-0000-0000-000015270000}"/>
    <cellStyle name="Normal 14 9 3 2" xfId="30507" xr:uid="{00000000-0005-0000-0000-000016270000}"/>
    <cellStyle name="Normal 14 9 4" xfId="21417" xr:uid="{00000000-0005-0000-0000-000017270000}"/>
    <cellStyle name="Normal 15" xfId="122" xr:uid="{00000000-0005-0000-0000-000018270000}"/>
    <cellStyle name="Normal 15 10" xfId="9427" xr:uid="{00000000-0005-0000-0000-000019270000}"/>
    <cellStyle name="Normal 15 10 2" xfId="27609" xr:uid="{00000000-0005-0000-0000-00001A270000}"/>
    <cellStyle name="Normal 15 11" xfId="18518" xr:uid="{00000000-0005-0000-0000-00001B270000}"/>
    <cellStyle name="Normal 15 2" xfId="678" xr:uid="{00000000-0005-0000-0000-00001C270000}"/>
    <cellStyle name="Normal 15 2 10" xfId="18984" xr:uid="{00000000-0005-0000-0000-00001D270000}"/>
    <cellStyle name="Normal 15 2 2" xfId="679" xr:uid="{00000000-0005-0000-0000-00001E270000}"/>
    <cellStyle name="Normal 15 2 2 2" xfId="680" xr:uid="{00000000-0005-0000-0000-00001F270000}"/>
    <cellStyle name="Normal 15 2 2 2 2" xfId="681" xr:uid="{00000000-0005-0000-0000-000020270000}"/>
    <cellStyle name="Normal 15 2 2 2 2 2" xfId="2173" xr:uid="{00000000-0005-0000-0000-000021270000}"/>
    <cellStyle name="Normal 15 2 2 2 2 2 2" xfId="6759" xr:uid="{00000000-0005-0000-0000-000022270000}"/>
    <cellStyle name="Normal 15 2 2 2 2 2 2 2" xfId="15859" xr:uid="{00000000-0005-0000-0000-000023270000}"/>
    <cellStyle name="Normal 15 2 2 2 2 2 2 2 2" xfId="34041" xr:uid="{00000000-0005-0000-0000-000024270000}"/>
    <cellStyle name="Normal 15 2 2 2 2 2 2 3" xfId="24951" xr:uid="{00000000-0005-0000-0000-000025270000}"/>
    <cellStyle name="Normal 15 2 2 2 2 2 3" xfId="11323" xr:uid="{00000000-0005-0000-0000-000026270000}"/>
    <cellStyle name="Normal 15 2 2 2 2 2 3 2" xfId="29505" xr:uid="{00000000-0005-0000-0000-000027270000}"/>
    <cellStyle name="Normal 15 2 2 2 2 2 4" xfId="20415" xr:uid="{00000000-0005-0000-0000-000028270000}"/>
    <cellStyle name="Normal 15 2 2 2 2 3" xfId="3691" xr:uid="{00000000-0005-0000-0000-000029270000}"/>
    <cellStyle name="Normal 15 2 2 2 2 3 2" xfId="8247" xr:uid="{00000000-0005-0000-0000-00002A270000}"/>
    <cellStyle name="Normal 15 2 2 2 2 3 2 2" xfId="17343" xr:uid="{00000000-0005-0000-0000-00002B270000}"/>
    <cellStyle name="Normal 15 2 2 2 2 3 2 2 2" xfId="35525" xr:uid="{00000000-0005-0000-0000-00002C270000}"/>
    <cellStyle name="Normal 15 2 2 2 2 3 2 3" xfId="26435" xr:uid="{00000000-0005-0000-0000-00002D270000}"/>
    <cellStyle name="Normal 15 2 2 2 2 3 3" xfId="12803" xr:uid="{00000000-0005-0000-0000-00002E270000}"/>
    <cellStyle name="Normal 15 2 2 2 2 3 3 2" xfId="30985" xr:uid="{00000000-0005-0000-0000-00002F270000}"/>
    <cellStyle name="Normal 15 2 2 2 2 3 4" xfId="21895" xr:uid="{00000000-0005-0000-0000-000030270000}"/>
    <cellStyle name="Normal 15 2 2 2 2 4" xfId="5330" xr:uid="{00000000-0005-0000-0000-000031270000}"/>
    <cellStyle name="Normal 15 2 2 2 2 4 2" xfId="14430" xr:uid="{00000000-0005-0000-0000-000032270000}"/>
    <cellStyle name="Normal 15 2 2 2 2 4 2 2" xfId="32612" xr:uid="{00000000-0005-0000-0000-000033270000}"/>
    <cellStyle name="Normal 15 2 2 2 2 4 3" xfId="23522" xr:uid="{00000000-0005-0000-0000-000034270000}"/>
    <cellStyle name="Normal 15 2 2 2 2 5" xfId="9896" xr:uid="{00000000-0005-0000-0000-000035270000}"/>
    <cellStyle name="Normal 15 2 2 2 2 5 2" xfId="28078" xr:uid="{00000000-0005-0000-0000-000036270000}"/>
    <cellStyle name="Normal 15 2 2 2 2 6" xfId="18987" xr:uid="{00000000-0005-0000-0000-000037270000}"/>
    <cellStyle name="Normal 15 2 2 2 3" xfId="2174" xr:uid="{00000000-0005-0000-0000-000038270000}"/>
    <cellStyle name="Normal 15 2 2 2 3 2" xfId="6760" xr:uid="{00000000-0005-0000-0000-000039270000}"/>
    <cellStyle name="Normal 15 2 2 2 3 2 2" xfId="15860" xr:uid="{00000000-0005-0000-0000-00003A270000}"/>
    <cellStyle name="Normal 15 2 2 2 3 2 2 2" xfId="34042" xr:uid="{00000000-0005-0000-0000-00003B270000}"/>
    <cellStyle name="Normal 15 2 2 2 3 2 3" xfId="24952" xr:uid="{00000000-0005-0000-0000-00003C270000}"/>
    <cellStyle name="Normal 15 2 2 2 3 3" xfId="11324" xr:uid="{00000000-0005-0000-0000-00003D270000}"/>
    <cellStyle name="Normal 15 2 2 2 3 3 2" xfId="29506" xr:uid="{00000000-0005-0000-0000-00003E270000}"/>
    <cellStyle name="Normal 15 2 2 2 3 4" xfId="20416" xr:uid="{00000000-0005-0000-0000-00003F270000}"/>
    <cellStyle name="Normal 15 2 2 2 4" xfId="3690" xr:uid="{00000000-0005-0000-0000-000040270000}"/>
    <cellStyle name="Normal 15 2 2 2 4 2" xfId="8246" xr:uid="{00000000-0005-0000-0000-000041270000}"/>
    <cellStyle name="Normal 15 2 2 2 4 2 2" xfId="17342" xr:uid="{00000000-0005-0000-0000-000042270000}"/>
    <cellStyle name="Normal 15 2 2 2 4 2 2 2" xfId="35524" xr:uid="{00000000-0005-0000-0000-000043270000}"/>
    <cellStyle name="Normal 15 2 2 2 4 2 3" xfId="26434" xr:uid="{00000000-0005-0000-0000-000044270000}"/>
    <cellStyle name="Normal 15 2 2 2 4 3" xfId="12802" xr:uid="{00000000-0005-0000-0000-000045270000}"/>
    <cellStyle name="Normal 15 2 2 2 4 3 2" xfId="30984" xr:uid="{00000000-0005-0000-0000-000046270000}"/>
    <cellStyle name="Normal 15 2 2 2 4 4" xfId="21894" xr:uid="{00000000-0005-0000-0000-000047270000}"/>
    <cellStyle name="Normal 15 2 2 2 5" xfId="5329" xr:uid="{00000000-0005-0000-0000-000048270000}"/>
    <cellStyle name="Normal 15 2 2 2 5 2" xfId="14429" xr:uid="{00000000-0005-0000-0000-000049270000}"/>
    <cellStyle name="Normal 15 2 2 2 5 2 2" xfId="32611" xr:uid="{00000000-0005-0000-0000-00004A270000}"/>
    <cellStyle name="Normal 15 2 2 2 5 3" xfId="23521" xr:uid="{00000000-0005-0000-0000-00004B270000}"/>
    <cellStyle name="Normal 15 2 2 2 6" xfId="9895" xr:uid="{00000000-0005-0000-0000-00004C270000}"/>
    <cellStyle name="Normal 15 2 2 2 6 2" xfId="28077" xr:uid="{00000000-0005-0000-0000-00004D270000}"/>
    <cellStyle name="Normal 15 2 2 2 7" xfId="18986" xr:uid="{00000000-0005-0000-0000-00004E270000}"/>
    <cellStyle name="Normal 15 2 2 3" xfId="682" xr:uid="{00000000-0005-0000-0000-00004F270000}"/>
    <cellStyle name="Normal 15 2 2 3 2" xfId="2175" xr:uid="{00000000-0005-0000-0000-000050270000}"/>
    <cellStyle name="Normal 15 2 2 3 2 2" xfId="6761" xr:uid="{00000000-0005-0000-0000-000051270000}"/>
    <cellStyle name="Normal 15 2 2 3 2 2 2" xfId="15861" xr:uid="{00000000-0005-0000-0000-000052270000}"/>
    <cellStyle name="Normal 15 2 2 3 2 2 2 2" xfId="34043" xr:uid="{00000000-0005-0000-0000-000053270000}"/>
    <cellStyle name="Normal 15 2 2 3 2 2 3" xfId="24953" xr:uid="{00000000-0005-0000-0000-000054270000}"/>
    <cellStyle name="Normal 15 2 2 3 2 3" xfId="11325" xr:uid="{00000000-0005-0000-0000-000055270000}"/>
    <cellStyle name="Normal 15 2 2 3 2 3 2" xfId="29507" xr:uid="{00000000-0005-0000-0000-000056270000}"/>
    <cellStyle name="Normal 15 2 2 3 2 4" xfId="20417" xr:uid="{00000000-0005-0000-0000-000057270000}"/>
    <cellStyle name="Normal 15 2 2 3 3" xfId="3692" xr:uid="{00000000-0005-0000-0000-000058270000}"/>
    <cellStyle name="Normal 15 2 2 3 3 2" xfId="8248" xr:uid="{00000000-0005-0000-0000-000059270000}"/>
    <cellStyle name="Normal 15 2 2 3 3 2 2" xfId="17344" xr:uid="{00000000-0005-0000-0000-00005A270000}"/>
    <cellStyle name="Normal 15 2 2 3 3 2 2 2" xfId="35526" xr:uid="{00000000-0005-0000-0000-00005B270000}"/>
    <cellStyle name="Normal 15 2 2 3 3 2 3" xfId="26436" xr:uid="{00000000-0005-0000-0000-00005C270000}"/>
    <cellStyle name="Normal 15 2 2 3 3 3" xfId="12804" xr:uid="{00000000-0005-0000-0000-00005D270000}"/>
    <cellStyle name="Normal 15 2 2 3 3 3 2" xfId="30986" xr:uid="{00000000-0005-0000-0000-00005E270000}"/>
    <cellStyle name="Normal 15 2 2 3 3 4" xfId="21896" xr:uid="{00000000-0005-0000-0000-00005F270000}"/>
    <cellStyle name="Normal 15 2 2 3 4" xfId="5331" xr:uid="{00000000-0005-0000-0000-000060270000}"/>
    <cellStyle name="Normal 15 2 2 3 4 2" xfId="14431" xr:uid="{00000000-0005-0000-0000-000061270000}"/>
    <cellStyle name="Normal 15 2 2 3 4 2 2" xfId="32613" xr:uid="{00000000-0005-0000-0000-000062270000}"/>
    <cellStyle name="Normal 15 2 2 3 4 3" xfId="23523" xr:uid="{00000000-0005-0000-0000-000063270000}"/>
    <cellStyle name="Normal 15 2 2 3 5" xfId="9897" xr:uid="{00000000-0005-0000-0000-000064270000}"/>
    <cellStyle name="Normal 15 2 2 3 5 2" xfId="28079" xr:uid="{00000000-0005-0000-0000-000065270000}"/>
    <cellStyle name="Normal 15 2 2 3 6" xfId="18988" xr:uid="{00000000-0005-0000-0000-000066270000}"/>
    <cellStyle name="Normal 15 2 2 4" xfId="683" xr:uid="{00000000-0005-0000-0000-000067270000}"/>
    <cellStyle name="Normal 15 2 2 4 2" xfId="3693" xr:uid="{00000000-0005-0000-0000-000068270000}"/>
    <cellStyle name="Normal 15 2 2 4 2 2" xfId="8249" xr:uid="{00000000-0005-0000-0000-000069270000}"/>
    <cellStyle name="Normal 15 2 2 4 2 2 2" xfId="17345" xr:uid="{00000000-0005-0000-0000-00006A270000}"/>
    <cellStyle name="Normal 15 2 2 4 2 2 2 2" xfId="35527" xr:uid="{00000000-0005-0000-0000-00006B270000}"/>
    <cellStyle name="Normal 15 2 2 4 2 2 3" xfId="26437" xr:uid="{00000000-0005-0000-0000-00006C270000}"/>
    <cellStyle name="Normal 15 2 2 4 2 3" xfId="12805" xr:uid="{00000000-0005-0000-0000-00006D270000}"/>
    <cellStyle name="Normal 15 2 2 4 2 3 2" xfId="30987" xr:uid="{00000000-0005-0000-0000-00006E270000}"/>
    <cellStyle name="Normal 15 2 2 4 2 4" xfId="21897" xr:uid="{00000000-0005-0000-0000-00006F270000}"/>
    <cellStyle name="Normal 15 2 2 4 3" xfId="5332" xr:uid="{00000000-0005-0000-0000-000070270000}"/>
    <cellStyle name="Normal 15 2 2 4 3 2" xfId="14432" xr:uid="{00000000-0005-0000-0000-000071270000}"/>
    <cellStyle name="Normal 15 2 2 4 3 2 2" xfId="32614" xr:uid="{00000000-0005-0000-0000-000072270000}"/>
    <cellStyle name="Normal 15 2 2 4 3 3" xfId="23524" xr:uid="{00000000-0005-0000-0000-000073270000}"/>
    <cellStyle name="Normal 15 2 2 4 4" xfId="9898" xr:uid="{00000000-0005-0000-0000-000074270000}"/>
    <cellStyle name="Normal 15 2 2 4 4 2" xfId="28080" xr:uid="{00000000-0005-0000-0000-000075270000}"/>
    <cellStyle name="Normal 15 2 2 4 5" xfId="18989" xr:uid="{00000000-0005-0000-0000-000076270000}"/>
    <cellStyle name="Normal 15 2 2 5" xfId="2176" xr:uid="{00000000-0005-0000-0000-000077270000}"/>
    <cellStyle name="Normal 15 2 2 5 2" xfId="6762" xr:uid="{00000000-0005-0000-0000-000078270000}"/>
    <cellStyle name="Normal 15 2 2 5 2 2" xfId="15862" xr:uid="{00000000-0005-0000-0000-000079270000}"/>
    <cellStyle name="Normal 15 2 2 5 2 2 2" xfId="34044" xr:uid="{00000000-0005-0000-0000-00007A270000}"/>
    <cellStyle name="Normal 15 2 2 5 2 3" xfId="24954" xr:uid="{00000000-0005-0000-0000-00007B270000}"/>
    <cellStyle name="Normal 15 2 2 5 3" xfId="11326" xr:uid="{00000000-0005-0000-0000-00007C270000}"/>
    <cellStyle name="Normal 15 2 2 5 3 2" xfId="29508" xr:uid="{00000000-0005-0000-0000-00007D270000}"/>
    <cellStyle name="Normal 15 2 2 5 4" xfId="20418" xr:uid="{00000000-0005-0000-0000-00007E270000}"/>
    <cellStyle name="Normal 15 2 2 6" xfId="3689" xr:uid="{00000000-0005-0000-0000-00007F270000}"/>
    <cellStyle name="Normal 15 2 2 6 2" xfId="8245" xr:uid="{00000000-0005-0000-0000-000080270000}"/>
    <cellStyle name="Normal 15 2 2 6 2 2" xfId="17341" xr:uid="{00000000-0005-0000-0000-000081270000}"/>
    <cellStyle name="Normal 15 2 2 6 2 2 2" xfId="35523" xr:uid="{00000000-0005-0000-0000-000082270000}"/>
    <cellStyle name="Normal 15 2 2 6 2 3" xfId="26433" xr:uid="{00000000-0005-0000-0000-000083270000}"/>
    <cellStyle name="Normal 15 2 2 6 3" xfId="12801" xr:uid="{00000000-0005-0000-0000-000084270000}"/>
    <cellStyle name="Normal 15 2 2 6 3 2" xfId="30983" xr:uid="{00000000-0005-0000-0000-000085270000}"/>
    <cellStyle name="Normal 15 2 2 6 4" xfId="21893" xr:uid="{00000000-0005-0000-0000-000086270000}"/>
    <cellStyle name="Normal 15 2 2 7" xfId="5328" xr:uid="{00000000-0005-0000-0000-000087270000}"/>
    <cellStyle name="Normal 15 2 2 7 2" xfId="14428" xr:uid="{00000000-0005-0000-0000-000088270000}"/>
    <cellStyle name="Normal 15 2 2 7 2 2" xfId="32610" xr:uid="{00000000-0005-0000-0000-000089270000}"/>
    <cellStyle name="Normal 15 2 2 7 3" xfId="23520" xr:uid="{00000000-0005-0000-0000-00008A270000}"/>
    <cellStyle name="Normal 15 2 2 8" xfId="9894" xr:uid="{00000000-0005-0000-0000-00008B270000}"/>
    <cellStyle name="Normal 15 2 2 8 2" xfId="28076" xr:uid="{00000000-0005-0000-0000-00008C270000}"/>
    <cellStyle name="Normal 15 2 2 9" xfId="18985" xr:uid="{00000000-0005-0000-0000-00008D270000}"/>
    <cellStyle name="Normal 15 2 3" xfId="684" xr:uid="{00000000-0005-0000-0000-00008E270000}"/>
    <cellStyle name="Normal 15 2 3 2" xfId="685" xr:uid="{00000000-0005-0000-0000-00008F270000}"/>
    <cellStyle name="Normal 15 2 3 2 2" xfId="2177" xr:uid="{00000000-0005-0000-0000-000090270000}"/>
    <cellStyle name="Normal 15 2 3 2 2 2" xfId="6763" xr:uid="{00000000-0005-0000-0000-000091270000}"/>
    <cellStyle name="Normal 15 2 3 2 2 2 2" xfId="15863" xr:uid="{00000000-0005-0000-0000-000092270000}"/>
    <cellStyle name="Normal 15 2 3 2 2 2 2 2" xfId="34045" xr:uid="{00000000-0005-0000-0000-000093270000}"/>
    <cellStyle name="Normal 15 2 3 2 2 2 3" xfId="24955" xr:uid="{00000000-0005-0000-0000-000094270000}"/>
    <cellStyle name="Normal 15 2 3 2 2 3" xfId="11327" xr:uid="{00000000-0005-0000-0000-000095270000}"/>
    <cellStyle name="Normal 15 2 3 2 2 3 2" xfId="29509" xr:uid="{00000000-0005-0000-0000-000096270000}"/>
    <cellStyle name="Normal 15 2 3 2 2 4" xfId="20419" xr:uid="{00000000-0005-0000-0000-000097270000}"/>
    <cellStyle name="Normal 15 2 3 2 3" xfId="3695" xr:uid="{00000000-0005-0000-0000-000098270000}"/>
    <cellStyle name="Normal 15 2 3 2 3 2" xfId="8251" xr:uid="{00000000-0005-0000-0000-000099270000}"/>
    <cellStyle name="Normal 15 2 3 2 3 2 2" xfId="17347" xr:uid="{00000000-0005-0000-0000-00009A270000}"/>
    <cellStyle name="Normal 15 2 3 2 3 2 2 2" xfId="35529" xr:uid="{00000000-0005-0000-0000-00009B270000}"/>
    <cellStyle name="Normal 15 2 3 2 3 2 3" xfId="26439" xr:uid="{00000000-0005-0000-0000-00009C270000}"/>
    <cellStyle name="Normal 15 2 3 2 3 3" xfId="12807" xr:uid="{00000000-0005-0000-0000-00009D270000}"/>
    <cellStyle name="Normal 15 2 3 2 3 3 2" xfId="30989" xr:uid="{00000000-0005-0000-0000-00009E270000}"/>
    <cellStyle name="Normal 15 2 3 2 3 4" xfId="21899" xr:uid="{00000000-0005-0000-0000-00009F270000}"/>
    <cellStyle name="Normal 15 2 3 2 4" xfId="5334" xr:uid="{00000000-0005-0000-0000-0000A0270000}"/>
    <cellStyle name="Normal 15 2 3 2 4 2" xfId="14434" xr:uid="{00000000-0005-0000-0000-0000A1270000}"/>
    <cellStyle name="Normal 15 2 3 2 4 2 2" xfId="32616" xr:uid="{00000000-0005-0000-0000-0000A2270000}"/>
    <cellStyle name="Normal 15 2 3 2 4 3" xfId="23526" xr:uid="{00000000-0005-0000-0000-0000A3270000}"/>
    <cellStyle name="Normal 15 2 3 2 5" xfId="9900" xr:uid="{00000000-0005-0000-0000-0000A4270000}"/>
    <cellStyle name="Normal 15 2 3 2 5 2" xfId="28082" xr:uid="{00000000-0005-0000-0000-0000A5270000}"/>
    <cellStyle name="Normal 15 2 3 2 6" xfId="18991" xr:uid="{00000000-0005-0000-0000-0000A6270000}"/>
    <cellStyle name="Normal 15 2 3 3" xfId="2178" xr:uid="{00000000-0005-0000-0000-0000A7270000}"/>
    <cellStyle name="Normal 15 2 3 3 2" xfId="6764" xr:uid="{00000000-0005-0000-0000-0000A8270000}"/>
    <cellStyle name="Normal 15 2 3 3 2 2" xfId="15864" xr:uid="{00000000-0005-0000-0000-0000A9270000}"/>
    <cellStyle name="Normal 15 2 3 3 2 2 2" xfId="34046" xr:uid="{00000000-0005-0000-0000-0000AA270000}"/>
    <cellStyle name="Normal 15 2 3 3 2 3" xfId="24956" xr:uid="{00000000-0005-0000-0000-0000AB270000}"/>
    <cellStyle name="Normal 15 2 3 3 3" xfId="11328" xr:uid="{00000000-0005-0000-0000-0000AC270000}"/>
    <cellStyle name="Normal 15 2 3 3 3 2" xfId="29510" xr:uid="{00000000-0005-0000-0000-0000AD270000}"/>
    <cellStyle name="Normal 15 2 3 3 4" xfId="20420" xr:uid="{00000000-0005-0000-0000-0000AE270000}"/>
    <cellStyle name="Normal 15 2 3 4" xfId="3694" xr:uid="{00000000-0005-0000-0000-0000AF270000}"/>
    <cellStyle name="Normal 15 2 3 4 2" xfId="8250" xr:uid="{00000000-0005-0000-0000-0000B0270000}"/>
    <cellStyle name="Normal 15 2 3 4 2 2" xfId="17346" xr:uid="{00000000-0005-0000-0000-0000B1270000}"/>
    <cellStyle name="Normal 15 2 3 4 2 2 2" xfId="35528" xr:uid="{00000000-0005-0000-0000-0000B2270000}"/>
    <cellStyle name="Normal 15 2 3 4 2 3" xfId="26438" xr:uid="{00000000-0005-0000-0000-0000B3270000}"/>
    <cellStyle name="Normal 15 2 3 4 3" xfId="12806" xr:uid="{00000000-0005-0000-0000-0000B4270000}"/>
    <cellStyle name="Normal 15 2 3 4 3 2" xfId="30988" xr:uid="{00000000-0005-0000-0000-0000B5270000}"/>
    <cellStyle name="Normal 15 2 3 4 4" xfId="21898" xr:uid="{00000000-0005-0000-0000-0000B6270000}"/>
    <cellStyle name="Normal 15 2 3 5" xfId="5333" xr:uid="{00000000-0005-0000-0000-0000B7270000}"/>
    <cellStyle name="Normal 15 2 3 5 2" xfId="14433" xr:uid="{00000000-0005-0000-0000-0000B8270000}"/>
    <cellStyle name="Normal 15 2 3 5 2 2" xfId="32615" xr:uid="{00000000-0005-0000-0000-0000B9270000}"/>
    <cellStyle name="Normal 15 2 3 5 3" xfId="23525" xr:uid="{00000000-0005-0000-0000-0000BA270000}"/>
    <cellStyle name="Normal 15 2 3 6" xfId="9899" xr:uid="{00000000-0005-0000-0000-0000BB270000}"/>
    <cellStyle name="Normal 15 2 3 6 2" xfId="28081" xr:uid="{00000000-0005-0000-0000-0000BC270000}"/>
    <cellStyle name="Normal 15 2 3 7" xfId="18990" xr:uid="{00000000-0005-0000-0000-0000BD270000}"/>
    <cellStyle name="Normal 15 2 4" xfId="686" xr:uid="{00000000-0005-0000-0000-0000BE270000}"/>
    <cellStyle name="Normal 15 2 4 2" xfId="2179" xr:uid="{00000000-0005-0000-0000-0000BF270000}"/>
    <cellStyle name="Normal 15 2 4 2 2" xfId="6765" xr:uid="{00000000-0005-0000-0000-0000C0270000}"/>
    <cellStyle name="Normal 15 2 4 2 2 2" xfId="15865" xr:uid="{00000000-0005-0000-0000-0000C1270000}"/>
    <cellStyle name="Normal 15 2 4 2 2 2 2" xfId="34047" xr:uid="{00000000-0005-0000-0000-0000C2270000}"/>
    <cellStyle name="Normal 15 2 4 2 2 3" xfId="24957" xr:uid="{00000000-0005-0000-0000-0000C3270000}"/>
    <cellStyle name="Normal 15 2 4 2 3" xfId="11329" xr:uid="{00000000-0005-0000-0000-0000C4270000}"/>
    <cellStyle name="Normal 15 2 4 2 3 2" xfId="29511" xr:uid="{00000000-0005-0000-0000-0000C5270000}"/>
    <cellStyle name="Normal 15 2 4 2 4" xfId="20421" xr:uid="{00000000-0005-0000-0000-0000C6270000}"/>
    <cellStyle name="Normal 15 2 4 3" xfId="3696" xr:uid="{00000000-0005-0000-0000-0000C7270000}"/>
    <cellStyle name="Normal 15 2 4 3 2" xfId="8252" xr:uid="{00000000-0005-0000-0000-0000C8270000}"/>
    <cellStyle name="Normal 15 2 4 3 2 2" xfId="17348" xr:uid="{00000000-0005-0000-0000-0000C9270000}"/>
    <cellStyle name="Normal 15 2 4 3 2 2 2" xfId="35530" xr:uid="{00000000-0005-0000-0000-0000CA270000}"/>
    <cellStyle name="Normal 15 2 4 3 2 3" xfId="26440" xr:uid="{00000000-0005-0000-0000-0000CB270000}"/>
    <cellStyle name="Normal 15 2 4 3 3" xfId="12808" xr:uid="{00000000-0005-0000-0000-0000CC270000}"/>
    <cellStyle name="Normal 15 2 4 3 3 2" xfId="30990" xr:uid="{00000000-0005-0000-0000-0000CD270000}"/>
    <cellStyle name="Normal 15 2 4 3 4" xfId="21900" xr:uid="{00000000-0005-0000-0000-0000CE270000}"/>
    <cellStyle name="Normal 15 2 4 4" xfId="5335" xr:uid="{00000000-0005-0000-0000-0000CF270000}"/>
    <cellStyle name="Normal 15 2 4 4 2" xfId="14435" xr:uid="{00000000-0005-0000-0000-0000D0270000}"/>
    <cellStyle name="Normal 15 2 4 4 2 2" xfId="32617" xr:uid="{00000000-0005-0000-0000-0000D1270000}"/>
    <cellStyle name="Normal 15 2 4 4 3" xfId="23527" xr:uid="{00000000-0005-0000-0000-0000D2270000}"/>
    <cellStyle name="Normal 15 2 4 5" xfId="9901" xr:uid="{00000000-0005-0000-0000-0000D3270000}"/>
    <cellStyle name="Normal 15 2 4 5 2" xfId="28083" xr:uid="{00000000-0005-0000-0000-0000D4270000}"/>
    <cellStyle name="Normal 15 2 4 6" xfId="18992" xr:uid="{00000000-0005-0000-0000-0000D5270000}"/>
    <cellStyle name="Normal 15 2 5" xfId="687" xr:uid="{00000000-0005-0000-0000-0000D6270000}"/>
    <cellStyle name="Normal 15 2 5 2" xfId="3697" xr:uid="{00000000-0005-0000-0000-0000D7270000}"/>
    <cellStyle name="Normal 15 2 5 2 2" xfId="8253" xr:uid="{00000000-0005-0000-0000-0000D8270000}"/>
    <cellStyle name="Normal 15 2 5 2 2 2" xfId="17349" xr:uid="{00000000-0005-0000-0000-0000D9270000}"/>
    <cellStyle name="Normal 15 2 5 2 2 2 2" xfId="35531" xr:uid="{00000000-0005-0000-0000-0000DA270000}"/>
    <cellStyle name="Normal 15 2 5 2 2 3" xfId="26441" xr:uid="{00000000-0005-0000-0000-0000DB270000}"/>
    <cellStyle name="Normal 15 2 5 2 3" xfId="12809" xr:uid="{00000000-0005-0000-0000-0000DC270000}"/>
    <cellStyle name="Normal 15 2 5 2 3 2" xfId="30991" xr:uid="{00000000-0005-0000-0000-0000DD270000}"/>
    <cellStyle name="Normal 15 2 5 2 4" xfId="21901" xr:uid="{00000000-0005-0000-0000-0000DE270000}"/>
    <cellStyle name="Normal 15 2 5 3" xfId="5336" xr:uid="{00000000-0005-0000-0000-0000DF270000}"/>
    <cellStyle name="Normal 15 2 5 3 2" xfId="14436" xr:uid="{00000000-0005-0000-0000-0000E0270000}"/>
    <cellStyle name="Normal 15 2 5 3 2 2" xfId="32618" xr:uid="{00000000-0005-0000-0000-0000E1270000}"/>
    <cellStyle name="Normal 15 2 5 3 3" xfId="23528" xr:uid="{00000000-0005-0000-0000-0000E2270000}"/>
    <cellStyle name="Normal 15 2 5 4" xfId="9902" xr:uid="{00000000-0005-0000-0000-0000E3270000}"/>
    <cellStyle name="Normal 15 2 5 4 2" xfId="28084" xr:uid="{00000000-0005-0000-0000-0000E4270000}"/>
    <cellStyle name="Normal 15 2 5 5" xfId="18993" xr:uid="{00000000-0005-0000-0000-0000E5270000}"/>
    <cellStyle name="Normal 15 2 6" xfId="2180" xr:uid="{00000000-0005-0000-0000-0000E6270000}"/>
    <cellStyle name="Normal 15 2 6 2" xfId="6766" xr:uid="{00000000-0005-0000-0000-0000E7270000}"/>
    <cellStyle name="Normal 15 2 6 2 2" xfId="15866" xr:uid="{00000000-0005-0000-0000-0000E8270000}"/>
    <cellStyle name="Normal 15 2 6 2 2 2" xfId="34048" xr:uid="{00000000-0005-0000-0000-0000E9270000}"/>
    <cellStyle name="Normal 15 2 6 2 3" xfId="24958" xr:uid="{00000000-0005-0000-0000-0000EA270000}"/>
    <cellStyle name="Normal 15 2 6 3" xfId="11330" xr:uid="{00000000-0005-0000-0000-0000EB270000}"/>
    <cellStyle name="Normal 15 2 6 3 2" xfId="29512" xr:uid="{00000000-0005-0000-0000-0000EC270000}"/>
    <cellStyle name="Normal 15 2 6 4" xfId="20422" xr:uid="{00000000-0005-0000-0000-0000ED270000}"/>
    <cellStyle name="Normal 15 2 7" xfId="3688" xr:uid="{00000000-0005-0000-0000-0000EE270000}"/>
    <cellStyle name="Normal 15 2 7 2" xfId="8244" xr:uid="{00000000-0005-0000-0000-0000EF270000}"/>
    <cellStyle name="Normal 15 2 7 2 2" xfId="17340" xr:uid="{00000000-0005-0000-0000-0000F0270000}"/>
    <cellStyle name="Normal 15 2 7 2 2 2" xfId="35522" xr:uid="{00000000-0005-0000-0000-0000F1270000}"/>
    <cellStyle name="Normal 15 2 7 2 3" xfId="26432" xr:uid="{00000000-0005-0000-0000-0000F2270000}"/>
    <cellStyle name="Normal 15 2 7 3" xfId="12800" xr:uid="{00000000-0005-0000-0000-0000F3270000}"/>
    <cellStyle name="Normal 15 2 7 3 2" xfId="30982" xr:uid="{00000000-0005-0000-0000-0000F4270000}"/>
    <cellStyle name="Normal 15 2 7 4" xfId="21892" xr:uid="{00000000-0005-0000-0000-0000F5270000}"/>
    <cellStyle name="Normal 15 2 8" xfId="5327" xr:uid="{00000000-0005-0000-0000-0000F6270000}"/>
    <cellStyle name="Normal 15 2 8 2" xfId="14427" xr:uid="{00000000-0005-0000-0000-0000F7270000}"/>
    <cellStyle name="Normal 15 2 8 2 2" xfId="32609" xr:uid="{00000000-0005-0000-0000-0000F8270000}"/>
    <cellStyle name="Normal 15 2 8 3" xfId="23519" xr:uid="{00000000-0005-0000-0000-0000F9270000}"/>
    <cellStyle name="Normal 15 2 9" xfId="9893" xr:uid="{00000000-0005-0000-0000-0000FA270000}"/>
    <cellStyle name="Normal 15 2 9 2" xfId="28075" xr:uid="{00000000-0005-0000-0000-0000FB270000}"/>
    <cellStyle name="Normal 15 3" xfId="688" xr:uid="{00000000-0005-0000-0000-0000FC270000}"/>
    <cellStyle name="Normal 15 3 2" xfId="689" xr:uid="{00000000-0005-0000-0000-0000FD270000}"/>
    <cellStyle name="Normal 15 3 2 2" xfId="690" xr:uid="{00000000-0005-0000-0000-0000FE270000}"/>
    <cellStyle name="Normal 15 3 2 2 2" xfId="2181" xr:uid="{00000000-0005-0000-0000-0000FF270000}"/>
    <cellStyle name="Normal 15 3 2 2 2 2" xfId="6767" xr:uid="{00000000-0005-0000-0000-000000280000}"/>
    <cellStyle name="Normal 15 3 2 2 2 2 2" xfId="15867" xr:uid="{00000000-0005-0000-0000-000001280000}"/>
    <cellStyle name="Normal 15 3 2 2 2 2 2 2" xfId="34049" xr:uid="{00000000-0005-0000-0000-000002280000}"/>
    <cellStyle name="Normal 15 3 2 2 2 2 3" xfId="24959" xr:uid="{00000000-0005-0000-0000-000003280000}"/>
    <cellStyle name="Normal 15 3 2 2 2 3" xfId="11331" xr:uid="{00000000-0005-0000-0000-000004280000}"/>
    <cellStyle name="Normal 15 3 2 2 2 3 2" xfId="29513" xr:uid="{00000000-0005-0000-0000-000005280000}"/>
    <cellStyle name="Normal 15 3 2 2 2 4" xfId="20423" xr:uid="{00000000-0005-0000-0000-000006280000}"/>
    <cellStyle name="Normal 15 3 2 2 3" xfId="3700" xr:uid="{00000000-0005-0000-0000-000007280000}"/>
    <cellStyle name="Normal 15 3 2 2 3 2" xfId="8256" xr:uid="{00000000-0005-0000-0000-000008280000}"/>
    <cellStyle name="Normal 15 3 2 2 3 2 2" xfId="17352" xr:uid="{00000000-0005-0000-0000-000009280000}"/>
    <cellStyle name="Normal 15 3 2 2 3 2 2 2" xfId="35534" xr:uid="{00000000-0005-0000-0000-00000A280000}"/>
    <cellStyle name="Normal 15 3 2 2 3 2 3" xfId="26444" xr:uid="{00000000-0005-0000-0000-00000B280000}"/>
    <cellStyle name="Normal 15 3 2 2 3 3" xfId="12812" xr:uid="{00000000-0005-0000-0000-00000C280000}"/>
    <cellStyle name="Normal 15 3 2 2 3 3 2" xfId="30994" xr:uid="{00000000-0005-0000-0000-00000D280000}"/>
    <cellStyle name="Normal 15 3 2 2 3 4" xfId="21904" xr:uid="{00000000-0005-0000-0000-00000E280000}"/>
    <cellStyle name="Normal 15 3 2 2 4" xfId="5339" xr:uid="{00000000-0005-0000-0000-00000F280000}"/>
    <cellStyle name="Normal 15 3 2 2 4 2" xfId="14439" xr:uid="{00000000-0005-0000-0000-000010280000}"/>
    <cellStyle name="Normal 15 3 2 2 4 2 2" xfId="32621" xr:uid="{00000000-0005-0000-0000-000011280000}"/>
    <cellStyle name="Normal 15 3 2 2 4 3" xfId="23531" xr:uid="{00000000-0005-0000-0000-000012280000}"/>
    <cellStyle name="Normal 15 3 2 2 5" xfId="9905" xr:uid="{00000000-0005-0000-0000-000013280000}"/>
    <cellStyle name="Normal 15 3 2 2 5 2" xfId="28087" xr:uid="{00000000-0005-0000-0000-000014280000}"/>
    <cellStyle name="Normal 15 3 2 2 6" xfId="18996" xr:uid="{00000000-0005-0000-0000-000015280000}"/>
    <cellStyle name="Normal 15 3 2 3" xfId="2182" xr:uid="{00000000-0005-0000-0000-000016280000}"/>
    <cellStyle name="Normal 15 3 2 3 2" xfId="6768" xr:uid="{00000000-0005-0000-0000-000017280000}"/>
    <cellStyle name="Normal 15 3 2 3 2 2" xfId="15868" xr:uid="{00000000-0005-0000-0000-000018280000}"/>
    <cellStyle name="Normal 15 3 2 3 2 2 2" xfId="34050" xr:uid="{00000000-0005-0000-0000-000019280000}"/>
    <cellStyle name="Normal 15 3 2 3 2 3" xfId="24960" xr:uid="{00000000-0005-0000-0000-00001A280000}"/>
    <cellStyle name="Normal 15 3 2 3 3" xfId="11332" xr:uid="{00000000-0005-0000-0000-00001B280000}"/>
    <cellStyle name="Normal 15 3 2 3 3 2" xfId="29514" xr:uid="{00000000-0005-0000-0000-00001C280000}"/>
    <cellStyle name="Normal 15 3 2 3 4" xfId="20424" xr:uid="{00000000-0005-0000-0000-00001D280000}"/>
    <cellStyle name="Normal 15 3 2 4" xfId="3699" xr:uid="{00000000-0005-0000-0000-00001E280000}"/>
    <cellStyle name="Normal 15 3 2 4 2" xfId="8255" xr:uid="{00000000-0005-0000-0000-00001F280000}"/>
    <cellStyle name="Normal 15 3 2 4 2 2" xfId="17351" xr:uid="{00000000-0005-0000-0000-000020280000}"/>
    <cellStyle name="Normal 15 3 2 4 2 2 2" xfId="35533" xr:uid="{00000000-0005-0000-0000-000021280000}"/>
    <cellStyle name="Normal 15 3 2 4 2 3" xfId="26443" xr:uid="{00000000-0005-0000-0000-000022280000}"/>
    <cellStyle name="Normal 15 3 2 4 3" xfId="12811" xr:uid="{00000000-0005-0000-0000-000023280000}"/>
    <cellStyle name="Normal 15 3 2 4 3 2" xfId="30993" xr:uid="{00000000-0005-0000-0000-000024280000}"/>
    <cellStyle name="Normal 15 3 2 4 4" xfId="21903" xr:uid="{00000000-0005-0000-0000-000025280000}"/>
    <cellStyle name="Normal 15 3 2 5" xfId="5338" xr:uid="{00000000-0005-0000-0000-000026280000}"/>
    <cellStyle name="Normal 15 3 2 5 2" xfId="14438" xr:uid="{00000000-0005-0000-0000-000027280000}"/>
    <cellStyle name="Normal 15 3 2 5 2 2" xfId="32620" xr:uid="{00000000-0005-0000-0000-000028280000}"/>
    <cellStyle name="Normal 15 3 2 5 3" xfId="23530" xr:uid="{00000000-0005-0000-0000-000029280000}"/>
    <cellStyle name="Normal 15 3 2 6" xfId="9904" xr:uid="{00000000-0005-0000-0000-00002A280000}"/>
    <cellStyle name="Normal 15 3 2 6 2" xfId="28086" xr:uid="{00000000-0005-0000-0000-00002B280000}"/>
    <cellStyle name="Normal 15 3 2 7" xfId="18995" xr:uid="{00000000-0005-0000-0000-00002C280000}"/>
    <cellStyle name="Normal 15 3 3" xfId="691" xr:uid="{00000000-0005-0000-0000-00002D280000}"/>
    <cellStyle name="Normal 15 3 3 2" xfId="2183" xr:uid="{00000000-0005-0000-0000-00002E280000}"/>
    <cellStyle name="Normal 15 3 3 2 2" xfId="6769" xr:uid="{00000000-0005-0000-0000-00002F280000}"/>
    <cellStyle name="Normal 15 3 3 2 2 2" xfId="15869" xr:uid="{00000000-0005-0000-0000-000030280000}"/>
    <cellStyle name="Normal 15 3 3 2 2 2 2" xfId="34051" xr:uid="{00000000-0005-0000-0000-000031280000}"/>
    <cellStyle name="Normal 15 3 3 2 2 3" xfId="24961" xr:uid="{00000000-0005-0000-0000-000032280000}"/>
    <cellStyle name="Normal 15 3 3 2 3" xfId="11333" xr:uid="{00000000-0005-0000-0000-000033280000}"/>
    <cellStyle name="Normal 15 3 3 2 3 2" xfId="29515" xr:uid="{00000000-0005-0000-0000-000034280000}"/>
    <cellStyle name="Normal 15 3 3 2 4" xfId="20425" xr:uid="{00000000-0005-0000-0000-000035280000}"/>
    <cellStyle name="Normal 15 3 3 3" xfId="3701" xr:uid="{00000000-0005-0000-0000-000036280000}"/>
    <cellStyle name="Normal 15 3 3 3 2" xfId="8257" xr:uid="{00000000-0005-0000-0000-000037280000}"/>
    <cellStyle name="Normal 15 3 3 3 2 2" xfId="17353" xr:uid="{00000000-0005-0000-0000-000038280000}"/>
    <cellStyle name="Normal 15 3 3 3 2 2 2" xfId="35535" xr:uid="{00000000-0005-0000-0000-000039280000}"/>
    <cellStyle name="Normal 15 3 3 3 2 3" xfId="26445" xr:uid="{00000000-0005-0000-0000-00003A280000}"/>
    <cellStyle name="Normal 15 3 3 3 3" xfId="12813" xr:uid="{00000000-0005-0000-0000-00003B280000}"/>
    <cellStyle name="Normal 15 3 3 3 3 2" xfId="30995" xr:uid="{00000000-0005-0000-0000-00003C280000}"/>
    <cellStyle name="Normal 15 3 3 3 4" xfId="21905" xr:uid="{00000000-0005-0000-0000-00003D280000}"/>
    <cellStyle name="Normal 15 3 3 4" xfId="5340" xr:uid="{00000000-0005-0000-0000-00003E280000}"/>
    <cellStyle name="Normal 15 3 3 4 2" xfId="14440" xr:uid="{00000000-0005-0000-0000-00003F280000}"/>
    <cellStyle name="Normal 15 3 3 4 2 2" xfId="32622" xr:uid="{00000000-0005-0000-0000-000040280000}"/>
    <cellStyle name="Normal 15 3 3 4 3" xfId="23532" xr:uid="{00000000-0005-0000-0000-000041280000}"/>
    <cellStyle name="Normal 15 3 3 5" xfId="9906" xr:uid="{00000000-0005-0000-0000-000042280000}"/>
    <cellStyle name="Normal 15 3 3 5 2" xfId="28088" xr:uid="{00000000-0005-0000-0000-000043280000}"/>
    <cellStyle name="Normal 15 3 3 6" xfId="18997" xr:uid="{00000000-0005-0000-0000-000044280000}"/>
    <cellStyle name="Normal 15 3 4" xfId="692" xr:uid="{00000000-0005-0000-0000-000045280000}"/>
    <cellStyle name="Normal 15 3 4 2" xfId="3702" xr:uid="{00000000-0005-0000-0000-000046280000}"/>
    <cellStyle name="Normal 15 3 4 2 2" xfId="8258" xr:uid="{00000000-0005-0000-0000-000047280000}"/>
    <cellStyle name="Normal 15 3 4 2 2 2" xfId="17354" xr:uid="{00000000-0005-0000-0000-000048280000}"/>
    <cellStyle name="Normal 15 3 4 2 2 2 2" xfId="35536" xr:uid="{00000000-0005-0000-0000-000049280000}"/>
    <cellStyle name="Normal 15 3 4 2 2 3" xfId="26446" xr:uid="{00000000-0005-0000-0000-00004A280000}"/>
    <cellStyle name="Normal 15 3 4 2 3" xfId="12814" xr:uid="{00000000-0005-0000-0000-00004B280000}"/>
    <cellStyle name="Normal 15 3 4 2 3 2" xfId="30996" xr:uid="{00000000-0005-0000-0000-00004C280000}"/>
    <cellStyle name="Normal 15 3 4 2 4" xfId="21906" xr:uid="{00000000-0005-0000-0000-00004D280000}"/>
    <cellStyle name="Normal 15 3 4 3" xfId="5341" xr:uid="{00000000-0005-0000-0000-00004E280000}"/>
    <cellStyle name="Normal 15 3 4 3 2" xfId="14441" xr:uid="{00000000-0005-0000-0000-00004F280000}"/>
    <cellStyle name="Normal 15 3 4 3 2 2" xfId="32623" xr:uid="{00000000-0005-0000-0000-000050280000}"/>
    <cellStyle name="Normal 15 3 4 3 3" xfId="23533" xr:uid="{00000000-0005-0000-0000-000051280000}"/>
    <cellStyle name="Normal 15 3 4 4" xfId="9907" xr:uid="{00000000-0005-0000-0000-000052280000}"/>
    <cellStyle name="Normal 15 3 4 4 2" xfId="28089" xr:uid="{00000000-0005-0000-0000-000053280000}"/>
    <cellStyle name="Normal 15 3 4 5" xfId="18998" xr:uid="{00000000-0005-0000-0000-000054280000}"/>
    <cellStyle name="Normal 15 3 5" xfId="2184" xr:uid="{00000000-0005-0000-0000-000055280000}"/>
    <cellStyle name="Normal 15 3 5 2" xfId="6770" xr:uid="{00000000-0005-0000-0000-000056280000}"/>
    <cellStyle name="Normal 15 3 5 2 2" xfId="15870" xr:uid="{00000000-0005-0000-0000-000057280000}"/>
    <cellStyle name="Normal 15 3 5 2 2 2" xfId="34052" xr:uid="{00000000-0005-0000-0000-000058280000}"/>
    <cellStyle name="Normal 15 3 5 2 3" xfId="24962" xr:uid="{00000000-0005-0000-0000-000059280000}"/>
    <cellStyle name="Normal 15 3 5 3" xfId="11334" xr:uid="{00000000-0005-0000-0000-00005A280000}"/>
    <cellStyle name="Normal 15 3 5 3 2" xfId="29516" xr:uid="{00000000-0005-0000-0000-00005B280000}"/>
    <cellStyle name="Normal 15 3 5 4" xfId="20426" xr:uid="{00000000-0005-0000-0000-00005C280000}"/>
    <cellStyle name="Normal 15 3 6" xfId="3698" xr:uid="{00000000-0005-0000-0000-00005D280000}"/>
    <cellStyle name="Normal 15 3 6 2" xfId="8254" xr:uid="{00000000-0005-0000-0000-00005E280000}"/>
    <cellStyle name="Normal 15 3 6 2 2" xfId="17350" xr:uid="{00000000-0005-0000-0000-00005F280000}"/>
    <cellStyle name="Normal 15 3 6 2 2 2" xfId="35532" xr:uid="{00000000-0005-0000-0000-000060280000}"/>
    <cellStyle name="Normal 15 3 6 2 3" xfId="26442" xr:uid="{00000000-0005-0000-0000-000061280000}"/>
    <cellStyle name="Normal 15 3 6 3" xfId="12810" xr:uid="{00000000-0005-0000-0000-000062280000}"/>
    <cellStyle name="Normal 15 3 6 3 2" xfId="30992" xr:uid="{00000000-0005-0000-0000-000063280000}"/>
    <cellStyle name="Normal 15 3 6 4" xfId="21902" xr:uid="{00000000-0005-0000-0000-000064280000}"/>
    <cellStyle name="Normal 15 3 7" xfId="5337" xr:uid="{00000000-0005-0000-0000-000065280000}"/>
    <cellStyle name="Normal 15 3 7 2" xfId="14437" xr:uid="{00000000-0005-0000-0000-000066280000}"/>
    <cellStyle name="Normal 15 3 7 2 2" xfId="32619" xr:uid="{00000000-0005-0000-0000-000067280000}"/>
    <cellStyle name="Normal 15 3 7 3" xfId="23529" xr:uid="{00000000-0005-0000-0000-000068280000}"/>
    <cellStyle name="Normal 15 3 8" xfId="9903" xr:uid="{00000000-0005-0000-0000-000069280000}"/>
    <cellStyle name="Normal 15 3 8 2" xfId="28085" xr:uid="{00000000-0005-0000-0000-00006A280000}"/>
    <cellStyle name="Normal 15 3 9" xfId="18994" xr:uid="{00000000-0005-0000-0000-00006B280000}"/>
    <cellStyle name="Normal 15 4" xfId="693" xr:uid="{00000000-0005-0000-0000-00006C280000}"/>
    <cellStyle name="Normal 15 4 2" xfId="694" xr:uid="{00000000-0005-0000-0000-00006D280000}"/>
    <cellStyle name="Normal 15 4 2 2" xfId="2185" xr:uid="{00000000-0005-0000-0000-00006E280000}"/>
    <cellStyle name="Normal 15 4 2 2 2" xfId="6771" xr:uid="{00000000-0005-0000-0000-00006F280000}"/>
    <cellStyle name="Normal 15 4 2 2 2 2" xfId="15871" xr:uid="{00000000-0005-0000-0000-000070280000}"/>
    <cellStyle name="Normal 15 4 2 2 2 2 2" xfId="34053" xr:uid="{00000000-0005-0000-0000-000071280000}"/>
    <cellStyle name="Normal 15 4 2 2 2 3" xfId="24963" xr:uid="{00000000-0005-0000-0000-000072280000}"/>
    <cellStyle name="Normal 15 4 2 2 3" xfId="11335" xr:uid="{00000000-0005-0000-0000-000073280000}"/>
    <cellStyle name="Normal 15 4 2 2 3 2" xfId="29517" xr:uid="{00000000-0005-0000-0000-000074280000}"/>
    <cellStyle name="Normal 15 4 2 2 4" xfId="20427" xr:uid="{00000000-0005-0000-0000-000075280000}"/>
    <cellStyle name="Normal 15 4 2 3" xfId="3704" xr:uid="{00000000-0005-0000-0000-000076280000}"/>
    <cellStyle name="Normal 15 4 2 3 2" xfId="8260" xr:uid="{00000000-0005-0000-0000-000077280000}"/>
    <cellStyle name="Normal 15 4 2 3 2 2" xfId="17356" xr:uid="{00000000-0005-0000-0000-000078280000}"/>
    <cellStyle name="Normal 15 4 2 3 2 2 2" xfId="35538" xr:uid="{00000000-0005-0000-0000-000079280000}"/>
    <cellStyle name="Normal 15 4 2 3 2 3" xfId="26448" xr:uid="{00000000-0005-0000-0000-00007A280000}"/>
    <cellStyle name="Normal 15 4 2 3 3" xfId="12816" xr:uid="{00000000-0005-0000-0000-00007B280000}"/>
    <cellStyle name="Normal 15 4 2 3 3 2" xfId="30998" xr:uid="{00000000-0005-0000-0000-00007C280000}"/>
    <cellStyle name="Normal 15 4 2 3 4" xfId="21908" xr:uid="{00000000-0005-0000-0000-00007D280000}"/>
    <cellStyle name="Normal 15 4 2 4" xfId="5343" xr:uid="{00000000-0005-0000-0000-00007E280000}"/>
    <cellStyle name="Normal 15 4 2 4 2" xfId="14443" xr:uid="{00000000-0005-0000-0000-00007F280000}"/>
    <cellStyle name="Normal 15 4 2 4 2 2" xfId="32625" xr:uid="{00000000-0005-0000-0000-000080280000}"/>
    <cellStyle name="Normal 15 4 2 4 3" xfId="23535" xr:uid="{00000000-0005-0000-0000-000081280000}"/>
    <cellStyle name="Normal 15 4 2 5" xfId="9909" xr:uid="{00000000-0005-0000-0000-000082280000}"/>
    <cellStyle name="Normal 15 4 2 5 2" xfId="28091" xr:uid="{00000000-0005-0000-0000-000083280000}"/>
    <cellStyle name="Normal 15 4 2 6" xfId="19000" xr:uid="{00000000-0005-0000-0000-000084280000}"/>
    <cellStyle name="Normal 15 4 3" xfId="2186" xr:uid="{00000000-0005-0000-0000-000085280000}"/>
    <cellStyle name="Normal 15 4 3 2" xfId="6772" xr:uid="{00000000-0005-0000-0000-000086280000}"/>
    <cellStyle name="Normal 15 4 3 2 2" xfId="15872" xr:uid="{00000000-0005-0000-0000-000087280000}"/>
    <cellStyle name="Normal 15 4 3 2 2 2" xfId="34054" xr:uid="{00000000-0005-0000-0000-000088280000}"/>
    <cellStyle name="Normal 15 4 3 2 3" xfId="24964" xr:uid="{00000000-0005-0000-0000-000089280000}"/>
    <cellStyle name="Normal 15 4 3 3" xfId="11336" xr:uid="{00000000-0005-0000-0000-00008A280000}"/>
    <cellStyle name="Normal 15 4 3 3 2" xfId="29518" xr:uid="{00000000-0005-0000-0000-00008B280000}"/>
    <cellStyle name="Normal 15 4 3 4" xfId="20428" xr:uid="{00000000-0005-0000-0000-00008C280000}"/>
    <cellStyle name="Normal 15 4 4" xfId="3703" xr:uid="{00000000-0005-0000-0000-00008D280000}"/>
    <cellStyle name="Normal 15 4 4 2" xfId="8259" xr:uid="{00000000-0005-0000-0000-00008E280000}"/>
    <cellStyle name="Normal 15 4 4 2 2" xfId="17355" xr:uid="{00000000-0005-0000-0000-00008F280000}"/>
    <cellStyle name="Normal 15 4 4 2 2 2" xfId="35537" xr:uid="{00000000-0005-0000-0000-000090280000}"/>
    <cellStyle name="Normal 15 4 4 2 3" xfId="26447" xr:uid="{00000000-0005-0000-0000-000091280000}"/>
    <cellStyle name="Normal 15 4 4 3" xfId="12815" xr:uid="{00000000-0005-0000-0000-000092280000}"/>
    <cellStyle name="Normal 15 4 4 3 2" xfId="30997" xr:uid="{00000000-0005-0000-0000-000093280000}"/>
    <cellStyle name="Normal 15 4 4 4" xfId="21907" xr:uid="{00000000-0005-0000-0000-000094280000}"/>
    <cellStyle name="Normal 15 4 5" xfId="5342" xr:uid="{00000000-0005-0000-0000-000095280000}"/>
    <cellStyle name="Normal 15 4 5 2" xfId="14442" xr:uid="{00000000-0005-0000-0000-000096280000}"/>
    <cellStyle name="Normal 15 4 5 2 2" xfId="32624" xr:uid="{00000000-0005-0000-0000-000097280000}"/>
    <cellStyle name="Normal 15 4 5 3" xfId="23534" xr:uid="{00000000-0005-0000-0000-000098280000}"/>
    <cellStyle name="Normal 15 4 6" xfId="9908" xr:uid="{00000000-0005-0000-0000-000099280000}"/>
    <cellStyle name="Normal 15 4 6 2" xfId="28090" xr:uid="{00000000-0005-0000-0000-00009A280000}"/>
    <cellStyle name="Normal 15 4 7" xfId="18999" xr:uid="{00000000-0005-0000-0000-00009B280000}"/>
    <cellStyle name="Normal 15 5" xfId="695" xr:uid="{00000000-0005-0000-0000-00009C280000}"/>
    <cellStyle name="Normal 15 5 2" xfId="2187" xr:uid="{00000000-0005-0000-0000-00009D280000}"/>
    <cellStyle name="Normal 15 5 2 2" xfId="6773" xr:uid="{00000000-0005-0000-0000-00009E280000}"/>
    <cellStyle name="Normal 15 5 2 2 2" xfId="15873" xr:uid="{00000000-0005-0000-0000-00009F280000}"/>
    <cellStyle name="Normal 15 5 2 2 2 2" xfId="34055" xr:uid="{00000000-0005-0000-0000-0000A0280000}"/>
    <cellStyle name="Normal 15 5 2 2 3" xfId="24965" xr:uid="{00000000-0005-0000-0000-0000A1280000}"/>
    <cellStyle name="Normal 15 5 2 3" xfId="11337" xr:uid="{00000000-0005-0000-0000-0000A2280000}"/>
    <cellStyle name="Normal 15 5 2 3 2" xfId="29519" xr:uid="{00000000-0005-0000-0000-0000A3280000}"/>
    <cellStyle name="Normal 15 5 2 4" xfId="20429" xr:uid="{00000000-0005-0000-0000-0000A4280000}"/>
    <cellStyle name="Normal 15 5 3" xfId="3705" xr:uid="{00000000-0005-0000-0000-0000A5280000}"/>
    <cellStyle name="Normal 15 5 3 2" xfId="8261" xr:uid="{00000000-0005-0000-0000-0000A6280000}"/>
    <cellStyle name="Normal 15 5 3 2 2" xfId="17357" xr:uid="{00000000-0005-0000-0000-0000A7280000}"/>
    <cellStyle name="Normal 15 5 3 2 2 2" xfId="35539" xr:uid="{00000000-0005-0000-0000-0000A8280000}"/>
    <cellStyle name="Normal 15 5 3 2 3" xfId="26449" xr:uid="{00000000-0005-0000-0000-0000A9280000}"/>
    <cellStyle name="Normal 15 5 3 3" xfId="12817" xr:uid="{00000000-0005-0000-0000-0000AA280000}"/>
    <cellStyle name="Normal 15 5 3 3 2" xfId="30999" xr:uid="{00000000-0005-0000-0000-0000AB280000}"/>
    <cellStyle name="Normal 15 5 3 4" xfId="21909" xr:uid="{00000000-0005-0000-0000-0000AC280000}"/>
    <cellStyle name="Normal 15 5 4" xfId="5344" xr:uid="{00000000-0005-0000-0000-0000AD280000}"/>
    <cellStyle name="Normal 15 5 4 2" xfId="14444" xr:uid="{00000000-0005-0000-0000-0000AE280000}"/>
    <cellStyle name="Normal 15 5 4 2 2" xfId="32626" xr:uid="{00000000-0005-0000-0000-0000AF280000}"/>
    <cellStyle name="Normal 15 5 4 3" xfId="23536" xr:uid="{00000000-0005-0000-0000-0000B0280000}"/>
    <cellStyle name="Normal 15 5 5" xfId="9910" xr:uid="{00000000-0005-0000-0000-0000B1280000}"/>
    <cellStyle name="Normal 15 5 5 2" xfId="28092" xr:uid="{00000000-0005-0000-0000-0000B2280000}"/>
    <cellStyle name="Normal 15 5 6" xfId="19001" xr:uid="{00000000-0005-0000-0000-0000B3280000}"/>
    <cellStyle name="Normal 15 6" xfId="696" xr:uid="{00000000-0005-0000-0000-0000B4280000}"/>
    <cellStyle name="Normal 15 6 2" xfId="3706" xr:uid="{00000000-0005-0000-0000-0000B5280000}"/>
    <cellStyle name="Normal 15 6 2 2" xfId="8262" xr:uid="{00000000-0005-0000-0000-0000B6280000}"/>
    <cellStyle name="Normal 15 6 2 2 2" xfId="17358" xr:uid="{00000000-0005-0000-0000-0000B7280000}"/>
    <cellStyle name="Normal 15 6 2 2 2 2" xfId="35540" xr:uid="{00000000-0005-0000-0000-0000B8280000}"/>
    <cellStyle name="Normal 15 6 2 2 3" xfId="26450" xr:uid="{00000000-0005-0000-0000-0000B9280000}"/>
    <cellStyle name="Normal 15 6 2 3" xfId="12818" xr:uid="{00000000-0005-0000-0000-0000BA280000}"/>
    <cellStyle name="Normal 15 6 2 3 2" xfId="31000" xr:uid="{00000000-0005-0000-0000-0000BB280000}"/>
    <cellStyle name="Normal 15 6 2 4" xfId="21910" xr:uid="{00000000-0005-0000-0000-0000BC280000}"/>
    <cellStyle name="Normal 15 6 3" xfId="5345" xr:uid="{00000000-0005-0000-0000-0000BD280000}"/>
    <cellStyle name="Normal 15 6 3 2" xfId="14445" xr:uid="{00000000-0005-0000-0000-0000BE280000}"/>
    <cellStyle name="Normal 15 6 3 2 2" xfId="32627" xr:uid="{00000000-0005-0000-0000-0000BF280000}"/>
    <cellStyle name="Normal 15 6 3 3" xfId="23537" xr:uid="{00000000-0005-0000-0000-0000C0280000}"/>
    <cellStyle name="Normal 15 6 4" xfId="9911" xr:uid="{00000000-0005-0000-0000-0000C1280000}"/>
    <cellStyle name="Normal 15 6 4 2" xfId="28093" xr:uid="{00000000-0005-0000-0000-0000C2280000}"/>
    <cellStyle name="Normal 15 6 5" xfId="19002" xr:uid="{00000000-0005-0000-0000-0000C3280000}"/>
    <cellStyle name="Normal 15 7" xfId="2188" xr:uid="{00000000-0005-0000-0000-0000C4280000}"/>
    <cellStyle name="Normal 15 7 2" xfId="6774" xr:uid="{00000000-0005-0000-0000-0000C5280000}"/>
    <cellStyle name="Normal 15 7 2 2" xfId="15874" xr:uid="{00000000-0005-0000-0000-0000C6280000}"/>
    <cellStyle name="Normal 15 7 2 2 2" xfId="34056" xr:uid="{00000000-0005-0000-0000-0000C7280000}"/>
    <cellStyle name="Normal 15 7 2 3" xfId="24966" xr:uid="{00000000-0005-0000-0000-0000C8280000}"/>
    <cellStyle name="Normal 15 7 3" xfId="11338" xr:uid="{00000000-0005-0000-0000-0000C9280000}"/>
    <cellStyle name="Normal 15 7 3 2" xfId="29520" xr:uid="{00000000-0005-0000-0000-0000CA280000}"/>
    <cellStyle name="Normal 15 7 4" xfId="20430" xr:uid="{00000000-0005-0000-0000-0000CB280000}"/>
    <cellStyle name="Normal 15 8" xfId="3213" xr:uid="{00000000-0005-0000-0000-0000CC280000}"/>
    <cellStyle name="Normal 15 8 2" xfId="7773" xr:uid="{00000000-0005-0000-0000-0000CD280000}"/>
    <cellStyle name="Normal 15 8 2 2" xfId="16869" xr:uid="{00000000-0005-0000-0000-0000CE280000}"/>
    <cellStyle name="Normal 15 8 2 2 2" xfId="35051" xr:uid="{00000000-0005-0000-0000-0000CF280000}"/>
    <cellStyle name="Normal 15 8 2 3" xfId="25961" xr:uid="{00000000-0005-0000-0000-0000D0280000}"/>
    <cellStyle name="Normal 15 8 3" xfId="12329" xr:uid="{00000000-0005-0000-0000-0000D1280000}"/>
    <cellStyle name="Normal 15 8 3 2" xfId="30511" xr:uid="{00000000-0005-0000-0000-0000D2280000}"/>
    <cellStyle name="Normal 15 8 4" xfId="21421" xr:uid="{00000000-0005-0000-0000-0000D3280000}"/>
    <cellStyle name="Normal 15 9" xfId="4861" xr:uid="{00000000-0005-0000-0000-0000D4280000}"/>
    <cellStyle name="Normal 15 9 2" xfId="13961" xr:uid="{00000000-0005-0000-0000-0000D5280000}"/>
    <cellStyle name="Normal 15 9 2 2" xfId="32143" xr:uid="{00000000-0005-0000-0000-0000D6280000}"/>
    <cellStyle name="Normal 15 9 3" xfId="23053" xr:uid="{00000000-0005-0000-0000-0000D7280000}"/>
    <cellStyle name="Normal 16" xfId="124" xr:uid="{00000000-0005-0000-0000-0000D8280000}"/>
    <cellStyle name="Normal 16 10" xfId="9429" xr:uid="{00000000-0005-0000-0000-0000D9280000}"/>
    <cellStyle name="Normal 16 10 2" xfId="27611" xr:uid="{00000000-0005-0000-0000-0000DA280000}"/>
    <cellStyle name="Normal 16 11" xfId="18520" xr:uid="{00000000-0005-0000-0000-0000DB280000}"/>
    <cellStyle name="Normal 16 2" xfId="697" xr:uid="{00000000-0005-0000-0000-0000DC280000}"/>
    <cellStyle name="Normal 16 2 10" xfId="19003" xr:uid="{00000000-0005-0000-0000-0000DD280000}"/>
    <cellStyle name="Normal 16 2 2" xfId="698" xr:uid="{00000000-0005-0000-0000-0000DE280000}"/>
    <cellStyle name="Normal 16 2 2 2" xfId="699" xr:uid="{00000000-0005-0000-0000-0000DF280000}"/>
    <cellStyle name="Normal 16 2 2 2 2" xfId="700" xr:uid="{00000000-0005-0000-0000-0000E0280000}"/>
    <cellStyle name="Normal 16 2 2 2 2 2" xfId="2189" xr:uid="{00000000-0005-0000-0000-0000E1280000}"/>
    <cellStyle name="Normal 16 2 2 2 2 2 2" xfId="6775" xr:uid="{00000000-0005-0000-0000-0000E2280000}"/>
    <cellStyle name="Normal 16 2 2 2 2 2 2 2" xfId="15875" xr:uid="{00000000-0005-0000-0000-0000E3280000}"/>
    <cellStyle name="Normal 16 2 2 2 2 2 2 2 2" xfId="34057" xr:uid="{00000000-0005-0000-0000-0000E4280000}"/>
    <cellStyle name="Normal 16 2 2 2 2 2 2 3" xfId="24967" xr:uid="{00000000-0005-0000-0000-0000E5280000}"/>
    <cellStyle name="Normal 16 2 2 2 2 2 3" xfId="11339" xr:uid="{00000000-0005-0000-0000-0000E6280000}"/>
    <cellStyle name="Normal 16 2 2 2 2 2 3 2" xfId="29521" xr:uid="{00000000-0005-0000-0000-0000E7280000}"/>
    <cellStyle name="Normal 16 2 2 2 2 2 4" xfId="20431" xr:uid="{00000000-0005-0000-0000-0000E8280000}"/>
    <cellStyle name="Normal 16 2 2 2 2 3" xfId="3710" xr:uid="{00000000-0005-0000-0000-0000E9280000}"/>
    <cellStyle name="Normal 16 2 2 2 2 3 2" xfId="8266" xr:uid="{00000000-0005-0000-0000-0000EA280000}"/>
    <cellStyle name="Normal 16 2 2 2 2 3 2 2" xfId="17362" xr:uid="{00000000-0005-0000-0000-0000EB280000}"/>
    <cellStyle name="Normal 16 2 2 2 2 3 2 2 2" xfId="35544" xr:uid="{00000000-0005-0000-0000-0000EC280000}"/>
    <cellStyle name="Normal 16 2 2 2 2 3 2 3" xfId="26454" xr:uid="{00000000-0005-0000-0000-0000ED280000}"/>
    <cellStyle name="Normal 16 2 2 2 2 3 3" xfId="12822" xr:uid="{00000000-0005-0000-0000-0000EE280000}"/>
    <cellStyle name="Normal 16 2 2 2 2 3 3 2" xfId="31004" xr:uid="{00000000-0005-0000-0000-0000EF280000}"/>
    <cellStyle name="Normal 16 2 2 2 2 3 4" xfId="21914" xr:uid="{00000000-0005-0000-0000-0000F0280000}"/>
    <cellStyle name="Normal 16 2 2 2 2 4" xfId="5349" xr:uid="{00000000-0005-0000-0000-0000F1280000}"/>
    <cellStyle name="Normal 16 2 2 2 2 4 2" xfId="14449" xr:uid="{00000000-0005-0000-0000-0000F2280000}"/>
    <cellStyle name="Normal 16 2 2 2 2 4 2 2" xfId="32631" xr:uid="{00000000-0005-0000-0000-0000F3280000}"/>
    <cellStyle name="Normal 16 2 2 2 2 4 3" xfId="23541" xr:uid="{00000000-0005-0000-0000-0000F4280000}"/>
    <cellStyle name="Normal 16 2 2 2 2 5" xfId="9915" xr:uid="{00000000-0005-0000-0000-0000F5280000}"/>
    <cellStyle name="Normal 16 2 2 2 2 5 2" xfId="28097" xr:uid="{00000000-0005-0000-0000-0000F6280000}"/>
    <cellStyle name="Normal 16 2 2 2 2 6" xfId="19006" xr:uid="{00000000-0005-0000-0000-0000F7280000}"/>
    <cellStyle name="Normal 16 2 2 2 3" xfId="2190" xr:uid="{00000000-0005-0000-0000-0000F8280000}"/>
    <cellStyle name="Normal 16 2 2 2 3 2" xfId="6776" xr:uid="{00000000-0005-0000-0000-0000F9280000}"/>
    <cellStyle name="Normal 16 2 2 2 3 2 2" xfId="15876" xr:uid="{00000000-0005-0000-0000-0000FA280000}"/>
    <cellStyle name="Normal 16 2 2 2 3 2 2 2" xfId="34058" xr:uid="{00000000-0005-0000-0000-0000FB280000}"/>
    <cellStyle name="Normal 16 2 2 2 3 2 3" xfId="24968" xr:uid="{00000000-0005-0000-0000-0000FC280000}"/>
    <cellStyle name="Normal 16 2 2 2 3 3" xfId="11340" xr:uid="{00000000-0005-0000-0000-0000FD280000}"/>
    <cellStyle name="Normal 16 2 2 2 3 3 2" xfId="29522" xr:uid="{00000000-0005-0000-0000-0000FE280000}"/>
    <cellStyle name="Normal 16 2 2 2 3 4" xfId="20432" xr:uid="{00000000-0005-0000-0000-0000FF280000}"/>
    <cellStyle name="Normal 16 2 2 2 4" xfId="3709" xr:uid="{00000000-0005-0000-0000-000000290000}"/>
    <cellStyle name="Normal 16 2 2 2 4 2" xfId="8265" xr:uid="{00000000-0005-0000-0000-000001290000}"/>
    <cellStyle name="Normal 16 2 2 2 4 2 2" xfId="17361" xr:uid="{00000000-0005-0000-0000-000002290000}"/>
    <cellStyle name="Normal 16 2 2 2 4 2 2 2" xfId="35543" xr:uid="{00000000-0005-0000-0000-000003290000}"/>
    <cellStyle name="Normal 16 2 2 2 4 2 3" xfId="26453" xr:uid="{00000000-0005-0000-0000-000004290000}"/>
    <cellStyle name="Normal 16 2 2 2 4 3" xfId="12821" xr:uid="{00000000-0005-0000-0000-000005290000}"/>
    <cellStyle name="Normal 16 2 2 2 4 3 2" xfId="31003" xr:uid="{00000000-0005-0000-0000-000006290000}"/>
    <cellStyle name="Normal 16 2 2 2 4 4" xfId="21913" xr:uid="{00000000-0005-0000-0000-000007290000}"/>
    <cellStyle name="Normal 16 2 2 2 5" xfId="5348" xr:uid="{00000000-0005-0000-0000-000008290000}"/>
    <cellStyle name="Normal 16 2 2 2 5 2" xfId="14448" xr:uid="{00000000-0005-0000-0000-000009290000}"/>
    <cellStyle name="Normal 16 2 2 2 5 2 2" xfId="32630" xr:uid="{00000000-0005-0000-0000-00000A290000}"/>
    <cellStyle name="Normal 16 2 2 2 5 3" xfId="23540" xr:uid="{00000000-0005-0000-0000-00000B290000}"/>
    <cellStyle name="Normal 16 2 2 2 6" xfId="9914" xr:uid="{00000000-0005-0000-0000-00000C290000}"/>
    <cellStyle name="Normal 16 2 2 2 6 2" xfId="28096" xr:uid="{00000000-0005-0000-0000-00000D290000}"/>
    <cellStyle name="Normal 16 2 2 2 7" xfId="19005" xr:uid="{00000000-0005-0000-0000-00000E290000}"/>
    <cellStyle name="Normal 16 2 2 3" xfId="701" xr:uid="{00000000-0005-0000-0000-00000F290000}"/>
    <cellStyle name="Normal 16 2 2 3 2" xfId="2191" xr:uid="{00000000-0005-0000-0000-000010290000}"/>
    <cellStyle name="Normal 16 2 2 3 2 2" xfId="6777" xr:uid="{00000000-0005-0000-0000-000011290000}"/>
    <cellStyle name="Normal 16 2 2 3 2 2 2" xfId="15877" xr:uid="{00000000-0005-0000-0000-000012290000}"/>
    <cellStyle name="Normal 16 2 2 3 2 2 2 2" xfId="34059" xr:uid="{00000000-0005-0000-0000-000013290000}"/>
    <cellStyle name="Normal 16 2 2 3 2 2 3" xfId="24969" xr:uid="{00000000-0005-0000-0000-000014290000}"/>
    <cellStyle name="Normal 16 2 2 3 2 3" xfId="11341" xr:uid="{00000000-0005-0000-0000-000015290000}"/>
    <cellStyle name="Normal 16 2 2 3 2 3 2" xfId="29523" xr:uid="{00000000-0005-0000-0000-000016290000}"/>
    <cellStyle name="Normal 16 2 2 3 2 4" xfId="20433" xr:uid="{00000000-0005-0000-0000-000017290000}"/>
    <cellStyle name="Normal 16 2 2 3 3" xfId="3711" xr:uid="{00000000-0005-0000-0000-000018290000}"/>
    <cellStyle name="Normal 16 2 2 3 3 2" xfId="8267" xr:uid="{00000000-0005-0000-0000-000019290000}"/>
    <cellStyle name="Normal 16 2 2 3 3 2 2" xfId="17363" xr:uid="{00000000-0005-0000-0000-00001A290000}"/>
    <cellStyle name="Normal 16 2 2 3 3 2 2 2" xfId="35545" xr:uid="{00000000-0005-0000-0000-00001B290000}"/>
    <cellStyle name="Normal 16 2 2 3 3 2 3" xfId="26455" xr:uid="{00000000-0005-0000-0000-00001C290000}"/>
    <cellStyle name="Normal 16 2 2 3 3 3" xfId="12823" xr:uid="{00000000-0005-0000-0000-00001D290000}"/>
    <cellStyle name="Normal 16 2 2 3 3 3 2" xfId="31005" xr:uid="{00000000-0005-0000-0000-00001E290000}"/>
    <cellStyle name="Normal 16 2 2 3 3 4" xfId="21915" xr:uid="{00000000-0005-0000-0000-00001F290000}"/>
    <cellStyle name="Normal 16 2 2 3 4" xfId="5350" xr:uid="{00000000-0005-0000-0000-000020290000}"/>
    <cellStyle name="Normal 16 2 2 3 4 2" xfId="14450" xr:uid="{00000000-0005-0000-0000-000021290000}"/>
    <cellStyle name="Normal 16 2 2 3 4 2 2" xfId="32632" xr:uid="{00000000-0005-0000-0000-000022290000}"/>
    <cellStyle name="Normal 16 2 2 3 4 3" xfId="23542" xr:uid="{00000000-0005-0000-0000-000023290000}"/>
    <cellStyle name="Normal 16 2 2 3 5" xfId="9916" xr:uid="{00000000-0005-0000-0000-000024290000}"/>
    <cellStyle name="Normal 16 2 2 3 5 2" xfId="28098" xr:uid="{00000000-0005-0000-0000-000025290000}"/>
    <cellStyle name="Normal 16 2 2 3 6" xfId="19007" xr:uid="{00000000-0005-0000-0000-000026290000}"/>
    <cellStyle name="Normal 16 2 2 4" xfId="702" xr:uid="{00000000-0005-0000-0000-000027290000}"/>
    <cellStyle name="Normal 16 2 2 4 2" xfId="3712" xr:uid="{00000000-0005-0000-0000-000028290000}"/>
    <cellStyle name="Normal 16 2 2 4 2 2" xfId="8268" xr:uid="{00000000-0005-0000-0000-000029290000}"/>
    <cellStyle name="Normal 16 2 2 4 2 2 2" xfId="17364" xr:uid="{00000000-0005-0000-0000-00002A290000}"/>
    <cellStyle name="Normal 16 2 2 4 2 2 2 2" xfId="35546" xr:uid="{00000000-0005-0000-0000-00002B290000}"/>
    <cellStyle name="Normal 16 2 2 4 2 2 3" xfId="26456" xr:uid="{00000000-0005-0000-0000-00002C290000}"/>
    <cellStyle name="Normal 16 2 2 4 2 3" xfId="12824" xr:uid="{00000000-0005-0000-0000-00002D290000}"/>
    <cellStyle name="Normal 16 2 2 4 2 3 2" xfId="31006" xr:uid="{00000000-0005-0000-0000-00002E290000}"/>
    <cellStyle name="Normal 16 2 2 4 2 4" xfId="21916" xr:uid="{00000000-0005-0000-0000-00002F290000}"/>
    <cellStyle name="Normal 16 2 2 4 3" xfId="5351" xr:uid="{00000000-0005-0000-0000-000030290000}"/>
    <cellStyle name="Normal 16 2 2 4 3 2" xfId="14451" xr:uid="{00000000-0005-0000-0000-000031290000}"/>
    <cellStyle name="Normal 16 2 2 4 3 2 2" xfId="32633" xr:uid="{00000000-0005-0000-0000-000032290000}"/>
    <cellStyle name="Normal 16 2 2 4 3 3" xfId="23543" xr:uid="{00000000-0005-0000-0000-000033290000}"/>
    <cellStyle name="Normal 16 2 2 4 4" xfId="9917" xr:uid="{00000000-0005-0000-0000-000034290000}"/>
    <cellStyle name="Normal 16 2 2 4 4 2" xfId="28099" xr:uid="{00000000-0005-0000-0000-000035290000}"/>
    <cellStyle name="Normal 16 2 2 4 5" xfId="19008" xr:uid="{00000000-0005-0000-0000-000036290000}"/>
    <cellStyle name="Normal 16 2 2 5" xfId="2192" xr:uid="{00000000-0005-0000-0000-000037290000}"/>
    <cellStyle name="Normal 16 2 2 5 2" xfId="6778" xr:uid="{00000000-0005-0000-0000-000038290000}"/>
    <cellStyle name="Normal 16 2 2 5 2 2" xfId="15878" xr:uid="{00000000-0005-0000-0000-000039290000}"/>
    <cellStyle name="Normal 16 2 2 5 2 2 2" xfId="34060" xr:uid="{00000000-0005-0000-0000-00003A290000}"/>
    <cellStyle name="Normal 16 2 2 5 2 3" xfId="24970" xr:uid="{00000000-0005-0000-0000-00003B290000}"/>
    <cellStyle name="Normal 16 2 2 5 3" xfId="11342" xr:uid="{00000000-0005-0000-0000-00003C290000}"/>
    <cellStyle name="Normal 16 2 2 5 3 2" xfId="29524" xr:uid="{00000000-0005-0000-0000-00003D290000}"/>
    <cellStyle name="Normal 16 2 2 5 4" xfId="20434" xr:uid="{00000000-0005-0000-0000-00003E290000}"/>
    <cellStyle name="Normal 16 2 2 6" xfId="3708" xr:uid="{00000000-0005-0000-0000-00003F290000}"/>
    <cellStyle name="Normal 16 2 2 6 2" xfId="8264" xr:uid="{00000000-0005-0000-0000-000040290000}"/>
    <cellStyle name="Normal 16 2 2 6 2 2" xfId="17360" xr:uid="{00000000-0005-0000-0000-000041290000}"/>
    <cellStyle name="Normal 16 2 2 6 2 2 2" xfId="35542" xr:uid="{00000000-0005-0000-0000-000042290000}"/>
    <cellStyle name="Normal 16 2 2 6 2 3" xfId="26452" xr:uid="{00000000-0005-0000-0000-000043290000}"/>
    <cellStyle name="Normal 16 2 2 6 3" xfId="12820" xr:uid="{00000000-0005-0000-0000-000044290000}"/>
    <cellStyle name="Normal 16 2 2 6 3 2" xfId="31002" xr:uid="{00000000-0005-0000-0000-000045290000}"/>
    <cellStyle name="Normal 16 2 2 6 4" xfId="21912" xr:uid="{00000000-0005-0000-0000-000046290000}"/>
    <cellStyle name="Normal 16 2 2 7" xfId="5347" xr:uid="{00000000-0005-0000-0000-000047290000}"/>
    <cellStyle name="Normal 16 2 2 7 2" xfId="14447" xr:uid="{00000000-0005-0000-0000-000048290000}"/>
    <cellStyle name="Normal 16 2 2 7 2 2" xfId="32629" xr:uid="{00000000-0005-0000-0000-000049290000}"/>
    <cellStyle name="Normal 16 2 2 7 3" xfId="23539" xr:uid="{00000000-0005-0000-0000-00004A290000}"/>
    <cellStyle name="Normal 16 2 2 8" xfId="9913" xr:uid="{00000000-0005-0000-0000-00004B290000}"/>
    <cellStyle name="Normal 16 2 2 8 2" xfId="28095" xr:uid="{00000000-0005-0000-0000-00004C290000}"/>
    <cellStyle name="Normal 16 2 2 9" xfId="19004" xr:uid="{00000000-0005-0000-0000-00004D290000}"/>
    <cellStyle name="Normal 16 2 3" xfId="703" xr:uid="{00000000-0005-0000-0000-00004E290000}"/>
    <cellStyle name="Normal 16 2 3 2" xfId="704" xr:uid="{00000000-0005-0000-0000-00004F290000}"/>
    <cellStyle name="Normal 16 2 3 2 2" xfId="2193" xr:uid="{00000000-0005-0000-0000-000050290000}"/>
    <cellStyle name="Normal 16 2 3 2 2 2" xfId="6779" xr:uid="{00000000-0005-0000-0000-000051290000}"/>
    <cellStyle name="Normal 16 2 3 2 2 2 2" xfId="15879" xr:uid="{00000000-0005-0000-0000-000052290000}"/>
    <cellStyle name="Normal 16 2 3 2 2 2 2 2" xfId="34061" xr:uid="{00000000-0005-0000-0000-000053290000}"/>
    <cellStyle name="Normal 16 2 3 2 2 2 3" xfId="24971" xr:uid="{00000000-0005-0000-0000-000054290000}"/>
    <cellStyle name="Normal 16 2 3 2 2 3" xfId="11343" xr:uid="{00000000-0005-0000-0000-000055290000}"/>
    <cellStyle name="Normal 16 2 3 2 2 3 2" xfId="29525" xr:uid="{00000000-0005-0000-0000-000056290000}"/>
    <cellStyle name="Normal 16 2 3 2 2 4" xfId="20435" xr:uid="{00000000-0005-0000-0000-000057290000}"/>
    <cellStyle name="Normal 16 2 3 2 3" xfId="3714" xr:uid="{00000000-0005-0000-0000-000058290000}"/>
    <cellStyle name="Normal 16 2 3 2 3 2" xfId="8270" xr:uid="{00000000-0005-0000-0000-000059290000}"/>
    <cellStyle name="Normal 16 2 3 2 3 2 2" xfId="17366" xr:uid="{00000000-0005-0000-0000-00005A290000}"/>
    <cellStyle name="Normal 16 2 3 2 3 2 2 2" xfId="35548" xr:uid="{00000000-0005-0000-0000-00005B290000}"/>
    <cellStyle name="Normal 16 2 3 2 3 2 3" xfId="26458" xr:uid="{00000000-0005-0000-0000-00005C290000}"/>
    <cellStyle name="Normal 16 2 3 2 3 3" xfId="12826" xr:uid="{00000000-0005-0000-0000-00005D290000}"/>
    <cellStyle name="Normal 16 2 3 2 3 3 2" xfId="31008" xr:uid="{00000000-0005-0000-0000-00005E290000}"/>
    <cellStyle name="Normal 16 2 3 2 3 4" xfId="21918" xr:uid="{00000000-0005-0000-0000-00005F290000}"/>
    <cellStyle name="Normal 16 2 3 2 4" xfId="5353" xr:uid="{00000000-0005-0000-0000-000060290000}"/>
    <cellStyle name="Normal 16 2 3 2 4 2" xfId="14453" xr:uid="{00000000-0005-0000-0000-000061290000}"/>
    <cellStyle name="Normal 16 2 3 2 4 2 2" xfId="32635" xr:uid="{00000000-0005-0000-0000-000062290000}"/>
    <cellStyle name="Normal 16 2 3 2 4 3" xfId="23545" xr:uid="{00000000-0005-0000-0000-000063290000}"/>
    <cellStyle name="Normal 16 2 3 2 5" xfId="9919" xr:uid="{00000000-0005-0000-0000-000064290000}"/>
    <cellStyle name="Normal 16 2 3 2 5 2" xfId="28101" xr:uid="{00000000-0005-0000-0000-000065290000}"/>
    <cellStyle name="Normal 16 2 3 2 6" xfId="19010" xr:uid="{00000000-0005-0000-0000-000066290000}"/>
    <cellStyle name="Normal 16 2 3 3" xfId="2194" xr:uid="{00000000-0005-0000-0000-000067290000}"/>
    <cellStyle name="Normal 16 2 3 3 2" xfId="6780" xr:uid="{00000000-0005-0000-0000-000068290000}"/>
    <cellStyle name="Normal 16 2 3 3 2 2" xfId="15880" xr:uid="{00000000-0005-0000-0000-000069290000}"/>
    <cellStyle name="Normal 16 2 3 3 2 2 2" xfId="34062" xr:uid="{00000000-0005-0000-0000-00006A290000}"/>
    <cellStyle name="Normal 16 2 3 3 2 3" xfId="24972" xr:uid="{00000000-0005-0000-0000-00006B290000}"/>
    <cellStyle name="Normal 16 2 3 3 3" xfId="11344" xr:uid="{00000000-0005-0000-0000-00006C290000}"/>
    <cellStyle name="Normal 16 2 3 3 3 2" xfId="29526" xr:uid="{00000000-0005-0000-0000-00006D290000}"/>
    <cellStyle name="Normal 16 2 3 3 4" xfId="20436" xr:uid="{00000000-0005-0000-0000-00006E290000}"/>
    <cellStyle name="Normal 16 2 3 4" xfId="3713" xr:uid="{00000000-0005-0000-0000-00006F290000}"/>
    <cellStyle name="Normal 16 2 3 4 2" xfId="8269" xr:uid="{00000000-0005-0000-0000-000070290000}"/>
    <cellStyle name="Normal 16 2 3 4 2 2" xfId="17365" xr:uid="{00000000-0005-0000-0000-000071290000}"/>
    <cellStyle name="Normal 16 2 3 4 2 2 2" xfId="35547" xr:uid="{00000000-0005-0000-0000-000072290000}"/>
    <cellStyle name="Normal 16 2 3 4 2 3" xfId="26457" xr:uid="{00000000-0005-0000-0000-000073290000}"/>
    <cellStyle name="Normal 16 2 3 4 3" xfId="12825" xr:uid="{00000000-0005-0000-0000-000074290000}"/>
    <cellStyle name="Normal 16 2 3 4 3 2" xfId="31007" xr:uid="{00000000-0005-0000-0000-000075290000}"/>
    <cellStyle name="Normal 16 2 3 4 4" xfId="21917" xr:uid="{00000000-0005-0000-0000-000076290000}"/>
    <cellStyle name="Normal 16 2 3 5" xfId="5352" xr:uid="{00000000-0005-0000-0000-000077290000}"/>
    <cellStyle name="Normal 16 2 3 5 2" xfId="14452" xr:uid="{00000000-0005-0000-0000-000078290000}"/>
    <cellStyle name="Normal 16 2 3 5 2 2" xfId="32634" xr:uid="{00000000-0005-0000-0000-000079290000}"/>
    <cellStyle name="Normal 16 2 3 5 3" xfId="23544" xr:uid="{00000000-0005-0000-0000-00007A290000}"/>
    <cellStyle name="Normal 16 2 3 6" xfId="9918" xr:uid="{00000000-0005-0000-0000-00007B290000}"/>
    <cellStyle name="Normal 16 2 3 6 2" xfId="28100" xr:uid="{00000000-0005-0000-0000-00007C290000}"/>
    <cellStyle name="Normal 16 2 3 7" xfId="19009" xr:uid="{00000000-0005-0000-0000-00007D290000}"/>
    <cellStyle name="Normal 16 2 4" xfId="705" xr:uid="{00000000-0005-0000-0000-00007E290000}"/>
    <cellStyle name="Normal 16 2 4 2" xfId="2195" xr:uid="{00000000-0005-0000-0000-00007F290000}"/>
    <cellStyle name="Normal 16 2 4 2 2" xfId="6781" xr:uid="{00000000-0005-0000-0000-000080290000}"/>
    <cellStyle name="Normal 16 2 4 2 2 2" xfId="15881" xr:uid="{00000000-0005-0000-0000-000081290000}"/>
    <cellStyle name="Normal 16 2 4 2 2 2 2" xfId="34063" xr:uid="{00000000-0005-0000-0000-000082290000}"/>
    <cellStyle name="Normal 16 2 4 2 2 3" xfId="24973" xr:uid="{00000000-0005-0000-0000-000083290000}"/>
    <cellStyle name="Normal 16 2 4 2 3" xfId="11345" xr:uid="{00000000-0005-0000-0000-000084290000}"/>
    <cellStyle name="Normal 16 2 4 2 3 2" xfId="29527" xr:uid="{00000000-0005-0000-0000-000085290000}"/>
    <cellStyle name="Normal 16 2 4 2 4" xfId="20437" xr:uid="{00000000-0005-0000-0000-000086290000}"/>
    <cellStyle name="Normal 16 2 4 3" xfId="3715" xr:uid="{00000000-0005-0000-0000-000087290000}"/>
    <cellStyle name="Normal 16 2 4 3 2" xfId="8271" xr:uid="{00000000-0005-0000-0000-000088290000}"/>
    <cellStyle name="Normal 16 2 4 3 2 2" xfId="17367" xr:uid="{00000000-0005-0000-0000-000089290000}"/>
    <cellStyle name="Normal 16 2 4 3 2 2 2" xfId="35549" xr:uid="{00000000-0005-0000-0000-00008A290000}"/>
    <cellStyle name="Normal 16 2 4 3 2 3" xfId="26459" xr:uid="{00000000-0005-0000-0000-00008B290000}"/>
    <cellStyle name="Normal 16 2 4 3 3" xfId="12827" xr:uid="{00000000-0005-0000-0000-00008C290000}"/>
    <cellStyle name="Normal 16 2 4 3 3 2" xfId="31009" xr:uid="{00000000-0005-0000-0000-00008D290000}"/>
    <cellStyle name="Normal 16 2 4 3 4" xfId="21919" xr:uid="{00000000-0005-0000-0000-00008E290000}"/>
    <cellStyle name="Normal 16 2 4 4" xfId="5354" xr:uid="{00000000-0005-0000-0000-00008F290000}"/>
    <cellStyle name="Normal 16 2 4 4 2" xfId="14454" xr:uid="{00000000-0005-0000-0000-000090290000}"/>
    <cellStyle name="Normal 16 2 4 4 2 2" xfId="32636" xr:uid="{00000000-0005-0000-0000-000091290000}"/>
    <cellStyle name="Normal 16 2 4 4 3" xfId="23546" xr:uid="{00000000-0005-0000-0000-000092290000}"/>
    <cellStyle name="Normal 16 2 4 5" xfId="9920" xr:uid="{00000000-0005-0000-0000-000093290000}"/>
    <cellStyle name="Normal 16 2 4 5 2" xfId="28102" xr:uid="{00000000-0005-0000-0000-000094290000}"/>
    <cellStyle name="Normal 16 2 4 6" xfId="19011" xr:uid="{00000000-0005-0000-0000-000095290000}"/>
    <cellStyle name="Normal 16 2 5" xfId="706" xr:uid="{00000000-0005-0000-0000-000096290000}"/>
    <cellStyle name="Normal 16 2 5 2" xfId="3716" xr:uid="{00000000-0005-0000-0000-000097290000}"/>
    <cellStyle name="Normal 16 2 5 2 2" xfId="8272" xr:uid="{00000000-0005-0000-0000-000098290000}"/>
    <cellStyle name="Normal 16 2 5 2 2 2" xfId="17368" xr:uid="{00000000-0005-0000-0000-000099290000}"/>
    <cellStyle name="Normal 16 2 5 2 2 2 2" xfId="35550" xr:uid="{00000000-0005-0000-0000-00009A290000}"/>
    <cellStyle name="Normal 16 2 5 2 2 3" xfId="26460" xr:uid="{00000000-0005-0000-0000-00009B290000}"/>
    <cellStyle name="Normal 16 2 5 2 3" xfId="12828" xr:uid="{00000000-0005-0000-0000-00009C290000}"/>
    <cellStyle name="Normal 16 2 5 2 3 2" xfId="31010" xr:uid="{00000000-0005-0000-0000-00009D290000}"/>
    <cellStyle name="Normal 16 2 5 2 4" xfId="21920" xr:uid="{00000000-0005-0000-0000-00009E290000}"/>
    <cellStyle name="Normal 16 2 5 3" xfId="5355" xr:uid="{00000000-0005-0000-0000-00009F290000}"/>
    <cellStyle name="Normal 16 2 5 3 2" xfId="14455" xr:uid="{00000000-0005-0000-0000-0000A0290000}"/>
    <cellStyle name="Normal 16 2 5 3 2 2" xfId="32637" xr:uid="{00000000-0005-0000-0000-0000A1290000}"/>
    <cellStyle name="Normal 16 2 5 3 3" xfId="23547" xr:uid="{00000000-0005-0000-0000-0000A2290000}"/>
    <cellStyle name="Normal 16 2 5 4" xfId="9921" xr:uid="{00000000-0005-0000-0000-0000A3290000}"/>
    <cellStyle name="Normal 16 2 5 4 2" xfId="28103" xr:uid="{00000000-0005-0000-0000-0000A4290000}"/>
    <cellStyle name="Normal 16 2 5 5" xfId="19012" xr:uid="{00000000-0005-0000-0000-0000A5290000}"/>
    <cellStyle name="Normal 16 2 6" xfId="2196" xr:uid="{00000000-0005-0000-0000-0000A6290000}"/>
    <cellStyle name="Normal 16 2 6 2" xfId="6782" xr:uid="{00000000-0005-0000-0000-0000A7290000}"/>
    <cellStyle name="Normal 16 2 6 2 2" xfId="15882" xr:uid="{00000000-0005-0000-0000-0000A8290000}"/>
    <cellStyle name="Normal 16 2 6 2 2 2" xfId="34064" xr:uid="{00000000-0005-0000-0000-0000A9290000}"/>
    <cellStyle name="Normal 16 2 6 2 3" xfId="24974" xr:uid="{00000000-0005-0000-0000-0000AA290000}"/>
    <cellStyle name="Normal 16 2 6 3" xfId="11346" xr:uid="{00000000-0005-0000-0000-0000AB290000}"/>
    <cellStyle name="Normal 16 2 6 3 2" xfId="29528" xr:uid="{00000000-0005-0000-0000-0000AC290000}"/>
    <cellStyle name="Normal 16 2 6 4" xfId="20438" xr:uid="{00000000-0005-0000-0000-0000AD290000}"/>
    <cellStyle name="Normal 16 2 7" xfId="3707" xr:uid="{00000000-0005-0000-0000-0000AE290000}"/>
    <cellStyle name="Normal 16 2 7 2" xfId="8263" xr:uid="{00000000-0005-0000-0000-0000AF290000}"/>
    <cellStyle name="Normal 16 2 7 2 2" xfId="17359" xr:uid="{00000000-0005-0000-0000-0000B0290000}"/>
    <cellStyle name="Normal 16 2 7 2 2 2" xfId="35541" xr:uid="{00000000-0005-0000-0000-0000B1290000}"/>
    <cellStyle name="Normal 16 2 7 2 3" xfId="26451" xr:uid="{00000000-0005-0000-0000-0000B2290000}"/>
    <cellStyle name="Normal 16 2 7 3" xfId="12819" xr:uid="{00000000-0005-0000-0000-0000B3290000}"/>
    <cellStyle name="Normal 16 2 7 3 2" xfId="31001" xr:uid="{00000000-0005-0000-0000-0000B4290000}"/>
    <cellStyle name="Normal 16 2 7 4" xfId="21911" xr:uid="{00000000-0005-0000-0000-0000B5290000}"/>
    <cellStyle name="Normal 16 2 8" xfId="5346" xr:uid="{00000000-0005-0000-0000-0000B6290000}"/>
    <cellStyle name="Normal 16 2 8 2" xfId="14446" xr:uid="{00000000-0005-0000-0000-0000B7290000}"/>
    <cellStyle name="Normal 16 2 8 2 2" xfId="32628" xr:uid="{00000000-0005-0000-0000-0000B8290000}"/>
    <cellStyle name="Normal 16 2 8 3" xfId="23538" xr:uid="{00000000-0005-0000-0000-0000B9290000}"/>
    <cellStyle name="Normal 16 2 9" xfId="9912" xr:uid="{00000000-0005-0000-0000-0000BA290000}"/>
    <cellStyle name="Normal 16 2 9 2" xfId="28094" xr:uid="{00000000-0005-0000-0000-0000BB290000}"/>
    <cellStyle name="Normal 16 3" xfId="707" xr:uid="{00000000-0005-0000-0000-0000BC290000}"/>
    <cellStyle name="Normal 16 3 2" xfId="708" xr:uid="{00000000-0005-0000-0000-0000BD290000}"/>
    <cellStyle name="Normal 16 3 2 2" xfId="709" xr:uid="{00000000-0005-0000-0000-0000BE290000}"/>
    <cellStyle name="Normal 16 3 2 2 2" xfId="2197" xr:uid="{00000000-0005-0000-0000-0000BF290000}"/>
    <cellStyle name="Normal 16 3 2 2 2 2" xfId="6783" xr:uid="{00000000-0005-0000-0000-0000C0290000}"/>
    <cellStyle name="Normal 16 3 2 2 2 2 2" xfId="15883" xr:uid="{00000000-0005-0000-0000-0000C1290000}"/>
    <cellStyle name="Normal 16 3 2 2 2 2 2 2" xfId="34065" xr:uid="{00000000-0005-0000-0000-0000C2290000}"/>
    <cellStyle name="Normal 16 3 2 2 2 2 3" xfId="24975" xr:uid="{00000000-0005-0000-0000-0000C3290000}"/>
    <cellStyle name="Normal 16 3 2 2 2 3" xfId="11347" xr:uid="{00000000-0005-0000-0000-0000C4290000}"/>
    <cellStyle name="Normal 16 3 2 2 2 3 2" xfId="29529" xr:uid="{00000000-0005-0000-0000-0000C5290000}"/>
    <cellStyle name="Normal 16 3 2 2 2 4" xfId="20439" xr:uid="{00000000-0005-0000-0000-0000C6290000}"/>
    <cellStyle name="Normal 16 3 2 2 3" xfId="3719" xr:uid="{00000000-0005-0000-0000-0000C7290000}"/>
    <cellStyle name="Normal 16 3 2 2 3 2" xfId="8275" xr:uid="{00000000-0005-0000-0000-0000C8290000}"/>
    <cellStyle name="Normal 16 3 2 2 3 2 2" xfId="17371" xr:uid="{00000000-0005-0000-0000-0000C9290000}"/>
    <cellStyle name="Normal 16 3 2 2 3 2 2 2" xfId="35553" xr:uid="{00000000-0005-0000-0000-0000CA290000}"/>
    <cellStyle name="Normal 16 3 2 2 3 2 3" xfId="26463" xr:uid="{00000000-0005-0000-0000-0000CB290000}"/>
    <cellStyle name="Normal 16 3 2 2 3 3" xfId="12831" xr:uid="{00000000-0005-0000-0000-0000CC290000}"/>
    <cellStyle name="Normal 16 3 2 2 3 3 2" xfId="31013" xr:uid="{00000000-0005-0000-0000-0000CD290000}"/>
    <cellStyle name="Normal 16 3 2 2 3 4" xfId="21923" xr:uid="{00000000-0005-0000-0000-0000CE290000}"/>
    <cellStyle name="Normal 16 3 2 2 4" xfId="5358" xr:uid="{00000000-0005-0000-0000-0000CF290000}"/>
    <cellStyle name="Normal 16 3 2 2 4 2" xfId="14458" xr:uid="{00000000-0005-0000-0000-0000D0290000}"/>
    <cellStyle name="Normal 16 3 2 2 4 2 2" xfId="32640" xr:uid="{00000000-0005-0000-0000-0000D1290000}"/>
    <cellStyle name="Normal 16 3 2 2 4 3" xfId="23550" xr:uid="{00000000-0005-0000-0000-0000D2290000}"/>
    <cellStyle name="Normal 16 3 2 2 5" xfId="9924" xr:uid="{00000000-0005-0000-0000-0000D3290000}"/>
    <cellStyle name="Normal 16 3 2 2 5 2" xfId="28106" xr:uid="{00000000-0005-0000-0000-0000D4290000}"/>
    <cellStyle name="Normal 16 3 2 2 6" xfId="19015" xr:uid="{00000000-0005-0000-0000-0000D5290000}"/>
    <cellStyle name="Normal 16 3 2 3" xfId="2198" xr:uid="{00000000-0005-0000-0000-0000D6290000}"/>
    <cellStyle name="Normal 16 3 2 3 2" xfId="6784" xr:uid="{00000000-0005-0000-0000-0000D7290000}"/>
    <cellStyle name="Normal 16 3 2 3 2 2" xfId="15884" xr:uid="{00000000-0005-0000-0000-0000D8290000}"/>
    <cellStyle name="Normal 16 3 2 3 2 2 2" xfId="34066" xr:uid="{00000000-0005-0000-0000-0000D9290000}"/>
    <cellStyle name="Normal 16 3 2 3 2 3" xfId="24976" xr:uid="{00000000-0005-0000-0000-0000DA290000}"/>
    <cellStyle name="Normal 16 3 2 3 3" xfId="11348" xr:uid="{00000000-0005-0000-0000-0000DB290000}"/>
    <cellStyle name="Normal 16 3 2 3 3 2" xfId="29530" xr:uid="{00000000-0005-0000-0000-0000DC290000}"/>
    <cellStyle name="Normal 16 3 2 3 4" xfId="20440" xr:uid="{00000000-0005-0000-0000-0000DD290000}"/>
    <cellStyle name="Normal 16 3 2 4" xfId="3718" xr:uid="{00000000-0005-0000-0000-0000DE290000}"/>
    <cellStyle name="Normal 16 3 2 4 2" xfId="8274" xr:uid="{00000000-0005-0000-0000-0000DF290000}"/>
    <cellStyle name="Normal 16 3 2 4 2 2" xfId="17370" xr:uid="{00000000-0005-0000-0000-0000E0290000}"/>
    <cellStyle name="Normal 16 3 2 4 2 2 2" xfId="35552" xr:uid="{00000000-0005-0000-0000-0000E1290000}"/>
    <cellStyle name="Normal 16 3 2 4 2 3" xfId="26462" xr:uid="{00000000-0005-0000-0000-0000E2290000}"/>
    <cellStyle name="Normal 16 3 2 4 3" xfId="12830" xr:uid="{00000000-0005-0000-0000-0000E3290000}"/>
    <cellStyle name="Normal 16 3 2 4 3 2" xfId="31012" xr:uid="{00000000-0005-0000-0000-0000E4290000}"/>
    <cellStyle name="Normal 16 3 2 4 4" xfId="21922" xr:uid="{00000000-0005-0000-0000-0000E5290000}"/>
    <cellStyle name="Normal 16 3 2 5" xfId="5357" xr:uid="{00000000-0005-0000-0000-0000E6290000}"/>
    <cellStyle name="Normal 16 3 2 5 2" xfId="14457" xr:uid="{00000000-0005-0000-0000-0000E7290000}"/>
    <cellStyle name="Normal 16 3 2 5 2 2" xfId="32639" xr:uid="{00000000-0005-0000-0000-0000E8290000}"/>
    <cellStyle name="Normal 16 3 2 5 3" xfId="23549" xr:uid="{00000000-0005-0000-0000-0000E9290000}"/>
    <cellStyle name="Normal 16 3 2 6" xfId="9923" xr:uid="{00000000-0005-0000-0000-0000EA290000}"/>
    <cellStyle name="Normal 16 3 2 6 2" xfId="28105" xr:uid="{00000000-0005-0000-0000-0000EB290000}"/>
    <cellStyle name="Normal 16 3 2 7" xfId="19014" xr:uid="{00000000-0005-0000-0000-0000EC290000}"/>
    <cellStyle name="Normal 16 3 3" xfId="710" xr:uid="{00000000-0005-0000-0000-0000ED290000}"/>
    <cellStyle name="Normal 16 3 3 2" xfId="2199" xr:uid="{00000000-0005-0000-0000-0000EE290000}"/>
    <cellStyle name="Normal 16 3 3 2 2" xfId="6785" xr:uid="{00000000-0005-0000-0000-0000EF290000}"/>
    <cellStyle name="Normal 16 3 3 2 2 2" xfId="15885" xr:uid="{00000000-0005-0000-0000-0000F0290000}"/>
    <cellStyle name="Normal 16 3 3 2 2 2 2" xfId="34067" xr:uid="{00000000-0005-0000-0000-0000F1290000}"/>
    <cellStyle name="Normal 16 3 3 2 2 3" xfId="24977" xr:uid="{00000000-0005-0000-0000-0000F2290000}"/>
    <cellStyle name="Normal 16 3 3 2 3" xfId="11349" xr:uid="{00000000-0005-0000-0000-0000F3290000}"/>
    <cellStyle name="Normal 16 3 3 2 3 2" xfId="29531" xr:uid="{00000000-0005-0000-0000-0000F4290000}"/>
    <cellStyle name="Normal 16 3 3 2 4" xfId="20441" xr:uid="{00000000-0005-0000-0000-0000F5290000}"/>
    <cellStyle name="Normal 16 3 3 3" xfId="3720" xr:uid="{00000000-0005-0000-0000-0000F6290000}"/>
    <cellStyle name="Normal 16 3 3 3 2" xfId="8276" xr:uid="{00000000-0005-0000-0000-0000F7290000}"/>
    <cellStyle name="Normal 16 3 3 3 2 2" xfId="17372" xr:uid="{00000000-0005-0000-0000-0000F8290000}"/>
    <cellStyle name="Normal 16 3 3 3 2 2 2" xfId="35554" xr:uid="{00000000-0005-0000-0000-0000F9290000}"/>
    <cellStyle name="Normal 16 3 3 3 2 3" xfId="26464" xr:uid="{00000000-0005-0000-0000-0000FA290000}"/>
    <cellStyle name="Normal 16 3 3 3 3" xfId="12832" xr:uid="{00000000-0005-0000-0000-0000FB290000}"/>
    <cellStyle name="Normal 16 3 3 3 3 2" xfId="31014" xr:uid="{00000000-0005-0000-0000-0000FC290000}"/>
    <cellStyle name="Normal 16 3 3 3 4" xfId="21924" xr:uid="{00000000-0005-0000-0000-0000FD290000}"/>
    <cellStyle name="Normal 16 3 3 4" xfId="5359" xr:uid="{00000000-0005-0000-0000-0000FE290000}"/>
    <cellStyle name="Normal 16 3 3 4 2" xfId="14459" xr:uid="{00000000-0005-0000-0000-0000FF290000}"/>
    <cellStyle name="Normal 16 3 3 4 2 2" xfId="32641" xr:uid="{00000000-0005-0000-0000-0000002A0000}"/>
    <cellStyle name="Normal 16 3 3 4 3" xfId="23551" xr:uid="{00000000-0005-0000-0000-0000012A0000}"/>
    <cellStyle name="Normal 16 3 3 5" xfId="9925" xr:uid="{00000000-0005-0000-0000-0000022A0000}"/>
    <cellStyle name="Normal 16 3 3 5 2" xfId="28107" xr:uid="{00000000-0005-0000-0000-0000032A0000}"/>
    <cellStyle name="Normal 16 3 3 6" xfId="19016" xr:uid="{00000000-0005-0000-0000-0000042A0000}"/>
    <cellStyle name="Normal 16 3 4" xfId="711" xr:uid="{00000000-0005-0000-0000-0000052A0000}"/>
    <cellStyle name="Normal 16 3 4 2" xfId="3721" xr:uid="{00000000-0005-0000-0000-0000062A0000}"/>
    <cellStyle name="Normal 16 3 4 2 2" xfId="8277" xr:uid="{00000000-0005-0000-0000-0000072A0000}"/>
    <cellStyle name="Normal 16 3 4 2 2 2" xfId="17373" xr:uid="{00000000-0005-0000-0000-0000082A0000}"/>
    <cellStyle name="Normal 16 3 4 2 2 2 2" xfId="35555" xr:uid="{00000000-0005-0000-0000-0000092A0000}"/>
    <cellStyle name="Normal 16 3 4 2 2 3" xfId="26465" xr:uid="{00000000-0005-0000-0000-00000A2A0000}"/>
    <cellStyle name="Normal 16 3 4 2 3" xfId="12833" xr:uid="{00000000-0005-0000-0000-00000B2A0000}"/>
    <cellStyle name="Normal 16 3 4 2 3 2" xfId="31015" xr:uid="{00000000-0005-0000-0000-00000C2A0000}"/>
    <cellStyle name="Normal 16 3 4 2 4" xfId="21925" xr:uid="{00000000-0005-0000-0000-00000D2A0000}"/>
    <cellStyle name="Normal 16 3 4 3" xfId="5360" xr:uid="{00000000-0005-0000-0000-00000E2A0000}"/>
    <cellStyle name="Normal 16 3 4 3 2" xfId="14460" xr:uid="{00000000-0005-0000-0000-00000F2A0000}"/>
    <cellStyle name="Normal 16 3 4 3 2 2" xfId="32642" xr:uid="{00000000-0005-0000-0000-0000102A0000}"/>
    <cellStyle name="Normal 16 3 4 3 3" xfId="23552" xr:uid="{00000000-0005-0000-0000-0000112A0000}"/>
    <cellStyle name="Normal 16 3 4 4" xfId="9926" xr:uid="{00000000-0005-0000-0000-0000122A0000}"/>
    <cellStyle name="Normal 16 3 4 4 2" xfId="28108" xr:uid="{00000000-0005-0000-0000-0000132A0000}"/>
    <cellStyle name="Normal 16 3 4 5" xfId="19017" xr:uid="{00000000-0005-0000-0000-0000142A0000}"/>
    <cellStyle name="Normal 16 3 5" xfId="2200" xr:uid="{00000000-0005-0000-0000-0000152A0000}"/>
    <cellStyle name="Normal 16 3 5 2" xfId="6786" xr:uid="{00000000-0005-0000-0000-0000162A0000}"/>
    <cellStyle name="Normal 16 3 5 2 2" xfId="15886" xr:uid="{00000000-0005-0000-0000-0000172A0000}"/>
    <cellStyle name="Normal 16 3 5 2 2 2" xfId="34068" xr:uid="{00000000-0005-0000-0000-0000182A0000}"/>
    <cellStyle name="Normal 16 3 5 2 3" xfId="24978" xr:uid="{00000000-0005-0000-0000-0000192A0000}"/>
    <cellStyle name="Normal 16 3 5 3" xfId="11350" xr:uid="{00000000-0005-0000-0000-00001A2A0000}"/>
    <cellStyle name="Normal 16 3 5 3 2" xfId="29532" xr:uid="{00000000-0005-0000-0000-00001B2A0000}"/>
    <cellStyle name="Normal 16 3 5 4" xfId="20442" xr:uid="{00000000-0005-0000-0000-00001C2A0000}"/>
    <cellStyle name="Normal 16 3 6" xfId="3717" xr:uid="{00000000-0005-0000-0000-00001D2A0000}"/>
    <cellStyle name="Normal 16 3 6 2" xfId="8273" xr:uid="{00000000-0005-0000-0000-00001E2A0000}"/>
    <cellStyle name="Normal 16 3 6 2 2" xfId="17369" xr:uid="{00000000-0005-0000-0000-00001F2A0000}"/>
    <cellStyle name="Normal 16 3 6 2 2 2" xfId="35551" xr:uid="{00000000-0005-0000-0000-0000202A0000}"/>
    <cellStyle name="Normal 16 3 6 2 3" xfId="26461" xr:uid="{00000000-0005-0000-0000-0000212A0000}"/>
    <cellStyle name="Normal 16 3 6 3" xfId="12829" xr:uid="{00000000-0005-0000-0000-0000222A0000}"/>
    <cellStyle name="Normal 16 3 6 3 2" xfId="31011" xr:uid="{00000000-0005-0000-0000-0000232A0000}"/>
    <cellStyle name="Normal 16 3 6 4" xfId="21921" xr:uid="{00000000-0005-0000-0000-0000242A0000}"/>
    <cellStyle name="Normal 16 3 7" xfId="5356" xr:uid="{00000000-0005-0000-0000-0000252A0000}"/>
    <cellStyle name="Normal 16 3 7 2" xfId="14456" xr:uid="{00000000-0005-0000-0000-0000262A0000}"/>
    <cellStyle name="Normal 16 3 7 2 2" xfId="32638" xr:uid="{00000000-0005-0000-0000-0000272A0000}"/>
    <cellStyle name="Normal 16 3 7 3" xfId="23548" xr:uid="{00000000-0005-0000-0000-0000282A0000}"/>
    <cellStyle name="Normal 16 3 8" xfId="9922" xr:uid="{00000000-0005-0000-0000-0000292A0000}"/>
    <cellStyle name="Normal 16 3 8 2" xfId="28104" xr:uid="{00000000-0005-0000-0000-00002A2A0000}"/>
    <cellStyle name="Normal 16 3 9" xfId="19013" xr:uid="{00000000-0005-0000-0000-00002B2A0000}"/>
    <cellStyle name="Normal 16 4" xfId="712" xr:uid="{00000000-0005-0000-0000-00002C2A0000}"/>
    <cellStyle name="Normal 16 4 2" xfId="713" xr:uid="{00000000-0005-0000-0000-00002D2A0000}"/>
    <cellStyle name="Normal 16 4 2 2" xfId="2201" xr:uid="{00000000-0005-0000-0000-00002E2A0000}"/>
    <cellStyle name="Normal 16 4 2 2 2" xfId="6787" xr:uid="{00000000-0005-0000-0000-00002F2A0000}"/>
    <cellStyle name="Normal 16 4 2 2 2 2" xfId="15887" xr:uid="{00000000-0005-0000-0000-0000302A0000}"/>
    <cellStyle name="Normal 16 4 2 2 2 2 2" xfId="34069" xr:uid="{00000000-0005-0000-0000-0000312A0000}"/>
    <cellStyle name="Normal 16 4 2 2 2 3" xfId="24979" xr:uid="{00000000-0005-0000-0000-0000322A0000}"/>
    <cellStyle name="Normal 16 4 2 2 3" xfId="11351" xr:uid="{00000000-0005-0000-0000-0000332A0000}"/>
    <cellStyle name="Normal 16 4 2 2 3 2" xfId="29533" xr:uid="{00000000-0005-0000-0000-0000342A0000}"/>
    <cellStyle name="Normal 16 4 2 2 4" xfId="20443" xr:uid="{00000000-0005-0000-0000-0000352A0000}"/>
    <cellStyle name="Normal 16 4 2 3" xfId="3723" xr:uid="{00000000-0005-0000-0000-0000362A0000}"/>
    <cellStyle name="Normal 16 4 2 3 2" xfId="8279" xr:uid="{00000000-0005-0000-0000-0000372A0000}"/>
    <cellStyle name="Normal 16 4 2 3 2 2" xfId="17375" xr:uid="{00000000-0005-0000-0000-0000382A0000}"/>
    <cellStyle name="Normal 16 4 2 3 2 2 2" xfId="35557" xr:uid="{00000000-0005-0000-0000-0000392A0000}"/>
    <cellStyle name="Normal 16 4 2 3 2 3" xfId="26467" xr:uid="{00000000-0005-0000-0000-00003A2A0000}"/>
    <cellStyle name="Normal 16 4 2 3 3" xfId="12835" xr:uid="{00000000-0005-0000-0000-00003B2A0000}"/>
    <cellStyle name="Normal 16 4 2 3 3 2" xfId="31017" xr:uid="{00000000-0005-0000-0000-00003C2A0000}"/>
    <cellStyle name="Normal 16 4 2 3 4" xfId="21927" xr:uid="{00000000-0005-0000-0000-00003D2A0000}"/>
    <cellStyle name="Normal 16 4 2 4" xfId="5362" xr:uid="{00000000-0005-0000-0000-00003E2A0000}"/>
    <cellStyle name="Normal 16 4 2 4 2" xfId="14462" xr:uid="{00000000-0005-0000-0000-00003F2A0000}"/>
    <cellStyle name="Normal 16 4 2 4 2 2" xfId="32644" xr:uid="{00000000-0005-0000-0000-0000402A0000}"/>
    <cellStyle name="Normal 16 4 2 4 3" xfId="23554" xr:uid="{00000000-0005-0000-0000-0000412A0000}"/>
    <cellStyle name="Normal 16 4 2 5" xfId="9928" xr:uid="{00000000-0005-0000-0000-0000422A0000}"/>
    <cellStyle name="Normal 16 4 2 5 2" xfId="28110" xr:uid="{00000000-0005-0000-0000-0000432A0000}"/>
    <cellStyle name="Normal 16 4 2 6" xfId="19019" xr:uid="{00000000-0005-0000-0000-0000442A0000}"/>
    <cellStyle name="Normal 16 4 3" xfId="2202" xr:uid="{00000000-0005-0000-0000-0000452A0000}"/>
    <cellStyle name="Normal 16 4 3 2" xfId="6788" xr:uid="{00000000-0005-0000-0000-0000462A0000}"/>
    <cellStyle name="Normal 16 4 3 2 2" xfId="15888" xr:uid="{00000000-0005-0000-0000-0000472A0000}"/>
    <cellStyle name="Normal 16 4 3 2 2 2" xfId="34070" xr:uid="{00000000-0005-0000-0000-0000482A0000}"/>
    <cellStyle name="Normal 16 4 3 2 3" xfId="24980" xr:uid="{00000000-0005-0000-0000-0000492A0000}"/>
    <cellStyle name="Normal 16 4 3 3" xfId="11352" xr:uid="{00000000-0005-0000-0000-00004A2A0000}"/>
    <cellStyle name="Normal 16 4 3 3 2" xfId="29534" xr:uid="{00000000-0005-0000-0000-00004B2A0000}"/>
    <cellStyle name="Normal 16 4 3 4" xfId="20444" xr:uid="{00000000-0005-0000-0000-00004C2A0000}"/>
    <cellStyle name="Normal 16 4 4" xfId="3722" xr:uid="{00000000-0005-0000-0000-00004D2A0000}"/>
    <cellStyle name="Normal 16 4 4 2" xfId="8278" xr:uid="{00000000-0005-0000-0000-00004E2A0000}"/>
    <cellStyle name="Normal 16 4 4 2 2" xfId="17374" xr:uid="{00000000-0005-0000-0000-00004F2A0000}"/>
    <cellStyle name="Normal 16 4 4 2 2 2" xfId="35556" xr:uid="{00000000-0005-0000-0000-0000502A0000}"/>
    <cellStyle name="Normal 16 4 4 2 3" xfId="26466" xr:uid="{00000000-0005-0000-0000-0000512A0000}"/>
    <cellStyle name="Normal 16 4 4 3" xfId="12834" xr:uid="{00000000-0005-0000-0000-0000522A0000}"/>
    <cellStyle name="Normal 16 4 4 3 2" xfId="31016" xr:uid="{00000000-0005-0000-0000-0000532A0000}"/>
    <cellStyle name="Normal 16 4 4 4" xfId="21926" xr:uid="{00000000-0005-0000-0000-0000542A0000}"/>
    <cellStyle name="Normal 16 4 5" xfId="5361" xr:uid="{00000000-0005-0000-0000-0000552A0000}"/>
    <cellStyle name="Normal 16 4 5 2" xfId="14461" xr:uid="{00000000-0005-0000-0000-0000562A0000}"/>
    <cellStyle name="Normal 16 4 5 2 2" xfId="32643" xr:uid="{00000000-0005-0000-0000-0000572A0000}"/>
    <cellStyle name="Normal 16 4 5 3" xfId="23553" xr:uid="{00000000-0005-0000-0000-0000582A0000}"/>
    <cellStyle name="Normal 16 4 6" xfId="9927" xr:uid="{00000000-0005-0000-0000-0000592A0000}"/>
    <cellStyle name="Normal 16 4 6 2" xfId="28109" xr:uid="{00000000-0005-0000-0000-00005A2A0000}"/>
    <cellStyle name="Normal 16 4 7" xfId="19018" xr:uid="{00000000-0005-0000-0000-00005B2A0000}"/>
    <cellStyle name="Normal 16 5" xfId="714" xr:uid="{00000000-0005-0000-0000-00005C2A0000}"/>
    <cellStyle name="Normal 16 5 2" xfId="2203" xr:uid="{00000000-0005-0000-0000-00005D2A0000}"/>
    <cellStyle name="Normal 16 5 2 2" xfId="6789" xr:uid="{00000000-0005-0000-0000-00005E2A0000}"/>
    <cellStyle name="Normal 16 5 2 2 2" xfId="15889" xr:uid="{00000000-0005-0000-0000-00005F2A0000}"/>
    <cellStyle name="Normal 16 5 2 2 2 2" xfId="34071" xr:uid="{00000000-0005-0000-0000-0000602A0000}"/>
    <cellStyle name="Normal 16 5 2 2 3" xfId="24981" xr:uid="{00000000-0005-0000-0000-0000612A0000}"/>
    <cellStyle name="Normal 16 5 2 3" xfId="11353" xr:uid="{00000000-0005-0000-0000-0000622A0000}"/>
    <cellStyle name="Normal 16 5 2 3 2" xfId="29535" xr:uid="{00000000-0005-0000-0000-0000632A0000}"/>
    <cellStyle name="Normal 16 5 2 4" xfId="20445" xr:uid="{00000000-0005-0000-0000-0000642A0000}"/>
    <cellStyle name="Normal 16 5 3" xfId="3724" xr:uid="{00000000-0005-0000-0000-0000652A0000}"/>
    <cellStyle name="Normal 16 5 3 2" xfId="8280" xr:uid="{00000000-0005-0000-0000-0000662A0000}"/>
    <cellStyle name="Normal 16 5 3 2 2" xfId="17376" xr:uid="{00000000-0005-0000-0000-0000672A0000}"/>
    <cellStyle name="Normal 16 5 3 2 2 2" xfId="35558" xr:uid="{00000000-0005-0000-0000-0000682A0000}"/>
    <cellStyle name="Normal 16 5 3 2 3" xfId="26468" xr:uid="{00000000-0005-0000-0000-0000692A0000}"/>
    <cellStyle name="Normal 16 5 3 3" xfId="12836" xr:uid="{00000000-0005-0000-0000-00006A2A0000}"/>
    <cellStyle name="Normal 16 5 3 3 2" xfId="31018" xr:uid="{00000000-0005-0000-0000-00006B2A0000}"/>
    <cellStyle name="Normal 16 5 3 4" xfId="21928" xr:uid="{00000000-0005-0000-0000-00006C2A0000}"/>
    <cellStyle name="Normal 16 5 4" xfId="5363" xr:uid="{00000000-0005-0000-0000-00006D2A0000}"/>
    <cellStyle name="Normal 16 5 4 2" xfId="14463" xr:uid="{00000000-0005-0000-0000-00006E2A0000}"/>
    <cellStyle name="Normal 16 5 4 2 2" xfId="32645" xr:uid="{00000000-0005-0000-0000-00006F2A0000}"/>
    <cellStyle name="Normal 16 5 4 3" xfId="23555" xr:uid="{00000000-0005-0000-0000-0000702A0000}"/>
    <cellStyle name="Normal 16 5 5" xfId="9929" xr:uid="{00000000-0005-0000-0000-0000712A0000}"/>
    <cellStyle name="Normal 16 5 5 2" xfId="28111" xr:uid="{00000000-0005-0000-0000-0000722A0000}"/>
    <cellStyle name="Normal 16 5 6" xfId="19020" xr:uid="{00000000-0005-0000-0000-0000732A0000}"/>
    <cellStyle name="Normal 16 6" xfId="715" xr:uid="{00000000-0005-0000-0000-0000742A0000}"/>
    <cellStyle name="Normal 16 6 2" xfId="3725" xr:uid="{00000000-0005-0000-0000-0000752A0000}"/>
    <cellStyle name="Normal 16 6 2 2" xfId="8281" xr:uid="{00000000-0005-0000-0000-0000762A0000}"/>
    <cellStyle name="Normal 16 6 2 2 2" xfId="17377" xr:uid="{00000000-0005-0000-0000-0000772A0000}"/>
    <cellStyle name="Normal 16 6 2 2 2 2" xfId="35559" xr:uid="{00000000-0005-0000-0000-0000782A0000}"/>
    <cellStyle name="Normal 16 6 2 2 3" xfId="26469" xr:uid="{00000000-0005-0000-0000-0000792A0000}"/>
    <cellStyle name="Normal 16 6 2 3" xfId="12837" xr:uid="{00000000-0005-0000-0000-00007A2A0000}"/>
    <cellStyle name="Normal 16 6 2 3 2" xfId="31019" xr:uid="{00000000-0005-0000-0000-00007B2A0000}"/>
    <cellStyle name="Normal 16 6 2 4" xfId="21929" xr:uid="{00000000-0005-0000-0000-00007C2A0000}"/>
    <cellStyle name="Normal 16 6 3" xfId="5364" xr:uid="{00000000-0005-0000-0000-00007D2A0000}"/>
    <cellStyle name="Normal 16 6 3 2" xfId="14464" xr:uid="{00000000-0005-0000-0000-00007E2A0000}"/>
    <cellStyle name="Normal 16 6 3 2 2" xfId="32646" xr:uid="{00000000-0005-0000-0000-00007F2A0000}"/>
    <cellStyle name="Normal 16 6 3 3" xfId="23556" xr:uid="{00000000-0005-0000-0000-0000802A0000}"/>
    <cellStyle name="Normal 16 6 4" xfId="9930" xr:uid="{00000000-0005-0000-0000-0000812A0000}"/>
    <cellStyle name="Normal 16 6 4 2" xfId="28112" xr:uid="{00000000-0005-0000-0000-0000822A0000}"/>
    <cellStyle name="Normal 16 6 5" xfId="19021" xr:uid="{00000000-0005-0000-0000-0000832A0000}"/>
    <cellStyle name="Normal 16 7" xfId="2204" xr:uid="{00000000-0005-0000-0000-0000842A0000}"/>
    <cellStyle name="Normal 16 7 2" xfId="6790" xr:uid="{00000000-0005-0000-0000-0000852A0000}"/>
    <cellStyle name="Normal 16 7 2 2" xfId="15890" xr:uid="{00000000-0005-0000-0000-0000862A0000}"/>
    <cellStyle name="Normal 16 7 2 2 2" xfId="34072" xr:uid="{00000000-0005-0000-0000-0000872A0000}"/>
    <cellStyle name="Normal 16 7 2 3" xfId="24982" xr:uid="{00000000-0005-0000-0000-0000882A0000}"/>
    <cellStyle name="Normal 16 7 3" xfId="11354" xr:uid="{00000000-0005-0000-0000-0000892A0000}"/>
    <cellStyle name="Normal 16 7 3 2" xfId="29536" xr:uid="{00000000-0005-0000-0000-00008A2A0000}"/>
    <cellStyle name="Normal 16 7 4" xfId="20446" xr:uid="{00000000-0005-0000-0000-00008B2A0000}"/>
    <cellStyle name="Normal 16 8" xfId="3215" xr:uid="{00000000-0005-0000-0000-00008C2A0000}"/>
    <cellStyle name="Normal 16 8 2" xfId="7775" xr:uid="{00000000-0005-0000-0000-00008D2A0000}"/>
    <cellStyle name="Normal 16 8 2 2" xfId="16871" xr:uid="{00000000-0005-0000-0000-00008E2A0000}"/>
    <cellStyle name="Normal 16 8 2 2 2" xfId="35053" xr:uid="{00000000-0005-0000-0000-00008F2A0000}"/>
    <cellStyle name="Normal 16 8 2 3" xfId="25963" xr:uid="{00000000-0005-0000-0000-0000902A0000}"/>
    <cellStyle name="Normal 16 8 3" xfId="12331" xr:uid="{00000000-0005-0000-0000-0000912A0000}"/>
    <cellStyle name="Normal 16 8 3 2" xfId="30513" xr:uid="{00000000-0005-0000-0000-0000922A0000}"/>
    <cellStyle name="Normal 16 8 4" xfId="21423" xr:uid="{00000000-0005-0000-0000-0000932A0000}"/>
    <cellStyle name="Normal 16 9" xfId="4863" xr:uid="{00000000-0005-0000-0000-0000942A0000}"/>
    <cellStyle name="Normal 16 9 2" xfId="13963" xr:uid="{00000000-0005-0000-0000-0000952A0000}"/>
    <cellStyle name="Normal 16 9 2 2" xfId="32145" xr:uid="{00000000-0005-0000-0000-0000962A0000}"/>
    <cellStyle name="Normal 16 9 3" xfId="23055" xr:uid="{00000000-0005-0000-0000-0000972A0000}"/>
    <cellStyle name="Normal 17" xfId="127" xr:uid="{00000000-0005-0000-0000-0000982A0000}"/>
    <cellStyle name="Normal 17 10" xfId="4866" xr:uid="{00000000-0005-0000-0000-0000992A0000}"/>
    <cellStyle name="Normal 17 10 2" xfId="13966" xr:uid="{00000000-0005-0000-0000-00009A2A0000}"/>
    <cellStyle name="Normal 17 10 2 2" xfId="32148" xr:uid="{00000000-0005-0000-0000-00009B2A0000}"/>
    <cellStyle name="Normal 17 10 3" xfId="23058" xr:uid="{00000000-0005-0000-0000-00009C2A0000}"/>
    <cellStyle name="Normal 17 11" xfId="9432" xr:uid="{00000000-0005-0000-0000-00009D2A0000}"/>
    <cellStyle name="Normal 17 11 2" xfId="27614" xr:uid="{00000000-0005-0000-0000-00009E2A0000}"/>
    <cellStyle name="Normal 17 12" xfId="18523" xr:uid="{00000000-0005-0000-0000-00009F2A0000}"/>
    <cellStyle name="Normal 17 2" xfId="156" xr:uid="{00000000-0005-0000-0000-0000A02A0000}"/>
    <cellStyle name="Normal 17 2 10" xfId="18536" xr:uid="{00000000-0005-0000-0000-0000A12A0000}"/>
    <cellStyle name="Normal 17 2 2" xfId="716" xr:uid="{00000000-0005-0000-0000-0000A22A0000}"/>
    <cellStyle name="Normal 17 2 2 2" xfId="717" xr:uid="{00000000-0005-0000-0000-0000A32A0000}"/>
    <cellStyle name="Normal 17 2 2 2 2" xfId="718" xr:uid="{00000000-0005-0000-0000-0000A42A0000}"/>
    <cellStyle name="Normal 17 2 2 2 2 2" xfId="2205" xr:uid="{00000000-0005-0000-0000-0000A52A0000}"/>
    <cellStyle name="Normal 17 2 2 2 2 2 2" xfId="6791" xr:uid="{00000000-0005-0000-0000-0000A62A0000}"/>
    <cellStyle name="Normal 17 2 2 2 2 2 2 2" xfId="15891" xr:uid="{00000000-0005-0000-0000-0000A72A0000}"/>
    <cellStyle name="Normal 17 2 2 2 2 2 2 2 2" xfId="34073" xr:uid="{00000000-0005-0000-0000-0000A82A0000}"/>
    <cellStyle name="Normal 17 2 2 2 2 2 2 3" xfId="24983" xr:uid="{00000000-0005-0000-0000-0000A92A0000}"/>
    <cellStyle name="Normal 17 2 2 2 2 2 3" xfId="11355" xr:uid="{00000000-0005-0000-0000-0000AA2A0000}"/>
    <cellStyle name="Normal 17 2 2 2 2 2 3 2" xfId="29537" xr:uid="{00000000-0005-0000-0000-0000AB2A0000}"/>
    <cellStyle name="Normal 17 2 2 2 2 2 4" xfId="20447" xr:uid="{00000000-0005-0000-0000-0000AC2A0000}"/>
    <cellStyle name="Normal 17 2 2 2 2 3" xfId="3728" xr:uid="{00000000-0005-0000-0000-0000AD2A0000}"/>
    <cellStyle name="Normal 17 2 2 2 2 3 2" xfId="8284" xr:uid="{00000000-0005-0000-0000-0000AE2A0000}"/>
    <cellStyle name="Normal 17 2 2 2 2 3 2 2" xfId="17380" xr:uid="{00000000-0005-0000-0000-0000AF2A0000}"/>
    <cellStyle name="Normal 17 2 2 2 2 3 2 2 2" xfId="35562" xr:uid="{00000000-0005-0000-0000-0000B02A0000}"/>
    <cellStyle name="Normal 17 2 2 2 2 3 2 3" xfId="26472" xr:uid="{00000000-0005-0000-0000-0000B12A0000}"/>
    <cellStyle name="Normal 17 2 2 2 2 3 3" xfId="12840" xr:uid="{00000000-0005-0000-0000-0000B22A0000}"/>
    <cellStyle name="Normal 17 2 2 2 2 3 3 2" xfId="31022" xr:uid="{00000000-0005-0000-0000-0000B32A0000}"/>
    <cellStyle name="Normal 17 2 2 2 2 3 4" xfId="21932" xr:uid="{00000000-0005-0000-0000-0000B42A0000}"/>
    <cellStyle name="Normal 17 2 2 2 2 4" xfId="5367" xr:uid="{00000000-0005-0000-0000-0000B52A0000}"/>
    <cellStyle name="Normal 17 2 2 2 2 4 2" xfId="14467" xr:uid="{00000000-0005-0000-0000-0000B62A0000}"/>
    <cellStyle name="Normal 17 2 2 2 2 4 2 2" xfId="32649" xr:uid="{00000000-0005-0000-0000-0000B72A0000}"/>
    <cellStyle name="Normal 17 2 2 2 2 4 3" xfId="23559" xr:uid="{00000000-0005-0000-0000-0000B82A0000}"/>
    <cellStyle name="Normal 17 2 2 2 2 5" xfId="9933" xr:uid="{00000000-0005-0000-0000-0000B92A0000}"/>
    <cellStyle name="Normal 17 2 2 2 2 5 2" xfId="28115" xr:uid="{00000000-0005-0000-0000-0000BA2A0000}"/>
    <cellStyle name="Normal 17 2 2 2 2 6" xfId="19024" xr:uid="{00000000-0005-0000-0000-0000BB2A0000}"/>
    <cellStyle name="Normal 17 2 2 2 3" xfId="2206" xr:uid="{00000000-0005-0000-0000-0000BC2A0000}"/>
    <cellStyle name="Normal 17 2 2 2 3 2" xfId="6792" xr:uid="{00000000-0005-0000-0000-0000BD2A0000}"/>
    <cellStyle name="Normal 17 2 2 2 3 2 2" xfId="15892" xr:uid="{00000000-0005-0000-0000-0000BE2A0000}"/>
    <cellStyle name="Normal 17 2 2 2 3 2 2 2" xfId="34074" xr:uid="{00000000-0005-0000-0000-0000BF2A0000}"/>
    <cellStyle name="Normal 17 2 2 2 3 2 3" xfId="24984" xr:uid="{00000000-0005-0000-0000-0000C02A0000}"/>
    <cellStyle name="Normal 17 2 2 2 3 3" xfId="11356" xr:uid="{00000000-0005-0000-0000-0000C12A0000}"/>
    <cellStyle name="Normal 17 2 2 2 3 3 2" xfId="29538" xr:uid="{00000000-0005-0000-0000-0000C22A0000}"/>
    <cellStyle name="Normal 17 2 2 2 3 4" xfId="20448" xr:uid="{00000000-0005-0000-0000-0000C32A0000}"/>
    <cellStyle name="Normal 17 2 2 2 4" xfId="3727" xr:uid="{00000000-0005-0000-0000-0000C42A0000}"/>
    <cellStyle name="Normal 17 2 2 2 4 2" xfId="8283" xr:uid="{00000000-0005-0000-0000-0000C52A0000}"/>
    <cellStyle name="Normal 17 2 2 2 4 2 2" xfId="17379" xr:uid="{00000000-0005-0000-0000-0000C62A0000}"/>
    <cellStyle name="Normal 17 2 2 2 4 2 2 2" xfId="35561" xr:uid="{00000000-0005-0000-0000-0000C72A0000}"/>
    <cellStyle name="Normal 17 2 2 2 4 2 3" xfId="26471" xr:uid="{00000000-0005-0000-0000-0000C82A0000}"/>
    <cellStyle name="Normal 17 2 2 2 4 3" xfId="12839" xr:uid="{00000000-0005-0000-0000-0000C92A0000}"/>
    <cellStyle name="Normal 17 2 2 2 4 3 2" xfId="31021" xr:uid="{00000000-0005-0000-0000-0000CA2A0000}"/>
    <cellStyle name="Normal 17 2 2 2 4 4" xfId="21931" xr:uid="{00000000-0005-0000-0000-0000CB2A0000}"/>
    <cellStyle name="Normal 17 2 2 2 5" xfId="5366" xr:uid="{00000000-0005-0000-0000-0000CC2A0000}"/>
    <cellStyle name="Normal 17 2 2 2 5 2" xfId="14466" xr:uid="{00000000-0005-0000-0000-0000CD2A0000}"/>
    <cellStyle name="Normal 17 2 2 2 5 2 2" xfId="32648" xr:uid="{00000000-0005-0000-0000-0000CE2A0000}"/>
    <cellStyle name="Normal 17 2 2 2 5 3" xfId="23558" xr:uid="{00000000-0005-0000-0000-0000CF2A0000}"/>
    <cellStyle name="Normal 17 2 2 2 6" xfId="9932" xr:uid="{00000000-0005-0000-0000-0000D02A0000}"/>
    <cellStyle name="Normal 17 2 2 2 6 2" xfId="28114" xr:uid="{00000000-0005-0000-0000-0000D12A0000}"/>
    <cellStyle name="Normal 17 2 2 2 7" xfId="19023" xr:uid="{00000000-0005-0000-0000-0000D22A0000}"/>
    <cellStyle name="Normal 17 2 2 3" xfId="719" xr:uid="{00000000-0005-0000-0000-0000D32A0000}"/>
    <cellStyle name="Normal 17 2 2 3 2" xfId="2207" xr:uid="{00000000-0005-0000-0000-0000D42A0000}"/>
    <cellStyle name="Normal 17 2 2 3 2 2" xfId="6793" xr:uid="{00000000-0005-0000-0000-0000D52A0000}"/>
    <cellStyle name="Normal 17 2 2 3 2 2 2" xfId="15893" xr:uid="{00000000-0005-0000-0000-0000D62A0000}"/>
    <cellStyle name="Normal 17 2 2 3 2 2 2 2" xfId="34075" xr:uid="{00000000-0005-0000-0000-0000D72A0000}"/>
    <cellStyle name="Normal 17 2 2 3 2 2 3" xfId="24985" xr:uid="{00000000-0005-0000-0000-0000D82A0000}"/>
    <cellStyle name="Normal 17 2 2 3 2 3" xfId="11357" xr:uid="{00000000-0005-0000-0000-0000D92A0000}"/>
    <cellStyle name="Normal 17 2 2 3 2 3 2" xfId="29539" xr:uid="{00000000-0005-0000-0000-0000DA2A0000}"/>
    <cellStyle name="Normal 17 2 2 3 2 4" xfId="20449" xr:uid="{00000000-0005-0000-0000-0000DB2A0000}"/>
    <cellStyle name="Normal 17 2 2 3 3" xfId="3729" xr:uid="{00000000-0005-0000-0000-0000DC2A0000}"/>
    <cellStyle name="Normal 17 2 2 3 3 2" xfId="8285" xr:uid="{00000000-0005-0000-0000-0000DD2A0000}"/>
    <cellStyle name="Normal 17 2 2 3 3 2 2" xfId="17381" xr:uid="{00000000-0005-0000-0000-0000DE2A0000}"/>
    <cellStyle name="Normal 17 2 2 3 3 2 2 2" xfId="35563" xr:uid="{00000000-0005-0000-0000-0000DF2A0000}"/>
    <cellStyle name="Normal 17 2 2 3 3 2 3" xfId="26473" xr:uid="{00000000-0005-0000-0000-0000E02A0000}"/>
    <cellStyle name="Normal 17 2 2 3 3 3" xfId="12841" xr:uid="{00000000-0005-0000-0000-0000E12A0000}"/>
    <cellStyle name="Normal 17 2 2 3 3 3 2" xfId="31023" xr:uid="{00000000-0005-0000-0000-0000E22A0000}"/>
    <cellStyle name="Normal 17 2 2 3 3 4" xfId="21933" xr:uid="{00000000-0005-0000-0000-0000E32A0000}"/>
    <cellStyle name="Normal 17 2 2 3 4" xfId="5368" xr:uid="{00000000-0005-0000-0000-0000E42A0000}"/>
    <cellStyle name="Normal 17 2 2 3 4 2" xfId="14468" xr:uid="{00000000-0005-0000-0000-0000E52A0000}"/>
    <cellStyle name="Normal 17 2 2 3 4 2 2" xfId="32650" xr:uid="{00000000-0005-0000-0000-0000E62A0000}"/>
    <cellStyle name="Normal 17 2 2 3 4 3" xfId="23560" xr:uid="{00000000-0005-0000-0000-0000E72A0000}"/>
    <cellStyle name="Normal 17 2 2 3 5" xfId="9934" xr:uid="{00000000-0005-0000-0000-0000E82A0000}"/>
    <cellStyle name="Normal 17 2 2 3 5 2" xfId="28116" xr:uid="{00000000-0005-0000-0000-0000E92A0000}"/>
    <cellStyle name="Normal 17 2 2 3 6" xfId="19025" xr:uid="{00000000-0005-0000-0000-0000EA2A0000}"/>
    <cellStyle name="Normal 17 2 2 4" xfId="720" xr:uid="{00000000-0005-0000-0000-0000EB2A0000}"/>
    <cellStyle name="Normal 17 2 2 4 2" xfId="3730" xr:uid="{00000000-0005-0000-0000-0000EC2A0000}"/>
    <cellStyle name="Normal 17 2 2 4 2 2" xfId="8286" xr:uid="{00000000-0005-0000-0000-0000ED2A0000}"/>
    <cellStyle name="Normal 17 2 2 4 2 2 2" xfId="17382" xr:uid="{00000000-0005-0000-0000-0000EE2A0000}"/>
    <cellStyle name="Normal 17 2 2 4 2 2 2 2" xfId="35564" xr:uid="{00000000-0005-0000-0000-0000EF2A0000}"/>
    <cellStyle name="Normal 17 2 2 4 2 2 3" xfId="26474" xr:uid="{00000000-0005-0000-0000-0000F02A0000}"/>
    <cellStyle name="Normal 17 2 2 4 2 3" xfId="12842" xr:uid="{00000000-0005-0000-0000-0000F12A0000}"/>
    <cellStyle name="Normal 17 2 2 4 2 3 2" xfId="31024" xr:uid="{00000000-0005-0000-0000-0000F22A0000}"/>
    <cellStyle name="Normal 17 2 2 4 2 4" xfId="21934" xr:uid="{00000000-0005-0000-0000-0000F32A0000}"/>
    <cellStyle name="Normal 17 2 2 4 3" xfId="5369" xr:uid="{00000000-0005-0000-0000-0000F42A0000}"/>
    <cellStyle name="Normal 17 2 2 4 3 2" xfId="14469" xr:uid="{00000000-0005-0000-0000-0000F52A0000}"/>
    <cellStyle name="Normal 17 2 2 4 3 2 2" xfId="32651" xr:uid="{00000000-0005-0000-0000-0000F62A0000}"/>
    <cellStyle name="Normal 17 2 2 4 3 3" xfId="23561" xr:uid="{00000000-0005-0000-0000-0000F72A0000}"/>
    <cellStyle name="Normal 17 2 2 4 4" xfId="9935" xr:uid="{00000000-0005-0000-0000-0000F82A0000}"/>
    <cellStyle name="Normal 17 2 2 4 4 2" xfId="28117" xr:uid="{00000000-0005-0000-0000-0000F92A0000}"/>
    <cellStyle name="Normal 17 2 2 4 5" xfId="19026" xr:uid="{00000000-0005-0000-0000-0000FA2A0000}"/>
    <cellStyle name="Normal 17 2 2 5" xfId="2208" xr:uid="{00000000-0005-0000-0000-0000FB2A0000}"/>
    <cellStyle name="Normal 17 2 2 5 2" xfId="6794" xr:uid="{00000000-0005-0000-0000-0000FC2A0000}"/>
    <cellStyle name="Normal 17 2 2 5 2 2" xfId="15894" xr:uid="{00000000-0005-0000-0000-0000FD2A0000}"/>
    <cellStyle name="Normal 17 2 2 5 2 2 2" xfId="34076" xr:uid="{00000000-0005-0000-0000-0000FE2A0000}"/>
    <cellStyle name="Normal 17 2 2 5 2 3" xfId="24986" xr:uid="{00000000-0005-0000-0000-0000FF2A0000}"/>
    <cellStyle name="Normal 17 2 2 5 3" xfId="11358" xr:uid="{00000000-0005-0000-0000-0000002B0000}"/>
    <cellStyle name="Normal 17 2 2 5 3 2" xfId="29540" xr:uid="{00000000-0005-0000-0000-0000012B0000}"/>
    <cellStyle name="Normal 17 2 2 5 4" xfId="20450" xr:uid="{00000000-0005-0000-0000-0000022B0000}"/>
    <cellStyle name="Normal 17 2 2 6" xfId="3726" xr:uid="{00000000-0005-0000-0000-0000032B0000}"/>
    <cellStyle name="Normal 17 2 2 6 2" xfId="8282" xr:uid="{00000000-0005-0000-0000-0000042B0000}"/>
    <cellStyle name="Normal 17 2 2 6 2 2" xfId="17378" xr:uid="{00000000-0005-0000-0000-0000052B0000}"/>
    <cellStyle name="Normal 17 2 2 6 2 2 2" xfId="35560" xr:uid="{00000000-0005-0000-0000-0000062B0000}"/>
    <cellStyle name="Normal 17 2 2 6 2 3" xfId="26470" xr:uid="{00000000-0005-0000-0000-0000072B0000}"/>
    <cellStyle name="Normal 17 2 2 6 3" xfId="12838" xr:uid="{00000000-0005-0000-0000-0000082B0000}"/>
    <cellStyle name="Normal 17 2 2 6 3 2" xfId="31020" xr:uid="{00000000-0005-0000-0000-0000092B0000}"/>
    <cellStyle name="Normal 17 2 2 6 4" xfId="21930" xr:uid="{00000000-0005-0000-0000-00000A2B0000}"/>
    <cellStyle name="Normal 17 2 2 7" xfId="5365" xr:uid="{00000000-0005-0000-0000-00000B2B0000}"/>
    <cellStyle name="Normal 17 2 2 7 2" xfId="14465" xr:uid="{00000000-0005-0000-0000-00000C2B0000}"/>
    <cellStyle name="Normal 17 2 2 7 2 2" xfId="32647" xr:uid="{00000000-0005-0000-0000-00000D2B0000}"/>
    <cellStyle name="Normal 17 2 2 7 3" xfId="23557" xr:uid="{00000000-0005-0000-0000-00000E2B0000}"/>
    <cellStyle name="Normal 17 2 2 8" xfId="9931" xr:uid="{00000000-0005-0000-0000-00000F2B0000}"/>
    <cellStyle name="Normal 17 2 2 8 2" xfId="28113" xr:uid="{00000000-0005-0000-0000-0000102B0000}"/>
    <cellStyle name="Normal 17 2 2 9" xfId="19022" xr:uid="{00000000-0005-0000-0000-0000112B0000}"/>
    <cellStyle name="Normal 17 2 3" xfId="721" xr:uid="{00000000-0005-0000-0000-0000122B0000}"/>
    <cellStyle name="Normal 17 2 3 2" xfId="722" xr:uid="{00000000-0005-0000-0000-0000132B0000}"/>
    <cellStyle name="Normal 17 2 3 2 2" xfId="2209" xr:uid="{00000000-0005-0000-0000-0000142B0000}"/>
    <cellStyle name="Normal 17 2 3 2 2 2" xfId="6795" xr:uid="{00000000-0005-0000-0000-0000152B0000}"/>
    <cellStyle name="Normal 17 2 3 2 2 2 2" xfId="15895" xr:uid="{00000000-0005-0000-0000-0000162B0000}"/>
    <cellStyle name="Normal 17 2 3 2 2 2 2 2" xfId="34077" xr:uid="{00000000-0005-0000-0000-0000172B0000}"/>
    <cellStyle name="Normal 17 2 3 2 2 2 3" xfId="24987" xr:uid="{00000000-0005-0000-0000-0000182B0000}"/>
    <cellStyle name="Normal 17 2 3 2 2 3" xfId="11359" xr:uid="{00000000-0005-0000-0000-0000192B0000}"/>
    <cellStyle name="Normal 17 2 3 2 2 3 2" xfId="29541" xr:uid="{00000000-0005-0000-0000-00001A2B0000}"/>
    <cellStyle name="Normal 17 2 3 2 2 4" xfId="20451" xr:uid="{00000000-0005-0000-0000-00001B2B0000}"/>
    <cellStyle name="Normal 17 2 3 2 3" xfId="3732" xr:uid="{00000000-0005-0000-0000-00001C2B0000}"/>
    <cellStyle name="Normal 17 2 3 2 3 2" xfId="8288" xr:uid="{00000000-0005-0000-0000-00001D2B0000}"/>
    <cellStyle name="Normal 17 2 3 2 3 2 2" xfId="17384" xr:uid="{00000000-0005-0000-0000-00001E2B0000}"/>
    <cellStyle name="Normal 17 2 3 2 3 2 2 2" xfId="35566" xr:uid="{00000000-0005-0000-0000-00001F2B0000}"/>
    <cellStyle name="Normal 17 2 3 2 3 2 3" xfId="26476" xr:uid="{00000000-0005-0000-0000-0000202B0000}"/>
    <cellStyle name="Normal 17 2 3 2 3 3" xfId="12844" xr:uid="{00000000-0005-0000-0000-0000212B0000}"/>
    <cellStyle name="Normal 17 2 3 2 3 3 2" xfId="31026" xr:uid="{00000000-0005-0000-0000-0000222B0000}"/>
    <cellStyle name="Normal 17 2 3 2 3 4" xfId="21936" xr:uid="{00000000-0005-0000-0000-0000232B0000}"/>
    <cellStyle name="Normal 17 2 3 2 4" xfId="5371" xr:uid="{00000000-0005-0000-0000-0000242B0000}"/>
    <cellStyle name="Normal 17 2 3 2 4 2" xfId="14471" xr:uid="{00000000-0005-0000-0000-0000252B0000}"/>
    <cellStyle name="Normal 17 2 3 2 4 2 2" xfId="32653" xr:uid="{00000000-0005-0000-0000-0000262B0000}"/>
    <cellStyle name="Normal 17 2 3 2 4 3" xfId="23563" xr:uid="{00000000-0005-0000-0000-0000272B0000}"/>
    <cellStyle name="Normal 17 2 3 2 5" xfId="9937" xr:uid="{00000000-0005-0000-0000-0000282B0000}"/>
    <cellStyle name="Normal 17 2 3 2 5 2" xfId="28119" xr:uid="{00000000-0005-0000-0000-0000292B0000}"/>
    <cellStyle name="Normal 17 2 3 2 6" xfId="19028" xr:uid="{00000000-0005-0000-0000-00002A2B0000}"/>
    <cellStyle name="Normal 17 2 3 3" xfId="2210" xr:uid="{00000000-0005-0000-0000-00002B2B0000}"/>
    <cellStyle name="Normal 17 2 3 3 2" xfId="6796" xr:uid="{00000000-0005-0000-0000-00002C2B0000}"/>
    <cellStyle name="Normal 17 2 3 3 2 2" xfId="15896" xr:uid="{00000000-0005-0000-0000-00002D2B0000}"/>
    <cellStyle name="Normal 17 2 3 3 2 2 2" xfId="34078" xr:uid="{00000000-0005-0000-0000-00002E2B0000}"/>
    <cellStyle name="Normal 17 2 3 3 2 3" xfId="24988" xr:uid="{00000000-0005-0000-0000-00002F2B0000}"/>
    <cellStyle name="Normal 17 2 3 3 3" xfId="11360" xr:uid="{00000000-0005-0000-0000-0000302B0000}"/>
    <cellStyle name="Normal 17 2 3 3 3 2" xfId="29542" xr:uid="{00000000-0005-0000-0000-0000312B0000}"/>
    <cellStyle name="Normal 17 2 3 3 4" xfId="20452" xr:uid="{00000000-0005-0000-0000-0000322B0000}"/>
    <cellStyle name="Normal 17 2 3 4" xfId="3731" xr:uid="{00000000-0005-0000-0000-0000332B0000}"/>
    <cellStyle name="Normal 17 2 3 4 2" xfId="8287" xr:uid="{00000000-0005-0000-0000-0000342B0000}"/>
    <cellStyle name="Normal 17 2 3 4 2 2" xfId="17383" xr:uid="{00000000-0005-0000-0000-0000352B0000}"/>
    <cellStyle name="Normal 17 2 3 4 2 2 2" xfId="35565" xr:uid="{00000000-0005-0000-0000-0000362B0000}"/>
    <cellStyle name="Normal 17 2 3 4 2 3" xfId="26475" xr:uid="{00000000-0005-0000-0000-0000372B0000}"/>
    <cellStyle name="Normal 17 2 3 4 3" xfId="12843" xr:uid="{00000000-0005-0000-0000-0000382B0000}"/>
    <cellStyle name="Normal 17 2 3 4 3 2" xfId="31025" xr:uid="{00000000-0005-0000-0000-0000392B0000}"/>
    <cellStyle name="Normal 17 2 3 4 4" xfId="21935" xr:uid="{00000000-0005-0000-0000-00003A2B0000}"/>
    <cellStyle name="Normal 17 2 3 5" xfId="5370" xr:uid="{00000000-0005-0000-0000-00003B2B0000}"/>
    <cellStyle name="Normal 17 2 3 5 2" xfId="14470" xr:uid="{00000000-0005-0000-0000-00003C2B0000}"/>
    <cellStyle name="Normal 17 2 3 5 2 2" xfId="32652" xr:uid="{00000000-0005-0000-0000-00003D2B0000}"/>
    <cellStyle name="Normal 17 2 3 5 3" xfId="23562" xr:uid="{00000000-0005-0000-0000-00003E2B0000}"/>
    <cellStyle name="Normal 17 2 3 6" xfId="9936" xr:uid="{00000000-0005-0000-0000-00003F2B0000}"/>
    <cellStyle name="Normal 17 2 3 6 2" xfId="28118" xr:uid="{00000000-0005-0000-0000-0000402B0000}"/>
    <cellStyle name="Normal 17 2 3 7" xfId="19027" xr:uid="{00000000-0005-0000-0000-0000412B0000}"/>
    <cellStyle name="Normal 17 2 4" xfId="723" xr:uid="{00000000-0005-0000-0000-0000422B0000}"/>
    <cellStyle name="Normal 17 2 4 2" xfId="2211" xr:uid="{00000000-0005-0000-0000-0000432B0000}"/>
    <cellStyle name="Normal 17 2 4 2 2" xfId="6797" xr:uid="{00000000-0005-0000-0000-0000442B0000}"/>
    <cellStyle name="Normal 17 2 4 2 2 2" xfId="15897" xr:uid="{00000000-0005-0000-0000-0000452B0000}"/>
    <cellStyle name="Normal 17 2 4 2 2 2 2" xfId="34079" xr:uid="{00000000-0005-0000-0000-0000462B0000}"/>
    <cellStyle name="Normal 17 2 4 2 2 3" xfId="24989" xr:uid="{00000000-0005-0000-0000-0000472B0000}"/>
    <cellStyle name="Normal 17 2 4 2 3" xfId="11361" xr:uid="{00000000-0005-0000-0000-0000482B0000}"/>
    <cellStyle name="Normal 17 2 4 2 3 2" xfId="29543" xr:uid="{00000000-0005-0000-0000-0000492B0000}"/>
    <cellStyle name="Normal 17 2 4 2 4" xfId="20453" xr:uid="{00000000-0005-0000-0000-00004A2B0000}"/>
    <cellStyle name="Normal 17 2 4 3" xfId="3733" xr:uid="{00000000-0005-0000-0000-00004B2B0000}"/>
    <cellStyle name="Normal 17 2 4 3 2" xfId="8289" xr:uid="{00000000-0005-0000-0000-00004C2B0000}"/>
    <cellStyle name="Normal 17 2 4 3 2 2" xfId="17385" xr:uid="{00000000-0005-0000-0000-00004D2B0000}"/>
    <cellStyle name="Normal 17 2 4 3 2 2 2" xfId="35567" xr:uid="{00000000-0005-0000-0000-00004E2B0000}"/>
    <cellStyle name="Normal 17 2 4 3 2 3" xfId="26477" xr:uid="{00000000-0005-0000-0000-00004F2B0000}"/>
    <cellStyle name="Normal 17 2 4 3 3" xfId="12845" xr:uid="{00000000-0005-0000-0000-0000502B0000}"/>
    <cellStyle name="Normal 17 2 4 3 3 2" xfId="31027" xr:uid="{00000000-0005-0000-0000-0000512B0000}"/>
    <cellStyle name="Normal 17 2 4 3 4" xfId="21937" xr:uid="{00000000-0005-0000-0000-0000522B0000}"/>
    <cellStyle name="Normal 17 2 4 4" xfId="5372" xr:uid="{00000000-0005-0000-0000-0000532B0000}"/>
    <cellStyle name="Normal 17 2 4 4 2" xfId="14472" xr:uid="{00000000-0005-0000-0000-0000542B0000}"/>
    <cellStyle name="Normal 17 2 4 4 2 2" xfId="32654" xr:uid="{00000000-0005-0000-0000-0000552B0000}"/>
    <cellStyle name="Normal 17 2 4 4 3" xfId="23564" xr:uid="{00000000-0005-0000-0000-0000562B0000}"/>
    <cellStyle name="Normal 17 2 4 5" xfId="9938" xr:uid="{00000000-0005-0000-0000-0000572B0000}"/>
    <cellStyle name="Normal 17 2 4 5 2" xfId="28120" xr:uid="{00000000-0005-0000-0000-0000582B0000}"/>
    <cellStyle name="Normal 17 2 4 6" xfId="19029" xr:uid="{00000000-0005-0000-0000-0000592B0000}"/>
    <cellStyle name="Normal 17 2 5" xfId="724" xr:uid="{00000000-0005-0000-0000-00005A2B0000}"/>
    <cellStyle name="Normal 17 2 5 2" xfId="3734" xr:uid="{00000000-0005-0000-0000-00005B2B0000}"/>
    <cellStyle name="Normal 17 2 5 2 2" xfId="8290" xr:uid="{00000000-0005-0000-0000-00005C2B0000}"/>
    <cellStyle name="Normal 17 2 5 2 2 2" xfId="17386" xr:uid="{00000000-0005-0000-0000-00005D2B0000}"/>
    <cellStyle name="Normal 17 2 5 2 2 2 2" xfId="35568" xr:uid="{00000000-0005-0000-0000-00005E2B0000}"/>
    <cellStyle name="Normal 17 2 5 2 2 3" xfId="26478" xr:uid="{00000000-0005-0000-0000-00005F2B0000}"/>
    <cellStyle name="Normal 17 2 5 2 3" xfId="12846" xr:uid="{00000000-0005-0000-0000-0000602B0000}"/>
    <cellStyle name="Normal 17 2 5 2 3 2" xfId="31028" xr:uid="{00000000-0005-0000-0000-0000612B0000}"/>
    <cellStyle name="Normal 17 2 5 2 4" xfId="21938" xr:uid="{00000000-0005-0000-0000-0000622B0000}"/>
    <cellStyle name="Normal 17 2 5 3" xfId="5373" xr:uid="{00000000-0005-0000-0000-0000632B0000}"/>
    <cellStyle name="Normal 17 2 5 3 2" xfId="14473" xr:uid="{00000000-0005-0000-0000-0000642B0000}"/>
    <cellStyle name="Normal 17 2 5 3 2 2" xfId="32655" xr:uid="{00000000-0005-0000-0000-0000652B0000}"/>
    <cellStyle name="Normal 17 2 5 3 3" xfId="23565" xr:uid="{00000000-0005-0000-0000-0000662B0000}"/>
    <cellStyle name="Normal 17 2 5 4" xfId="9939" xr:uid="{00000000-0005-0000-0000-0000672B0000}"/>
    <cellStyle name="Normal 17 2 5 4 2" xfId="28121" xr:uid="{00000000-0005-0000-0000-0000682B0000}"/>
    <cellStyle name="Normal 17 2 5 5" xfId="19030" xr:uid="{00000000-0005-0000-0000-0000692B0000}"/>
    <cellStyle name="Normal 17 2 6" xfId="2212" xr:uid="{00000000-0005-0000-0000-00006A2B0000}"/>
    <cellStyle name="Normal 17 2 6 2" xfId="6798" xr:uid="{00000000-0005-0000-0000-00006B2B0000}"/>
    <cellStyle name="Normal 17 2 6 2 2" xfId="15898" xr:uid="{00000000-0005-0000-0000-00006C2B0000}"/>
    <cellStyle name="Normal 17 2 6 2 2 2" xfId="34080" xr:uid="{00000000-0005-0000-0000-00006D2B0000}"/>
    <cellStyle name="Normal 17 2 6 2 3" xfId="24990" xr:uid="{00000000-0005-0000-0000-00006E2B0000}"/>
    <cellStyle name="Normal 17 2 6 3" xfId="11362" xr:uid="{00000000-0005-0000-0000-00006F2B0000}"/>
    <cellStyle name="Normal 17 2 6 3 2" xfId="29544" xr:uid="{00000000-0005-0000-0000-0000702B0000}"/>
    <cellStyle name="Normal 17 2 6 4" xfId="20454" xr:uid="{00000000-0005-0000-0000-0000712B0000}"/>
    <cellStyle name="Normal 17 2 7" xfId="3232" xr:uid="{00000000-0005-0000-0000-0000722B0000}"/>
    <cellStyle name="Normal 17 2 7 2" xfId="7792" xr:uid="{00000000-0005-0000-0000-0000732B0000}"/>
    <cellStyle name="Normal 17 2 7 2 2" xfId="16888" xr:uid="{00000000-0005-0000-0000-0000742B0000}"/>
    <cellStyle name="Normal 17 2 7 2 2 2" xfId="35070" xr:uid="{00000000-0005-0000-0000-0000752B0000}"/>
    <cellStyle name="Normal 17 2 7 2 3" xfId="25980" xr:uid="{00000000-0005-0000-0000-0000762B0000}"/>
    <cellStyle name="Normal 17 2 7 3" xfId="12348" xr:uid="{00000000-0005-0000-0000-0000772B0000}"/>
    <cellStyle name="Normal 17 2 7 3 2" xfId="30530" xr:uid="{00000000-0005-0000-0000-0000782B0000}"/>
    <cellStyle name="Normal 17 2 7 4" xfId="21440" xr:uid="{00000000-0005-0000-0000-0000792B0000}"/>
    <cellStyle name="Normal 17 2 8" xfId="4879" xr:uid="{00000000-0005-0000-0000-00007A2B0000}"/>
    <cellStyle name="Normal 17 2 8 2" xfId="13979" xr:uid="{00000000-0005-0000-0000-00007B2B0000}"/>
    <cellStyle name="Normal 17 2 8 2 2" xfId="32161" xr:uid="{00000000-0005-0000-0000-00007C2B0000}"/>
    <cellStyle name="Normal 17 2 8 3" xfId="23071" xr:uid="{00000000-0005-0000-0000-00007D2B0000}"/>
    <cellStyle name="Normal 17 2 9" xfId="9445" xr:uid="{00000000-0005-0000-0000-00007E2B0000}"/>
    <cellStyle name="Normal 17 2 9 2" xfId="27627" xr:uid="{00000000-0005-0000-0000-00007F2B0000}"/>
    <cellStyle name="Normal 17 3" xfId="725" xr:uid="{00000000-0005-0000-0000-0000802B0000}"/>
    <cellStyle name="Normal 17 3 10" xfId="19031" xr:uid="{00000000-0005-0000-0000-0000812B0000}"/>
    <cellStyle name="Normal 17 3 2" xfId="726" xr:uid="{00000000-0005-0000-0000-0000822B0000}"/>
    <cellStyle name="Normal 17 3 2 2" xfId="727" xr:uid="{00000000-0005-0000-0000-0000832B0000}"/>
    <cellStyle name="Normal 17 3 2 2 2" xfId="728" xr:uid="{00000000-0005-0000-0000-0000842B0000}"/>
    <cellStyle name="Normal 17 3 2 2 2 2" xfId="2213" xr:uid="{00000000-0005-0000-0000-0000852B0000}"/>
    <cellStyle name="Normal 17 3 2 2 2 2 2" xfId="6799" xr:uid="{00000000-0005-0000-0000-0000862B0000}"/>
    <cellStyle name="Normal 17 3 2 2 2 2 2 2" xfId="15899" xr:uid="{00000000-0005-0000-0000-0000872B0000}"/>
    <cellStyle name="Normal 17 3 2 2 2 2 2 2 2" xfId="34081" xr:uid="{00000000-0005-0000-0000-0000882B0000}"/>
    <cellStyle name="Normal 17 3 2 2 2 2 2 3" xfId="24991" xr:uid="{00000000-0005-0000-0000-0000892B0000}"/>
    <cellStyle name="Normal 17 3 2 2 2 2 3" xfId="11363" xr:uid="{00000000-0005-0000-0000-00008A2B0000}"/>
    <cellStyle name="Normal 17 3 2 2 2 2 3 2" xfId="29545" xr:uid="{00000000-0005-0000-0000-00008B2B0000}"/>
    <cellStyle name="Normal 17 3 2 2 2 2 4" xfId="20455" xr:uid="{00000000-0005-0000-0000-00008C2B0000}"/>
    <cellStyle name="Normal 17 3 2 2 2 3" xfId="3738" xr:uid="{00000000-0005-0000-0000-00008D2B0000}"/>
    <cellStyle name="Normal 17 3 2 2 2 3 2" xfId="8294" xr:uid="{00000000-0005-0000-0000-00008E2B0000}"/>
    <cellStyle name="Normal 17 3 2 2 2 3 2 2" xfId="17390" xr:uid="{00000000-0005-0000-0000-00008F2B0000}"/>
    <cellStyle name="Normal 17 3 2 2 2 3 2 2 2" xfId="35572" xr:uid="{00000000-0005-0000-0000-0000902B0000}"/>
    <cellStyle name="Normal 17 3 2 2 2 3 2 3" xfId="26482" xr:uid="{00000000-0005-0000-0000-0000912B0000}"/>
    <cellStyle name="Normal 17 3 2 2 2 3 3" xfId="12850" xr:uid="{00000000-0005-0000-0000-0000922B0000}"/>
    <cellStyle name="Normal 17 3 2 2 2 3 3 2" xfId="31032" xr:uid="{00000000-0005-0000-0000-0000932B0000}"/>
    <cellStyle name="Normal 17 3 2 2 2 3 4" xfId="21942" xr:uid="{00000000-0005-0000-0000-0000942B0000}"/>
    <cellStyle name="Normal 17 3 2 2 2 4" xfId="5377" xr:uid="{00000000-0005-0000-0000-0000952B0000}"/>
    <cellStyle name="Normal 17 3 2 2 2 4 2" xfId="14477" xr:uid="{00000000-0005-0000-0000-0000962B0000}"/>
    <cellStyle name="Normal 17 3 2 2 2 4 2 2" xfId="32659" xr:uid="{00000000-0005-0000-0000-0000972B0000}"/>
    <cellStyle name="Normal 17 3 2 2 2 4 3" xfId="23569" xr:uid="{00000000-0005-0000-0000-0000982B0000}"/>
    <cellStyle name="Normal 17 3 2 2 2 5" xfId="9943" xr:uid="{00000000-0005-0000-0000-0000992B0000}"/>
    <cellStyle name="Normal 17 3 2 2 2 5 2" xfId="28125" xr:uid="{00000000-0005-0000-0000-00009A2B0000}"/>
    <cellStyle name="Normal 17 3 2 2 2 6" xfId="19034" xr:uid="{00000000-0005-0000-0000-00009B2B0000}"/>
    <cellStyle name="Normal 17 3 2 2 3" xfId="2214" xr:uid="{00000000-0005-0000-0000-00009C2B0000}"/>
    <cellStyle name="Normal 17 3 2 2 3 2" xfId="6800" xr:uid="{00000000-0005-0000-0000-00009D2B0000}"/>
    <cellStyle name="Normal 17 3 2 2 3 2 2" xfId="15900" xr:uid="{00000000-0005-0000-0000-00009E2B0000}"/>
    <cellStyle name="Normal 17 3 2 2 3 2 2 2" xfId="34082" xr:uid="{00000000-0005-0000-0000-00009F2B0000}"/>
    <cellStyle name="Normal 17 3 2 2 3 2 3" xfId="24992" xr:uid="{00000000-0005-0000-0000-0000A02B0000}"/>
    <cellStyle name="Normal 17 3 2 2 3 3" xfId="11364" xr:uid="{00000000-0005-0000-0000-0000A12B0000}"/>
    <cellStyle name="Normal 17 3 2 2 3 3 2" xfId="29546" xr:uid="{00000000-0005-0000-0000-0000A22B0000}"/>
    <cellStyle name="Normal 17 3 2 2 3 4" xfId="20456" xr:uid="{00000000-0005-0000-0000-0000A32B0000}"/>
    <cellStyle name="Normal 17 3 2 2 4" xfId="3737" xr:uid="{00000000-0005-0000-0000-0000A42B0000}"/>
    <cellStyle name="Normal 17 3 2 2 4 2" xfId="8293" xr:uid="{00000000-0005-0000-0000-0000A52B0000}"/>
    <cellStyle name="Normal 17 3 2 2 4 2 2" xfId="17389" xr:uid="{00000000-0005-0000-0000-0000A62B0000}"/>
    <cellStyle name="Normal 17 3 2 2 4 2 2 2" xfId="35571" xr:uid="{00000000-0005-0000-0000-0000A72B0000}"/>
    <cellStyle name="Normal 17 3 2 2 4 2 3" xfId="26481" xr:uid="{00000000-0005-0000-0000-0000A82B0000}"/>
    <cellStyle name="Normal 17 3 2 2 4 3" xfId="12849" xr:uid="{00000000-0005-0000-0000-0000A92B0000}"/>
    <cellStyle name="Normal 17 3 2 2 4 3 2" xfId="31031" xr:uid="{00000000-0005-0000-0000-0000AA2B0000}"/>
    <cellStyle name="Normal 17 3 2 2 4 4" xfId="21941" xr:uid="{00000000-0005-0000-0000-0000AB2B0000}"/>
    <cellStyle name="Normal 17 3 2 2 5" xfId="5376" xr:uid="{00000000-0005-0000-0000-0000AC2B0000}"/>
    <cellStyle name="Normal 17 3 2 2 5 2" xfId="14476" xr:uid="{00000000-0005-0000-0000-0000AD2B0000}"/>
    <cellStyle name="Normal 17 3 2 2 5 2 2" xfId="32658" xr:uid="{00000000-0005-0000-0000-0000AE2B0000}"/>
    <cellStyle name="Normal 17 3 2 2 5 3" xfId="23568" xr:uid="{00000000-0005-0000-0000-0000AF2B0000}"/>
    <cellStyle name="Normal 17 3 2 2 6" xfId="9942" xr:uid="{00000000-0005-0000-0000-0000B02B0000}"/>
    <cellStyle name="Normal 17 3 2 2 6 2" xfId="28124" xr:uid="{00000000-0005-0000-0000-0000B12B0000}"/>
    <cellStyle name="Normal 17 3 2 2 7" xfId="19033" xr:uid="{00000000-0005-0000-0000-0000B22B0000}"/>
    <cellStyle name="Normal 17 3 2 3" xfId="729" xr:uid="{00000000-0005-0000-0000-0000B32B0000}"/>
    <cellStyle name="Normal 17 3 2 3 2" xfId="2215" xr:uid="{00000000-0005-0000-0000-0000B42B0000}"/>
    <cellStyle name="Normal 17 3 2 3 2 2" xfId="6801" xr:uid="{00000000-0005-0000-0000-0000B52B0000}"/>
    <cellStyle name="Normal 17 3 2 3 2 2 2" xfId="15901" xr:uid="{00000000-0005-0000-0000-0000B62B0000}"/>
    <cellStyle name="Normal 17 3 2 3 2 2 2 2" xfId="34083" xr:uid="{00000000-0005-0000-0000-0000B72B0000}"/>
    <cellStyle name="Normal 17 3 2 3 2 2 3" xfId="24993" xr:uid="{00000000-0005-0000-0000-0000B82B0000}"/>
    <cellStyle name="Normal 17 3 2 3 2 3" xfId="11365" xr:uid="{00000000-0005-0000-0000-0000B92B0000}"/>
    <cellStyle name="Normal 17 3 2 3 2 3 2" xfId="29547" xr:uid="{00000000-0005-0000-0000-0000BA2B0000}"/>
    <cellStyle name="Normal 17 3 2 3 2 4" xfId="20457" xr:uid="{00000000-0005-0000-0000-0000BB2B0000}"/>
    <cellStyle name="Normal 17 3 2 3 3" xfId="3739" xr:uid="{00000000-0005-0000-0000-0000BC2B0000}"/>
    <cellStyle name="Normal 17 3 2 3 3 2" xfId="8295" xr:uid="{00000000-0005-0000-0000-0000BD2B0000}"/>
    <cellStyle name="Normal 17 3 2 3 3 2 2" xfId="17391" xr:uid="{00000000-0005-0000-0000-0000BE2B0000}"/>
    <cellStyle name="Normal 17 3 2 3 3 2 2 2" xfId="35573" xr:uid="{00000000-0005-0000-0000-0000BF2B0000}"/>
    <cellStyle name="Normal 17 3 2 3 3 2 3" xfId="26483" xr:uid="{00000000-0005-0000-0000-0000C02B0000}"/>
    <cellStyle name="Normal 17 3 2 3 3 3" xfId="12851" xr:uid="{00000000-0005-0000-0000-0000C12B0000}"/>
    <cellStyle name="Normal 17 3 2 3 3 3 2" xfId="31033" xr:uid="{00000000-0005-0000-0000-0000C22B0000}"/>
    <cellStyle name="Normal 17 3 2 3 3 4" xfId="21943" xr:uid="{00000000-0005-0000-0000-0000C32B0000}"/>
    <cellStyle name="Normal 17 3 2 3 4" xfId="5378" xr:uid="{00000000-0005-0000-0000-0000C42B0000}"/>
    <cellStyle name="Normal 17 3 2 3 4 2" xfId="14478" xr:uid="{00000000-0005-0000-0000-0000C52B0000}"/>
    <cellStyle name="Normal 17 3 2 3 4 2 2" xfId="32660" xr:uid="{00000000-0005-0000-0000-0000C62B0000}"/>
    <cellStyle name="Normal 17 3 2 3 4 3" xfId="23570" xr:uid="{00000000-0005-0000-0000-0000C72B0000}"/>
    <cellStyle name="Normal 17 3 2 3 5" xfId="9944" xr:uid="{00000000-0005-0000-0000-0000C82B0000}"/>
    <cellStyle name="Normal 17 3 2 3 5 2" xfId="28126" xr:uid="{00000000-0005-0000-0000-0000C92B0000}"/>
    <cellStyle name="Normal 17 3 2 3 6" xfId="19035" xr:uid="{00000000-0005-0000-0000-0000CA2B0000}"/>
    <cellStyle name="Normal 17 3 2 4" xfId="730" xr:uid="{00000000-0005-0000-0000-0000CB2B0000}"/>
    <cellStyle name="Normal 17 3 2 4 2" xfId="3740" xr:uid="{00000000-0005-0000-0000-0000CC2B0000}"/>
    <cellStyle name="Normal 17 3 2 4 2 2" xfId="8296" xr:uid="{00000000-0005-0000-0000-0000CD2B0000}"/>
    <cellStyle name="Normal 17 3 2 4 2 2 2" xfId="17392" xr:uid="{00000000-0005-0000-0000-0000CE2B0000}"/>
    <cellStyle name="Normal 17 3 2 4 2 2 2 2" xfId="35574" xr:uid="{00000000-0005-0000-0000-0000CF2B0000}"/>
    <cellStyle name="Normal 17 3 2 4 2 2 3" xfId="26484" xr:uid="{00000000-0005-0000-0000-0000D02B0000}"/>
    <cellStyle name="Normal 17 3 2 4 2 3" xfId="12852" xr:uid="{00000000-0005-0000-0000-0000D12B0000}"/>
    <cellStyle name="Normal 17 3 2 4 2 3 2" xfId="31034" xr:uid="{00000000-0005-0000-0000-0000D22B0000}"/>
    <cellStyle name="Normal 17 3 2 4 2 4" xfId="21944" xr:uid="{00000000-0005-0000-0000-0000D32B0000}"/>
    <cellStyle name="Normal 17 3 2 4 3" xfId="5379" xr:uid="{00000000-0005-0000-0000-0000D42B0000}"/>
    <cellStyle name="Normal 17 3 2 4 3 2" xfId="14479" xr:uid="{00000000-0005-0000-0000-0000D52B0000}"/>
    <cellStyle name="Normal 17 3 2 4 3 2 2" xfId="32661" xr:uid="{00000000-0005-0000-0000-0000D62B0000}"/>
    <cellStyle name="Normal 17 3 2 4 3 3" xfId="23571" xr:uid="{00000000-0005-0000-0000-0000D72B0000}"/>
    <cellStyle name="Normal 17 3 2 4 4" xfId="9945" xr:uid="{00000000-0005-0000-0000-0000D82B0000}"/>
    <cellStyle name="Normal 17 3 2 4 4 2" xfId="28127" xr:uid="{00000000-0005-0000-0000-0000D92B0000}"/>
    <cellStyle name="Normal 17 3 2 4 5" xfId="19036" xr:uid="{00000000-0005-0000-0000-0000DA2B0000}"/>
    <cellStyle name="Normal 17 3 2 5" xfId="2216" xr:uid="{00000000-0005-0000-0000-0000DB2B0000}"/>
    <cellStyle name="Normal 17 3 2 5 2" xfId="6802" xr:uid="{00000000-0005-0000-0000-0000DC2B0000}"/>
    <cellStyle name="Normal 17 3 2 5 2 2" xfId="15902" xr:uid="{00000000-0005-0000-0000-0000DD2B0000}"/>
    <cellStyle name="Normal 17 3 2 5 2 2 2" xfId="34084" xr:uid="{00000000-0005-0000-0000-0000DE2B0000}"/>
    <cellStyle name="Normal 17 3 2 5 2 3" xfId="24994" xr:uid="{00000000-0005-0000-0000-0000DF2B0000}"/>
    <cellStyle name="Normal 17 3 2 5 3" xfId="11366" xr:uid="{00000000-0005-0000-0000-0000E02B0000}"/>
    <cellStyle name="Normal 17 3 2 5 3 2" xfId="29548" xr:uid="{00000000-0005-0000-0000-0000E12B0000}"/>
    <cellStyle name="Normal 17 3 2 5 4" xfId="20458" xr:uid="{00000000-0005-0000-0000-0000E22B0000}"/>
    <cellStyle name="Normal 17 3 2 6" xfId="3736" xr:uid="{00000000-0005-0000-0000-0000E32B0000}"/>
    <cellStyle name="Normal 17 3 2 6 2" xfId="8292" xr:uid="{00000000-0005-0000-0000-0000E42B0000}"/>
    <cellStyle name="Normal 17 3 2 6 2 2" xfId="17388" xr:uid="{00000000-0005-0000-0000-0000E52B0000}"/>
    <cellStyle name="Normal 17 3 2 6 2 2 2" xfId="35570" xr:uid="{00000000-0005-0000-0000-0000E62B0000}"/>
    <cellStyle name="Normal 17 3 2 6 2 3" xfId="26480" xr:uid="{00000000-0005-0000-0000-0000E72B0000}"/>
    <cellStyle name="Normal 17 3 2 6 3" xfId="12848" xr:uid="{00000000-0005-0000-0000-0000E82B0000}"/>
    <cellStyle name="Normal 17 3 2 6 3 2" xfId="31030" xr:uid="{00000000-0005-0000-0000-0000E92B0000}"/>
    <cellStyle name="Normal 17 3 2 6 4" xfId="21940" xr:uid="{00000000-0005-0000-0000-0000EA2B0000}"/>
    <cellStyle name="Normal 17 3 2 7" xfId="5375" xr:uid="{00000000-0005-0000-0000-0000EB2B0000}"/>
    <cellStyle name="Normal 17 3 2 7 2" xfId="14475" xr:uid="{00000000-0005-0000-0000-0000EC2B0000}"/>
    <cellStyle name="Normal 17 3 2 7 2 2" xfId="32657" xr:uid="{00000000-0005-0000-0000-0000ED2B0000}"/>
    <cellStyle name="Normal 17 3 2 7 3" xfId="23567" xr:uid="{00000000-0005-0000-0000-0000EE2B0000}"/>
    <cellStyle name="Normal 17 3 2 8" xfId="9941" xr:uid="{00000000-0005-0000-0000-0000EF2B0000}"/>
    <cellStyle name="Normal 17 3 2 8 2" xfId="28123" xr:uid="{00000000-0005-0000-0000-0000F02B0000}"/>
    <cellStyle name="Normal 17 3 2 9" xfId="19032" xr:uid="{00000000-0005-0000-0000-0000F12B0000}"/>
    <cellStyle name="Normal 17 3 3" xfId="731" xr:uid="{00000000-0005-0000-0000-0000F22B0000}"/>
    <cellStyle name="Normal 17 3 3 2" xfId="732" xr:uid="{00000000-0005-0000-0000-0000F32B0000}"/>
    <cellStyle name="Normal 17 3 3 2 2" xfId="2217" xr:uid="{00000000-0005-0000-0000-0000F42B0000}"/>
    <cellStyle name="Normal 17 3 3 2 2 2" xfId="6803" xr:uid="{00000000-0005-0000-0000-0000F52B0000}"/>
    <cellStyle name="Normal 17 3 3 2 2 2 2" xfId="15903" xr:uid="{00000000-0005-0000-0000-0000F62B0000}"/>
    <cellStyle name="Normal 17 3 3 2 2 2 2 2" xfId="34085" xr:uid="{00000000-0005-0000-0000-0000F72B0000}"/>
    <cellStyle name="Normal 17 3 3 2 2 2 3" xfId="24995" xr:uid="{00000000-0005-0000-0000-0000F82B0000}"/>
    <cellStyle name="Normal 17 3 3 2 2 3" xfId="11367" xr:uid="{00000000-0005-0000-0000-0000F92B0000}"/>
    <cellStyle name="Normal 17 3 3 2 2 3 2" xfId="29549" xr:uid="{00000000-0005-0000-0000-0000FA2B0000}"/>
    <cellStyle name="Normal 17 3 3 2 2 4" xfId="20459" xr:uid="{00000000-0005-0000-0000-0000FB2B0000}"/>
    <cellStyle name="Normal 17 3 3 2 3" xfId="3742" xr:uid="{00000000-0005-0000-0000-0000FC2B0000}"/>
    <cellStyle name="Normal 17 3 3 2 3 2" xfId="8298" xr:uid="{00000000-0005-0000-0000-0000FD2B0000}"/>
    <cellStyle name="Normal 17 3 3 2 3 2 2" xfId="17394" xr:uid="{00000000-0005-0000-0000-0000FE2B0000}"/>
    <cellStyle name="Normal 17 3 3 2 3 2 2 2" xfId="35576" xr:uid="{00000000-0005-0000-0000-0000FF2B0000}"/>
    <cellStyle name="Normal 17 3 3 2 3 2 3" xfId="26486" xr:uid="{00000000-0005-0000-0000-0000002C0000}"/>
    <cellStyle name="Normal 17 3 3 2 3 3" xfId="12854" xr:uid="{00000000-0005-0000-0000-0000012C0000}"/>
    <cellStyle name="Normal 17 3 3 2 3 3 2" xfId="31036" xr:uid="{00000000-0005-0000-0000-0000022C0000}"/>
    <cellStyle name="Normal 17 3 3 2 3 4" xfId="21946" xr:uid="{00000000-0005-0000-0000-0000032C0000}"/>
    <cellStyle name="Normal 17 3 3 2 4" xfId="5381" xr:uid="{00000000-0005-0000-0000-0000042C0000}"/>
    <cellStyle name="Normal 17 3 3 2 4 2" xfId="14481" xr:uid="{00000000-0005-0000-0000-0000052C0000}"/>
    <cellStyle name="Normal 17 3 3 2 4 2 2" xfId="32663" xr:uid="{00000000-0005-0000-0000-0000062C0000}"/>
    <cellStyle name="Normal 17 3 3 2 4 3" xfId="23573" xr:uid="{00000000-0005-0000-0000-0000072C0000}"/>
    <cellStyle name="Normal 17 3 3 2 5" xfId="9947" xr:uid="{00000000-0005-0000-0000-0000082C0000}"/>
    <cellStyle name="Normal 17 3 3 2 5 2" xfId="28129" xr:uid="{00000000-0005-0000-0000-0000092C0000}"/>
    <cellStyle name="Normal 17 3 3 2 6" xfId="19038" xr:uid="{00000000-0005-0000-0000-00000A2C0000}"/>
    <cellStyle name="Normal 17 3 3 3" xfId="2218" xr:uid="{00000000-0005-0000-0000-00000B2C0000}"/>
    <cellStyle name="Normal 17 3 3 3 2" xfId="6804" xr:uid="{00000000-0005-0000-0000-00000C2C0000}"/>
    <cellStyle name="Normal 17 3 3 3 2 2" xfId="15904" xr:uid="{00000000-0005-0000-0000-00000D2C0000}"/>
    <cellStyle name="Normal 17 3 3 3 2 2 2" xfId="34086" xr:uid="{00000000-0005-0000-0000-00000E2C0000}"/>
    <cellStyle name="Normal 17 3 3 3 2 3" xfId="24996" xr:uid="{00000000-0005-0000-0000-00000F2C0000}"/>
    <cellStyle name="Normal 17 3 3 3 3" xfId="11368" xr:uid="{00000000-0005-0000-0000-0000102C0000}"/>
    <cellStyle name="Normal 17 3 3 3 3 2" xfId="29550" xr:uid="{00000000-0005-0000-0000-0000112C0000}"/>
    <cellStyle name="Normal 17 3 3 3 4" xfId="20460" xr:uid="{00000000-0005-0000-0000-0000122C0000}"/>
    <cellStyle name="Normal 17 3 3 4" xfId="3741" xr:uid="{00000000-0005-0000-0000-0000132C0000}"/>
    <cellStyle name="Normal 17 3 3 4 2" xfId="8297" xr:uid="{00000000-0005-0000-0000-0000142C0000}"/>
    <cellStyle name="Normal 17 3 3 4 2 2" xfId="17393" xr:uid="{00000000-0005-0000-0000-0000152C0000}"/>
    <cellStyle name="Normal 17 3 3 4 2 2 2" xfId="35575" xr:uid="{00000000-0005-0000-0000-0000162C0000}"/>
    <cellStyle name="Normal 17 3 3 4 2 3" xfId="26485" xr:uid="{00000000-0005-0000-0000-0000172C0000}"/>
    <cellStyle name="Normal 17 3 3 4 3" xfId="12853" xr:uid="{00000000-0005-0000-0000-0000182C0000}"/>
    <cellStyle name="Normal 17 3 3 4 3 2" xfId="31035" xr:uid="{00000000-0005-0000-0000-0000192C0000}"/>
    <cellStyle name="Normal 17 3 3 4 4" xfId="21945" xr:uid="{00000000-0005-0000-0000-00001A2C0000}"/>
    <cellStyle name="Normal 17 3 3 5" xfId="5380" xr:uid="{00000000-0005-0000-0000-00001B2C0000}"/>
    <cellStyle name="Normal 17 3 3 5 2" xfId="14480" xr:uid="{00000000-0005-0000-0000-00001C2C0000}"/>
    <cellStyle name="Normal 17 3 3 5 2 2" xfId="32662" xr:uid="{00000000-0005-0000-0000-00001D2C0000}"/>
    <cellStyle name="Normal 17 3 3 5 3" xfId="23572" xr:uid="{00000000-0005-0000-0000-00001E2C0000}"/>
    <cellStyle name="Normal 17 3 3 6" xfId="9946" xr:uid="{00000000-0005-0000-0000-00001F2C0000}"/>
    <cellStyle name="Normal 17 3 3 6 2" xfId="28128" xr:uid="{00000000-0005-0000-0000-0000202C0000}"/>
    <cellStyle name="Normal 17 3 3 7" xfId="19037" xr:uid="{00000000-0005-0000-0000-0000212C0000}"/>
    <cellStyle name="Normal 17 3 4" xfId="733" xr:uid="{00000000-0005-0000-0000-0000222C0000}"/>
    <cellStyle name="Normal 17 3 4 2" xfId="2219" xr:uid="{00000000-0005-0000-0000-0000232C0000}"/>
    <cellStyle name="Normal 17 3 4 2 2" xfId="6805" xr:uid="{00000000-0005-0000-0000-0000242C0000}"/>
    <cellStyle name="Normal 17 3 4 2 2 2" xfId="15905" xr:uid="{00000000-0005-0000-0000-0000252C0000}"/>
    <cellStyle name="Normal 17 3 4 2 2 2 2" xfId="34087" xr:uid="{00000000-0005-0000-0000-0000262C0000}"/>
    <cellStyle name="Normal 17 3 4 2 2 3" xfId="24997" xr:uid="{00000000-0005-0000-0000-0000272C0000}"/>
    <cellStyle name="Normal 17 3 4 2 3" xfId="11369" xr:uid="{00000000-0005-0000-0000-0000282C0000}"/>
    <cellStyle name="Normal 17 3 4 2 3 2" xfId="29551" xr:uid="{00000000-0005-0000-0000-0000292C0000}"/>
    <cellStyle name="Normal 17 3 4 2 4" xfId="20461" xr:uid="{00000000-0005-0000-0000-00002A2C0000}"/>
    <cellStyle name="Normal 17 3 4 3" xfId="3743" xr:uid="{00000000-0005-0000-0000-00002B2C0000}"/>
    <cellStyle name="Normal 17 3 4 3 2" xfId="8299" xr:uid="{00000000-0005-0000-0000-00002C2C0000}"/>
    <cellStyle name="Normal 17 3 4 3 2 2" xfId="17395" xr:uid="{00000000-0005-0000-0000-00002D2C0000}"/>
    <cellStyle name="Normal 17 3 4 3 2 2 2" xfId="35577" xr:uid="{00000000-0005-0000-0000-00002E2C0000}"/>
    <cellStyle name="Normal 17 3 4 3 2 3" xfId="26487" xr:uid="{00000000-0005-0000-0000-00002F2C0000}"/>
    <cellStyle name="Normal 17 3 4 3 3" xfId="12855" xr:uid="{00000000-0005-0000-0000-0000302C0000}"/>
    <cellStyle name="Normal 17 3 4 3 3 2" xfId="31037" xr:uid="{00000000-0005-0000-0000-0000312C0000}"/>
    <cellStyle name="Normal 17 3 4 3 4" xfId="21947" xr:uid="{00000000-0005-0000-0000-0000322C0000}"/>
    <cellStyle name="Normal 17 3 4 4" xfId="5382" xr:uid="{00000000-0005-0000-0000-0000332C0000}"/>
    <cellStyle name="Normal 17 3 4 4 2" xfId="14482" xr:uid="{00000000-0005-0000-0000-0000342C0000}"/>
    <cellStyle name="Normal 17 3 4 4 2 2" xfId="32664" xr:uid="{00000000-0005-0000-0000-0000352C0000}"/>
    <cellStyle name="Normal 17 3 4 4 3" xfId="23574" xr:uid="{00000000-0005-0000-0000-0000362C0000}"/>
    <cellStyle name="Normal 17 3 4 5" xfId="9948" xr:uid="{00000000-0005-0000-0000-0000372C0000}"/>
    <cellStyle name="Normal 17 3 4 5 2" xfId="28130" xr:uid="{00000000-0005-0000-0000-0000382C0000}"/>
    <cellStyle name="Normal 17 3 4 6" xfId="19039" xr:uid="{00000000-0005-0000-0000-0000392C0000}"/>
    <cellStyle name="Normal 17 3 5" xfId="734" xr:uid="{00000000-0005-0000-0000-00003A2C0000}"/>
    <cellStyle name="Normal 17 3 5 2" xfId="3744" xr:uid="{00000000-0005-0000-0000-00003B2C0000}"/>
    <cellStyle name="Normal 17 3 5 2 2" xfId="8300" xr:uid="{00000000-0005-0000-0000-00003C2C0000}"/>
    <cellStyle name="Normal 17 3 5 2 2 2" xfId="17396" xr:uid="{00000000-0005-0000-0000-00003D2C0000}"/>
    <cellStyle name="Normal 17 3 5 2 2 2 2" xfId="35578" xr:uid="{00000000-0005-0000-0000-00003E2C0000}"/>
    <cellStyle name="Normal 17 3 5 2 2 3" xfId="26488" xr:uid="{00000000-0005-0000-0000-00003F2C0000}"/>
    <cellStyle name="Normal 17 3 5 2 3" xfId="12856" xr:uid="{00000000-0005-0000-0000-0000402C0000}"/>
    <cellStyle name="Normal 17 3 5 2 3 2" xfId="31038" xr:uid="{00000000-0005-0000-0000-0000412C0000}"/>
    <cellStyle name="Normal 17 3 5 2 4" xfId="21948" xr:uid="{00000000-0005-0000-0000-0000422C0000}"/>
    <cellStyle name="Normal 17 3 5 3" xfId="5383" xr:uid="{00000000-0005-0000-0000-0000432C0000}"/>
    <cellStyle name="Normal 17 3 5 3 2" xfId="14483" xr:uid="{00000000-0005-0000-0000-0000442C0000}"/>
    <cellStyle name="Normal 17 3 5 3 2 2" xfId="32665" xr:uid="{00000000-0005-0000-0000-0000452C0000}"/>
    <cellStyle name="Normal 17 3 5 3 3" xfId="23575" xr:uid="{00000000-0005-0000-0000-0000462C0000}"/>
    <cellStyle name="Normal 17 3 5 4" xfId="9949" xr:uid="{00000000-0005-0000-0000-0000472C0000}"/>
    <cellStyle name="Normal 17 3 5 4 2" xfId="28131" xr:uid="{00000000-0005-0000-0000-0000482C0000}"/>
    <cellStyle name="Normal 17 3 5 5" xfId="19040" xr:uid="{00000000-0005-0000-0000-0000492C0000}"/>
    <cellStyle name="Normal 17 3 6" xfId="2220" xr:uid="{00000000-0005-0000-0000-00004A2C0000}"/>
    <cellStyle name="Normal 17 3 6 2" xfId="6806" xr:uid="{00000000-0005-0000-0000-00004B2C0000}"/>
    <cellStyle name="Normal 17 3 6 2 2" xfId="15906" xr:uid="{00000000-0005-0000-0000-00004C2C0000}"/>
    <cellStyle name="Normal 17 3 6 2 2 2" xfId="34088" xr:uid="{00000000-0005-0000-0000-00004D2C0000}"/>
    <cellStyle name="Normal 17 3 6 2 3" xfId="24998" xr:uid="{00000000-0005-0000-0000-00004E2C0000}"/>
    <cellStyle name="Normal 17 3 6 3" xfId="11370" xr:uid="{00000000-0005-0000-0000-00004F2C0000}"/>
    <cellStyle name="Normal 17 3 6 3 2" xfId="29552" xr:uid="{00000000-0005-0000-0000-0000502C0000}"/>
    <cellStyle name="Normal 17 3 6 4" xfId="20462" xr:uid="{00000000-0005-0000-0000-0000512C0000}"/>
    <cellStyle name="Normal 17 3 7" xfId="3735" xr:uid="{00000000-0005-0000-0000-0000522C0000}"/>
    <cellStyle name="Normal 17 3 7 2" xfId="8291" xr:uid="{00000000-0005-0000-0000-0000532C0000}"/>
    <cellStyle name="Normal 17 3 7 2 2" xfId="17387" xr:uid="{00000000-0005-0000-0000-0000542C0000}"/>
    <cellStyle name="Normal 17 3 7 2 2 2" xfId="35569" xr:uid="{00000000-0005-0000-0000-0000552C0000}"/>
    <cellStyle name="Normal 17 3 7 2 3" xfId="26479" xr:uid="{00000000-0005-0000-0000-0000562C0000}"/>
    <cellStyle name="Normal 17 3 7 3" xfId="12847" xr:uid="{00000000-0005-0000-0000-0000572C0000}"/>
    <cellStyle name="Normal 17 3 7 3 2" xfId="31029" xr:uid="{00000000-0005-0000-0000-0000582C0000}"/>
    <cellStyle name="Normal 17 3 7 4" xfId="21939" xr:uid="{00000000-0005-0000-0000-0000592C0000}"/>
    <cellStyle name="Normal 17 3 8" xfId="5374" xr:uid="{00000000-0005-0000-0000-00005A2C0000}"/>
    <cellStyle name="Normal 17 3 8 2" xfId="14474" xr:uid="{00000000-0005-0000-0000-00005B2C0000}"/>
    <cellStyle name="Normal 17 3 8 2 2" xfId="32656" xr:uid="{00000000-0005-0000-0000-00005C2C0000}"/>
    <cellStyle name="Normal 17 3 8 3" xfId="23566" xr:uid="{00000000-0005-0000-0000-00005D2C0000}"/>
    <cellStyle name="Normal 17 3 9" xfId="9940" xr:uid="{00000000-0005-0000-0000-00005E2C0000}"/>
    <cellStyle name="Normal 17 3 9 2" xfId="28122" xr:uid="{00000000-0005-0000-0000-00005F2C0000}"/>
    <cellStyle name="Normal 17 4" xfId="735" xr:uid="{00000000-0005-0000-0000-0000602C0000}"/>
    <cellStyle name="Normal 17 4 2" xfId="736" xr:uid="{00000000-0005-0000-0000-0000612C0000}"/>
    <cellStyle name="Normal 17 4 2 2" xfId="737" xr:uid="{00000000-0005-0000-0000-0000622C0000}"/>
    <cellStyle name="Normal 17 4 2 2 2" xfId="2221" xr:uid="{00000000-0005-0000-0000-0000632C0000}"/>
    <cellStyle name="Normal 17 4 2 2 2 2" xfId="6807" xr:uid="{00000000-0005-0000-0000-0000642C0000}"/>
    <cellStyle name="Normal 17 4 2 2 2 2 2" xfId="15907" xr:uid="{00000000-0005-0000-0000-0000652C0000}"/>
    <cellStyle name="Normal 17 4 2 2 2 2 2 2" xfId="34089" xr:uid="{00000000-0005-0000-0000-0000662C0000}"/>
    <cellStyle name="Normal 17 4 2 2 2 2 3" xfId="24999" xr:uid="{00000000-0005-0000-0000-0000672C0000}"/>
    <cellStyle name="Normal 17 4 2 2 2 3" xfId="11371" xr:uid="{00000000-0005-0000-0000-0000682C0000}"/>
    <cellStyle name="Normal 17 4 2 2 2 3 2" xfId="29553" xr:uid="{00000000-0005-0000-0000-0000692C0000}"/>
    <cellStyle name="Normal 17 4 2 2 2 4" xfId="20463" xr:uid="{00000000-0005-0000-0000-00006A2C0000}"/>
    <cellStyle name="Normal 17 4 2 2 3" xfId="3747" xr:uid="{00000000-0005-0000-0000-00006B2C0000}"/>
    <cellStyle name="Normal 17 4 2 2 3 2" xfId="8303" xr:uid="{00000000-0005-0000-0000-00006C2C0000}"/>
    <cellStyle name="Normal 17 4 2 2 3 2 2" xfId="17399" xr:uid="{00000000-0005-0000-0000-00006D2C0000}"/>
    <cellStyle name="Normal 17 4 2 2 3 2 2 2" xfId="35581" xr:uid="{00000000-0005-0000-0000-00006E2C0000}"/>
    <cellStyle name="Normal 17 4 2 2 3 2 3" xfId="26491" xr:uid="{00000000-0005-0000-0000-00006F2C0000}"/>
    <cellStyle name="Normal 17 4 2 2 3 3" xfId="12859" xr:uid="{00000000-0005-0000-0000-0000702C0000}"/>
    <cellStyle name="Normal 17 4 2 2 3 3 2" xfId="31041" xr:uid="{00000000-0005-0000-0000-0000712C0000}"/>
    <cellStyle name="Normal 17 4 2 2 3 4" xfId="21951" xr:uid="{00000000-0005-0000-0000-0000722C0000}"/>
    <cellStyle name="Normal 17 4 2 2 4" xfId="5386" xr:uid="{00000000-0005-0000-0000-0000732C0000}"/>
    <cellStyle name="Normal 17 4 2 2 4 2" xfId="14486" xr:uid="{00000000-0005-0000-0000-0000742C0000}"/>
    <cellStyle name="Normal 17 4 2 2 4 2 2" xfId="32668" xr:uid="{00000000-0005-0000-0000-0000752C0000}"/>
    <cellStyle name="Normal 17 4 2 2 4 3" xfId="23578" xr:uid="{00000000-0005-0000-0000-0000762C0000}"/>
    <cellStyle name="Normal 17 4 2 2 5" xfId="9952" xr:uid="{00000000-0005-0000-0000-0000772C0000}"/>
    <cellStyle name="Normal 17 4 2 2 5 2" xfId="28134" xr:uid="{00000000-0005-0000-0000-0000782C0000}"/>
    <cellStyle name="Normal 17 4 2 2 6" xfId="19043" xr:uid="{00000000-0005-0000-0000-0000792C0000}"/>
    <cellStyle name="Normal 17 4 2 3" xfId="2222" xr:uid="{00000000-0005-0000-0000-00007A2C0000}"/>
    <cellStyle name="Normal 17 4 2 3 2" xfId="6808" xr:uid="{00000000-0005-0000-0000-00007B2C0000}"/>
    <cellStyle name="Normal 17 4 2 3 2 2" xfId="15908" xr:uid="{00000000-0005-0000-0000-00007C2C0000}"/>
    <cellStyle name="Normal 17 4 2 3 2 2 2" xfId="34090" xr:uid="{00000000-0005-0000-0000-00007D2C0000}"/>
    <cellStyle name="Normal 17 4 2 3 2 3" xfId="25000" xr:uid="{00000000-0005-0000-0000-00007E2C0000}"/>
    <cellStyle name="Normal 17 4 2 3 3" xfId="11372" xr:uid="{00000000-0005-0000-0000-00007F2C0000}"/>
    <cellStyle name="Normal 17 4 2 3 3 2" xfId="29554" xr:uid="{00000000-0005-0000-0000-0000802C0000}"/>
    <cellStyle name="Normal 17 4 2 3 4" xfId="20464" xr:uid="{00000000-0005-0000-0000-0000812C0000}"/>
    <cellStyle name="Normal 17 4 2 4" xfId="3746" xr:uid="{00000000-0005-0000-0000-0000822C0000}"/>
    <cellStyle name="Normal 17 4 2 4 2" xfId="8302" xr:uid="{00000000-0005-0000-0000-0000832C0000}"/>
    <cellStyle name="Normal 17 4 2 4 2 2" xfId="17398" xr:uid="{00000000-0005-0000-0000-0000842C0000}"/>
    <cellStyle name="Normal 17 4 2 4 2 2 2" xfId="35580" xr:uid="{00000000-0005-0000-0000-0000852C0000}"/>
    <cellStyle name="Normal 17 4 2 4 2 3" xfId="26490" xr:uid="{00000000-0005-0000-0000-0000862C0000}"/>
    <cellStyle name="Normal 17 4 2 4 3" xfId="12858" xr:uid="{00000000-0005-0000-0000-0000872C0000}"/>
    <cellStyle name="Normal 17 4 2 4 3 2" xfId="31040" xr:uid="{00000000-0005-0000-0000-0000882C0000}"/>
    <cellStyle name="Normal 17 4 2 4 4" xfId="21950" xr:uid="{00000000-0005-0000-0000-0000892C0000}"/>
    <cellStyle name="Normal 17 4 2 5" xfId="5385" xr:uid="{00000000-0005-0000-0000-00008A2C0000}"/>
    <cellStyle name="Normal 17 4 2 5 2" xfId="14485" xr:uid="{00000000-0005-0000-0000-00008B2C0000}"/>
    <cellStyle name="Normal 17 4 2 5 2 2" xfId="32667" xr:uid="{00000000-0005-0000-0000-00008C2C0000}"/>
    <cellStyle name="Normal 17 4 2 5 3" xfId="23577" xr:uid="{00000000-0005-0000-0000-00008D2C0000}"/>
    <cellStyle name="Normal 17 4 2 6" xfId="9951" xr:uid="{00000000-0005-0000-0000-00008E2C0000}"/>
    <cellStyle name="Normal 17 4 2 6 2" xfId="28133" xr:uid="{00000000-0005-0000-0000-00008F2C0000}"/>
    <cellStyle name="Normal 17 4 2 7" xfId="19042" xr:uid="{00000000-0005-0000-0000-0000902C0000}"/>
    <cellStyle name="Normal 17 4 3" xfId="738" xr:uid="{00000000-0005-0000-0000-0000912C0000}"/>
    <cellStyle name="Normal 17 4 3 2" xfId="2223" xr:uid="{00000000-0005-0000-0000-0000922C0000}"/>
    <cellStyle name="Normal 17 4 3 2 2" xfId="6809" xr:uid="{00000000-0005-0000-0000-0000932C0000}"/>
    <cellStyle name="Normal 17 4 3 2 2 2" xfId="15909" xr:uid="{00000000-0005-0000-0000-0000942C0000}"/>
    <cellStyle name="Normal 17 4 3 2 2 2 2" xfId="34091" xr:uid="{00000000-0005-0000-0000-0000952C0000}"/>
    <cellStyle name="Normal 17 4 3 2 2 3" xfId="25001" xr:uid="{00000000-0005-0000-0000-0000962C0000}"/>
    <cellStyle name="Normal 17 4 3 2 3" xfId="11373" xr:uid="{00000000-0005-0000-0000-0000972C0000}"/>
    <cellStyle name="Normal 17 4 3 2 3 2" xfId="29555" xr:uid="{00000000-0005-0000-0000-0000982C0000}"/>
    <cellStyle name="Normal 17 4 3 2 4" xfId="20465" xr:uid="{00000000-0005-0000-0000-0000992C0000}"/>
    <cellStyle name="Normal 17 4 3 3" xfId="3748" xr:uid="{00000000-0005-0000-0000-00009A2C0000}"/>
    <cellStyle name="Normal 17 4 3 3 2" xfId="8304" xr:uid="{00000000-0005-0000-0000-00009B2C0000}"/>
    <cellStyle name="Normal 17 4 3 3 2 2" xfId="17400" xr:uid="{00000000-0005-0000-0000-00009C2C0000}"/>
    <cellStyle name="Normal 17 4 3 3 2 2 2" xfId="35582" xr:uid="{00000000-0005-0000-0000-00009D2C0000}"/>
    <cellStyle name="Normal 17 4 3 3 2 3" xfId="26492" xr:uid="{00000000-0005-0000-0000-00009E2C0000}"/>
    <cellStyle name="Normal 17 4 3 3 3" xfId="12860" xr:uid="{00000000-0005-0000-0000-00009F2C0000}"/>
    <cellStyle name="Normal 17 4 3 3 3 2" xfId="31042" xr:uid="{00000000-0005-0000-0000-0000A02C0000}"/>
    <cellStyle name="Normal 17 4 3 3 4" xfId="21952" xr:uid="{00000000-0005-0000-0000-0000A12C0000}"/>
    <cellStyle name="Normal 17 4 3 4" xfId="5387" xr:uid="{00000000-0005-0000-0000-0000A22C0000}"/>
    <cellStyle name="Normal 17 4 3 4 2" xfId="14487" xr:uid="{00000000-0005-0000-0000-0000A32C0000}"/>
    <cellStyle name="Normal 17 4 3 4 2 2" xfId="32669" xr:uid="{00000000-0005-0000-0000-0000A42C0000}"/>
    <cellStyle name="Normal 17 4 3 4 3" xfId="23579" xr:uid="{00000000-0005-0000-0000-0000A52C0000}"/>
    <cellStyle name="Normal 17 4 3 5" xfId="9953" xr:uid="{00000000-0005-0000-0000-0000A62C0000}"/>
    <cellStyle name="Normal 17 4 3 5 2" xfId="28135" xr:uid="{00000000-0005-0000-0000-0000A72C0000}"/>
    <cellStyle name="Normal 17 4 3 6" xfId="19044" xr:uid="{00000000-0005-0000-0000-0000A82C0000}"/>
    <cellStyle name="Normal 17 4 4" xfId="739" xr:uid="{00000000-0005-0000-0000-0000A92C0000}"/>
    <cellStyle name="Normal 17 4 4 2" xfId="3749" xr:uid="{00000000-0005-0000-0000-0000AA2C0000}"/>
    <cellStyle name="Normal 17 4 4 2 2" xfId="8305" xr:uid="{00000000-0005-0000-0000-0000AB2C0000}"/>
    <cellStyle name="Normal 17 4 4 2 2 2" xfId="17401" xr:uid="{00000000-0005-0000-0000-0000AC2C0000}"/>
    <cellStyle name="Normal 17 4 4 2 2 2 2" xfId="35583" xr:uid="{00000000-0005-0000-0000-0000AD2C0000}"/>
    <cellStyle name="Normal 17 4 4 2 2 3" xfId="26493" xr:uid="{00000000-0005-0000-0000-0000AE2C0000}"/>
    <cellStyle name="Normal 17 4 4 2 3" xfId="12861" xr:uid="{00000000-0005-0000-0000-0000AF2C0000}"/>
    <cellStyle name="Normal 17 4 4 2 3 2" xfId="31043" xr:uid="{00000000-0005-0000-0000-0000B02C0000}"/>
    <cellStyle name="Normal 17 4 4 2 4" xfId="21953" xr:uid="{00000000-0005-0000-0000-0000B12C0000}"/>
    <cellStyle name="Normal 17 4 4 3" xfId="5388" xr:uid="{00000000-0005-0000-0000-0000B22C0000}"/>
    <cellStyle name="Normal 17 4 4 3 2" xfId="14488" xr:uid="{00000000-0005-0000-0000-0000B32C0000}"/>
    <cellStyle name="Normal 17 4 4 3 2 2" xfId="32670" xr:uid="{00000000-0005-0000-0000-0000B42C0000}"/>
    <cellStyle name="Normal 17 4 4 3 3" xfId="23580" xr:uid="{00000000-0005-0000-0000-0000B52C0000}"/>
    <cellStyle name="Normal 17 4 4 4" xfId="9954" xr:uid="{00000000-0005-0000-0000-0000B62C0000}"/>
    <cellStyle name="Normal 17 4 4 4 2" xfId="28136" xr:uid="{00000000-0005-0000-0000-0000B72C0000}"/>
    <cellStyle name="Normal 17 4 4 5" xfId="19045" xr:uid="{00000000-0005-0000-0000-0000B82C0000}"/>
    <cellStyle name="Normal 17 4 5" xfId="2224" xr:uid="{00000000-0005-0000-0000-0000B92C0000}"/>
    <cellStyle name="Normal 17 4 5 2" xfId="6810" xr:uid="{00000000-0005-0000-0000-0000BA2C0000}"/>
    <cellStyle name="Normal 17 4 5 2 2" xfId="15910" xr:uid="{00000000-0005-0000-0000-0000BB2C0000}"/>
    <cellStyle name="Normal 17 4 5 2 2 2" xfId="34092" xr:uid="{00000000-0005-0000-0000-0000BC2C0000}"/>
    <cellStyle name="Normal 17 4 5 2 3" xfId="25002" xr:uid="{00000000-0005-0000-0000-0000BD2C0000}"/>
    <cellStyle name="Normal 17 4 5 3" xfId="11374" xr:uid="{00000000-0005-0000-0000-0000BE2C0000}"/>
    <cellStyle name="Normal 17 4 5 3 2" xfId="29556" xr:uid="{00000000-0005-0000-0000-0000BF2C0000}"/>
    <cellStyle name="Normal 17 4 5 4" xfId="20466" xr:uid="{00000000-0005-0000-0000-0000C02C0000}"/>
    <cellStyle name="Normal 17 4 6" xfId="3745" xr:uid="{00000000-0005-0000-0000-0000C12C0000}"/>
    <cellStyle name="Normal 17 4 6 2" xfId="8301" xr:uid="{00000000-0005-0000-0000-0000C22C0000}"/>
    <cellStyle name="Normal 17 4 6 2 2" xfId="17397" xr:uid="{00000000-0005-0000-0000-0000C32C0000}"/>
    <cellStyle name="Normal 17 4 6 2 2 2" xfId="35579" xr:uid="{00000000-0005-0000-0000-0000C42C0000}"/>
    <cellStyle name="Normal 17 4 6 2 3" xfId="26489" xr:uid="{00000000-0005-0000-0000-0000C52C0000}"/>
    <cellStyle name="Normal 17 4 6 3" xfId="12857" xr:uid="{00000000-0005-0000-0000-0000C62C0000}"/>
    <cellStyle name="Normal 17 4 6 3 2" xfId="31039" xr:uid="{00000000-0005-0000-0000-0000C72C0000}"/>
    <cellStyle name="Normal 17 4 6 4" xfId="21949" xr:uid="{00000000-0005-0000-0000-0000C82C0000}"/>
    <cellStyle name="Normal 17 4 7" xfId="5384" xr:uid="{00000000-0005-0000-0000-0000C92C0000}"/>
    <cellStyle name="Normal 17 4 7 2" xfId="14484" xr:uid="{00000000-0005-0000-0000-0000CA2C0000}"/>
    <cellStyle name="Normal 17 4 7 2 2" xfId="32666" xr:uid="{00000000-0005-0000-0000-0000CB2C0000}"/>
    <cellStyle name="Normal 17 4 7 3" xfId="23576" xr:uid="{00000000-0005-0000-0000-0000CC2C0000}"/>
    <cellStyle name="Normal 17 4 8" xfId="9950" xr:uid="{00000000-0005-0000-0000-0000CD2C0000}"/>
    <cellStyle name="Normal 17 4 8 2" xfId="28132" xr:uid="{00000000-0005-0000-0000-0000CE2C0000}"/>
    <cellStyle name="Normal 17 4 9" xfId="19041" xr:uid="{00000000-0005-0000-0000-0000CF2C0000}"/>
    <cellStyle name="Normal 17 5" xfId="740" xr:uid="{00000000-0005-0000-0000-0000D02C0000}"/>
    <cellStyle name="Normal 17 5 2" xfId="741" xr:uid="{00000000-0005-0000-0000-0000D12C0000}"/>
    <cellStyle name="Normal 17 5 2 2" xfId="2225" xr:uid="{00000000-0005-0000-0000-0000D22C0000}"/>
    <cellStyle name="Normal 17 5 2 2 2" xfId="6811" xr:uid="{00000000-0005-0000-0000-0000D32C0000}"/>
    <cellStyle name="Normal 17 5 2 2 2 2" xfId="15911" xr:uid="{00000000-0005-0000-0000-0000D42C0000}"/>
    <cellStyle name="Normal 17 5 2 2 2 2 2" xfId="34093" xr:uid="{00000000-0005-0000-0000-0000D52C0000}"/>
    <cellStyle name="Normal 17 5 2 2 2 3" xfId="25003" xr:uid="{00000000-0005-0000-0000-0000D62C0000}"/>
    <cellStyle name="Normal 17 5 2 2 3" xfId="11375" xr:uid="{00000000-0005-0000-0000-0000D72C0000}"/>
    <cellStyle name="Normal 17 5 2 2 3 2" xfId="29557" xr:uid="{00000000-0005-0000-0000-0000D82C0000}"/>
    <cellStyle name="Normal 17 5 2 2 4" xfId="20467" xr:uid="{00000000-0005-0000-0000-0000D92C0000}"/>
    <cellStyle name="Normal 17 5 2 3" xfId="3751" xr:uid="{00000000-0005-0000-0000-0000DA2C0000}"/>
    <cellStyle name="Normal 17 5 2 3 2" xfId="8307" xr:uid="{00000000-0005-0000-0000-0000DB2C0000}"/>
    <cellStyle name="Normal 17 5 2 3 2 2" xfId="17403" xr:uid="{00000000-0005-0000-0000-0000DC2C0000}"/>
    <cellStyle name="Normal 17 5 2 3 2 2 2" xfId="35585" xr:uid="{00000000-0005-0000-0000-0000DD2C0000}"/>
    <cellStyle name="Normal 17 5 2 3 2 3" xfId="26495" xr:uid="{00000000-0005-0000-0000-0000DE2C0000}"/>
    <cellStyle name="Normal 17 5 2 3 3" xfId="12863" xr:uid="{00000000-0005-0000-0000-0000DF2C0000}"/>
    <cellStyle name="Normal 17 5 2 3 3 2" xfId="31045" xr:uid="{00000000-0005-0000-0000-0000E02C0000}"/>
    <cellStyle name="Normal 17 5 2 3 4" xfId="21955" xr:uid="{00000000-0005-0000-0000-0000E12C0000}"/>
    <cellStyle name="Normal 17 5 2 4" xfId="5390" xr:uid="{00000000-0005-0000-0000-0000E22C0000}"/>
    <cellStyle name="Normal 17 5 2 4 2" xfId="14490" xr:uid="{00000000-0005-0000-0000-0000E32C0000}"/>
    <cellStyle name="Normal 17 5 2 4 2 2" xfId="32672" xr:uid="{00000000-0005-0000-0000-0000E42C0000}"/>
    <cellStyle name="Normal 17 5 2 4 3" xfId="23582" xr:uid="{00000000-0005-0000-0000-0000E52C0000}"/>
    <cellStyle name="Normal 17 5 2 5" xfId="9956" xr:uid="{00000000-0005-0000-0000-0000E62C0000}"/>
    <cellStyle name="Normal 17 5 2 5 2" xfId="28138" xr:uid="{00000000-0005-0000-0000-0000E72C0000}"/>
    <cellStyle name="Normal 17 5 2 6" xfId="19047" xr:uid="{00000000-0005-0000-0000-0000E82C0000}"/>
    <cellStyle name="Normal 17 5 3" xfId="2226" xr:uid="{00000000-0005-0000-0000-0000E92C0000}"/>
    <cellStyle name="Normal 17 5 3 2" xfId="6812" xr:uid="{00000000-0005-0000-0000-0000EA2C0000}"/>
    <cellStyle name="Normal 17 5 3 2 2" xfId="15912" xr:uid="{00000000-0005-0000-0000-0000EB2C0000}"/>
    <cellStyle name="Normal 17 5 3 2 2 2" xfId="34094" xr:uid="{00000000-0005-0000-0000-0000EC2C0000}"/>
    <cellStyle name="Normal 17 5 3 2 3" xfId="25004" xr:uid="{00000000-0005-0000-0000-0000ED2C0000}"/>
    <cellStyle name="Normal 17 5 3 3" xfId="11376" xr:uid="{00000000-0005-0000-0000-0000EE2C0000}"/>
    <cellStyle name="Normal 17 5 3 3 2" xfId="29558" xr:uid="{00000000-0005-0000-0000-0000EF2C0000}"/>
    <cellStyle name="Normal 17 5 3 4" xfId="20468" xr:uid="{00000000-0005-0000-0000-0000F02C0000}"/>
    <cellStyle name="Normal 17 5 4" xfId="3750" xr:uid="{00000000-0005-0000-0000-0000F12C0000}"/>
    <cellStyle name="Normal 17 5 4 2" xfId="8306" xr:uid="{00000000-0005-0000-0000-0000F22C0000}"/>
    <cellStyle name="Normal 17 5 4 2 2" xfId="17402" xr:uid="{00000000-0005-0000-0000-0000F32C0000}"/>
    <cellStyle name="Normal 17 5 4 2 2 2" xfId="35584" xr:uid="{00000000-0005-0000-0000-0000F42C0000}"/>
    <cellStyle name="Normal 17 5 4 2 3" xfId="26494" xr:uid="{00000000-0005-0000-0000-0000F52C0000}"/>
    <cellStyle name="Normal 17 5 4 3" xfId="12862" xr:uid="{00000000-0005-0000-0000-0000F62C0000}"/>
    <cellStyle name="Normal 17 5 4 3 2" xfId="31044" xr:uid="{00000000-0005-0000-0000-0000F72C0000}"/>
    <cellStyle name="Normal 17 5 4 4" xfId="21954" xr:uid="{00000000-0005-0000-0000-0000F82C0000}"/>
    <cellStyle name="Normal 17 5 5" xfId="5389" xr:uid="{00000000-0005-0000-0000-0000F92C0000}"/>
    <cellStyle name="Normal 17 5 5 2" xfId="14489" xr:uid="{00000000-0005-0000-0000-0000FA2C0000}"/>
    <cellStyle name="Normal 17 5 5 2 2" xfId="32671" xr:uid="{00000000-0005-0000-0000-0000FB2C0000}"/>
    <cellStyle name="Normal 17 5 5 3" xfId="23581" xr:uid="{00000000-0005-0000-0000-0000FC2C0000}"/>
    <cellStyle name="Normal 17 5 6" xfId="9955" xr:uid="{00000000-0005-0000-0000-0000FD2C0000}"/>
    <cellStyle name="Normal 17 5 6 2" xfId="28137" xr:uid="{00000000-0005-0000-0000-0000FE2C0000}"/>
    <cellStyle name="Normal 17 5 7" xfId="19046" xr:uid="{00000000-0005-0000-0000-0000FF2C0000}"/>
    <cellStyle name="Normal 17 6" xfId="742" xr:uid="{00000000-0005-0000-0000-0000002D0000}"/>
    <cellStyle name="Normal 17 6 2" xfId="2227" xr:uid="{00000000-0005-0000-0000-0000012D0000}"/>
    <cellStyle name="Normal 17 6 2 2" xfId="6813" xr:uid="{00000000-0005-0000-0000-0000022D0000}"/>
    <cellStyle name="Normal 17 6 2 2 2" xfId="15913" xr:uid="{00000000-0005-0000-0000-0000032D0000}"/>
    <cellStyle name="Normal 17 6 2 2 2 2" xfId="34095" xr:uid="{00000000-0005-0000-0000-0000042D0000}"/>
    <cellStyle name="Normal 17 6 2 2 3" xfId="25005" xr:uid="{00000000-0005-0000-0000-0000052D0000}"/>
    <cellStyle name="Normal 17 6 2 3" xfId="11377" xr:uid="{00000000-0005-0000-0000-0000062D0000}"/>
    <cellStyle name="Normal 17 6 2 3 2" xfId="29559" xr:uid="{00000000-0005-0000-0000-0000072D0000}"/>
    <cellStyle name="Normal 17 6 2 4" xfId="20469" xr:uid="{00000000-0005-0000-0000-0000082D0000}"/>
    <cellStyle name="Normal 17 6 3" xfId="3752" xr:uid="{00000000-0005-0000-0000-0000092D0000}"/>
    <cellStyle name="Normal 17 6 3 2" xfId="8308" xr:uid="{00000000-0005-0000-0000-00000A2D0000}"/>
    <cellStyle name="Normal 17 6 3 2 2" xfId="17404" xr:uid="{00000000-0005-0000-0000-00000B2D0000}"/>
    <cellStyle name="Normal 17 6 3 2 2 2" xfId="35586" xr:uid="{00000000-0005-0000-0000-00000C2D0000}"/>
    <cellStyle name="Normal 17 6 3 2 3" xfId="26496" xr:uid="{00000000-0005-0000-0000-00000D2D0000}"/>
    <cellStyle name="Normal 17 6 3 3" xfId="12864" xr:uid="{00000000-0005-0000-0000-00000E2D0000}"/>
    <cellStyle name="Normal 17 6 3 3 2" xfId="31046" xr:uid="{00000000-0005-0000-0000-00000F2D0000}"/>
    <cellStyle name="Normal 17 6 3 4" xfId="21956" xr:uid="{00000000-0005-0000-0000-0000102D0000}"/>
    <cellStyle name="Normal 17 6 4" xfId="5391" xr:uid="{00000000-0005-0000-0000-0000112D0000}"/>
    <cellStyle name="Normal 17 6 4 2" xfId="14491" xr:uid="{00000000-0005-0000-0000-0000122D0000}"/>
    <cellStyle name="Normal 17 6 4 2 2" xfId="32673" xr:uid="{00000000-0005-0000-0000-0000132D0000}"/>
    <cellStyle name="Normal 17 6 4 3" xfId="23583" xr:uid="{00000000-0005-0000-0000-0000142D0000}"/>
    <cellStyle name="Normal 17 6 5" xfId="9957" xr:uid="{00000000-0005-0000-0000-0000152D0000}"/>
    <cellStyle name="Normal 17 6 5 2" xfId="28139" xr:uid="{00000000-0005-0000-0000-0000162D0000}"/>
    <cellStyle name="Normal 17 6 6" xfId="19048" xr:uid="{00000000-0005-0000-0000-0000172D0000}"/>
    <cellStyle name="Normal 17 7" xfId="743" xr:uid="{00000000-0005-0000-0000-0000182D0000}"/>
    <cellStyle name="Normal 17 7 2" xfId="3753" xr:uid="{00000000-0005-0000-0000-0000192D0000}"/>
    <cellStyle name="Normal 17 7 2 2" xfId="8309" xr:uid="{00000000-0005-0000-0000-00001A2D0000}"/>
    <cellStyle name="Normal 17 7 2 2 2" xfId="17405" xr:uid="{00000000-0005-0000-0000-00001B2D0000}"/>
    <cellStyle name="Normal 17 7 2 2 2 2" xfId="35587" xr:uid="{00000000-0005-0000-0000-00001C2D0000}"/>
    <cellStyle name="Normal 17 7 2 2 3" xfId="26497" xr:uid="{00000000-0005-0000-0000-00001D2D0000}"/>
    <cellStyle name="Normal 17 7 2 3" xfId="12865" xr:uid="{00000000-0005-0000-0000-00001E2D0000}"/>
    <cellStyle name="Normal 17 7 2 3 2" xfId="31047" xr:uid="{00000000-0005-0000-0000-00001F2D0000}"/>
    <cellStyle name="Normal 17 7 2 4" xfId="21957" xr:uid="{00000000-0005-0000-0000-0000202D0000}"/>
    <cellStyle name="Normal 17 7 3" xfId="5392" xr:uid="{00000000-0005-0000-0000-0000212D0000}"/>
    <cellStyle name="Normal 17 7 3 2" xfId="14492" xr:uid="{00000000-0005-0000-0000-0000222D0000}"/>
    <cellStyle name="Normal 17 7 3 2 2" xfId="32674" xr:uid="{00000000-0005-0000-0000-0000232D0000}"/>
    <cellStyle name="Normal 17 7 3 3" xfId="23584" xr:uid="{00000000-0005-0000-0000-0000242D0000}"/>
    <cellStyle name="Normal 17 7 4" xfId="9958" xr:uid="{00000000-0005-0000-0000-0000252D0000}"/>
    <cellStyle name="Normal 17 7 4 2" xfId="28140" xr:uid="{00000000-0005-0000-0000-0000262D0000}"/>
    <cellStyle name="Normal 17 7 5" xfId="19049" xr:uid="{00000000-0005-0000-0000-0000272D0000}"/>
    <cellStyle name="Normal 17 8" xfId="2228" xr:uid="{00000000-0005-0000-0000-0000282D0000}"/>
    <cellStyle name="Normal 17 8 2" xfId="6814" xr:uid="{00000000-0005-0000-0000-0000292D0000}"/>
    <cellStyle name="Normal 17 8 2 2" xfId="15914" xr:uid="{00000000-0005-0000-0000-00002A2D0000}"/>
    <cellStyle name="Normal 17 8 2 2 2" xfId="34096" xr:uid="{00000000-0005-0000-0000-00002B2D0000}"/>
    <cellStyle name="Normal 17 8 2 3" xfId="25006" xr:uid="{00000000-0005-0000-0000-00002C2D0000}"/>
    <cellStyle name="Normal 17 8 3" xfId="11378" xr:uid="{00000000-0005-0000-0000-00002D2D0000}"/>
    <cellStyle name="Normal 17 8 3 2" xfId="29560" xr:uid="{00000000-0005-0000-0000-00002E2D0000}"/>
    <cellStyle name="Normal 17 8 4" xfId="20470" xr:uid="{00000000-0005-0000-0000-00002F2D0000}"/>
    <cellStyle name="Normal 17 9" xfId="3218" xr:uid="{00000000-0005-0000-0000-0000302D0000}"/>
    <cellStyle name="Normal 17 9 2" xfId="7778" xr:uid="{00000000-0005-0000-0000-0000312D0000}"/>
    <cellStyle name="Normal 17 9 2 2" xfId="16874" xr:uid="{00000000-0005-0000-0000-0000322D0000}"/>
    <cellStyle name="Normal 17 9 2 2 2" xfId="35056" xr:uid="{00000000-0005-0000-0000-0000332D0000}"/>
    <cellStyle name="Normal 17 9 2 3" xfId="25966" xr:uid="{00000000-0005-0000-0000-0000342D0000}"/>
    <cellStyle name="Normal 17 9 3" xfId="12334" xr:uid="{00000000-0005-0000-0000-0000352D0000}"/>
    <cellStyle name="Normal 17 9 3 2" xfId="30516" xr:uid="{00000000-0005-0000-0000-0000362D0000}"/>
    <cellStyle name="Normal 17 9 4" xfId="21426" xr:uid="{00000000-0005-0000-0000-0000372D0000}"/>
    <cellStyle name="Normal 18" xfId="131" xr:uid="{00000000-0005-0000-0000-0000382D0000}"/>
    <cellStyle name="Normal 18 10" xfId="2229" xr:uid="{00000000-0005-0000-0000-0000392D0000}"/>
    <cellStyle name="Normal 18 10 2" xfId="6815" xr:uid="{00000000-0005-0000-0000-00003A2D0000}"/>
    <cellStyle name="Normal 18 10 2 2" xfId="15915" xr:uid="{00000000-0005-0000-0000-00003B2D0000}"/>
    <cellStyle name="Normal 18 10 2 2 2" xfId="34097" xr:uid="{00000000-0005-0000-0000-00003C2D0000}"/>
    <cellStyle name="Normal 18 10 2 3" xfId="25007" xr:uid="{00000000-0005-0000-0000-00003D2D0000}"/>
    <cellStyle name="Normal 18 10 3" xfId="11379" xr:uid="{00000000-0005-0000-0000-00003E2D0000}"/>
    <cellStyle name="Normal 18 10 3 2" xfId="29561" xr:uid="{00000000-0005-0000-0000-00003F2D0000}"/>
    <cellStyle name="Normal 18 10 4" xfId="20471" xr:uid="{00000000-0005-0000-0000-0000402D0000}"/>
    <cellStyle name="Normal 18 11" xfId="3219" xr:uid="{00000000-0005-0000-0000-0000412D0000}"/>
    <cellStyle name="Normal 18 11 2" xfId="7779" xr:uid="{00000000-0005-0000-0000-0000422D0000}"/>
    <cellStyle name="Normal 18 11 2 2" xfId="16875" xr:uid="{00000000-0005-0000-0000-0000432D0000}"/>
    <cellStyle name="Normal 18 11 2 2 2" xfId="35057" xr:uid="{00000000-0005-0000-0000-0000442D0000}"/>
    <cellStyle name="Normal 18 11 2 3" xfId="25967" xr:uid="{00000000-0005-0000-0000-0000452D0000}"/>
    <cellStyle name="Normal 18 11 3" xfId="12335" xr:uid="{00000000-0005-0000-0000-0000462D0000}"/>
    <cellStyle name="Normal 18 11 3 2" xfId="30517" xr:uid="{00000000-0005-0000-0000-0000472D0000}"/>
    <cellStyle name="Normal 18 11 4" xfId="21427" xr:uid="{00000000-0005-0000-0000-0000482D0000}"/>
    <cellStyle name="Normal 18 12" xfId="4867" xr:uid="{00000000-0005-0000-0000-0000492D0000}"/>
    <cellStyle name="Normal 18 12 2" xfId="13967" xr:uid="{00000000-0005-0000-0000-00004A2D0000}"/>
    <cellStyle name="Normal 18 12 2 2" xfId="32149" xr:uid="{00000000-0005-0000-0000-00004B2D0000}"/>
    <cellStyle name="Normal 18 12 3" xfId="23059" xr:uid="{00000000-0005-0000-0000-00004C2D0000}"/>
    <cellStyle name="Normal 18 13" xfId="9433" xr:uid="{00000000-0005-0000-0000-00004D2D0000}"/>
    <cellStyle name="Normal 18 13 2" xfId="27615" xr:uid="{00000000-0005-0000-0000-00004E2D0000}"/>
    <cellStyle name="Normal 18 14" xfId="18524" xr:uid="{00000000-0005-0000-0000-00004F2D0000}"/>
    <cellStyle name="Normal 18 2" xfId="176" xr:uid="{00000000-0005-0000-0000-0000502D0000}"/>
    <cellStyle name="Normal 18 2 10" xfId="18555" xr:uid="{00000000-0005-0000-0000-0000512D0000}"/>
    <cellStyle name="Normal 18 2 2" xfId="744" xr:uid="{00000000-0005-0000-0000-0000522D0000}"/>
    <cellStyle name="Normal 18 2 2 2" xfId="745" xr:uid="{00000000-0005-0000-0000-0000532D0000}"/>
    <cellStyle name="Normal 18 2 2 2 2" xfId="746" xr:uid="{00000000-0005-0000-0000-0000542D0000}"/>
    <cellStyle name="Normal 18 2 2 2 2 2" xfId="2230" xr:uid="{00000000-0005-0000-0000-0000552D0000}"/>
    <cellStyle name="Normal 18 2 2 2 2 2 2" xfId="6816" xr:uid="{00000000-0005-0000-0000-0000562D0000}"/>
    <cellStyle name="Normal 18 2 2 2 2 2 2 2" xfId="15916" xr:uid="{00000000-0005-0000-0000-0000572D0000}"/>
    <cellStyle name="Normal 18 2 2 2 2 2 2 2 2" xfId="34098" xr:uid="{00000000-0005-0000-0000-0000582D0000}"/>
    <cellStyle name="Normal 18 2 2 2 2 2 2 3" xfId="25008" xr:uid="{00000000-0005-0000-0000-0000592D0000}"/>
    <cellStyle name="Normal 18 2 2 2 2 2 3" xfId="11380" xr:uid="{00000000-0005-0000-0000-00005A2D0000}"/>
    <cellStyle name="Normal 18 2 2 2 2 2 3 2" xfId="29562" xr:uid="{00000000-0005-0000-0000-00005B2D0000}"/>
    <cellStyle name="Normal 18 2 2 2 2 2 4" xfId="20472" xr:uid="{00000000-0005-0000-0000-00005C2D0000}"/>
    <cellStyle name="Normal 18 2 2 2 2 3" xfId="3756" xr:uid="{00000000-0005-0000-0000-00005D2D0000}"/>
    <cellStyle name="Normal 18 2 2 2 2 3 2" xfId="8312" xr:uid="{00000000-0005-0000-0000-00005E2D0000}"/>
    <cellStyle name="Normal 18 2 2 2 2 3 2 2" xfId="17408" xr:uid="{00000000-0005-0000-0000-00005F2D0000}"/>
    <cellStyle name="Normal 18 2 2 2 2 3 2 2 2" xfId="35590" xr:uid="{00000000-0005-0000-0000-0000602D0000}"/>
    <cellStyle name="Normal 18 2 2 2 2 3 2 3" xfId="26500" xr:uid="{00000000-0005-0000-0000-0000612D0000}"/>
    <cellStyle name="Normal 18 2 2 2 2 3 3" xfId="12868" xr:uid="{00000000-0005-0000-0000-0000622D0000}"/>
    <cellStyle name="Normal 18 2 2 2 2 3 3 2" xfId="31050" xr:uid="{00000000-0005-0000-0000-0000632D0000}"/>
    <cellStyle name="Normal 18 2 2 2 2 3 4" xfId="21960" xr:uid="{00000000-0005-0000-0000-0000642D0000}"/>
    <cellStyle name="Normal 18 2 2 2 2 4" xfId="5395" xr:uid="{00000000-0005-0000-0000-0000652D0000}"/>
    <cellStyle name="Normal 18 2 2 2 2 4 2" xfId="14495" xr:uid="{00000000-0005-0000-0000-0000662D0000}"/>
    <cellStyle name="Normal 18 2 2 2 2 4 2 2" xfId="32677" xr:uid="{00000000-0005-0000-0000-0000672D0000}"/>
    <cellStyle name="Normal 18 2 2 2 2 4 3" xfId="23587" xr:uid="{00000000-0005-0000-0000-0000682D0000}"/>
    <cellStyle name="Normal 18 2 2 2 2 5" xfId="9961" xr:uid="{00000000-0005-0000-0000-0000692D0000}"/>
    <cellStyle name="Normal 18 2 2 2 2 5 2" xfId="28143" xr:uid="{00000000-0005-0000-0000-00006A2D0000}"/>
    <cellStyle name="Normal 18 2 2 2 2 6" xfId="19052" xr:uid="{00000000-0005-0000-0000-00006B2D0000}"/>
    <cellStyle name="Normal 18 2 2 2 3" xfId="2231" xr:uid="{00000000-0005-0000-0000-00006C2D0000}"/>
    <cellStyle name="Normal 18 2 2 2 3 2" xfId="6817" xr:uid="{00000000-0005-0000-0000-00006D2D0000}"/>
    <cellStyle name="Normal 18 2 2 2 3 2 2" xfId="15917" xr:uid="{00000000-0005-0000-0000-00006E2D0000}"/>
    <cellStyle name="Normal 18 2 2 2 3 2 2 2" xfId="34099" xr:uid="{00000000-0005-0000-0000-00006F2D0000}"/>
    <cellStyle name="Normal 18 2 2 2 3 2 3" xfId="25009" xr:uid="{00000000-0005-0000-0000-0000702D0000}"/>
    <cellStyle name="Normal 18 2 2 2 3 3" xfId="11381" xr:uid="{00000000-0005-0000-0000-0000712D0000}"/>
    <cellStyle name="Normal 18 2 2 2 3 3 2" xfId="29563" xr:uid="{00000000-0005-0000-0000-0000722D0000}"/>
    <cellStyle name="Normal 18 2 2 2 3 4" xfId="20473" xr:uid="{00000000-0005-0000-0000-0000732D0000}"/>
    <cellStyle name="Normal 18 2 2 2 4" xfId="3755" xr:uid="{00000000-0005-0000-0000-0000742D0000}"/>
    <cellStyle name="Normal 18 2 2 2 4 2" xfId="8311" xr:uid="{00000000-0005-0000-0000-0000752D0000}"/>
    <cellStyle name="Normal 18 2 2 2 4 2 2" xfId="17407" xr:uid="{00000000-0005-0000-0000-0000762D0000}"/>
    <cellStyle name="Normal 18 2 2 2 4 2 2 2" xfId="35589" xr:uid="{00000000-0005-0000-0000-0000772D0000}"/>
    <cellStyle name="Normal 18 2 2 2 4 2 3" xfId="26499" xr:uid="{00000000-0005-0000-0000-0000782D0000}"/>
    <cellStyle name="Normal 18 2 2 2 4 3" xfId="12867" xr:uid="{00000000-0005-0000-0000-0000792D0000}"/>
    <cellStyle name="Normal 18 2 2 2 4 3 2" xfId="31049" xr:uid="{00000000-0005-0000-0000-00007A2D0000}"/>
    <cellStyle name="Normal 18 2 2 2 4 4" xfId="21959" xr:uid="{00000000-0005-0000-0000-00007B2D0000}"/>
    <cellStyle name="Normal 18 2 2 2 5" xfId="5394" xr:uid="{00000000-0005-0000-0000-00007C2D0000}"/>
    <cellStyle name="Normal 18 2 2 2 5 2" xfId="14494" xr:uid="{00000000-0005-0000-0000-00007D2D0000}"/>
    <cellStyle name="Normal 18 2 2 2 5 2 2" xfId="32676" xr:uid="{00000000-0005-0000-0000-00007E2D0000}"/>
    <cellStyle name="Normal 18 2 2 2 5 3" xfId="23586" xr:uid="{00000000-0005-0000-0000-00007F2D0000}"/>
    <cellStyle name="Normal 18 2 2 2 6" xfId="9960" xr:uid="{00000000-0005-0000-0000-0000802D0000}"/>
    <cellStyle name="Normal 18 2 2 2 6 2" xfId="28142" xr:uid="{00000000-0005-0000-0000-0000812D0000}"/>
    <cellStyle name="Normal 18 2 2 2 7" xfId="19051" xr:uid="{00000000-0005-0000-0000-0000822D0000}"/>
    <cellStyle name="Normal 18 2 2 3" xfId="747" xr:uid="{00000000-0005-0000-0000-0000832D0000}"/>
    <cellStyle name="Normal 18 2 2 3 2" xfId="2232" xr:uid="{00000000-0005-0000-0000-0000842D0000}"/>
    <cellStyle name="Normal 18 2 2 3 2 2" xfId="6818" xr:uid="{00000000-0005-0000-0000-0000852D0000}"/>
    <cellStyle name="Normal 18 2 2 3 2 2 2" xfId="15918" xr:uid="{00000000-0005-0000-0000-0000862D0000}"/>
    <cellStyle name="Normal 18 2 2 3 2 2 2 2" xfId="34100" xr:uid="{00000000-0005-0000-0000-0000872D0000}"/>
    <cellStyle name="Normal 18 2 2 3 2 2 3" xfId="25010" xr:uid="{00000000-0005-0000-0000-0000882D0000}"/>
    <cellStyle name="Normal 18 2 2 3 2 3" xfId="11382" xr:uid="{00000000-0005-0000-0000-0000892D0000}"/>
    <cellStyle name="Normal 18 2 2 3 2 3 2" xfId="29564" xr:uid="{00000000-0005-0000-0000-00008A2D0000}"/>
    <cellStyle name="Normal 18 2 2 3 2 4" xfId="20474" xr:uid="{00000000-0005-0000-0000-00008B2D0000}"/>
    <cellStyle name="Normal 18 2 2 3 3" xfId="3757" xr:uid="{00000000-0005-0000-0000-00008C2D0000}"/>
    <cellStyle name="Normal 18 2 2 3 3 2" xfId="8313" xr:uid="{00000000-0005-0000-0000-00008D2D0000}"/>
    <cellStyle name="Normal 18 2 2 3 3 2 2" xfId="17409" xr:uid="{00000000-0005-0000-0000-00008E2D0000}"/>
    <cellStyle name="Normal 18 2 2 3 3 2 2 2" xfId="35591" xr:uid="{00000000-0005-0000-0000-00008F2D0000}"/>
    <cellStyle name="Normal 18 2 2 3 3 2 3" xfId="26501" xr:uid="{00000000-0005-0000-0000-0000902D0000}"/>
    <cellStyle name="Normal 18 2 2 3 3 3" xfId="12869" xr:uid="{00000000-0005-0000-0000-0000912D0000}"/>
    <cellStyle name="Normal 18 2 2 3 3 3 2" xfId="31051" xr:uid="{00000000-0005-0000-0000-0000922D0000}"/>
    <cellStyle name="Normal 18 2 2 3 3 4" xfId="21961" xr:uid="{00000000-0005-0000-0000-0000932D0000}"/>
    <cellStyle name="Normal 18 2 2 3 4" xfId="5396" xr:uid="{00000000-0005-0000-0000-0000942D0000}"/>
    <cellStyle name="Normal 18 2 2 3 4 2" xfId="14496" xr:uid="{00000000-0005-0000-0000-0000952D0000}"/>
    <cellStyle name="Normal 18 2 2 3 4 2 2" xfId="32678" xr:uid="{00000000-0005-0000-0000-0000962D0000}"/>
    <cellStyle name="Normal 18 2 2 3 4 3" xfId="23588" xr:uid="{00000000-0005-0000-0000-0000972D0000}"/>
    <cellStyle name="Normal 18 2 2 3 5" xfId="9962" xr:uid="{00000000-0005-0000-0000-0000982D0000}"/>
    <cellStyle name="Normal 18 2 2 3 5 2" xfId="28144" xr:uid="{00000000-0005-0000-0000-0000992D0000}"/>
    <cellStyle name="Normal 18 2 2 3 6" xfId="19053" xr:uid="{00000000-0005-0000-0000-00009A2D0000}"/>
    <cellStyle name="Normal 18 2 2 4" xfId="748" xr:uid="{00000000-0005-0000-0000-00009B2D0000}"/>
    <cellStyle name="Normal 18 2 2 4 2" xfId="3758" xr:uid="{00000000-0005-0000-0000-00009C2D0000}"/>
    <cellStyle name="Normal 18 2 2 4 2 2" xfId="8314" xr:uid="{00000000-0005-0000-0000-00009D2D0000}"/>
    <cellStyle name="Normal 18 2 2 4 2 2 2" xfId="17410" xr:uid="{00000000-0005-0000-0000-00009E2D0000}"/>
    <cellStyle name="Normal 18 2 2 4 2 2 2 2" xfId="35592" xr:uid="{00000000-0005-0000-0000-00009F2D0000}"/>
    <cellStyle name="Normal 18 2 2 4 2 2 3" xfId="26502" xr:uid="{00000000-0005-0000-0000-0000A02D0000}"/>
    <cellStyle name="Normal 18 2 2 4 2 3" xfId="12870" xr:uid="{00000000-0005-0000-0000-0000A12D0000}"/>
    <cellStyle name="Normal 18 2 2 4 2 3 2" xfId="31052" xr:uid="{00000000-0005-0000-0000-0000A22D0000}"/>
    <cellStyle name="Normal 18 2 2 4 2 4" xfId="21962" xr:uid="{00000000-0005-0000-0000-0000A32D0000}"/>
    <cellStyle name="Normal 18 2 2 4 3" xfId="5397" xr:uid="{00000000-0005-0000-0000-0000A42D0000}"/>
    <cellStyle name="Normal 18 2 2 4 3 2" xfId="14497" xr:uid="{00000000-0005-0000-0000-0000A52D0000}"/>
    <cellStyle name="Normal 18 2 2 4 3 2 2" xfId="32679" xr:uid="{00000000-0005-0000-0000-0000A62D0000}"/>
    <cellStyle name="Normal 18 2 2 4 3 3" xfId="23589" xr:uid="{00000000-0005-0000-0000-0000A72D0000}"/>
    <cellStyle name="Normal 18 2 2 4 4" xfId="9963" xr:uid="{00000000-0005-0000-0000-0000A82D0000}"/>
    <cellStyle name="Normal 18 2 2 4 4 2" xfId="28145" xr:uid="{00000000-0005-0000-0000-0000A92D0000}"/>
    <cellStyle name="Normal 18 2 2 4 5" xfId="19054" xr:uid="{00000000-0005-0000-0000-0000AA2D0000}"/>
    <cellStyle name="Normal 18 2 2 5" xfId="2233" xr:uid="{00000000-0005-0000-0000-0000AB2D0000}"/>
    <cellStyle name="Normal 18 2 2 5 2" xfId="6819" xr:uid="{00000000-0005-0000-0000-0000AC2D0000}"/>
    <cellStyle name="Normal 18 2 2 5 2 2" xfId="15919" xr:uid="{00000000-0005-0000-0000-0000AD2D0000}"/>
    <cellStyle name="Normal 18 2 2 5 2 2 2" xfId="34101" xr:uid="{00000000-0005-0000-0000-0000AE2D0000}"/>
    <cellStyle name="Normal 18 2 2 5 2 3" xfId="25011" xr:uid="{00000000-0005-0000-0000-0000AF2D0000}"/>
    <cellStyle name="Normal 18 2 2 5 3" xfId="11383" xr:uid="{00000000-0005-0000-0000-0000B02D0000}"/>
    <cellStyle name="Normal 18 2 2 5 3 2" xfId="29565" xr:uid="{00000000-0005-0000-0000-0000B12D0000}"/>
    <cellStyle name="Normal 18 2 2 5 4" xfId="20475" xr:uid="{00000000-0005-0000-0000-0000B22D0000}"/>
    <cellStyle name="Normal 18 2 2 6" xfId="3754" xr:uid="{00000000-0005-0000-0000-0000B32D0000}"/>
    <cellStyle name="Normal 18 2 2 6 2" xfId="8310" xr:uid="{00000000-0005-0000-0000-0000B42D0000}"/>
    <cellStyle name="Normal 18 2 2 6 2 2" xfId="17406" xr:uid="{00000000-0005-0000-0000-0000B52D0000}"/>
    <cellStyle name="Normal 18 2 2 6 2 2 2" xfId="35588" xr:uid="{00000000-0005-0000-0000-0000B62D0000}"/>
    <cellStyle name="Normal 18 2 2 6 2 3" xfId="26498" xr:uid="{00000000-0005-0000-0000-0000B72D0000}"/>
    <cellStyle name="Normal 18 2 2 6 3" xfId="12866" xr:uid="{00000000-0005-0000-0000-0000B82D0000}"/>
    <cellStyle name="Normal 18 2 2 6 3 2" xfId="31048" xr:uid="{00000000-0005-0000-0000-0000B92D0000}"/>
    <cellStyle name="Normal 18 2 2 6 4" xfId="21958" xr:uid="{00000000-0005-0000-0000-0000BA2D0000}"/>
    <cellStyle name="Normal 18 2 2 7" xfId="5393" xr:uid="{00000000-0005-0000-0000-0000BB2D0000}"/>
    <cellStyle name="Normal 18 2 2 7 2" xfId="14493" xr:uid="{00000000-0005-0000-0000-0000BC2D0000}"/>
    <cellStyle name="Normal 18 2 2 7 2 2" xfId="32675" xr:uid="{00000000-0005-0000-0000-0000BD2D0000}"/>
    <cellStyle name="Normal 18 2 2 7 3" xfId="23585" xr:uid="{00000000-0005-0000-0000-0000BE2D0000}"/>
    <cellStyle name="Normal 18 2 2 8" xfId="9959" xr:uid="{00000000-0005-0000-0000-0000BF2D0000}"/>
    <cellStyle name="Normal 18 2 2 8 2" xfId="28141" xr:uid="{00000000-0005-0000-0000-0000C02D0000}"/>
    <cellStyle name="Normal 18 2 2 9" xfId="19050" xr:uid="{00000000-0005-0000-0000-0000C12D0000}"/>
    <cellStyle name="Normal 18 2 3" xfId="749" xr:uid="{00000000-0005-0000-0000-0000C22D0000}"/>
    <cellStyle name="Normal 18 2 3 2" xfId="750" xr:uid="{00000000-0005-0000-0000-0000C32D0000}"/>
    <cellStyle name="Normal 18 2 3 2 2" xfId="2234" xr:uid="{00000000-0005-0000-0000-0000C42D0000}"/>
    <cellStyle name="Normal 18 2 3 2 2 2" xfId="6820" xr:uid="{00000000-0005-0000-0000-0000C52D0000}"/>
    <cellStyle name="Normal 18 2 3 2 2 2 2" xfId="15920" xr:uid="{00000000-0005-0000-0000-0000C62D0000}"/>
    <cellStyle name="Normal 18 2 3 2 2 2 2 2" xfId="34102" xr:uid="{00000000-0005-0000-0000-0000C72D0000}"/>
    <cellStyle name="Normal 18 2 3 2 2 2 3" xfId="25012" xr:uid="{00000000-0005-0000-0000-0000C82D0000}"/>
    <cellStyle name="Normal 18 2 3 2 2 3" xfId="11384" xr:uid="{00000000-0005-0000-0000-0000C92D0000}"/>
    <cellStyle name="Normal 18 2 3 2 2 3 2" xfId="29566" xr:uid="{00000000-0005-0000-0000-0000CA2D0000}"/>
    <cellStyle name="Normal 18 2 3 2 2 4" xfId="20476" xr:uid="{00000000-0005-0000-0000-0000CB2D0000}"/>
    <cellStyle name="Normal 18 2 3 2 3" xfId="3760" xr:uid="{00000000-0005-0000-0000-0000CC2D0000}"/>
    <cellStyle name="Normal 18 2 3 2 3 2" xfId="8316" xr:uid="{00000000-0005-0000-0000-0000CD2D0000}"/>
    <cellStyle name="Normal 18 2 3 2 3 2 2" xfId="17412" xr:uid="{00000000-0005-0000-0000-0000CE2D0000}"/>
    <cellStyle name="Normal 18 2 3 2 3 2 2 2" xfId="35594" xr:uid="{00000000-0005-0000-0000-0000CF2D0000}"/>
    <cellStyle name="Normal 18 2 3 2 3 2 3" xfId="26504" xr:uid="{00000000-0005-0000-0000-0000D02D0000}"/>
    <cellStyle name="Normal 18 2 3 2 3 3" xfId="12872" xr:uid="{00000000-0005-0000-0000-0000D12D0000}"/>
    <cellStyle name="Normal 18 2 3 2 3 3 2" xfId="31054" xr:uid="{00000000-0005-0000-0000-0000D22D0000}"/>
    <cellStyle name="Normal 18 2 3 2 3 4" xfId="21964" xr:uid="{00000000-0005-0000-0000-0000D32D0000}"/>
    <cellStyle name="Normal 18 2 3 2 4" xfId="5399" xr:uid="{00000000-0005-0000-0000-0000D42D0000}"/>
    <cellStyle name="Normal 18 2 3 2 4 2" xfId="14499" xr:uid="{00000000-0005-0000-0000-0000D52D0000}"/>
    <cellStyle name="Normal 18 2 3 2 4 2 2" xfId="32681" xr:uid="{00000000-0005-0000-0000-0000D62D0000}"/>
    <cellStyle name="Normal 18 2 3 2 4 3" xfId="23591" xr:uid="{00000000-0005-0000-0000-0000D72D0000}"/>
    <cellStyle name="Normal 18 2 3 2 5" xfId="9965" xr:uid="{00000000-0005-0000-0000-0000D82D0000}"/>
    <cellStyle name="Normal 18 2 3 2 5 2" xfId="28147" xr:uid="{00000000-0005-0000-0000-0000D92D0000}"/>
    <cellStyle name="Normal 18 2 3 2 6" xfId="19056" xr:uid="{00000000-0005-0000-0000-0000DA2D0000}"/>
    <cellStyle name="Normal 18 2 3 3" xfId="2235" xr:uid="{00000000-0005-0000-0000-0000DB2D0000}"/>
    <cellStyle name="Normal 18 2 3 3 2" xfId="6821" xr:uid="{00000000-0005-0000-0000-0000DC2D0000}"/>
    <cellStyle name="Normal 18 2 3 3 2 2" xfId="15921" xr:uid="{00000000-0005-0000-0000-0000DD2D0000}"/>
    <cellStyle name="Normal 18 2 3 3 2 2 2" xfId="34103" xr:uid="{00000000-0005-0000-0000-0000DE2D0000}"/>
    <cellStyle name="Normal 18 2 3 3 2 3" xfId="25013" xr:uid="{00000000-0005-0000-0000-0000DF2D0000}"/>
    <cellStyle name="Normal 18 2 3 3 3" xfId="11385" xr:uid="{00000000-0005-0000-0000-0000E02D0000}"/>
    <cellStyle name="Normal 18 2 3 3 3 2" xfId="29567" xr:uid="{00000000-0005-0000-0000-0000E12D0000}"/>
    <cellStyle name="Normal 18 2 3 3 4" xfId="20477" xr:uid="{00000000-0005-0000-0000-0000E22D0000}"/>
    <cellStyle name="Normal 18 2 3 4" xfId="3759" xr:uid="{00000000-0005-0000-0000-0000E32D0000}"/>
    <cellStyle name="Normal 18 2 3 4 2" xfId="8315" xr:uid="{00000000-0005-0000-0000-0000E42D0000}"/>
    <cellStyle name="Normal 18 2 3 4 2 2" xfId="17411" xr:uid="{00000000-0005-0000-0000-0000E52D0000}"/>
    <cellStyle name="Normal 18 2 3 4 2 2 2" xfId="35593" xr:uid="{00000000-0005-0000-0000-0000E62D0000}"/>
    <cellStyle name="Normal 18 2 3 4 2 3" xfId="26503" xr:uid="{00000000-0005-0000-0000-0000E72D0000}"/>
    <cellStyle name="Normal 18 2 3 4 3" xfId="12871" xr:uid="{00000000-0005-0000-0000-0000E82D0000}"/>
    <cellStyle name="Normal 18 2 3 4 3 2" xfId="31053" xr:uid="{00000000-0005-0000-0000-0000E92D0000}"/>
    <cellStyle name="Normal 18 2 3 4 4" xfId="21963" xr:uid="{00000000-0005-0000-0000-0000EA2D0000}"/>
    <cellStyle name="Normal 18 2 3 5" xfId="5398" xr:uid="{00000000-0005-0000-0000-0000EB2D0000}"/>
    <cellStyle name="Normal 18 2 3 5 2" xfId="14498" xr:uid="{00000000-0005-0000-0000-0000EC2D0000}"/>
    <cellStyle name="Normal 18 2 3 5 2 2" xfId="32680" xr:uid="{00000000-0005-0000-0000-0000ED2D0000}"/>
    <cellStyle name="Normal 18 2 3 5 3" xfId="23590" xr:uid="{00000000-0005-0000-0000-0000EE2D0000}"/>
    <cellStyle name="Normal 18 2 3 6" xfId="9964" xr:uid="{00000000-0005-0000-0000-0000EF2D0000}"/>
    <cellStyle name="Normal 18 2 3 6 2" xfId="28146" xr:uid="{00000000-0005-0000-0000-0000F02D0000}"/>
    <cellStyle name="Normal 18 2 3 7" xfId="19055" xr:uid="{00000000-0005-0000-0000-0000F12D0000}"/>
    <cellStyle name="Normal 18 2 4" xfId="751" xr:uid="{00000000-0005-0000-0000-0000F22D0000}"/>
    <cellStyle name="Normal 18 2 4 2" xfId="2236" xr:uid="{00000000-0005-0000-0000-0000F32D0000}"/>
    <cellStyle name="Normal 18 2 4 2 2" xfId="6822" xr:uid="{00000000-0005-0000-0000-0000F42D0000}"/>
    <cellStyle name="Normal 18 2 4 2 2 2" xfId="15922" xr:uid="{00000000-0005-0000-0000-0000F52D0000}"/>
    <cellStyle name="Normal 18 2 4 2 2 2 2" xfId="34104" xr:uid="{00000000-0005-0000-0000-0000F62D0000}"/>
    <cellStyle name="Normal 18 2 4 2 2 3" xfId="25014" xr:uid="{00000000-0005-0000-0000-0000F72D0000}"/>
    <cellStyle name="Normal 18 2 4 2 3" xfId="11386" xr:uid="{00000000-0005-0000-0000-0000F82D0000}"/>
    <cellStyle name="Normal 18 2 4 2 3 2" xfId="29568" xr:uid="{00000000-0005-0000-0000-0000F92D0000}"/>
    <cellStyle name="Normal 18 2 4 2 4" xfId="20478" xr:uid="{00000000-0005-0000-0000-0000FA2D0000}"/>
    <cellStyle name="Normal 18 2 4 3" xfId="3761" xr:uid="{00000000-0005-0000-0000-0000FB2D0000}"/>
    <cellStyle name="Normal 18 2 4 3 2" xfId="8317" xr:uid="{00000000-0005-0000-0000-0000FC2D0000}"/>
    <cellStyle name="Normal 18 2 4 3 2 2" xfId="17413" xr:uid="{00000000-0005-0000-0000-0000FD2D0000}"/>
    <cellStyle name="Normal 18 2 4 3 2 2 2" xfId="35595" xr:uid="{00000000-0005-0000-0000-0000FE2D0000}"/>
    <cellStyle name="Normal 18 2 4 3 2 3" xfId="26505" xr:uid="{00000000-0005-0000-0000-0000FF2D0000}"/>
    <cellStyle name="Normal 18 2 4 3 3" xfId="12873" xr:uid="{00000000-0005-0000-0000-0000002E0000}"/>
    <cellStyle name="Normal 18 2 4 3 3 2" xfId="31055" xr:uid="{00000000-0005-0000-0000-0000012E0000}"/>
    <cellStyle name="Normal 18 2 4 3 4" xfId="21965" xr:uid="{00000000-0005-0000-0000-0000022E0000}"/>
    <cellStyle name="Normal 18 2 4 4" xfId="5400" xr:uid="{00000000-0005-0000-0000-0000032E0000}"/>
    <cellStyle name="Normal 18 2 4 4 2" xfId="14500" xr:uid="{00000000-0005-0000-0000-0000042E0000}"/>
    <cellStyle name="Normal 18 2 4 4 2 2" xfId="32682" xr:uid="{00000000-0005-0000-0000-0000052E0000}"/>
    <cellStyle name="Normal 18 2 4 4 3" xfId="23592" xr:uid="{00000000-0005-0000-0000-0000062E0000}"/>
    <cellStyle name="Normal 18 2 4 5" xfId="9966" xr:uid="{00000000-0005-0000-0000-0000072E0000}"/>
    <cellStyle name="Normal 18 2 4 5 2" xfId="28148" xr:uid="{00000000-0005-0000-0000-0000082E0000}"/>
    <cellStyle name="Normal 18 2 4 6" xfId="19057" xr:uid="{00000000-0005-0000-0000-0000092E0000}"/>
    <cellStyle name="Normal 18 2 5" xfId="752" xr:uid="{00000000-0005-0000-0000-00000A2E0000}"/>
    <cellStyle name="Normal 18 2 5 2" xfId="3762" xr:uid="{00000000-0005-0000-0000-00000B2E0000}"/>
    <cellStyle name="Normal 18 2 5 2 2" xfId="8318" xr:uid="{00000000-0005-0000-0000-00000C2E0000}"/>
    <cellStyle name="Normal 18 2 5 2 2 2" xfId="17414" xr:uid="{00000000-0005-0000-0000-00000D2E0000}"/>
    <cellStyle name="Normal 18 2 5 2 2 2 2" xfId="35596" xr:uid="{00000000-0005-0000-0000-00000E2E0000}"/>
    <cellStyle name="Normal 18 2 5 2 2 3" xfId="26506" xr:uid="{00000000-0005-0000-0000-00000F2E0000}"/>
    <cellStyle name="Normal 18 2 5 2 3" xfId="12874" xr:uid="{00000000-0005-0000-0000-0000102E0000}"/>
    <cellStyle name="Normal 18 2 5 2 3 2" xfId="31056" xr:uid="{00000000-0005-0000-0000-0000112E0000}"/>
    <cellStyle name="Normal 18 2 5 2 4" xfId="21966" xr:uid="{00000000-0005-0000-0000-0000122E0000}"/>
    <cellStyle name="Normal 18 2 5 3" xfId="5401" xr:uid="{00000000-0005-0000-0000-0000132E0000}"/>
    <cellStyle name="Normal 18 2 5 3 2" xfId="14501" xr:uid="{00000000-0005-0000-0000-0000142E0000}"/>
    <cellStyle name="Normal 18 2 5 3 2 2" xfId="32683" xr:uid="{00000000-0005-0000-0000-0000152E0000}"/>
    <cellStyle name="Normal 18 2 5 3 3" xfId="23593" xr:uid="{00000000-0005-0000-0000-0000162E0000}"/>
    <cellStyle name="Normal 18 2 5 4" xfId="9967" xr:uid="{00000000-0005-0000-0000-0000172E0000}"/>
    <cellStyle name="Normal 18 2 5 4 2" xfId="28149" xr:uid="{00000000-0005-0000-0000-0000182E0000}"/>
    <cellStyle name="Normal 18 2 5 5" xfId="19058" xr:uid="{00000000-0005-0000-0000-0000192E0000}"/>
    <cellStyle name="Normal 18 2 6" xfId="2237" xr:uid="{00000000-0005-0000-0000-00001A2E0000}"/>
    <cellStyle name="Normal 18 2 6 2" xfId="6823" xr:uid="{00000000-0005-0000-0000-00001B2E0000}"/>
    <cellStyle name="Normal 18 2 6 2 2" xfId="15923" xr:uid="{00000000-0005-0000-0000-00001C2E0000}"/>
    <cellStyle name="Normal 18 2 6 2 2 2" xfId="34105" xr:uid="{00000000-0005-0000-0000-00001D2E0000}"/>
    <cellStyle name="Normal 18 2 6 2 3" xfId="25015" xr:uid="{00000000-0005-0000-0000-00001E2E0000}"/>
    <cellStyle name="Normal 18 2 6 3" xfId="11387" xr:uid="{00000000-0005-0000-0000-00001F2E0000}"/>
    <cellStyle name="Normal 18 2 6 3 2" xfId="29569" xr:uid="{00000000-0005-0000-0000-0000202E0000}"/>
    <cellStyle name="Normal 18 2 6 4" xfId="20479" xr:uid="{00000000-0005-0000-0000-0000212E0000}"/>
    <cellStyle name="Normal 18 2 7" xfId="3251" xr:uid="{00000000-0005-0000-0000-0000222E0000}"/>
    <cellStyle name="Normal 18 2 7 2" xfId="7811" xr:uid="{00000000-0005-0000-0000-0000232E0000}"/>
    <cellStyle name="Normal 18 2 7 2 2" xfId="16907" xr:uid="{00000000-0005-0000-0000-0000242E0000}"/>
    <cellStyle name="Normal 18 2 7 2 2 2" xfId="35089" xr:uid="{00000000-0005-0000-0000-0000252E0000}"/>
    <cellStyle name="Normal 18 2 7 2 3" xfId="25999" xr:uid="{00000000-0005-0000-0000-0000262E0000}"/>
    <cellStyle name="Normal 18 2 7 3" xfId="12367" xr:uid="{00000000-0005-0000-0000-0000272E0000}"/>
    <cellStyle name="Normal 18 2 7 3 2" xfId="30549" xr:uid="{00000000-0005-0000-0000-0000282E0000}"/>
    <cellStyle name="Normal 18 2 7 4" xfId="21459" xr:uid="{00000000-0005-0000-0000-0000292E0000}"/>
    <cellStyle name="Normal 18 2 8" xfId="4898" xr:uid="{00000000-0005-0000-0000-00002A2E0000}"/>
    <cellStyle name="Normal 18 2 8 2" xfId="13998" xr:uid="{00000000-0005-0000-0000-00002B2E0000}"/>
    <cellStyle name="Normal 18 2 8 2 2" xfId="32180" xr:uid="{00000000-0005-0000-0000-00002C2E0000}"/>
    <cellStyle name="Normal 18 2 8 3" xfId="23090" xr:uid="{00000000-0005-0000-0000-00002D2E0000}"/>
    <cellStyle name="Normal 18 2 9" xfId="9464" xr:uid="{00000000-0005-0000-0000-00002E2E0000}"/>
    <cellStyle name="Normal 18 2 9 2" xfId="27646" xr:uid="{00000000-0005-0000-0000-00002F2E0000}"/>
    <cellStyle name="Normal 18 3" xfId="190" xr:uid="{00000000-0005-0000-0000-0000302E0000}"/>
    <cellStyle name="Normal 18 3 10" xfId="18567" xr:uid="{00000000-0005-0000-0000-0000312E0000}"/>
    <cellStyle name="Normal 18 3 2" xfId="753" xr:uid="{00000000-0005-0000-0000-0000322E0000}"/>
    <cellStyle name="Normal 18 3 2 2" xfId="754" xr:uid="{00000000-0005-0000-0000-0000332E0000}"/>
    <cellStyle name="Normal 18 3 2 2 2" xfId="755" xr:uid="{00000000-0005-0000-0000-0000342E0000}"/>
    <cellStyle name="Normal 18 3 2 2 2 2" xfId="2238" xr:uid="{00000000-0005-0000-0000-0000352E0000}"/>
    <cellStyle name="Normal 18 3 2 2 2 2 2" xfId="6824" xr:uid="{00000000-0005-0000-0000-0000362E0000}"/>
    <cellStyle name="Normal 18 3 2 2 2 2 2 2" xfId="15924" xr:uid="{00000000-0005-0000-0000-0000372E0000}"/>
    <cellStyle name="Normal 18 3 2 2 2 2 2 2 2" xfId="34106" xr:uid="{00000000-0005-0000-0000-0000382E0000}"/>
    <cellStyle name="Normal 18 3 2 2 2 2 2 3" xfId="25016" xr:uid="{00000000-0005-0000-0000-0000392E0000}"/>
    <cellStyle name="Normal 18 3 2 2 2 2 3" xfId="11388" xr:uid="{00000000-0005-0000-0000-00003A2E0000}"/>
    <cellStyle name="Normal 18 3 2 2 2 2 3 2" xfId="29570" xr:uid="{00000000-0005-0000-0000-00003B2E0000}"/>
    <cellStyle name="Normal 18 3 2 2 2 2 4" xfId="20480" xr:uid="{00000000-0005-0000-0000-00003C2E0000}"/>
    <cellStyle name="Normal 18 3 2 2 2 3" xfId="3765" xr:uid="{00000000-0005-0000-0000-00003D2E0000}"/>
    <cellStyle name="Normal 18 3 2 2 2 3 2" xfId="8321" xr:uid="{00000000-0005-0000-0000-00003E2E0000}"/>
    <cellStyle name="Normal 18 3 2 2 2 3 2 2" xfId="17417" xr:uid="{00000000-0005-0000-0000-00003F2E0000}"/>
    <cellStyle name="Normal 18 3 2 2 2 3 2 2 2" xfId="35599" xr:uid="{00000000-0005-0000-0000-0000402E0000}"/>
    <cellStyle name="Normal 18 3 2 2 2 3 2 3" xfId="26509" xr:uid="{00000000-0005-0000-0000-0000412E0000}"/>
    <cellStyle name="Normal 18 3 2 2 2 3 3" xfId="12877" xr:uid="{00000000-0005-0000-0000-0000422E0000}"/>
    <cellStyle name="Normal 18 3 2 2 2 3 3 2" xfId="31059" xr:uid="{00000000-0005-0000-0000-0000432E0000}"/>
    <cellStyle name="Normal 18 3 2 2 2 3 4" xfId="21969" xr:uid="{00000000-0005-0000-0000-0000442E0000}"/>
    <cellStyle name="Normal 18 3 2 2 2 4" xfId="5404" xr:uid="{00000000-0005-0000-0000-0000452E0000}"/>
    <cellStyle name="Normal 18 3 2 2 2 4 2" xfId="14504" xr:uid="{00000000-0005-0000-0000-0000462E0000}"/>
    <cellStyle name="Normal 18 3 2 2 2 4 2 2" xfId="32686" xr:uid="{00000000-0005-0000-0000-0000472E0000}"/>
    <cellStyle name="Normal 18 3 2 2 2 4 3" xfId="23596" xr:uid="{00000000-0005-0000-0000-0000482E0000}"/>
    <cellStyle name="Normal 18 3 2 2 2 5" xfId="9970" xr:uid="{00000000-0005-0000-0000-0000492E0000}"/>
    <cellStyle name="Normal 18 3 2 2 2 5 2" xfId="28152" xr:uid="{00000000-0005-0000-0000-00004A2E0000}"/>
    <cellStyle name="Normal 18 3 2 2 2 6" xfId="19061" xr:uid="{00000000-0005-0000-0000-00004B2E0000}"/>
    <cellStyle name="Normal 18 3 2 2 3" xfId="2239" xr:uid="{00000000-0005-0000-0000-00004C2E0000}"/>
    <cellStyle name="Normal 18 3 2 2 3 2" xfId="6825" xr:uid="{00000000-0005-0000-0000-00004D2E0000}"/>
    <cellStyle name="Normal 18 3 2 2 3 2 2" xfId="15925" xr:uid="{00000000-0005-0000-0000-00004E2E0000}"/>
    <cellStyle name="Normal 18 3 2 2 3 2 2 2" xfId="34107" xr:uid="{00000000-0005-0000-0000-00004F2E0000}"/>
    <cellStyle name="Normal 18 3 2 2 3 2 3" xfId="25017" xr:uid="{00000000-0005-0000-0000-0000502E0000}"/>
    <cellStyle name="Normal 18 3 2 2 3 3" xfId="11389" xr:uid="{00000000-0005-0000-0000-0000512E0000}"/>
    <cellStyle name="Normal 18 3 2 2 3 3 2" xfId="29571" xr:uid="{00000000-0005-0000-0000-0000522E0000}"/>
    <cellStyle name="Normal 18 3 2 2 3 4" xfId="20481" xr:uid="{00000000-0005-0000-0000-0000532E0000}"/>
    <cellStyle name="Normal 18 3 2 2 4" xfId="3764" xr:uid="{00000000-0005-0000-0000-0000542E0000}"/>
    <cellStyle name="Normal 18 3 2 2 4 2" xfId="8320" xr:uid="{00000000-0005-0000-0000-0000552E0000}"/>
    <cellStyle name="Normal 18 3 2 2 4 2 2" xfId="17416" xr:uid="{00000000-0005-0000-0000-0000562E0000}"/>
    <cellStyle name="Normal 18 3 2 2 4 2 2 2" xfId="35598" xr:uid="{00000000-0005-0000-0000-0000572E0000}"/>
    <cellStyle name="Normal 18 3 2 2 4 2 3" xfId="26508" xr:uid="{00000000-0005-0000-0000-0000582E0000}"/>
    <cellStyle name="Normal 18 3 2 2 4 3" xfId="12876" xr:uid="{00000000-0005-0000-0000-0000592E0000}"/>
    <cellStyle name="Normal 18 3 2 2 4 3 2" xfId="31058" xr:uid="{00000000-0005-0000-0000-00005A2E0000}"/>
    <cellStyle name="Normal 18 3 2 2 4 4" xfId="21968" xr:uid="{00000000-0005-0000-0000-00005B2E0000}"/>
    <cellStyle name="Normal 18 3 2 2 5" xfId="5403" xr:uid="{00000000-0005-0000-0000-00005C2E0000}"/>
    <cellStyle name="Normal 18 3 2 2 5 2" xfId="14503" xr:uid="{00000000-0005-0000-0000-00005D2E0000}"/>
    <cellStyle name="Normal 18 3 2 2 5 2 2" xfId="32685" xr:uid="{00000000-0005-0000-0000-00005E2E0000}"/>
    <cellStyle name="Normal 18 3 2 2 5 3" xfId="23595" xr:uid="{00000000-0005-0000-0000-00005F2E0000}"/>
    <cellStyle name="Normal 18 3 2 2 6" xfId="9969" xr:uid="{00000000-0005-0000-0000-0000602E0000}"/>
    <cellStyle name="Normal 18 3 2 2 6 2" xfId="28151" xr:uid="{00000000-0005-0000-0000-0000612E0000}"/>
    <cellStyle name="Normal 18 3 2 2 7" xfId="19060" xr:uid="{00000000-0005-0000-0000-0000622E0000}"/>
    <cellStyle name="Normal 18 3 2 3" xfId="756" xr:uid="{00000000-0005-0000-0000-0000632E0000}"/>
    <cellStyle name="Normal 18 3 2 3 2" xfId="2240" xr:uid="{00000000-0005-0000-0000-0000642E0000}"/>
    <cellStyle name="Normal 18 3 2 3 2 2" xfId="6826" xr:uid="{00000000-0005-0000-0000-0000652E0000}"/>
    <cellStyle name="Normal 18 3 2 3 2 2 2" xfId="15926" xr:uid="{00000000-0005-0000-0000-0000662E0000}"/>
    <cellStyle name="Normal 18 3 2 3 2 2 2 2" xfId="34108" xr:uid="{00000000-0005-0000-0000-0000672E0000}"/>
    <cellStyle name="Normal 18 3 2 3 2 2 3" xfId="25018" xr:uid="{00000000-0005-0000-0000-0000682E0000}"/>
    <cellStyle name="Normal 18 3 2 3 2 3" xfId="11390" xr:uid="{00000000-0005-0000-0000-0000692E0000}"/>
    <cellStyle name="Normal 18 3 2 3 2 3 2" xfId="29572" xr:uid="{00000000-0005-0000-0000-00006A2E0000}"/>
    <cellStyle name="Normal 18 3 2 3 2 4" xfId="20482" xr:uid="{00000000-0005-0000-0000-00006B2E0000}"/>
    <cellStyle name="Normal 18 3 2 3 3" xfId="3766" xr:uid="{00000000-0005-0000-0000-00006C2E0000}"/>
    <cellStyle name="Normal 18 3 2 3 3 2" xfId="8322" xr:uid="{00000000-0005-0000-0000-00006D2E0000}"/>
    <cellStyle name="Normal 18 3 2 3 3 2 2" xfId="17418" xr:uid="{00000000-0005-0000-0000-00006E2E0000}"/>
    <cellStyle name="Normal 18 3 2 3 3 2 2 2" xfId="35600" xr:uid="{00000000-0005-0000-0000-00006F2E0000}"/>
    <cellStyle name="Normal 18 3 2 3 3 2 3" xfId="26510" xr:uid="{00000000-0005-0000-0000-0000702E0000}"/>
    <cellStyle name="Normal 18 3 2 3 3 3" xfId="12878" xr:uid="{00000000-0005-0000-0000-0000712E0000}"/>
    <cellStyle name="Normal 18 3 2 3 3 3 2" xfId="31060" xr:uid="{00000000-0005-0000-0000-0000722E0000}"/>
    <cellStyle name="Normal 18 3 2 3 3 4" xfId="21970" xr:uid="{00000000-0005-0000-0000-0000732E0000}"/>
    <cellStyle name="Normal 18 3 2 3 4" xfId="5405" xr:uid="{00000000-0005-0000-0000-0000742E0000}"/>
    <cellStyle name="Normal 18 3 2 3 4 2" xfId="14505" xr:uid="{00000000-0005-0000-0000-0000752E0000}"/>
    <cellStyle name="Normal 18 3 2 3 4 2 2" xfId="32687" xr:uid="{00000000-0005-0000-0000-0000762E0000}"/>
    <cellStyle name="Normal 18 3 2 3 4 3" xfId="23597" xr:uid="{00000000-0005-0000-0000-0000772E0000}"/>
    <cellStyle name="Normal 18 3 2 3 5" xfId="9971" xr:uid="{00000000-0005-0000-0000-0000782E0000}"/>
    <cellStyle name="Normal 18 3 2 3 5 2" xfId="28153" xr:uid="{00000000-0005-0000-0000-0000792E0000}"/>
    <cellStyle name="Normal 18 3 2 3 6" xfId="19062" xr:uid="{00000000-0005-0000-0000-00007A2E0000}"/>
    <cellStyle name="Normal 18 3 2 4" xfId="757" xr:uid="{00000000-0005-0000-0000-00007B2E0000}"/>
    <cellStyle name="Normal 18 3 2 4 2" xfId="3767" xr:uid="{00000000-0005-0000-0000-00007C2E0000}"/>
    <cellStyle name="Normal 18 3 2 4 2 2" xfId="8323" xr:uid="{00000000-0005-0000-0000-00007D2E0000}"/>
    <cellStyle name="Normal 18 3 2 4 2 2 2" xfId="17419" xr:uid="{00000000-0005-0000-0000-00007E2E0000}"/>
    <cellStyle name="Normal 18 3 2 4 2 2 2 2" xfId="35601" xr:uid="{00000000-0005-0000-0000-00007F2E0000}"/>
    <cellStyle name="Normal 18 3 2 4 2 2 3" xfId="26511" xr:uid="{00000000-0005-0000-0000-0000802E0000}"/>
    <cellStyle name="Normal 18 3 2 4 2 3" xfId="12879" xr:uid="{00000000-0005-0000-0000-0000812E0000}"/>
    <cellStyle name="Normal 18 3 2 4 2 3 2" xfId="31061" xr:uid="{00000000-0005-0000-0000-0000822E0000}"/>
    <cellStyle name="Normal 18 3 2 4 2 4" xfId="21971" xr:uid="{00000000-0005-0000-0000-0000832E0000}"/>
    <cellStyle name="Normal 18 3 2 4 3" xfId="5406" xr:uid="{00000000-0005-0000-0000-0000842E0000}"/>
    <cellStyle name="Normal 18 3 2 4 3 2" xfId="14506" xr:uid="{00000000-0005-0000-0000-0000852E0000}"/>
    <cellStyle name="Normal 18 3 2 4 3 2 2" xfId="32688" xr:uid="{00000000-0005-0000-0000-0000862E0000}"/>
    <cellStyle name="Normal 18 3 2 4 3 3" xfId="23598" xr:uid="{00000000-0005-0000-0000-0000872E0000}"/>
    <cellStyle name="Normal 18 3 2 4 4" xfId="9972" xr:uid="{00000000-0005-0000-0000-0000882E0000}"/>
    <cellStyle name="Normal 18 3 2 4 4 2" xfId="28154" xr:uid="{00000000-0005-0000-0000-0000892E0000}"/>
    <cellStyle name="Normal 18 3 2 4 5" xfId="19063" xr:uid="{00000000-0005-0000-0000-00008A2E0000}"/>
    <cellStyle name="Normal 18 3 2 5" xfId="2241" xr:uid="{00000000-0005-0000-0000-00008B2E0000}"/>
    <cellStyle name="Normal 18 3 2 5 2" xfId="6827" xr:uid="{00000000-0005-0000-0000-00008C2E0000}"/>
    <cellStyle name="Normal 18 3 2 5 2 2" xfId="15927" xr:uid="{00000000-0005-0000-0000-00008D2E0000}"/>
    <cellStyle name="Normal 18 3 2 5 2 2 2" xfId="34109" xr:uid="{00000000-0005-0000-0000-00008E2E0000}"/>
    <cellStyle name="Normal 18 3 2 5 2 3" xfId="25019" xr:uid="{00000000-0005-0000-0000-00008F2E0000}"/>
    <cellStyle name="Normal 18 3 2 5 3" xfId="11391" xr:uid="{00000000-0005-0000-0000-0000902E0000}"/>
    <cellStyle name="Normal 18 3 2 5 3 2" xfId="29573" xr:uid="{00000000-0005-0000-0000-0000912E0000}"/>
    <cellStyle name="Normal 18 3 2 5 4" xfId="20483" xr:uid="{00000000-0005-0000-0000-0000922E0000}"/>
    <cellStyle name="Normal 18 3 2 6" xfId="3763" xr:uid="{00000000-0005-0000-0000-0000932E0000}"/>
    <cellStyle name="Normal 18 3 2 6 2" xfId="8319" xr:uid="{00000000-0005-0000-0000-0000942E0000}"/>
    <cellStyle name="Normal 18 3 2 6 2 2" xfId="17415" xr:uid="{00000000-0005-0000-0000-0000952E0000}"/>
    <cellStyle name="Normal 18 3 2 6 2 2 2" xfId="35597" xr:uid="{00000000-0005-0000-0000-0000962E0000}"/>
    <cellStyle name="Normal 18 3 2 6 2 3" xfId="26507" xr:uid="{00000000-0005-0000-0000-0000972E0000}"/>
    <cellStyle name="Normal 18 3 2 6 3" xfId="12875" xr:uid="{00000000-0005-0000-0000-0000982E0000}"/>
    <cellStyle name="Normal 18 3 2 6 3 2" xfId="31057" xr:uid="{00000000-0005-0000-0000-0000992E0000}"/>
    <cellStyle name="Normal 18 3 2 6 4" xfId="21967" xr:uid="{00000000-0005-0000-0000-00009A2E0000}"/>
    <cellStyle name="Normal 18 3 2 7" xfId="5402" xr:uid="{00000000-0005-0000-0000-00009B2E0000}"/>
    <cellStyle name="Normal 18 3 2 7 2" xfId="14502" xr:uid="{00000000-0005-0000-0000-00009C2E0000}"/>
    <cellStyle name="Normal 18 3 2 7 2 2" xfId="32684" xr:uid="{00000000-0005-0000-0000-00009D2E0000}"/>
    <cellStyle name="Normal 18 3 2 7 3" xfId="23594" xr:uid="{00000000-0005-0000-0000-00009E2E0000}"/>
    <cellStyle name="Normal 18 3 2 8" xfId="9968" xr:uid="{00000000-0005-0000-0000-00009F2E0000}"/>
    <cellStyle name="Normal 18 3 2 8 2" xfId="28150" xr:uid="{00000000-0005-0000-0000-0000A02E0000}"/>
    <cellStyle name="Normal 18 3 2 9" xfId="19059" xr:uid="{00000000-0005-0000-0000-0000A12E0000}"/>
    <cellStyle name="Normal 18 3 3" xfId="758" xr:uid="{00000000-0005-0000-0000-0000A22E0000}"/>
    <cellStyle name="Normal 18 3 3 2" xfId="759" xr:uid="{00000000-0005-0000-0000-0000A32E0000}"/>
    <cellStyle name="Normal 18 3 3 2 2" xfId="2242" xr:uid="{00000000-0005-0000-0000-0000A42E0000}"/>
    <cellStyle name="Normal 18 3 3 2 2 2" xfId="6828" xr:uid="{00000000-0005-0000-0000-0000A52E0000}"/>
    <cellStyle name="Normal 18 3 3 2 2 2 2" xfId="15928" xr:uid="{00000000-0005-0000-0000-0000A62E0000}"/>
    <cellStyle name="Normal 18 3 3 2 2 2 2 2" xfId="34110" xr:uid="{00000000-0005-0000-0000-0000A72E0000}"/>
    <cellStyle name="Normal 18 3 3 2 2 2 3" xfId="25020" xr:uid="{00000000-0005-0000-0000-0000A82E0000}"/>
    <cellStyle name="Normal 18 3 3 2 2 3" xfId="11392" xr:uid="{00000000-0005-0000-0000-0000A92E0000}"/>
    <cellStyle name="Normal 18 3 3 2 2 3 2" xfId="29574" xr:uid="{00000000-0005-0000-0000-0000AA2E0000}"/>
    <cellStyle name="Normal 18 3 3 2 2 4" xfId="20484" xr:uid="{00000000-0005-0000-0000-0000AB2E0000}"/>
    <cellStyle name="Normal 18 3 3 2 3" xfId="3769" xr:uid="{00000000-0005-0000-0000-0000AC2E0000}"/>
    <cellStyle name="Normal 18 3 3 2 3 2" xfId="8325" xr:uid="{00000000-0005-0000-0000-0000AD2E0000}"/>
    <cellStyle name="Normal 18 3 3 2 3 2 2" xfId="17421" xr:uid="{00000000-0005-0000-0000-0000AE2E0000}"/>
    <cellStyle name="Normal 18 3 3 2 3 2 2 2" xfId="35603" xr:uid="{00000000-0005-0000-0000-0000AF2E0000}"/>
    <cellStyle name="Normal 18 3 3 2 3 2 3" xfId="26513" xr:uid="{00000000-0005-0000-0000-0000B02E0000}"/>
    <cellStyle name="Normal 18 3 3 2 3 3" xfId="12881" xr:uid="{00000000-0005-0000-0000-0000B12E0000}"/>
    <cellStyle name="Normal 18 3 3 2 3 3 2" xfId="31063" xr:uid="{00000000-0005-0000-0000-0000B22E0000}"/>
    <cellStyle name="Normal 18 3 3 2 3 4" xfId="21973" xr:uid="{00000000-0005-0000-0000-0000B32E0000}"/>
    <cellStyle name="Normal 18 3 3 2 4" xfId="5408" xr:uid="{00000000-0005-0000-0000-0000B42E0000}"/>
    <cellStyle name="Normal 18 3 3 2 4 2" xfId="14508" xr:uid="{00000000-0005-0000-0000-0000B52E0000}"/>
    <cellStyle name="Normal 18 3 3 2 4 2 2" xfId="32690" xr:uid="{00000000-0005-0000-0000-0000B62E0000}"/>
    <cellStyle name="Normal 18 3 3 2 4 3" xfId="23600" xr:uid="{00000000-0005-0000-0000-0000B72E0000}"/>
    <cellStyle name="Normal 18 3 3 2 5" xfId="9974" xr:uid="{00000000-0005-0000-0000-0000B82E0000}"/>
    <cellStyle name="Normal 18 3 3 2 5 2" xfId="28156" xr:uid="{00000000-0005-0000-0000-0000B92E0000}"/>
    <cellStyle name="Normal 18 3 3 2 6" xfId="19065" xr:uid="{00000000-0005-0000-0000-0000BA2E0000}"/>
    <cellStyle name="Normal 18 3 3 3" xfId="2243" xr:uid="{00000000-0005-0000-0000-0000BB2E0000}"/>
    <cellStyle name="Normal 18 3 3 3 2" xfId="6829" xr:uid="{00000000-0005-0000-0000-0000BC2E0000}"/>
    <cellStyle name="Normal 18 3 3 3 2 2" xfId="15929" xr:uid="{00000000-0005-0000-0000-0000BD2E0000}"/>
    <cellStyle name="Normal 18 3 3 3 2 2 2" xfId="34111" xr:uid="{00000000-0005-0000-0000-0000BE2E0000}"/>
    <cellStyle name="Normal 18 3 3 3 2 3" xfId="25021" xr:uid="{00000000-0005-0000-0000-0000BF2E0000}"/>
    <cellStyle name="Normal 18 3 3 3 3" xfId="11393" xr:uid="{00000000-0005-0000-0000-0000C02E0000}"/>
    <cellStyle name="Normal 18 3 3 3 3 2" xfId="29575" xr:uid="{00000000-0005-0000-0000-0000C12E0000}"/>
    <cellStyle name="Normal 18 3 3 3 4" xfId="20485" xr:uid="{00000000-0005-0000-0000-0000C22E0000}"/>
    <cellStyle name="Normal 18 3 3 4" xfId="3768" xr:uid="{00000000-0005-0000-0000-0000C32E0000}"/>
    <cellStyle name="Normal 18 3 3 4 2" xfId="8324" xr:uid="{00000000-0005-0000-0000-0000C42E0000}"/>
    <cellStyle name="Normal 18 3 3 4 2 2" xfId="17420" xr:uid="{00000000-0005-0000-0000-0000C52E0000}"/>
    <cellStyle name="Normal 18 3 3 4 2 2 2" xfId="35602" xr:uid="{00000000-0005-0000-0000-0000C62E0000}"/>
    <cellStyle name="Normal 18 3 3 4 2 3" xfId="26512" xr:uid="{00000000-0005-0000-0000-0000C72E0000}"/>
    <cellStyle name="Normal 18 3 3 4 3" xfId="12880" xr:uid="{00000000-0005-0000-0000-0000C82E0000}"/>
    <cellStyle name="Normal 18 3 3 4 3 2" xfId="31062" xr:uid="{00000000-0005-0000-0000-0000C92E0000}"/>
    <cellStyle name="Normal 18 3 3 4 4" xfId="21972" xr:uid="{00000000-0005-0000-0000-0000CA2E0000}"/>
    <cellStyle name="Normal 18 3 3 5" xfId="5407" xr:uid="{00000000-0005-0000-0000-0000CB2E0000}"/>
    <cellStyle name="Normal 18 3 3 5 2" xfId="14507" xr:uid="{00000000-0005-0000-0000-0000CC2E0000}"/>
    <cellStyle name="Normal 18 3 3 5 2 2" xfId="32689" xr:uid="{00000000-0005-0000-0000-0000CD2E0000}"/>
    <cellStyle name="Normal 18 3 3 5 3" xfId="23599" xr:uid="{00000000-0005-0000-0000-0000CE2E0000}"/>
    <cellStyle name="Normal 18 3 3 6" xfId="9973" xr:uid="{00000000-0005-0000-0000-0000CF2E0000}"/>
    <cellStyle name="Normal 18 3 3 6 2" xfId="28155" xr:uid="{00000000-0005-0000-0000-0000D02E0000}"/>
    <cellStyle name="Normal 18 3 3 7" xfId="19064" xr:uid="{00000000-0005-0000-0000-0000D12E0000}"/>
    <cellStyle name="Normal 18 3 4" xfId="760" xr:uid="{00000000-0005-0000-0000-0000D22E0000}"/>
    <cellStyle name="Normal 18 3 4 2" xfId="2244" xr:uid="{00000000-0005-0000-0000-0000D32E0000}"/>
    <cellStyle name="Normal 18 3 4 2 2" xfId="6830" xr:uid="{00000000-0005-0000-0000-0000D42E0000}"/>
    <cellStyle name="Normal 18 3 4 2 2 2" xfId="15930" xr:uid="{00000000-0005-0000-0000-0000D52E0000}"/>
    <cellStyle name="Normal 18 3 4 2 2 2 2" xfId="34112" xr:uid="{00000000-0005-0000-0000-0000D62E0000}"/>
    <cellStyle name="Normal 18 3 4 2 2 3" xfId="25022" xr:uid="{00000000-0005-0000-0000-0000D72E0000}"/>
    <cellStyle name="Normal 18 3 4 2 3" xfId="11394" xr:uid="{00000000-0005-0000-0000-0000D82E0000}"/>
    <cellStyle name="Normal 18 3 4 2 3 2" xfId="29576" xr:uid="{00000000-0005-0000-0000-0000D92E0000}"/>
    <cellStyle name="Normal 18 3 4 2 4" xfId="20486" xr:uid="{00000000-0005-0000-0000-0000DA2E0000}"/>
    <cellStyle name="Normal 18 3 4 3" xfId="3770" xr:uid="{00000000-0005-0000-0000-0000DB2E0000}"/>
    <cellStyle name="Normal 18 3 4 3 2" xfId="8326" xr:uid="{00000000-0005-0000-0000-0000DC2E0000}"/>
    <cellStyle name="Normal 18 3 4 3 2 2" xfId="17422" xr:uid="{00000000-0005-0000-0000-0000DD2E0000}"/>
    <cellStyle name="Normal 18 3 4 3 2 2 2" xfId="35604" xr:uid="{00000000-0005-0000-0000-0000DE2E0000}"/>
    <cellStyle name="Normal 18 3 4 3 2 3" xfId="26514" xr:uid="{00000000-0005-0000-0000-0000DF2E0000}"/>
    <cellStyle name="Normal 18 3 4 3 3" xfId="12882" xr:uid="{00000000-0005-0000-0000-0000E02E0000}"/>
    <cellStyle name="Normal 18 3 4 3 3 2" xfId="31064" xr:uid="{00000000-0005-0000-0000-0000E12E0000}"/>
    <cellStyle name="Normal 18 3 4 3 4" xfId="21974" xr:uid="{00000000-0005-0000-0000-0000E22E0000}"/>
    <cellStyle name="Normal 18 3 4 4" xfId="5409" xr:uid="{00000000-0005-0000-0000-0000E32E0000}"/>
    <cellStyle name="Normal 18 3 4 4 2" xfId="14509" xr:uid="{00000000-0005-0000-0000-0000E42E0000}"/>
    <cellStyle name="Normal 18 3 4 4 2 2" xfId="32691" xr:uid="{00000000-0005-0000-0000-0000E52E0000}"/>
    <cellStyle name="Normal 18 3 4 4 3" xfId="23601" xr:uid="{00000000-0005-0000-0000-0000E62E0000}"/>
    <cellStyle name="Normal 18 3 4 5" xfId="9975" xr:uid="{00000000-0005-0000-0000-0000E72E0000}"/>
    <cellStyle name="Normal 18 3 4 5 2" xfId="28157" xr:uid="{00000000-0005-0000-0000-0000E82E0000}"/>
    <cellStyle name="Normal 18 3 4 6" xfId="19066" xr:uid="{00000000-0005-0000-0000-0000E92E0000}"/>
    <cellStyle name="Normal 18 3 5" xfId="761" xr:uid="{00000000-0005-0000-0000-0000EA2E0000}"/>
    <cellStyle name="Normal 18 3 5 2" xfId="3771" xr:uid="{00000000-0005-0000-0000-0000EB2E0000}"/>
    <cellStyle name="Normal 18 3 5 2 2" xfId="8327" xr:uid="{00000000-0005-0000-0000-0000EC2E0000}"/>
    <cellStyle name="Normal 18 3 5 2 2 2" xfId="17423" xr:uid="{00000000-0005-0000-0000-0000ED2E0000}"/>
    <cellStyle name="Normal 18 3 5 2 2 2 2" xfId="35605" xr:uid="{00000000-0005-0000-0000-0000EE2E0000}"/>
    <cellStyle name="Normal 18 3 5 2 2 3" xfId="26515" xr:uid="{00000000-0005-0000-0000-0000EF2E0000}"/>
    <cellStyle name="Normal 18 3 5 2 3" xfId="12883" xr:uid="{00000000-0005-0000-0000-0000F02E0000}"/>
    <cellStyle name="Normal 18 3 5 2 3 2" xfId="31065" xr:uid="{00000000-0005-0000-0000-0000F12E0000}"/>
    <cellStyle name="Normal 18 3 5 2 4" xfId="21975" xr:uid="{00000000-0005-0000-0000-0000F22E0000}"/>
    <cellStyle name="Normal 18 3 5 3" xfId="5410" xr:uid="{00000000-0005-0000-0000-0000F32E0000}"/>
    <cellStyle name="Normal 18 3 5 3 2" xfId="14510" xr:uid="{00000000-0005-0000-0000-0000F42E0000}"/>
    <cellStyle name="Normal 18 3 5 3 2 2" xfId="32692" xr:uid="{00000000-0005-0000-0000-0000F52E0000}"/>
    <cellStyle name="Normal 18 3 5 3 3" xfId="23602" xr:uid="{00000000-0005-0000-0000-0000F62E0000}"/>
    <cellStyle name="Normal 18 3 5 4" xfId="9976" xr:uid="{00000000-0005-0000-0000-0000F72E0000}"/>
    <cellStyle name="Normal 18 3 5 4 2" xfId="28158" xr:uid="{00000000-0005-0000-0000-0000F82E0000}"/>
    <cellStyle name="Normal 18 3 5 5" xfId="19067" xr:uid="{00000000-0005-0000-0000-0000F92E0000}"/>
    <cellStyle name="Normal 18 3 6" xfId="2245" xr:uid="{00000000-0005-0000-0000-0000FA2E0000}"/>
    <cellStyle name="Normal 18 3 6 2" xfId="6831" xr:uid="{00000000-0005-0000-0000-0000FB2E0000}"/>
    <cellStyle name="Normal 18 3 6 2 2" xfId="15931" xr:uid="{00000000-0005-0000-0000-0000FC2E0000}"/>
    <cellStyle name="Normal 18 3 6 2 2 2" xfId="34113" xr:uid="{00000000-0005-0000-0000-0000FD2E0000}"/>
    <cellStyle name="Normal 18 3 6 2 3" xfId="25023" xr:uid="{00000000-0005-0000-0000-0000FE2E0000}"/>
    <cellStyle name="Normal 18 3 6 3" xfId="11395" xr:uid="{00000000-0005-0000-0000-0000FF2E0000}"/>
    <cellStyle name="Normal 18 3 6 3 2" xfId="29577" xr:uid="{00000000-0005-0000-0000-0000002F0000}"/>
    <cellStyle name="Normal 18 3 6 4" xfId="20487" xr:uid="{00000000-0005-0000-0000-0000012F0000}"/>
    <cellStyle name="Normal 18 3 7" xfId="3263" xr:uid="{00000000-0005-0000-0000-0000022F0000}"/>
    <cellStyle name="Normal 18 3 7 2" xfId="7823" xr:uid="{00000000-0005-0000-0000-0000032F0000}"/>
    <cellStyle name="Normal 18 3 7 2 2" xfId="16919" xr:uid="{00000000-0005-0000-0000-0000042F0000}"/>
    <cellStyle name="Normal 18 3 7 2 2 2" xfId="35101" xr:uid="{00000000-0005-0000-0000-0000052F0000}"/>
    <cellStyle name="Normal 18 3 7 2 3" xfId="26011" xr:uid="{00000000-0005-0000-0000-0000062F0000}"/>
    <cellStyle name="Normal 18 3 7 3" xfId="12379" xr:uid="{00000000-0005-0000-0000-0000072F0000}"/>
    <cellStyle name="Normal 18 3 7 3 2" xfId="30561" xr:uid="{00000000-0005-0000-0000-0000082F0000}"/>
    <cellStyle name="Normal 18 3 7 4" xfId="21471" xr:uid="{00000000-0005-0000-0000-0000092F0000}"/>
    <cellStyle name="Normal 18 3 8" xfId="4910" xr:uid="{00000000-0005-0000-0000-00000A2F0000}"/>
    <cellStyle name="Normal 18 3 8 2" xfId="14010" xr:uid="{00000000-0005-0000-0000-00000B2F0000}"/>
    <cellStyle name="Normal 18 3 8 2 2" xfId="32192" xr:uid="{00000000-0005-0000-0000-00000C2F0000}"/>
    <cellStyle name="Normal 18 3 8 3" xfId="23102" xr:uid="{00000000-0005-0000-0000-00000D2F0000}"/>
    <cellStyle name="Normal 18 3 9" xfId="9476" xr:uid="{00000000-0005-0000-0000-00000E2F0000}"/>
    <cellStyle name="Normal 18 3 9 2" xfId="27658" xr:uid="{00000000-0005-0000-0000-00000F2F0000}"/>
    <cellStyle name="Normal 18 4" xfId="762" xr:uid="{00000000-0005-0000-0000-0000102F0000}"/>
    <cellStyle name="Normal 18 4 2" xfId="763" xr:uid="{00000000-0005-0000-0000-0000112F0000}"/>
    <cellStyle name="Normal 18 4 2 2" xfId="764" xr:uid="{00000000-0005-0000-0000-0000122F0000}"/>
    <cellStyle name="Normal 18 4 2 2 2" xfId="2246" xr:uid="{00000000-0005-0000-0000-0000132F0000}"/>
    <cellStyle name="Normal 18 4 2 2 2 2" xfId="6832" xr:uid="{00000000-0005-0000-0000-0000142F0000}"/>
    <cellStyle name="Normal 18 4 2 2 2 2 2" xfId="15932" xr:uid="{00000000-0005-0000-0000-0000152F0000}"/>
    <cellStyle name="Normal 18 4 2 2 2 2 2 2" xfId="34114" xr:uid="{00000000-0005-0000-0000-0000162F0000}"/>
    <cellStyle name="Normal 18 4 2 2 2 2 3" xfId="25024" xr:uid="{00000000-0005-0000-0000-0000172F0000}"/>
    <cellStyle name="Normal 18 4 2 2 2 3" xfId="11396" xr:uid="{00000000-0005-0000-0000-0000182F0000}"/>
    <cellStyle name="Normal 18 4 2 2 2 3 2" xfId="29578" xr:uid="{00000000-0005-0000-0000-0000192F0000}"/>
    <cellStyle name="Normal 18 4 2 2 2 4" xfId="20488" xr:uid="{00000000-0005-0000-0000-00001A2F0000}"/>
    <cellStyle name="Normal 18 4 2 2 3" xfId="3774" xr:uid="{00000000-0005-0000-0000-00001B2F0000}"/>
    <cellStyle name="Normal 18 4 2 2 3 2" xfId="8330" xr:uid="{00000000-0005-0000-0000-00001C2F0000}"/>
    <cellStyle name="Normal 18 4 2 2 3 2 2" xfId="17426" xr:uid="{00000000-0005-0000-0000-00001D2F0000}"/>
    <cellStyle name="Normal 18 4 2 2 3 2 2 2" xfId="35608" xr:uid="{00000000-0005-0000-0000-00001E2F0000}"/>
    <cellStyle name="Normal 18 4 2 2 3 2 3" xfId="26518" xr:uid="{00000000-0005-0000-0000-00001F2F0000}"/>
    <cellStyle name="Normal 18 4 2 2 3 3" xfId="12886" xr:uid="{00000000-0005-0000-0000-0000202F0000}"/>
    <cellStyle name="Normal 18 4 2 2 3 3 2" xfId="31068" xr:uid="{00000000-0005-0000-0000-0000212F0000}"/>
    <cellStyle name="Normal 18 4 2 2 3 4" xfId="21978" xr:uid="{00000000-0005-0000-0000-0000222F0000}"/>
    <cellStyle name="Normal 18 4 2 2 4" xfId="5413" xr:uid="{00000000-0005-0000-0000-0000232F0000}"/>
    <cellStyle name="Normal 18 4 2 2 4 2" xfId="14513" xr:uid="{00000000-0005-0000-0000-0000242F0000}"/>
    <cellStyle name="Normal 18 4 2 2 4 2 2" xfId="32695" xr:uid="{00000000-0005-0000-0000-0000252F0000}"/>
    <cellStyle name="Normal 18 4 2 2 4 3" xfId="23605" xr:uid="{00000000-0005-0000-0000-0000262F0000}"/>
    <cellStyle name="Normal 18 4 2 2 5" xfId="9979" xr:uid="{00000000-0005-0000-0000-0000272F0000}"/>
    <cellStyle name="Normal 18 4 2 2 5 2" xfId="28161" xr:uid="{00000000-0005-0000-0000-0000282F0000}"/>
    <cellStyle name="Normal 18 4 2 2 6" xfId="19070" xr:uid="{00000000-0005-0000-0000-0000292F0000}"/>
    <cellStyle name="Normal 18 4 2 3" xfId="2247" xr:uid="{00000000-0005-0000-0000-00002A2F0000}"/>
    <cellStyle name="Normal 18 4 2 3 2" xfId="6833" xr:uid="{00000000-0005-0000-0000-00002B2F0000}"/>
    <cellStyle name="Normal 18 4 2 3 2 2" xfId="15933" xr:uid="{00000000-0005-0000-0000-00002C2F0000}"/>
    <cellStyle name="Normal 18 4 2 3 2 2 2" xfId="34115" xr:uid="{00000000-0005-0000-0000-00002D2F0000}"/>
    <cellStyle name="Normal 18 4 2 3 2 3" xfId="25025" xr:uid="{00000000-0005-0000-0000-00002E2F0000}"/>
    <cellStyle name="Normal 18 4 2 3 3" xfId="11397" xr:uid="{00000000-0005-0000-0000-00002F2F0000}"/>
    <cellStyle name="Normal 18 4 2 3 3 2" xfId="29579" xr:uid="{00000000-0005-0000-0000-0000302F0000}"/>
    <cellStyle name="Normal 18 4 2 3 4" xfId="20489" xr:uid="{00000000-0005-0000-0000-0000312F0000}"/>
    <cellStyle name="Normal 18 4 2 4" xfId="3773" xr:uid="{00000000-0005-0000-0000-0000322F0000}"/>
    <cellStyle name="Normal 18 4 2 4 2" xfId="8329" xr:uid="{00000000-0005-0000-0000-0000332F0000}"/>
    <cellStyle name="Normal 18 4 2 4 2 2" xfId="17425" xr:uid="{00000000-0005-0000-0000-0000342F0000}"/>
    <cellStyle name="Normal 18 4 2 4 2 2 2" xfId="35607" xr:uid="{00000000-0005-0000-0000-0000352F0000}"/>
    <cellStyle name="Normal 18 4 2 4 2 3" xfId="26517" xr:uid="{00000000-0005-0000-0000-0000362F0000}"/>
    <cellStyle name="Normal 18 4 2 4 3" xfId="12885" xr:uid="{00000000-0005-0000-0000-0000372F0000}"/>
    <cellStyle name="Normal 18 4 2 4 3 2" xfId="31067" xr:uid="{00000000-0005-0000-0000-0000382F0000}"/>
    <cellStyle name="Normal 18 4 2 4 4" xfId="21977" xr:uid="{00000000-0005-0000-0000-0000392F0000}"/>
    <cellStyle name="Normal 18 4 2 5" xfId="5412" xr:uid="{00000000-0005-0000-0000-00003A2F0000}"/>
    <cellStyle name="Normal 18 4 2 5 2" xfId="14512" xr:uid="{00000000-0005-0000-0000-00003B2F0000}"/>
    <cellStyle name="Normal 18 4 2 5 2 2" xfId="32694" xr:uid="{00000000-0005-0000-0000-00003C2F0000}"/>
    <cellStyle name="Normal 18 4 2 5 3" xfId="23604" xr:uid="{00000000-0005-0000-0000-00003D2F0000}"/>
    <cellStyle name="Normal 18 4 2 6" xfId="9978" xr:uid="{00000000-0005-0000-0000-00003E2F0000}"/>
    <cellStyle name="Normal 18 4 2 6 2" xfId="28160" xr:uid="{00000000-0005-0000-0000-00003F2F0000}"/>
    <cellStyle name="Normal 18 4 2 7" xfId="19069" xr:uid="{00000000-0005-0000-0000-0000402F0000}"/>
    <cellStyle name="Normal 18 4 3" xfId="765" xr:uid="{00000000-0005-0000-0000-0000412F0000}"/>
    <cellStyle name="Normal 18 4 3 2" xfId="2248" xr:uid="{00000000-0005-0000-0000-0000422F0000}"/>
    <cellStyle name="Normal 18 4 3 2 2" xfId="6834" xr:uid="{00000000-0005-0000-0000-0000432F0000}"/>
    <cellStyle name="Normal 18 4 3 2 2 2" xfId="15934" xr:uid="{00000000-0005-0000-0000-0000442F0000}"/>
    <cellStyle name="Normal 18 4 3 2 2 2 2" xfId="34116" xr:uid="{00000000-0005-0000-0000-0000452F0000}"/>
    <cellStyle name="Normal 18 4 3 2 2 3" xfId="25026" xr:uid="{00000000-0005-0000-0000-0000462F0000}"/>
    <cellStyle name="Normal 18 4 3 2 3" xfId="11398" xr:uid="{00000000-0005-0000-0000-0000472F0000}"/>
    <cellStyle name="Normal 18 4 3 2 3 2" xfId="29580" xr:uid="{00000000-0005-0000-0000-0000482F0000}"/>
    <cellStyle name="Normal 18 4 3 2 4" xfId="20490" xr:uid="{00000000-0005-0000-0000-0000492F0000}"/>
    <cellStyle name="Normal 18 4 3 3" xfId="3775" xr:uid="{00000000-0005-0000-0000-00004A2F0000}"/>
    <cellStyle name="Normal 18 4 3 3 2" xfId="8331" xr:uid="{00000000-0005-0000-0000-00004B2F0000}"/>
    <cellStyle name="Normal 18 4 3 3 2 2" xfId="17427" xr:uid="{00000000-0005-0000-0000-00004C2F0000}"/>
    <cellStyle name="Normal 18 4 3 3 2 2 2" xfId="35609" xr:uid="{00000000-0005-0000-0000-00004D2F0000}"/>
    <cellStyle name="Normal 18 4 3 3 2 3" xfId="26519" xr:uid="{00000000-0005-0000-0000-00004E2F0000}"/>
    <cellStyle name="Normal 18 4 3 3 3" xfId="12887" xr:uid="{00000000-0005-0000-0000-00004F2F0000}"/>
    <cellStyle name="Normal 18 4 3 3 3 2" xfId="31069" xr:uid="{00000000-0005-0000-0000-0000502F0000}"/>
    <cellStyle name="Normal 18 4 3 3 4" xfId="21979" xr:uid="{00000000-0005-0000-0000-0000512F0000}"/>
    <cellStyle name="Normal 18 4 3 4" xfId="5414" xr:uid="{00000000-0005-0000-0000-0000522F0000}"/>
    <cellStyle name="Normal 18 4 3 4 2" xfId="14514" xr:uid="{00000000-0005-0000-0000-0000532F0000}"/>
    <cellStyle name="Normal 18 4 3 4 2 2" xfId="32696" xr:uid="{00000000-0005-0000-0000-0000542F0000}"/>
    <cellStyle name="Normal 18 4 3 4 3" xfId="23606" xr:uid="{00000000-0005-0000-0000-0000552F0000}"/>
    <cellStyle name="Normal 18 4 3 5" xfId="9980" xr:uid="{00000000-0005-0000-0000-0000562F0000}"/>
    <cellStyle name="Normal 18 4 3 5 2" xfId="28162" xr:uid="{00000000-0005-0000-0000-0000572F0000}"/>
    <cellStyle name="Normal 18 4 3 6" xfId="19071" xr:uid="{00000000-0005-0000-0000-0000582F0000}"/>
    <cellStyle name="Normal 18 4 4" xfId="766" xr:uid="{00000000-0005-0000-0000-0000592F0000}"/>
    <cellStyle name="Normal 18 4 4 2" xfId="3776" xr:uid="{00000000-0005-0000-0000-00005A2F0000}"/>
    <cellStyle name="Normal 18 4 4 2 2" xfId="8332" xr:uid="{00000000-0005-0000-0000-00005B2F0000}"/>
    <cellStyle name="Normal 18 4 4 2 2 2" xfId="17428" xr:uid="{00000000-0005-0000-0000-00005C2F0000}"/>
    <cellStyle name="Normal 18 4 4 2 2 2 2" xfId="35610" xr:uid="{00000000-0005-0000-0000-00005D2F0000}"/>
    <cellStyle name="Normal 18 4 4 2 2 3" xfId="26520" xr:uid="{00000000-0005-0000-0000-00005E2F0000}"/>
    <cellStyle name="Normal 18 4 4 2 3" xfId="12888" xr:uid="{00000000-0005-0000-0000-00005F2F0000}"/>
    <cellStyle name="Normal 18 4 4 2 3 2" xfId="31070" xr:uid="{00000000-0005-0000-0000-0000602F0000}"/>
    <cellStyle name="Normal 18 4 4 2 4" xfId="21980" xr:uid="{00000000-0005-0000-0000-0000612F0000}"/>
    <cellStyle name="Normal 18 4 4 3" xfId="5415" xr:uid="{00000000-0005-0000-0000-0000622F0000}"/>
    <cellStyle name="Normal 18 4 4 3 2" xfId="14515" xr:uid="{00000000-0005-0000-0000-0000632F0000}"/>
    <cellStyle name="Normal 18 4 4 3 2 2" xfId="32697" xr:uid="{00000000-0005-0000-0000-0000642F0000}"/>
    <cellStyle name="Normal 18 4 4 3 3" xfId="23607" xr:uid="{00000000-0005-0000-0000-0000652F0000}"/>
    <cellStyle name="Normal 18 4 4 4" xfId="9981" xr:uid="{00000000-0005-0000-0000-0000662F0000}"/>
    <cellStyle name="Normal 18 4 4 4 2" xfId="28163" xr:uid="{00000000-0005-0000-0000-0000672F0000}"/>
    <cellStyle name="Normal 18 4 4 5" xfId="19072" xr:uid="{00000000-0005-0000-0000-0000682F0000}"/>
    <cellStyle name="Normal 18 4 5" xfId="2249" xr:uid="{00000000-0005-0000-0000-0000692F0000}"/>
    <cellStyle name="Normal 18 4 5 2" xfId="6835" xr:uid="{00000000-0005-0000-0000-00006A2F0000}"/>
    <cellStyle name="Normal 18 4 5 2 2" xfId="15935" xr:uid="{00000000-0005-0000-0000-00006B2F0000}"/>
    <cellStyle name="Normal 18 4 5 2 2 2" xfId="34117" xr:uid="{00000000-0005-0000-0000-00006C2F0000}"/>
    <cellStyle name="Normal 18 4 5 2 3" xfId="25027" xr:uid="{00000000-0005-0000-0000-00006D2F0000}"/>
    <cellStyle name="Normal 18 4 5 3" xfId="11399" xr:uid="{00000000-0005-0000-0000-00006E2F0000}"/>
    <cellStyle name="Normal 18 4 5 3 2" xfId="29581" xr:uid="{00000000-0005-0000-0000-00006F2F0000}"/>
    <cellStyle name="Normal 18 4 5 4" xfId="20491" xr:uid="{00000000-0005-0000-0000-0000702F0000}"/>
    <cellStyle name="Normal 18 4 6" xfId="3772" xr:uid="{00000000-0005-0000-0000-0000712F0000}"/>
    <cellStyle name="Normal 18 4 6 2" xfId="8328" xr:uid="{00000000-0005-0000-0000-0000722F0000}"/>
    <cellStyle name="Normal 18 4 6 2 2" xfId="17424" xr:uid="{00000000-0005-0000-0000-0000732F0000}"/>
    <cellStyle name="Normal 18 4 6 2 2 2" xfId="35606" xr:uid="{00000000-0005-0000-0000-0000742F0000}"/>
    <cellStyle name="Normal 18 4 6 2 3" xfId="26516" xr:uid="{00000000-0005-0000-0000-0000752F0000}"/>
    <cellStyle name="Normal 18 4 6 3" xfId="12884" xr:uid="{00000000-0005-0000-0000-0000762F0000}"/>
    <cellStyle name="Normal 18 4 6 3 2" xfId="31066" xr:uid="{00000000-0005-0000-0000-0000772F0000}"/>
    <cellStyle name="Normal 18 4 6 4" xfId="21976" xr:uid="{00000000-0005-0000-0000-0000782F0000}"/>
    <cellStyle name="Normal 18 4 7" xfId="5411" xr:uid="{00000000-0005-0000-0000-0000792F0000}"/>
    <cellStyle name="Normal 18 4 7 2" xfId="14511" xr:uid="{00000000-0005-0000-0000-00007A2F0000}"/>
    <cellStyle name="Normal 18 4 7 2 2" xfId="32693" xr:uid="{00000000-0005-0000-0000-00007B2F0000}"/>
    <cellStyle name="Normal 18 4 7 3" xfId="23603" xr:uid="{00000000-0005-0000-0000-00007C2F0000}"/>
    <cellStyle name="Normal 18 4 8" xfId="9977" xr:uid="{00000000-0005-0000-0000-00007D2F0000}"/>
    <cellStyle name="Normal 18 4 8 2" xfId="28159" xr:uid="{00000000-0005-0000-0000-00007E2F0000}"/>
    <cellStyle name="Normal 18 4 9" xfId="19068" xr:uid="{00000000-0005-0000-0000-00007F2F0000}"/>
    <cellStyle name="Normal 18 5" xfId="767" xr:uid="{00000000-0005-0000-0000-0000802F0000}"/>
    <cellStyle name="Normal 18 5 2" xfId="768" xr:uid="{00000000-0005-0000-0000-0000812F0000}"/>
    <cellStyle name="Normal 18 5 2 2" xfId="769" xr:uid="{00000000-0005-0000-0000-0000822F0000}"/>
    <cellStyle name="Normal 18 5 2 2 2" xfId="2250" xr:uid="{00000000-0005-0000-0000-0000832F0000}"/>
    <cellStyle name="Normal 18 5 2 2 2 2" xfId="6836" xr:uid="{00000000-0005-0000-0000-0000842F0000}"/>
    <cellStyle name="Normal 18 5 2 2 2 2 2" xfId="15936" xr:uid="{00000000-0005-0000-0000-0000852F0000}"/>
    <cellStyle name="Normal 18 5 2 2 2 2 2 2" xfId="34118" xr:uid="{00000000-0005-0000-0000-0000862F0000}"/>
    <cellStyle name="Normal 18 5 2 2 2 2 3" xfId="25028" xr:uid="{00000000-0005-0000-0000-0000872F0000}"/>
    <cellStyle name="Normal 18 5 2 2 2 3" xfId="11400" xr:uid="{00000000-0005-0000-0000-0000882F0000}"/>
    <cellStyle name="Normal 18 5 2 2 2 3 2" xfId="29582" xr:uid="{00000000-0005-0000-0000-0000892F0000}"/>
    <cellStyle name="Normal 18 5 2 2 2 4" xfId="20492" xr:uid="{00000000-0005-0000-0000-00008A2F0000}"/>
    <cellStyle name="Normal 18 5 2 2 3" xfId="3779" xr:uid="{00000000-0005-0000-0000-00008B2F0000}"/>
    <cellStyle name="Normal 18 5 2 2 3 2" xfId="8335" xr:uid="{00000000-0005-0000-0000-00008C2F0000}"/>
    <cellStyle name="Normal 18 5 2 2 3 2 2" xfId="17431" xr:uid="{00000000-0005-0000-0000-00008D2F0000}"/>
    <cellStyle name="Normal 18 5 2 2 3 2 2 2" xfId="35613" xr:uid="{00000000-0005-0000-0000-00008E2F0000}"/>
    <cellStyle name="Normal 18 5 2 2 3 2 3" xfId="26523" xr:uid="{00000000-0005-0000-0000-00008F2F0000}"/>
    <cellStyle name="Normal 18 5 2 2 3 3" xfId="12891" xr:uid="{00000000-0005-0000-0000-0000902F0000}"/>
    <cellStyle name="Normal 18 5 2 2 3 3 2" xfId="31073" xr:uid="{00000000-0005-0000-0000-0000912F0000}"/>
    <cellStyle name="Normal 18 5 2 2 3 4" xfId="21983" xr:uid="{00000000-0005-0000-0000-0000922F0000}"/>
    <cellStyle name="Normal 18 5 2 2 4" xfId="5418" xr:uid="{00000000-0005-0000-0000-0000932F0000}"/>
    <cellStyle name="Normal 18 5 2 2 4 2" xfId="14518" xr:uid="{00000000-0005-0000-0000-0000942F0000}"/>
    <cellStyle name="Normal 18 5 2 2 4 2 2" xfId="32700" xr:uid="{00000000-0005-0000-0000-0000952F0000}"/>
    <cellStyle name="Normal 18 5 2 2 4 3" xfId="23610" xr:uid="{00000000-0005-0000-0000-0000962F0000}"/>
    <cellStyle name="Normal 18 5 2 2 5" xfId="9984" xr:uid="{00000000-0005-0000-0000-0000972F0000}"/>
    <cellStyle name="Normal 18 5 2 2 5 2" xfId="28166" xr:uid="{00000000-0005-0000-0000-0000982F0000}"/>
    <cellStyle name="Normal 18 5 2 2 6" xfId="19075" xr:uid="{00000000-0005-0000-0000-0000992F0000}"/>
    <cellStyle name="Normal 18 5 2 3" xfId="2251" xr:uid="{00000000-0005-0000-0000-00009A2F0000}"/>
    <cellStyle name="Normal 18 5 2 3 2" xfId="6837" xr:uid="{00000000-0005-0000-0000-00009B2F0000}"/>
    <cellStyle name="Normal 18 5 2 3 2 2" xfId="15937" xr:uid="{00000000-0005-0000-0000-00009C2F0000}"/>
    <cellStyle name="Normal 18 5 2 3 2 2 2" xfId="34119" xr:uid="{00000000-0005-0000-0000-00009D2F0000}"/>
    <cellStyle name="Normal 18 5 2 3 2 3" xfId="25029" xr:uid="{00000000-0005-0000-0000-00009E2F0000}"/>
    <cellStyle name="Normal 18 5 2 3 3" xfId="11401" xr:uid="{00000000-0005-0000-0000-00009F2F0000}"/>
    <cellStyle name="Normal 18 5 2 3 3 2" xfId="29583" xr:uid="{00000000-0005-0000-0000-0000A02F0000}"/>
    <cellStyle name="Normal 18 5 2 3 4" xfId="20493" xr:uid="{00000000-0005-0000-0000-0000A12F0000}"/>
    <cellStyle name="Normal 18 5 2 4" xfId="3778" xr:uid="{00000000-0005-0000-0000-0000A22F0000}"/>
    <cellStyle name="Normal 18 5 2 4 2" xfId="8334" xr:uid="{00000000-0005-0000-0000-0000A32F0000}"/>
    <cellStyle name="Normal 18 5 2 4 2 2" xfId="17430" xr:uid="{00000000-0005-0000-0000-0000A42F0000}"/>
    <cellStyle name="Normal 18 5 2 4 2 2 2" xfId="35612" xr:uid="{00000000-0005-0000-0000-0000A52F0000}"/>
    <cellStyle name="Normal 18 5 2 4 2 3" xfId="26522" xr:uid="{00000000-0005-0000-0000-0000A62F0000}"/>
    <cellStyle name="Normal 18 5 2 4 3" xfId="12890" xr:uid="{00000000-0005-0000-0000-0000A72F0000}"/>
    <cellStyle name="Normal 18 5 2 4 3 2" xfId="31072" xr:uid="{00000000-0005-0000-0000-0000A82F0000}"/>
    <cellStyle name="Normal 18 5 2 4 4" xfId="21982" xr:uid="{00000000-0005-0000-0000-0000A92F0000}"/>
    <cellStyle name="Normal 18 5 2 5" xfId="5417" xr:uid="{00000000-0005-0000-0000-0000AA2F0000}"/>
    <cellStyle name="Normal 18 5 2 5 2" xfId="14517" xr:uid="{00000000-0005-0000-0000-0000AB2F0000}"/>
    <cellStyle name="Normal 18 5 2 5 2 2" xfId="32699" xr:uid="{00000000-0005-0000-0000-0000AC2F0000}"/>
    <cellStyle name="Normal 18 5 2 5 3" xfId="23609" xr:uid="{00000000-0005-0000-0000-0000AD2F0000}"/>
    <cellStyle name="Normal 18 5 2 6" xfId="9983" xr:uid="{00000000-0005-0000-0000-0000AE2F0000}"/>
    <cellStyle name="Normal 18 5 2 6 2" xfId="28165" xr:uid="{00000000-0005-0000-0000-0000AF2F0000}"/>
    <cellStyle name="Normal 18 5 2 7" xfId="19074" xr:uid="{00000000-0005-0000-0000-0000B02F0000}"/>
    <cellStyle name="Normal 18 5 3" xfId="770" xr:uid="{00000000-0005-0000-0000-0000B12F0000}"/>
    <cellStyle name="Normal 18 5 3 2" xfId="2252" xr:uid="{00000000-0005-0000-0000-0000B22F0000}"/>
    <cellStyle name="Normal 18 5 3 2 2" xfId="6838" xr:uid="{00000000-0005-0000-0000-0000B32F0000}"/>
    <cellStyle name="Normal 18 5 3 2 2 2" xfId="15938" xr:uid="{00000000-0005-0000-0000-0000B42F0000}"/>
    <cellStyle name="Normal 18 5 3 2 2 2 2" xfId="34120" xr:uid="{00000000-0005-0000-0000-0000B52F0000}"/>
    <cellStyle name="Normal 18 5 3 2 2 3" xfId="25030" xr:uid="{00000000-0005-0000-0000-0000B62F0000}"/>
    <cellStyle name="Normal 18 5 3 2 3" xfId="11402" xr:uid="{00000000-0005-0000-0000-0000B72F0000}"/>
    <cellStyle name="Normal 18 5 3 2 3 2" xfId="29584" xr:uid="{00000000-0005-0000-0000-0000B82F0000}"/>
    <cellStyle name="Normal 18 5 3 2 4" xfId="20494" xr:uid="{00000000-0005-0000-0000-0000B92F0000}"/>
    <cellStyle name="Normal 18 5 3 3" xfId="3780" xr:uid="{00000000-0005-0000-0000-0000BA2F0000}"/>
    <cellStyle name="Normal 18 5 3 3 2" xfId="8336" xr:uid="{00000000-0005-0000-0000-0000BB2F0000}"/>
    <cellStyle name="Normal 18 5 3 3 2 2" xfId="17432" xr:uid="{00000000-0005-0000-0000-0000BC2F0000}"/>
    <cellStyle name="Normal 18 5 3 3 2 2 2" xfId="35614" xr:uid="{00000000-0005-0000-0000-0000BD2F0000}"/>
    <cellStyle name="Normal 18 5 3 3 2 3" xfId="26524" xr:uid="{00000000-0005-0000-0000-0000BE2F0000}"/>
    <cellStyle name="Normal 18 5 3 3 3" xfId="12892" xr:uid="{00000000-0005-0000-0000-0000BF2F0000}"/>
    <cellStyle name="Normal 18 5 3 3 3 2" xfId="31074" xr:uid="{00000000-0005-0000-0000-0000C02F0000}"/>
    <cellStyle name="Normal 18 5 3 3 4" xfId="21984" xr:uid="{00000000-0005-0000-0000-0000C12F0000}"/>
    <cellStyle name="Normal 18 5 3 4" xfId="5419" xr:uid="{00000000-0005-0000-0000-0000C22F0000}"/>
    <cellStyle name="Normal 18 5 3 4 2" xfId="14519" xr:uid="{00000000-0005-0000-0000-0000C32F0000}"/>
    <cellStyle name="Normal 18 5 3 4 2 2" xfId="32701" xr:uid="{00000000-0005-0000-0000-0000C42F0000}"/>
    <cellStyle name="Normal 18 5 3 4 3" xfId="23611" xr:uid="{00000000-0005-0000-0000-0000C52F0000}"/>
    <cellStyle name="Normal 18 5 3 5" xfId="9985" xr:uid="{00000000-0005-0000-0000-0000C62F0000}"/>
    <cellStyle name="Normal 18 5 3 5 2" xfId="28167" xr:uid="{00000000-0005-0000-0000-0000C72F0000}"/>
    <cellStyle name="Normal 18 5 3 6" xfId="19076" xr:uid="{00000000-0005-0000-0000-0000C82F0000}"/>
    <cellStyle name="Normal 18 5 4" xfId="771" xr:uid="{00000000-0005-0000-0000-0000C92F0000}"/>
    <cellStyle name="Normal 18 5 4 2" xfId="3781" xr:uid="{00000000-0005-0000-0000-0000CA2F0000}"/>
    <cellStyle name="Normal 18 5 4 2 2" xfId="8337" xr:uid="{00000000-0005-0000-0000-0000CB2F0000}"/>
    <cellStyle name="Normal 18 5 4 2 2 2" xfId="17433" xr:uid="{00000000-0005-0000-0000-0000CC2F0000}"/>
    <cellStyle name="Normal 18 5 4 2 2 2 2" xfId="35615" xr:uid="{00000000-0005-0000-0000-0000CD2F0000}"/>
    <cellStyle name="Normal 18 5 4 2 2 3" xfId="26525" xr:uid="{00000000-0005-0000-0000-0000CE2F0000}"/>
    <cellStyle name="Normal 18 5 4 2 3" xfId="12893" xr:uid="{00000000-0005-0000-0000-0000CF2F0000}"/>
    <cellStyle name="Normal 18 5 4 2 3 2" xfId="31075" xr:uid="{00000000-0005-0000-0000-0000D02F0000}"/>
    <cellStyle name="Normal 18 5 4 2 4" xfId="21985" xr:uid="{00000000-0005-0000-0000-0000D12F0000}"/>
    <cellStyle name="Normal 18 5 4 3" xfId="5420" xr:uid="{00000000-0005-0000-0000-0000D22F0000}"/>
    <cellStyle name="Normal 18 5 4 3 2" xfId="14520" xr:uid="{00000000-0005-0000-0000-0000D32F0000}"/>
    <cellStyle name="Normal 18 5 4 3 2 2" xfId="32702" xr:uid="{00000000-0005-0000-0000-0000D42F0000}"/>
    <cellStyle name="Normal 18 5 4 3 3" xfId="23612" xr:uid="{00000000-0005-0000-0000-0000D52F0000}"/>
    <cellStyle name="Normal 18 5 4 4" xfId="9986" xr:uid="{00000000-0005-0000-0000-0000D62F0000}"/>
    <cellStyle name="Normal 18 5 4 4 2" xfId="28168" xr:uid="{00000000-0005-0000-0000-0000D72F0000}"/>
    <cellStyle name="Normal 18 5 4 5" xfId="19077" xr:uid="{00000000-0005-0000-0000-0000D82F0000}"/>
    <cellStyle name="Normal 18 5 5" xfId="2253" xr:uid="{00000000-0005-0000-0000-0000D92F0000}"/>
    <cellStyle name="Normal 18 5 5 2" xfId="6839" xr:uid="{00000000-0005-0000-0000-0000DA2F0000}"/>
    <cellStyle name="Normal 18 5 5 2 2" xfId="15939" xr:uid="{00000000-0005-0000-0000-0000DB2F0000}"/>
    <cellStyle name="Normal 18 5 5 2 2 2" xfId="34121" xr:uid="{00000000-0005-0000-0000-0000DC2F0000}"/>
    <cellStyle name="Normal 18 5 5 2 3" xfId="25031" xr:uid="{00000000-0005-0000-0000-0000DD2F0000}"/>
    <cellStyle name="Normal 18 5 5 3" xfId="11403" xr:uid="{00000000-0005-0000-0000-0000DE2F0000}"/>
    <cellStyle name="Normal 18 5 5 3 2" xfId="29585" xr:uid="{00000000-0005-0000-0000-0000DF2F0000}"/>
    <cellStyle name="Normal 18 5 5 4" xfId="20495" xr:uid="{00000000-0005-0000-0000-0000E02F0000}"/>
    <cellStyle name="Normal 18 5 6" xfId="3777" xr:uid="{00000000-0005-0000-0000-0000E12F0000}"/>
    <cellStyle name="Normal 18 5 6 2" xfId="8333" xr:uid="{00000000-0005-0000-0000-0000E22F0000}"/>
    <cellStyle name="Normal 18 5 6 2 2" xfId="17429" xr:uid="{00000000-0005-0000-0000-0000E32F0000}"/>
    <cellStyle name="Normal 18 5 6 2 2 2" xfId="35611" xr:uid="{00000000-0005-0000-0000-0000E42F0000}"/>
    <cellStyle name="Normal 18 5 6 2 3" xfId="26521" xr:uid="{00000000-0005-0000-0000-0000E52F0000}"/>
    <cellStyle name="Normal 18 5 6 3" xfId="12889" xr:uid="{00000000-0005-0000-0000-0000E62F0000}"/>
    <cellStyle name="Normal 18 5 6 3 2" xfId="31071" xr:uid="{00000000-0005-0000-0000-0000E72F0000}"/>
    <cellStyle name="Normal 18 5 6 4" xfId="21981" xr:uid="{00000000-0005-0000-0000-0000E82F0000}"/>
    <cellStyle name="Normal 18 5 7" xfId="5416" xr:uid="{00000000-0005-0000-0000-0000E92F0000}"/>
    <cellStyle name="Normal 18 5 7 2" xfId="14516" xr:uid="{00000000-0005-0000-0000-0000EA2F0000}"/>
    <cellStyle name="Normal 18 5 7 2 2" xfId="32698" xr:uid="{00000000-0005-0000-0000-0000EB2F0000}"/>
    <cellStyle name="Normal 18 5 7 3" xfId="23608" xr:uid="{00000000-0005-0000-0000-0000EC2F0000}"/>
    <cellStyle name="Normal 18 5 8" xfId="9982" xr:uid="{00000000-0005-0000-0000-0000ED2F0000}"/>
    <cellStyle name="Normal 18 5 8 2" xfId="28164" xr:uid="{00000000-0005-0000-0000-0000EE2F0000}"/>
    <cellStyle name="Normal 18 5 9" xfId="19073" xr:uid="{00000000-0005-0000-0000-0000EF2F0000}"/>
    <cellStyle name="Normal 18 6" xfId="772" xr:uid="{00000000-0005-0000-0000-0000F02F0000}"/>
    <cellStyle name="Normal 18 6 2" xfId="773" xr:uid="{00000000-0005-0000-0000-0000F12F0000}"/>
    <cellStyle name="Normal 18 6 2 2" xfId="2254" xr:uid="{00000000-0005-0000-0000-0000F22F0000}"/>
    <cellStyle name="Normal 18 6 2 2 2" xfId="6840" xr:uid="{00000000-0005-0000-0000-0000F32F0000}"/>
    <cellStyle name="Normal 18 6 2 2 2 2" xfId="15940" xr:uid="{00000000-0005-0000-0000-0000F42F0000}"/>
    <cellStyle name="Normal 18 6 2 2 2 2 2" xfId="34122" xr:uid="{00000000-0005-0000-0000-0000F52F0000}"/>
    <cellStyle name="Normal 18 6 2 2 2 3" xfId="25032" xr:uid="{00000000-0005-0000-0000-0000F62F0000}"/>
    <cellStyle name="Normal 18 6 2 2 3" xfId="11404" xr:uid="{00000000-0005-0000-0000-0000F72F0000}"/>
    <cellStyle name="Normal 18 6 2 2 3 2" xfId="29586" xr:uid="{00000000-0005-0000-0000-0000F82F0000}"/>
    <cellStyle name="Normal 18 6 2 2 4" xfId="20496" xr:uid="{00000000-0005-0000-0000-0000F92F0000}"/>
    <cellStyle name="Normal 18 6 2 3" xfId="3783" xr:uid="{00000000-0005-0000-0000-0000FA2F0000}"/>
    <cellStyle name="Normal 18 6 2 3 2" xfId="8339" xr:uid="{00000000-0005-0000-0000-0000FB2F0000}"/>
    <cellStyle name="Normal 18 6 2 3 2 2" xfId="17435" xr:uid="{00000000-0005-0000-0000-0000FC2F0000}"/>
    <cellStyle name="Normal 18 6 2 3 2 2 2" xfId="35617" xr:uid="{00000000-0005-0000-0000-0000FD2F0000}"/>
    <cellStyle name="Normal 18 6 2 3 2 3" xfId="26527" xr:uid="{00000000-0005-0000-0000-0000FE2F0000}"/>
    <cellStyle name="Normal 18 6 2 3 3" xfId="12895" xr:uid="{00000000-0005-0000-0000-0000FF2F0000}"/>
    <cellStyle name="Normal 18 6 2 3 3 2" xfId="31077" xr:uid="{00000000-0005-0000-0000-000000300000}"/>
    <cellStyle name="Normal 18 6 2 3 4" xfId="21987" xr:uid="{00000000-0005-0000-0000-000001300000}"/>
    <cellStyle name="Normal 18 6 2 4" xfId="5422" xr:uid="{00000000-0005-0000-0000-000002300000}"/>
    <cellStyle name="Normal 18 6 2 4 2" xfId="14522" xr:uid="{00000000-0005-0000-0000-000003300000}"/>
    <cellStyle name="Normal 18 6 2 4 2 2" xfId="32704" xr:uid="{00000000-0005-0000-0000-000004300000}"/>
    <cellStyle name="Normal 18 6 2 4 3" xfId="23614" xr:uid="{00000000-0005-0000-0000-000005300000}"/>
    <cellStyle name="Normal 18 6 2 5" xfId="9988" xr:uid="{00000000-0005-0000-0000-000006300000}"/>
    <cellStyle name="Normal 18 6 2 5 2" xfId="28170" xr:uid="{00000000-0005-0000-0000-000007300000}"/>
    <cellStyle name="Normal 18 6 2 6" xfId="19079" xr:uid="{00000000-0005-0000-0000-000008300000}"/>
    <cellStyle name="Normal 18 6 3" xfId="2255" xr:uid="{00000000-0005-0000-0000-000009300000}"/>
    <cellStyle name="Normal 18 6 3 2" xfId="6841" xr:uid="{00000000-0005-0000-0000-00000A300000}"/>
    <cellStyle name="Normal 18 6 3 2 2" xfId="15941" xr:uid="{00000000-0005-0000-0000-00000B300000}"/>
    <cellStyle name="Normal 18 6 3 2 2 2" xfId="34123" xr:uid="{00000000-0005-0000-0000-00000C300000}"/>
    <cellStyle name="Normal 18 6 3 2 3" xfId="25033" xr:uid="{00000000-0005-0000-0000-00000D300000}"/>
    <cellStyle name="Normal 18 6 3 3" xfId="11405" xr:uid="{00000000-0005-0000-0000-00000E300000}"/>
    <cellStyle name="Normal 18 6 3 3 2" xfId="29587" xr:uid="{00000000-0005-0000-0000-00000F300000}"/>
    <cellStyle name="Normal 18 6 3 4" xfId="20497" xr:uid="{00000000-0005-0000-0000-000010300000}"/>
    <cellStyle name="Normal 18 6 4" xfId="3782" xr:uid="{00000000-0005-0000-0000-000011300000}"/>
    <cellStyle name="Normal 18 6 4 2" xfId="8338" xr:uid="{00000000-0005-0000-0000-000012300000}"/>
    <cellStyle name="Normal 18 6 4 2 2" xfId="17434" xr:uid="{00000000-0005-0000-0000-000013300000}"/>
    <cellStyle name="Normal 18 6 4 2 2 2" xfId="35616" xr:uid="{00000000-0005-0000-0000-000014300000}"/>
    <cellStyle name="Normal 18 6 4 2 3" xfId="26526" xr:uid="{00000000-0005-0000-0000-000015300000}"/>
    <cellStyle name="Normal 18 6 4 3" xfId="12894" xr:uid="{00000000-0005-0000-0000-000016300000}"/>
    <cellStyle name="Normal 18 6 4 3 2" xfId="31076" xr:uid="{00000000-0005-0000-0000-000017300000}"/>
    <cellStyle name="Normal 18 6 4 4" xfId="21986" xr:uid="{00000000-0005-0000-0000-000018300000}"/>
    <cellStyle name="Normal 18 6 5" xfId="5421" xr:uid="{00000000-0005-0000-0000-000019300000}"/>
    <cellStyle name="Normal 18 6 5 2" xfId="14521" xr:uid="{00000000-0005-0000-0000-00001A300000}"/>
    <cellStyle name="Normal 18 6 5 2 2" xfId="32703" xr:uid="{00000000-0005-0000-0000-00001B300000}"/>
    <cellStyle name="Normal 18 6 5 3" xfId="23613" xr:uid="{00000000-0005-0000-0000-00001C300000}"/>
    <cellStyle name="Normal 18 6 6" xfId="9987" xr:uid="{00000000-0005-0000-0000-00001D300000}"/>
    <cellStyle name="Normal 18 6 6 2" xfId="28169" xr:uid="{00000000-0005-0000-0000-00001E300000}"/>
    <cellStyle name="Normal 18 6 7" xfId="19078" xr:uid="{00000000-0005-0000-0000-00001F300000}"/>
    <cellStyle name="Normal 18 7" xfId="774" xr:uid="{00000000-0005-0000-0000-000020300000}"/>
    <cellStyle name="Normal 18 7 2" xfId="2256" xr:uid="{00000000-0005-0000-0000-000021300000}"/>
    <cellStyle name="Normal 18 7 2 2" xfId="6842" xr:uid="{00000000-0005-0000-0000-000022300000}"/>
    <cellStyle name="Normal 18 7 2 2 2" xfId="15942" xr:uid="{00000000-0005-0000-0000-000023300000}"/>
    <cellStyle name="Normal 18 7 2 2 2 2" xfId="34124" xr:uid="{00000000-0005-0000-0000-000024300000}"/>
    <cellStyle name="Normal 18 7 2 2 3" xfId="25034" xr:uid="{00000000-0005-0000-0000-000025300000}"/>
    <cellStyle name="Normal 18 7 2 3" xfId="11406" xr:uid="{00000000-0005-0000-0000-000026300000}"/>
    <cellStyle name="Normal 18 7 2 3 2" xfId="29588" xr:uid="{00000000-0005-0000-0000-000027300000}"/>
    <cellStyle name="Normal 18 7 2 4" xfId="20498" xr:uid="{00000000-0005-0000-0000-000028300000}"/>
    <cellStyle name="Normal 18 7 3" xfId="3784" xr:uid="{00000000-0005-0000-0000-000029300000}"/>
    <cellStyle name="Normal 18 7 3 2" xfId="8340" xr:uid="{00000000-0005-0000-0000-00002A300000}"/>
    <cellStyle name="Normal 18 7 3 2 2" xfId="17436" xr:uid="{00000000-0005-0000-0000-00002B300000}"/>
    <cellStyle name="Normal 18 7 3 2 2 2" xfId="35618" xr:uid="{00000000-0005-0000-0000-00002C300000}"/>
    <cellStyle name="Normal 18 7 3 2 3" xfId="26528" xr:uid="{00000000-0005-0000-0000-00002D300000}"/>
    <cellStyle name="Normal 18 7 3 3" xfId="12896" xr:uid="{00000000-0005-0000-0000-00002E300000}"/>
    <cellStyle name="Normal 18 7 3 3 2" xfId="31078" xr:uid="{00000000-0005-0000-0000-00002F300000}"/>
    <cellStyle name="Normal 18 7 3 4" xfId="21988" xr:uid="{00000000-0005-0000-0000-000030300000}"/>
    <cellStyle name="Normal 18 7 4" xfId="5423" xr:uid="{00000000-0005-0000-0000-000031300000}"/>
    <cellStyle name="Normal 18 7 4 2" xfId="14523" xr:uid="{00000000-0005-0000-0000-000032300000}"/>
    <cellStyle name="Normal 18 7 4 2 2" xfId="32705" xr:uid="{00000000-0005-0000-0000-000033300000}"/>
    <cellStyle name="Normal 18 7 4 3" xfId="23615" xr:uid="{00000000-0005-0000-0000-000034300000}"/>
    <cellStyle name="Normal 18 7 5" xfId="9989" xr:uid="{00000000-0005-0000-0000-000035300000}"/>
    <cellStyle name="Normal 18 7 5 2" xfId="28171" xr:uid="{00000000-0005-0000-0000-000036300000}"/>
    <cellStyle name="Normal 18 7 6" xfId="19080" xr:uid="{00000000-0005-0000-0000-000037300000}"/>
    <cellStyle name="Normal 18 8" xfId="775" xr:uid="{00000000-0005-0000-0000-000038300000}"/>
    <cellStyle name="Normal 18 8 2" xfId="2257" xr:uid="{00000000-0005-0000-0000-000039300000}"/>
    <cellStyle name="Normal 18 8 2 2" xfId="6843" xr:uid="{00000000-0005-0000-0000-00003A300000}"/>
    <cellStyle name="Normal 18 8 2 2 2" xfId="15943" xr:uid="{00000000-0005-0000-0000-00003B300000}"/>
    <cellStyle name="Normal 18 8 2 2 2 2" xfId="34125" xr:uid="{00000000-0005-0000-0000-00003C300000}"/>
    <cellStyle name="Normal 18 8 2 2 3" xfId="25035" xr:uid="{00000000-0005-0000-0000-00003D300000}"/>
    <cellStyle name="Normal 18 8 2 3" xfId="11407" xr:uid="{00000000-0005-0000-0000-00003E300000}"/>
    <cellStyle name="Normal 18 8 2 3 2" xfId="29589" xr:uid="{00000000-0005-0000-0000-00003F300000}"/>
    <cellStyle name="Normal 18 8 2 4" xfId="20499" xr:uid="{00000000-0005-0000-0000-000040300000}"/>
    <cellStyle name="Normal 18 8 3" xfId="3785" xr:uid="{00000000-0005-0000-0000-000041300000}"/>
    <cellStyle name="Normal 18 8 3 2" xfId="8341" xr:uid="{00000000-0005-0000-0000-000042300000}"/>
    <cellStyle name="Normal 18 8 3 2 2" xfId="17437" xr:uid="{00000000-0005-0000-0000-000043300000}"/>
    <cellStyle name="Normal 18 8 3 2 2 2" xfId="35619" xr:uid="{00000000-0005-0000-0000-000044300000}"/>
    <cellStyle name="Normal 18 8 3 2 3" xfId="26529" xr:uid="{00000000-0005-0000-0000-000045300000}"/>
    <cellStyle name="Normal 18 8 3 3" xfId="12897" xr:uid="{00000000-0005-0000-0000-000046300000}"/>
    <cellStyle name="Normal 18 8 3 3 2" xfId="31079" xr:uid="{00000000-0005-0000-0000-000047300000}"/>
    <cellStyle name="Normal 18 8 3 4" xfId="21989" xr:uid="{00000000-0005-0000-0000-000048300000}"/>
    <cellStyle name="Normal 18 8 4" xfId="5424" xr:uid="{00000000-0005-0000-0000-000049300000}"/>
    <cellStyle name="Normal 18 8 4 2" xfId="14524" xr:uid="{00000000-0005-0000-0000-00004A300000}"/>
    <cellStyle name="Normal 18 8 4 2 2" xfId="32706" xr:uid="{00000000-0005-0000-0000-00004B300000}"/>
    <cellStyle name="Normal 18 8 4 3" xfId="23616" xr:uid="{00000000-0005-0000-0000-00004C300000}"/>
    <cellStyle name="Normal 18 8 5" xfId="9990" xr:uid="{00000000-0005-0000-0000-00004D300000}"/>
    <cellStyle name="Normal 18 8 5 2" xfId="28172" xr:uid="{00000000-0005-0000-0000-00004E300000}"/>
    <cellStyle name="Normal 18 8 6" xfId="19081" xr:uid="{00000000-0005-0000-0000-00004F300000}"/>
    <cellStyle name="Normal 18 9" xfId="776" xr:uid="{00000000-0005-0000-0000-000050300000}"/>
    <cellStyle name="Normal 18 9 2" xfId="3786" xr:uid="{00000000-0005-0000-0000-000051300000}"/>
    <cellStyle name="Normal 18 9 2 2" xfId="8342" xr:uid="{00000000-0005-0000-0000-000052300000}"/>
    <cellStyle name="Normal 18 9 2 2 2" xfId="17438" xr:uid="{00000000-0005-0000-0000-000053300000}"/>
    <cellStyle name="Normal 18 9 2 2 2 2" xfId="35620" xr:uid="{00000000-0005-0000-0000-000054300000}"/>
    <cellStyle name="Normal 18 9 2 2 3" xfId="26530" xr:uid="{00000000-0005-0000-0000-000055300000}"/>
    <cellStyle name="Normal 18 9 2 3" xfId="12898" xr:uid="{00000000-0005-0000-0000-000056300000}"/>
    <cellStyle name="Normal 18 9 2 3 2" xfId="31080" xr:uid="{00000000-0005-0000-0000-000057300000}"/>
    <cellStyle name="Normal 18 9 2 4" xfId="21990" xr:uid="{00000000-0005-0000-0000-000058300000}"/>
    <cellStyle name="Normal 18 9 3" xfId="5425" xr:uid="{00000000-0005-0000-0000-000059300000}"/>
    <cellStyle name="Normal 18 9 3 2" xfId="14525" xr:uid="{00000000-0005-0000-0000-00005A300000}"/>
    <cellStyle name="Normal 18 9 3 2 2" xfId="32707" xr:uid="{00000000-0005-0000-0000-00005B300000}"/>
    <cellStyle name="Normal 18 9 3 3" xfId="23617" xr:uid="{00000000-0005-0000-0000-00005C300000}"/>
    <cellStyle name="Normal 18 9 4" xfId="9991" xr:uid="{00000000-0005-0000-0000-00005D300000}"/>
    <cellStyle name="Normal 18 9 4 2" xfId="28173" xr:uid="{00000000-0005-0000-0000-00005E300000}"/>
    <cellStyle name="Normal 18 9 5" xfId="19082" xr:uid="{00000000-0005-0000-0000-00005F300000}"/>
    <cellStyle name="Normal 19" xfId="133" xr:uid="{00000000-0005-0000-0000-000060300000}"/>
    <cellStyle name="Normal 2" xfId="5" xr:uid="{00000000-0005-0000-0000-000061300000}"/>
    <cellStyle name="Normal 2 2" xfId="6" xr:uid="{00000000-0005-0000-0000-000062300000}"/>
    <cellStyle name="Normal 2 2 2" xfId="17" xr:uid="{00000000-0005-0000-0000-000063300000}"/>
    <cellStyle name="Normal 2 2 2 2" xfId="38" xr:uid="{00000000-0005-0000-0000-000064300000}"/>
    <cellStyle name="Normal 2 2 2 2 2" xfId="40" xr:uid="{00000000-0005-0000-0000-000065300000}"/>
    <cellStyle name="Normal 2 2 2 2 2 2" xfId="88" xr:uid="{00000000-0005-0000-0000-000066300000}"/>
    <cellStyle name="Normal 2 2 3" xfId="777" xr:uid="{00000000-0005-0000-0000-000067300000}"/>
    <cellStyle name="Normal 2 3" xfId="56" xr:uid="{00000000-0005-0000-0000-000068300000}"/>
    <cellStyle name="Normal 2 3 10" xfId="4830" xr:uid="{00000000-0005-0000-0000-000069300000}"/>
    <cellStyle name="Normal 2 3 10 2" xfId="13930" xr:uid="{00000000-0005-0000-0000-00006A300000}"/>
    <cellStyle name="Normal 2 3 10 2 2" xfId="32112" xr:uid="{00000000-0005-0000-0000-00006B300000}"/>
    <cellStyle name="Normal 2 3 10 3" xfId="23022" xr:uid="{00000000-0005-0000-0000-00006C300000}"/>
    <cellStyle name="Normal 2 3 11" xfId="9396" xr:uid="{00000000-0005-0000-0000-00006D300000}"/>
    <cellStyle name="Normal 2 3 11 2" xfId="27578" xr:uid="{00000000-0005-0000-0000-00006E300000}"/>
    <cellStyle name="Normal 2 3 12" xfId="18487" xr:uid="{00000000-0005-0000-0000-00006F300000}"/>
    <cellStyle name="Normal 2 3 2" xfId="105" xr:uid="{00000000-0005-0000-0000-000070300000}"/>
    <cellStyle name="Normal 2 3 2 10" xfId="9373" xr:uid="{00000000-0005-0000-0000-000071300000}"/>
    <cellStyle name="Normal 2 3 2 11" xfId="9417" xr:uid="{00000000-0005-0000-0000-000072300000}"/>
    <cellStyle name="Normal 2 3 2 11 2" xfId="27599" xr:uid="{00000000-0005-0000-0000-000073300000}"/>
    <cellStyle name="Normal 2 3 2 12" xfId="18508" xr:uid="{00000000-0005-0000-0000-000074300000}"/>
    <cellStyle name="Normal 2 3 2 2" xfId="778" xr:uid="{00000000-0005-0000-0000-000075300000}"/>
    <cellStyle name="Normal 2 3 2 2 10" xfId="19083" xr:uid="{00000000-0005-0000-0000-000076300000}"/>
    <cellStyle name="Normal 2 3 2 2 2" xfId="779" xr:uid="{00000000-0005-0000-0000-000077300000}"/>
    <cellStyle name="Normal 2 3 2 2 2 2" xfId="780" xr:uid="{00000000-0005-0000-0000-000078300000}"/>
    <cellStyle name="Normal 2 3 2 2 2 2 2" xfId="781" xr:uid="{00000000-0005-0000-0000-000079300000}"/>
    <cellStyle name="Normal 2 3 2 2 2 2 2 2" xfId="2258" xr:uid="{00000000-0005-0000-0000-00007A300000}"/>
    <cellStyle name="Normal 2 3 2 2 2 2 2 2 2" xfId="6844" xr:uid="{00000000-0005-0000-0000-00007B300000}"/>
    <cellStyle name="Normal 2 3 2 2 2 2 2 2 2 2" xfId="15944" xr:uid="{00000000-0005-0000-0000-00007C300000}"/>
    <cellStyle name="Normal 2 3 2 2 2 2 2 2 2 2 2" xfId="34126" xr:uid="{00000000-0005-0000-0000-00007D300000}"/>
    <cellStyle name="Normal 2 3 2 2 2 2 2 2 2 3" xfId="25036" xr:uid="{00000000-0005-0000-0000-00007E300000}"/>
    <cellStyle name="Normal 2 3 2 2 2 2 2 2 3" xfId="11408" xr:uid="{00000000-0005-0000-0000-00007F300000}"/>
    <cellStyle name="Normal 2 3 2 2 2 2 2 2 3 2" xfId="29590" xr:uid="{00000000-0005-0000-0000-000080300000}"/>
    <cellStyle name="Normal 2 3 2 2 2 2 2 2 4" xfId="20500" xr:uid="{00000000-0005-0000-0000-000081300000}"/>
    <cellStyle name="Normal 2 3 2 2 2 2 2 3" xfId="3790" xr:uid="{00000000-0005-0000-0000-000082300000}"/>
    <cellStyle name="Normal 2 3 2 2 2 2 2 3 2" xfId="8346" xr:uid="{00000000-0005-0000-0000-000083300000}"/>
    <cellStyle name="Normal 2 3 2 2 2 2 2 3 2 2" xfId="17442" xr:uid="{00000000-0005-0000-0000-000084300000}"/>
    <cellStyle name="Normal 2 3 2 2 2 2 2 3 2 2 2" xfId="35624" xr:uid="{00000000-0005-0000-0000-000085300000}"/>
    <cellStyle name="Normal 2 3 2 2 2 2 2 3 2 3" xfId="26534" xr:uid="{00000000-0005-0000-0000-000086300000}"/>
    <cellStyle name="Normal 2 3 2 2 2 2 2 3 3" xfId="12902" xr:uid="{00000000-0005-0000-0000-000087300000}"/>
    <cellStyle name="Normal 2 3 2 2 2 2 2 3 3 2" xfId="31084" xr:uid="{00000000-0005-0000-0000-000088300000}"/>
    <cellStyle name="Normal 2 3 2 2 2 2 2 3 4" xfId="21994" xr:uid="{00000000-0005-0000-0000-000089300000}"/>
    <cellStyle name="Normal 2 3 2 2 2 2 2 4" xfId="5429" xr:uid="{00000000-0005-0000-0000-00008A300000}"/>
    <cellStyle name="Normal 2 3 2 2 2 2 2 4 2" xfId="14529" xr:uid="{00000000-0005-0000-0000-00008B300000}"/>
    <cellStyle name="Normal 2 3 2 2 2 2 2 4 2 2" xfId="32711" xr:uid="{00000000-0005-0000-0000-00008C300000}"/>
    <cellStyle name="Normal 2 3 2 2 2 2 2 4 3" xfId="23621" xr:uid="{00000000-0005-0000-0000-00008D300000}"/>
    <cellStyle name="Normal 2 3 2 2 2 2 2 5" xfId="9995" xr:uid="{00000000-0005-0000-0000-00008E300000}"/>
    <cellStyle name="Normal 2 3 2 2 2 2 2 5 2" xfId="28177" xr:uid="{00000000-0005-0000-0000-00008F300000}"/>
    <cellStyle name="Normal 2 3 2 2 2 2 2 6" xfId="19086" xr:uid="{00000000-0005-0000-0000-000090300000}"/>
    <cellStyle name="Normal 2 3 2 2 2 2 3" xfId="2259" xr:uid="{00000000-0005-0000-0000-000091300000}"/>
    <cellStyle name="Normal 2 3 2 2 2 2 3 2" xfId="6845" xr:uid="{00000000-0005-0000-0000-000092300000}"/>
    <cellStyle name="Normal 2 3 2 2 2 2 3 2 2" xfId="15945" xr:uid="{00000000-0005-0000-0000-000093300000}"/>
    <cellStyle name="Normal 2 3 2 2 2 2 3 2 2 2" xfId="34127" xr:uid="{00000000-0005-0000-0000-000094300000}"/>
    <cellStyle name="Normal 2 3 2 2 2 2 3 2 3" xfId="25037" xr:uid="{00000000-0005-0000-0000-000095300000}"/>
    <cellStyle name="Normal 2 3 2 2 2 2 3 3" xfId="11409" xr:uid="{00000000-0005-0000-0000-000096300000}"/>
    <cellStyle name="Normal 2 3 2 2 2 2 3 3 2" xfId="29591" xr:uid="{00000000-0005-0000-0000-000097300000}"/>
    <cellStyle name="Normal 2 3 2 2 2 2 3 4" xfId="20501" xr:uid="{00000000-0005-0000-0000-000098300000}"/>
    <cellStyle name="Normal 2 3 2 2 2 2 4" xfId="3789" xr:uid="{00000000-0005-0000-0000-000099300000}"/>
    <cellStyle name="Normal 2 3 2 2 2 2 4 2" xfId="8345" xr:uid="{00000000-0005-0000-0000-00009A300000}"/>
    <cellStyle name="Normal 2 3 2 2 2 2 4 2 2" xfId="17441" xr:uid="{00000000-0005-0000-0000-00009B300000}"/>
    <cellStyle name="Normal 2 3 2 2 2 2 4 2 2 2" xfId="35623" xr:uid="{00000000-0005-0000-0000-00009C300000}"/>
    <cellStyle name="Normal 2 3 2 2 2 2 4 2 3" xfId="26533" xr:uid="{00000000-0005-0000-0000-00009D300000}"/>
    <cellStyle name="Normal 2 3 2 2 2 2 4 3" xfId="12901" xr:uid="{00000000-0005-0000-0000-00009E300000}"/>
    <cellStyle name="Normal 2 3 2 2 2 2 4 3 2" xfId="31083" xr:uid="{00000000-0005-0000-0000-00009F300000}"/>
    <cellStyle name="Normal 2 3 2 2 2 2 4 4" xfId="21993" xr:uid="{00000000-0005-0000-0000-0000A0300000}"/>
    <cellStyle name="Normal 2 3 2 2 2 2 5" xfId="5428" xr:uid="{00000000-0005-0000-0000-0000A1300000}"/>
    <cellStyle name="Normal 2 3 2 2 2 2 5 2" xfId="14528" xr:uid="{00000000-0005-0000-0000-0000A2300000}"/>
    <cellStyle name="Normal 2 3 2 2 2 2 5 2 2" xfId="32710" xr:uid="{00000000-0005-0000-0000-0000A3300000}"/>
    <cellStyle name="Normal 2 3 2 2 2 2 5 3" xfId="23620" xr:uid="{00000000-0005-0000-0000-0000A4300000}"/>
    <cellStyle name="Normal 2 3 2 2 2 2 6" xfId="9994" xr:uid="{00000000-0005-0000-0000-0000A5300000}"/>
    <cellStyle name="Normal 2 3 2 2 2 2 6 2" xfId="28176" xr:uid="{00000000-0005-0000-0000-0000A6300000}"/>
    <cellStyle name="Normal 2 3 2 2 2 2 7" xfId="19085" xr:uid="{00000000-0005-0000-0000-0000A7300000}"/>
    <cellStyle name="Normal 2 3 2 2 2 3" xfId="782" xr:uid="{00000000-0005-0000-0000-0000A8300000}"/>
    <cellStyle name="Normal 2 3 2 2 2 3 2" xfId="2260" xr:uid="{00000000-0005-0000-0000-0000A9300000}"/>
    <cellStyle name="Normal 2 3 2 2 2 3 2 2" xfId="6846" xr:uid="{00000000-0005-0000-0000-0000AA300000}"/>
    <cellStyle name="Normal 2 3 2 2 2 3 2 2 2" xfId="15946" xr:uid="{00000000-0005-0000-0000-0000AB300000}"/>
    <cellStyle name="Normal 2 3 2 2 2 3 2 2 2 2" xfId="34128" xr:uid="{00000000-0005-0000-0000-0000AC300000}"/>
    <cellStyle name="Normal 2 3 2 2 2 3 2 2 3" xfId="25038" xr:uid="{00000000-0005-0000-0000-0000AD300000}"/>
    <cellStyle name="Normal 2 3 2 2 2 3 2 3" xfId="11410" xr:uid="{00000000-0005-0000-0000-0000AE300000}"/>
    <cellStyle name="Normal 2 3 2 2 2 3 2 3 2" xfId="29592" xr:uid="{00000000-0005-0000-0000-0000AF300000}"/>
    <cellStyle name="Normal 2 3 2 2 2 3 2 4" xfId="20502" xr:uid="{00000000-0005-0000-0000-0000B0300000}"/>
    <cellStyle name="Normal 2 3 2 2 2 3 3" xfId="3791" xr:uid="{00000000-0005-0000-0000-0000B1300000}"/>
    <cellStyle name="Normal 2 3 2 2 2 3 3 2" xfId="8347" xr:uid="{00000000-0005-0000-0000-0000B2300000}"/>
    <cellStyle name="Normal 2 3 2 2 2 3 3 2 2" xfId="17443" xr:uid="{00000000-0005-0000-0000-0000B3300000}"/>
    <cellStyle name="Normal 2 3 2 2 2 3 3 2 2 2" xfId="35625" xr:uid="{00000000-0005-0000-0000-0000B4300000}"/>
    <cellStyle name="Normal 2 3 2 2 2 3 3 2 3" xfId="26535" xr:uid="{00000000-0005-0000-0000-0000B5300000}"/>
    <cellStyle name="Normal 2 3 2 2 2 3 3 3" xfId="12903" xr:uid="{00000000-0005-0000-0000-0000B6300000}"/>
    <cellStyle name="Normal 2 3 2 2 2 3 3 3 2" xfId="31085" xr:uid="{00000000-0005-0000-0000-0000B7300000}"/>
    <cellStyle name="Normal 2 3 2 2 2 3 3 4" xfId="21995" xr:uid="{00000000-0005-0000-0000-0000B8300000}"/>
    <cellStyle name="Normal 2 3 2 2 2 3 4" xfId="5430" xr:uid="{00000000-0005-0000-0000-0000B9300000}"/>
    <cellStyle name="Normal 2 3 2 2 2 3 4 2" xfId="14530" xr:uid="{00000000-0005-0000-0000-0000BA300000}"/>
    <cellStyle name="Normal 2 3 2 2 2 3 4 2 2" xfId="32712" xr:uid="{00000000-0005-0000-0000-0000BB300000}"/>
    <cellStyle name="Normal 2 3 2 2 2 3 4 3" xfId="23622" xr:uid="{00000000-0005-0000-0000-0000BC300000}"/>
    <cellStyle name="Normal 2 3 2 2 2 3 5" xfId="9996" xr:uid="{00000000-0005-0000-0000-0000BD300000}"/>
    <cellStyle name="Normal 2 3 2 2 2 3 5 2" xfId="28178" xr:uid="{00000000-0005-0000-0000-0000BE300000}"/>
    <cellStyle name="Normal 2 3 2 2 2 3 6" xfId="19087" xr:uid="{00000000-0005-0000-0000-0000BF300000}"/>
    <cellStyle name="Normal 2 3 2 2 2 4" xfId="783" xr:uid="{00000000-0005-0000-0000-0000C0300000}"/>
    <cellStyle name="Normal 2 3 2 2 2 4 2" xfId="3792" xr:uid="{00000000-0005-0000-0000-0000C1300000}"/>
    <cellStyle name="Normal 2 3 2 2 2 4 2 2" xfId="8348" xr:uid="{00000000-0005-0000-0000-0000C2300000}"/>
    <cellStyle name="Normal 2 3 2 2 2 4 2 2 2" xfId="17444" xr:uid="{00000000-0005-0000-0000-0000C3300000}"/>
    <cellStyle name="Normal 2 3 2 2 2 4 2 2 2 2" xfId="35626" xr:uid="{00000000-0005-0000-0000-0000C4300000}"/>
    <cellStyle name="Normal 2 3 2 2 2 4 2 2 3" xfId="26536" xr:uid="{00000000-0005-0000-0000-0000C5300000}"/>
    <cellStyle name="Normal 2 3 2 2 2 4 2 3" xfId="12904" xr:uid="{00000000-0005-0000-0000-0000C6300000}"/>
    <cellStyle name="Normal 2 3 2 2 2 4 2 3 2" xfId="31086" xr:uid="{00000000-0005-0000-0000-0000C7300000}"/>
    <cellStyle name="Normal 2 3 2 2 2 4 2 4" xfId="21996" xr:uid="{00000000-0005-0000-0000-0000C8300000}"/>
    <cellStyle name="Normal 2 3 2 2 2 4 3" xfId="5431" xr:uid="{00000000-0005-0000-0000-0000C9300000}"/>
    <cellStyle name="Normal 2 3 2 2 2 4 3 2" xfId="14531" xr:uid="{00000000-0005-0000-0000-0000CA300000}"/>
    <cellStyle name="Normal 2 3 2 2 2 4 3 2 2" xfId="32713" xr:uid="{00000000-0005-0000-0000-0000CB300000}"/>
    <cellStyle name="Normal 2 3 2 2 2 4 3 3" xfId="23623" xr:uid="{00000000-0005-0000-0000-0000CC300000}"/>
    <cellStyle name="Normal 2 3 2 2 2 4 4" xfId="9997" xr:uid="{00000000-0005-0000-0000-0000CD300000}"/>
    <cellStyle name="Normal 2 3 2 2 2 4 4 2" xfId="28179" xr:uid="{00000000-0005-0000-0000-0000CE300000}"/>
    <cellStyle name="Normal 2 3 2 2 2 4 5" xfId="19088" xr:uid="{00000000-0005-0000-0000-0000CF300000}"/>
    <cellStyle name="Normal 2 3 2 2 2 5" xfId="2261" xr:uid="{00000000-0005-0000-0000-0000D0300000}"/>
    <cellStyle name="Normal 2 3 2 2 2 5 2" xfId="6847" xr:uid="{00000000-0005-0000-0000-0000D1300000}"/>
    <cellStyle name="Normal 2 3 2 2 2 5 2 2" xfId="15947" xr:uid="{00000000-0005-0000-0000-0000D2300000}"/>
    <cellStyle name="Normal 2 3 2 2 2 5 2 2 2" xfId="34129" xr:uid="{00000000-0005-0000-0000-0000D3300000}"/>
    <cellStyle name="Normal 2 3 2 2 2 5 2 3" xfId="25039" xr:uid="{00000000-0005-0000-0000-0000D4300000}"/>
    <cellStyle name="Normal 2 3 2 2 2 5 3" xfId="11411" xr:uid="{00000000-0005-0000-0000-0000D5300000}"/>
    <cellStyle name="Normal 2 3 2 2 2 5 3 2" xfId="29593" xr:uid="{00000000-0005-0000-0000-0000D6300000}"/>
    <cellStyle name="Normal 2 3 2 2 2 5 4" xfId="20503" xr:uid="{00000000-0005-0000-0000-0000D7300000}"/>
    <cellStyle name="Normal 2 3 2 2 2 6" xfId="3788" xr:uid="{00000000-0005-0000-0000-0000D8300000}"/>
    <cellStyle name="Normal 2 3 2 2 2 6 2" xfId="8344" xr:uid="{00000000-0005-0000-0000-0000D9300000}"/>
    <cellStyle name="Normal 2 3 2 2 2 6 2 2" xfId="17440" xr:uid="{00000000-0005-0000-0000-0000DA300000}"/>
    <cellStyle name="Normal 2 3 2 2 2 6 2 2 2" xfId="35622" xr:uid="{00000000-0005-0000-0000-0000DB300000}"/>
    <cellStyle name="Normal 2 3 2 2 2 6 2 3" xfId="26532" xr:uid="{00000000-0005-0000-0000-0000DC300000}"/>
    <cellStyle name="Normal 2 3 2 2 2 6 3" xfId="12900" xr:uid="{00000000-0005-0000-0000-0000DD300000}"/>
    <cellStyle name="Normal 2 3 2 2 2 6 3 2" xfId="31082" xr:uid="{00000000-0005-0000-0000-0000DE300000}"/>
    <cellStyle name="Normal 2 3 2 2 2 6 4" xfId="21992" xr:uid="{00000000-0005-0000-0000-0000DF300000}"/>
    <cellStyle name="Normal 2 3 2 2 2 7" xfId="5427" xr:uid="{00000000-0005-0000-0000-0000E0300000}"/>
    <cellStyle name="Normal 2 3 2 2 2 7 2" xfId="14527" xr:uid="{00000000-0005-0000-0000-0000E1300000}"/>
    <cellStyle name="Normal 2 3 2 2 2 7 2 2" xfId="32709" xr:uid="{00000000-0005-0000-0000-0000E2300000}"/>
    <cellStyle name="Normal 2 3 2 2 2 7 3" xfId="23619" xr:uid="{00000000-0005-0000-0000-0000E3300000}"/>
    <cellStyle name="Normal 2 3 2 2 2 8" xfId="9993" xr:uid="{00000000-0005-0000-0000-0000E4300000}"/>
    <cellStyle name="Normal 2 3 2 2 2 8 2" xfId="28175" xr:uid="{00000000-0005-0000-0000-0000E5300000}"/>
    <cellStyle name="Normal 2 3 2 2 2 9" xfId="19084" xr:uid="{00000000-0005-0000-0000-0000E6300000}"/>
    <cellStyle name="Normal 2 3 2 2 3" xfId="784" xr:uid="{00000000-0005-0000-0000-0000E7300000}"/>
    <cellStyle name="Normal 2 3 2 2 3 2" xfId="785" xr:uid="{00000000-0005-0000-0000-0000E8300000}"/>
    <cellStyle name="Normal 2 3 2 2 3 2 2" xfId="2262" xr:uid="{00000000-0005-0000-0000-0000E9300000}"/>
    <cellStyle name="Normal 2 3 2 2 3 2 2 2" xfId="6848" xr:uid="{00000000-0005-0000-0000-0000EA300000}"/>
    <cellStyle name="Normal 2 3 2 2 3 2 2 2 2" xfId="15948" xr:uid="{00000000-0005-0000-0000-0000EB300000}"/>
    <cellStyle name="Normal 2 3 2 2 3 2 2 2 2 2" xfId="34130" xr:uid="{00000000-0005-0000-0000-0000EC300000}"/>
    <cellStyle name="Normal 2 3 2 2 3 2 2 2 3" xfId="25040" xr:uid="{00000000-0005-0000-0000-0000ED300000}"/>
    <cellStyle name="Normal 2 3 2 2 3 2 2 3" xfId="11412" xr:uid="{00000000-0005-0000-0000-0000EE300000}"/>
    <cellStyle name="Normal 2 3 2 2 3 2 2 3 2" xfId="29594" xr:uid="{00000000-0005-0000-0000-0000EF300000}"/>
    <cellStyle name="Normal 2 3 2 2 3 2 2 4" xfId="20504" xr:uid="{00000000-0005-0000-0000-0000F0300000}"/>
    <cellStyle name="Normal 2 3 2 2 3 2 3" xfId="3794" xr:uid="{00000000-0005-0000-0000-0000F1300000}"/>
    <cellStyle name="Normal 2 3 2 2 3 2 3 2" xfId="8350" xr:uid="{00000000-0005-0000-0000-0000F2300000}"/>
    <cellStyle name="Normal 2 3 2 2 3 2 3 2 2" xfId="17446" xr:uid="{00000000-0005-0000-0000-0000F3300000}"/>
    <cellStyle name="Normal 2 3 2 2 3 2 3 2 2 2" xfId="35628" xr:uid="{00000000-0005-0000-0000-0000F4300000}"/>
    <cellStyle name="Normal 2 3 2 2 3 2 3 2 3" xfId="26538" xr:uid="{00000000-0005-0000-0000-0000F5300000}"/>
    <cellStyle name="Normal 2 3 2 2 3 2 3 3" xfId="12906" xr:uid="{00000000-0005-0000-0000-0000F6300000}"/>
    <cellStyle name="Normal 2 3 2 2 3 2 3 3 2" xfId="31088" xr:uid="{00000000-0005-0000-0000-0000F7300000}"/>
    <cellStyle name="Normal 2 3 2 2 3 2 3 4" xfId="21998" xr:uid="{00000000-0005-0000-0000-0000F8300000}"/>
    <cellStyle name="Normal 2 3 2 2 3 2 4" xfId="5433" xr:uid="{00000000-0005-0000-0000-0000F9300000}"/>
    <cellStyle name="Normal 2 3 2 2 3 2 4 2" xfId="14533" xr:uid="{00000000-0005-0000-0000-0000FA300000}"/>
    <cellStyle name="Normal 2 3 2 2 3 2 4 2 2" xfId="32715" xr:uid="{00000000-0005-0000-0000-0000FB300000}"/>
    <cellStyle name="Normal 2 3 2 2 3 2 4 3" xfId="23625" xr:uid="{00000000-0005-0000-0000-0000FC300000}"/>
    <cellStyle name="Normal 2 3 2 2 3 2 5" xfId="9999" xr:uid="{00000000-0005-0000-0000-0000FD300000}"/>
    <cellStyle name="Normal 2 3 2 2 3 2 5 2" xfId="28181" xr:uid="{00000000-0005-0000-0000-0000FE300000}"/>
    <cellStyle name="Normal 2 3 2 2 3 2 6" xfId="19090" xr:uid="{00000000-0005-0000-0000-0000FF300000}"/>
    <cellStyle name="Normal 2 3 2 2 3 3" xfId="2263" xr:uid="{00000000-0005-0000-0000-000000310000}"/>
    <cellStyle name="Normal 2 3 2 2 3 3 2" xfId="6849" xr:uid="{00000000-0005-0000-0000-000001310000}"/>
    <cellStyle name="Normal 2 3 2 2 3 3 2 2" xfId="15949" xr:uid="{00000000-0005-0000-0000-000002310000}"/>
    <cellStyle name="Normal 2 3 2 2 3 3 2 2 2" xfId="34131" xr:uid="{00000000-0005-0000-0000-000003310000}"/>
    <cellStyle name="Normal 2 3 2 2 3 3 2 3" xfId="25041" xr:uid="{00000000-0005-0000-0000-000004310000}"/>
    <cellStyle name="Normal 2 3 2 2 3 3 3" xfId="11413" xr:uid="{00000000-0005-0000-0000-000005310000}"/>
    <cellStyle name="Normal 2 3 2 2 3 3 3 2" xfId="29595" xr:uid="{00000000-0005-0000-0000-000006310000}"/>
    <cellStyle name="Normal 2 3 2 2 3 3 4" xfId="20505" xr:uid="{00000000-0005-0000-0000-000007310000}"/>
    <cellStyle name="Normal 2 3 2 2 3 4" xfId="3793" xr:uid="{00000000-0005-0000-0000-000008310000}"/>
    <cellStyle name="Normal 2 3 2 2 3 4 2" xfId="8349" xr:uid="{00000000-0005-0000-0000-000009310000}"/>
    <cellStyle name="Normal 2 3 2 2 3 4 2 2" xfId="17445" xr:uid="{00000000-0005-0000-0000-00000A310000}"/>
    <cellStyle name="Normal 2 3 2 2 3 4 2 2 2" xfId="35627" xr:uid="{00000000-0005-0000-0000-00000B310000}"/>
    <cellStyle name="Normal 2 3 2 2 3 4 2 3" xfId="26537" xr:uid="{00000000-0005-0000-0000-00000C310000}"/>
    <cellStyle name="Normal 2 3 2 2 3 4 3" xfId="12905" xr:uid="{00000000-0005-0000-0000-00000D310000}"/>
    <cellStyle name="Normal 2 3 2 2 3 4 3 2" xfId="31087" xr:uid="{00000000-0005-0000-0000-00000E310000}"/>
    <cellStyle name="Normal 2 3 2 2 3 4 4" xfId="21997" xr:uid="{00000000-0005-0000-0000-00000F310000}"/>
    <cellStyle name="Normal 2 3 2 2 3 5" xfId="5432" xr:uid="{00000000-0005-0000-0000-000010310000}"/>
    <cellStyle name="Normal 2 3 2 2 3 5 2" xfId="14532" xr:uid="{00000000-0005-0000-0000-000011310000}"/>
    <cellStyle name="Normal 2 3 2 2 3 5 2 2" xfId="32714" xr:uid="{00000000-0005-0000-0000-000012310000}"/>
    <cellStyle name="Normal 2 3 2 2 3 5 3" xfId="23624" xr:uid="{00000000-0005-0000-0000-000013310000}"/>
    <cellStyle name="Normal 2 3 2 2 3 6" xfId="9998" xr:uid="{00000000-0005-0000-0000-000014310000}"/>
    <cellStyle name="Normal 2 3 2 2 3 6 2" xfId="28180" xr:uid="{00000000-0005-0000-0000-000015310000}"/>
    <cellStyle name="Normal 2 3 2 2 3 7" xfId="19089" xr:uid="{00000000-0005-0000-0000-000016310000}"/>
    <cellStyle name="Normal 2 3 2 2 4" xfId="786" xr:uid="{00000000-0005-0000-0000-000017310000}"/>
    <cellStyle name="Normal 2 3 2 2 4 2" xfId="2264" xr:uid="{00000000-0005-0000-0000-000018310000}"/>
    <cellStyle name="Normal 2 3 2 2 4 2 2" xfId="6850" xr:uid="{00000000-0005-0000-0000-000019310000}"/>
    <cellStyle name="Normal 2 3 2 2 4 2 2 2" xfId="15950" xr:uid="{00000000-0005-0000-0000-00001A310000}"/>
    <cellStyle name="Normal 2 3 2 2 4 2 2 2 2" xfId="34132" xr:uid="{00000000-0005-0000-0000-00001B310000}"/>
    <cellStyle name="Normal 2 3 2 2 4 2 2 3" xfId="25042" xr:uid="{00000000-0005-0000-0000-00001C310000}"/>
    <cellStyle name="Normal 2 3 2 2 4 2 3" xfId="11414" xr:uid="{00000000-0005-0000-0000-00001D310000}"/>
    <cellStyle name="Normal 2 3 2 2 4 2 3 2" xfId="29596" xr:uid="{00000000-0005-0000-0000-00001E310000}"/>
    <cellStyle name="Normal 2 3 2 2 4 2 4" xfId="20506" xr:uid="{00000000-0005-0000-0000-00001F310000}"/>
    <cellStyle name="Normal 2 3 2 2 4 3" xfId="3795" xr:uid="{00000000-0005-0000-0000-000020310000}"/>
    <cellStyle name="Normal 2 3 2 2 4 3 2" xfId="8351" xr:uid="{00000000-0005-0000-0000-000021310000}"/>
    <cellStyle name="Normal 2 3 2 2 4 3 2 2" xfId="17447" xr:uid="{00000000-0005-0000-0000-000022310000}"/>
    <cellStyle name="Normal 2 3 2 2 4 3 2 2 2" xfId="35629" xr:uid="{00000000-0005-0000-0000-000023310000}"/>
    <cellStyle name="Normal 2 3 2 2 4 3 2 3" xfId="26539" xr:uid="{00000000-0005-0000-0000-000024310000}"/>
    <cellStyle name="Normal 2 3 2 2 4 3 3" xfId="12907" xr:uid="{00000000-0005-0000-0000-000025310000}"/>
    <cellStyle name="Normal 2 3 2 2 4 3 3 2" xfId="31089" xr:uid="{00000000-0005-0000-0000-000026310000}"/>
    <cellStyle name="Normal 2 3 2 2 4 3 4" xfId="21999" xr:uid="{00000000-0005-0000-0000-000027310000}"/>
    <cellStyle name="Normal 2 3 2 2 4 4" xfId="5434" xr:uid="{00000000-0005-0000-0000-000028310000}"/>
    <cellStyle name="Normal 2 3 2 2 4 4 2" xfId="14534" xr:uid="{00000000-0005-0000-0000-000029310000}"/>
    <cellStyle name="Normal 2 3 2 2 4 4 2 2" xfId="32716" xr:uid="{00000000-0005-0000-0000-00002A310000}"/>
    <cellStyle name="Normal 2 3 2 2 4 4 3" xfId="23626" xr:uid="{00000000-0005-0000-0000-00002B310000}"/>
    <cellStyle name="Normal 2 3 2 2 4 5" xfId="10000" xr:uid="{00000000-0005-0000-0000-00002C310000}"/>
    <cellStyle name="Normal 2 3 2 2 4 5 2" xfId="28182" xr:uid="{00000000-0005-0000-0000-00002D310000}"/>
    <cellStyle name="Normal 2 3 2 2 4 6" xfId="19091" xr:uid="{00000000-0005-0000-0000-00002E310000}"/>
    <cellStyle name="Normal 2 3 2 2 5" xfId="787" xr:uid="{00000000-0005-0000-0000-00002F310000}"/>
    <cellStyle name="Normal 2 3 2 2 5 2" xfId="3796" xr:uid="{00000000-0005-0000-0000-000030310000}"/>
    <cellStyle name="Normal 2 3 2 2 5 2 2" xfId="8352" xr:uid="{00000000-0005-0000-0000-000031310000}"/>
    <cellStyle name="Normal 2 3 2 2 5 2 2 2" xfId="17448" xr:uid="{00000000-0005-0000-0000-000032310000}"/>
    <cellStyle name="Normal 2 3 2 2 5 2 2 2 2" xfId="35630" xr:uid="{00000000-0005-0000-0000-000033310000}"/>
    <cellStyle name="Normal 2 3 2 2 5 2 2 3" xfId="26540" xr:uid="{00000000-0005-0000-0000-000034310000}"/>
    <cellStyle name="Normal 2 3 2 2 5 2 3" xfId="12908" xr:uid="{00000000-0005-0000-0000-000035310000}"/>
    <cellStyle name="Normal 2 3 2 2 5 2 3 2" xfId="31090" xr:uid="{00000000-0005-0000-0000-000036310000}"/>
    <cellStyle name="Normal 2 3 2 2 5 2 4" xfId="22000" xr:uid="{00000000-0005-0000-0000-000037310000}"/>
    <cellStyle name="Normal 2 3 2 2 5 3" xfId="5435" xr:uid="{00000000-0005-0000-0000-000038310000}"/>
    <cellStyle name="Normal 2 3 2 2 5 3 2" xfId="14535" xr:uid="{00000000-0005-0000-0000-000039310000}"/>
    <cellStyle name="Normal 2 3 2 2 5 3 2 2" xfId="32717" xr:uid="{00000000-0005-0000-0000-00003A310000}"/>
    <cellStyle name="Normal 2 3 2 2 5 3 3" xfId="23627" xr:uid="{00000000-0005-0000-0000-00003B310000}"/>
    <cellStyle name="Normal 2 3 2 2 5 4" xfId="10001" xr:uid="{00000000-0005-0000-0000-00003C310000}"/>
    <cellStyle name="Normal 2 3 2 2 5 4 2" xfId="28183" xr:uid="{00000000-0005-0000-0000-00003D310000}"/>
    <cellStyle name="Normal 2 3 2 2 5 5" xfId="19092" xr:uid="{00000000-0005-0000-0000-00003E310000}"/>
    <cellStyle name="Normal 2 3 2 2 6" xfId="2265" xr:uid="{00000000-0005-0000-0000-00003F310000}"/>
    <cellStyle name="Normal 2 3 2 2 6 2" xfId="6851" xr:uid="{00000000-0005-0000-0000-000040310000}"/>
    <cellStyle name="Normal 2 3 2 2 6 2 2" xfId="15951" xr:uid="{00000000-0005-0000-0000-000041310000}"/>
    <cellStyle name="Normal 2 3 2 2 6 2 2 2" xfId="34133" xr:uid="{00000000-0005-0000-0000-000042310000}"/>
    <cellStyle name="Normal 2 3 2 2 6 2 3" xfId="25043" xr:uid="{00000000-0005-0000-0000-000043310000}"/>
    <cellStyle name="Normal 2 3 2 2 6 3" xfId="11415" xr:uid="{00000000-0005-0000-0000-000044310000}"/>
    <cellStyle name="Normal 2 3 2 2 6 3 2" xfId="29597" xr:uid="{00000000-0005-0000-0000-000045310000}"/>
    <cellStyle name="Normal 2 3 2 2 6 4" xfId="20507" xr:uid="{00000000-0005-0000-0000-000046310000}"/>
    <cellStyle name="Normal 2 3 2 2 7" xfId="3787" xr:uid="{00000000-0005-0000-0000-000047310000}"/>
    <cellStyle name="Normal 2 3 2 2 7 2" xfId="8343" xr:uid="{00000000-0005-0000-0000-000048310000}"/>
    <cellStyle name="Normal 2 3 2 2 7 2 2" xfId="17439" xr:uid="{00000000-0005-0000-0000-000049310000}"/>
    <cellStyle name="Normal 2 3 2 2 7 2 2 2" xfId="35621" xr:uid="{00000000-0005-0000-0000-00004A310000}"/>
    <cellStyle name="Normal 2 3 2 2 7 2 3" xfId="26531" xr:uid="{00000000-0005-0000-0000-00004B310000}"/>
    <cellStyle name="Normal 2 3 2 2 7 3" xfId="12899" xr:uid="{00000000-0005-0000-0000-00004C310000}"/>
    <cellStyle name="Normal 2 3 2 2 7 3 2" xfId="31081" xr:uid="{00000000-0005-0000-0000-00004D310000}"/>
    <cellStyle name="Normal 2 3 2 2 7 4" xfId="21991" xr:uid="{00000000-0005-0000-0000-00004E310000}"/>
    <cellStyle name="Normal 2 3 2 2 8" xfId="5426" xr:uid="{00000000-0005-0000-0000-00004F310000}"/>
    <cellStyle name="Normal 2 3 2 2 8 2" xfId="14526" xr:uid="{00000000-0005-0000-0000-000050310000}"/>
    <cellStyle name="Normal 2 3 2 2 8 2 2" xfId="32708" xr:uid="{00000000-0005-0000-0000-000051310000}"/>
    <cellStyle name="Normal 2 3 2 2 8 3" xfId="23618" xr:uid="{00000000-0005-0000-0000-000052310000}"/>
    <cellStyle name="Normal 2 3 2 2 9" xfId="9992" xr:uid="{00000000-0005-0000-0000-000053310000}"/>
    <cellStyle name="Normal 2 3 2 2 9 2" xfId="28174" xr:uid="{00000000-0005-0000-0000-000054310000}"/>
    <cellStyle name="Normal 2 3 2 3" xfId="788" xr:uid="{00000000-0005-0000-0000-000055310000}"/>
    <cellStyle name="Normal 2 3 2 3 2" xfId="789" xr:uid="{00000000-0005-0000-0000-000056310000}"/>
    <cellStyle name="Normal 2 3 2 3 2 2" xfId="790" xr:uid="{00000000-0005-0000-0000-000057310000}"/>
    <cellStyle name="Normal 2 3 2 3 2 2 2" xfId="2266" xr:uid="{00000000-0005-0000-0000-000058310000}"/>
    <cellStyle name="Normal 2 3 2 3 2 2 2 2" xfId="6852" xr:uid="{00000000-0005-0000-0000-000059310000}"/>
    <cellStyle name="Normal 2 3 2 3 2 2 2 2 2" xfId="15952" xr:uid="{00000000-0005-0000-0000-00005A310000}"/>
    <cellStyle name="Normal 2 3 2 3 2 2 2 2 2 2" xfId="34134" xr:uid="{00000000-0005-0000-0000-00005B310000}"/>
    <cellStyle name="Normal 2 3 2 3 2 2 2 2 3" xfId="25044" xr:uid="{00000000-0005-0000-0000-00005C310000}"/>
    <cellStyle name="Normal 2 3 2 3 2 2 2 3" xfId="11416" xr:uid="{00000000-0005-0000-0000-00005D310000}"/>
    <cellStyle name="Normal 2 3 2 3 2 2 2 3 2" xfId="29598" xr:uid="{00000000-0005-0000-0000-00005E310000}"/>
    <cellStyle name="Normal 2 3 2 3 2 2 2 4" xfId="20508" xr:uid="{00000000-0005-0000-0000-00005F310000}"/>
    <cellStyle name="Normal 2 3 2 3 2 2 3" xfId="3799" xr:uid="{00000000-0005-0000-0000-000060310000}"/>
    <cellStyle name="Normal 2 3 2 3 2 2 3 2" xfId="8355" xr:uid="{00000000-0005-0000-0000-000061310000}"/>
    <cellStyle name="Normal 2 3 2 3 2 2 3 2 2" xfId="17451" xr:uid="{00000000-0005-0000-0000-000062310000}"/>
    <cellStyle name="Normal 2 3 2 3 2 2 3 2 2 2" xfId="35633" xr:uid="{00000000-0005-0000-0000-000063310000}"/>
    <cellStyle name="Normal 2 3 2 3 2 2 3 2 3" xfId="26543" xr:uid="{00000000-0005-0000-0000-000064310000}"/>
    <cellStyle name="Normal 2 3 2 3 2 2 3 3" xfId="12911" xr:uid="{00000000-0005-0000-0000-000065310000}"/>
    <cellStyle name="Normal 2 3 2 3 2 2 3 3 2" xfId="31093" xr:uid="{00000000-0005-0000-0000-000066310000}"/>
    <cellStyle name="Normal 2 3 2 3 2 2 3 4" xfId="22003" xr:uid="{00000000-0005-0000-0000-000067310000}"/>
    <cellStyle name="Normal 2 3 2 3 2 2 4" xfId="5438" xr:uid="{00000000-0005-0000-0000-000068310000}"/>
    <cellStyle name="Normal 2 3 2 3 2 2 4 2" xfId="14538" xr:uid="{00000000-0005-0000-0000-000069310000}"/>
    <cellStyle name="Normal 2 3 2 3 2 2 4 2 2" xfId="32720" xr:uid="{00000000-0005-0000-0000-00006A310000}"/>
    <cellStyle name="Normal 2 3 2 3 2 2 4 3" xfId="23630" xr:uid="{00000000-0005-0000-0000-00006B310000}"/>
    <cellStyle name="Normal 2 3 2 3 2 2 5" xfId="10004" xr:uid="{00000000-0005-0000-0000-00006C310000}"/>
    <cellStyle name="Normal 2 3 2 3 2 2 5 2" xfId="28186" xr:uid="{00000000-0005-0000-0000-00006D310000}"/>
    <cellStyle name="Normal 2 3 2 3 2 2 6" xfId="19095" xr:uid="{00000000-0005-0000-0000-00006E310000}"/>
    <cellStyle name="Normal 2 3 2 3 2 3" xfId="2267" xr:uid="{00000000-0005-0000-0000-00006F310000}"/>
    <cellStyle name="Normal 2 3 2 3 2 3 2" xfId="6853" xr:uid="{00000000-0005-0000-0000-000070310000}"/>
    <cellStyle name="Normal 2 3 2 3 2 3 2 2" xfId="15953" xr:uid="{00000000-0005-0000-0000-000071310000}"/>
    <cellStyle name="Normal 2 3 2 3 2 3 2 2 2" xfId="34135" xr:uid="{00000000-0005-0000-0000-000072310000}"/>
    <cellStyle name="Normal 2 3 2 3 2 3 2 3" xfId="25045" xr:uid="{00000000-0005-0000-0000-000073310000}"/>
    <cellStyle name="Normal 2 3 2 3 2 3 3" xfId="11417" xr:uid="{00000000-0005-0000-0000-000074310000}"/>
    <cellStyle name="Normal 2 3 2 3 2 3 3 2" xfId="29599" xr:uid="{00000000-0005-0000-0000-000075310000}"/>
    <cellStyle name="Normal 2 3 2 3 2 3 4" xfId="20509" xr:uid="{00000000-0005-0000-0000-000076310000}"/>
    <cellStyle name="Normal 2 3 2 3 2 4" xfId="3798" xr:uid="{00000000-0005-0000-0000-000077310000}"/>
    <cellStyle name="Normal 2 3 2 3 2 4 2" xfId="8354" xr:uid="{00000000-0005-0000-0000-000078310000}"/>
    <cellStyle name="Normal 2 3 2 3 2 4 2 2" xfId="17450" xr:uid="{00000000-0005-0000-0000-000079310000}"/>
    <cellStyle name="Normal 2 3 2 3 2 4 2 2 2" xfId="35632" xr:uid="{00000000-0005-0000-0000-00007A310000}"/>
    <cellStyle name="Normal 2 3 2 3 2 4 2 3" xfId="26542" xr:uid="{00000000-0005-0000-0000-00007B310000}"/>
    <cellStyle name="Normal 2 3 2 3 2 4 3" xfId="12910" xr:uid="{00000000-0005-0000-0000-00007C310000}"/>
    <cellStyle name="Normal 2 3 2 3 2 4 3 2" xfId="31092" xr:uid="{00000000-0005-0000-0000-00007D310000}"/>
    <cellStyle name="Normal 2 3 2 3 2 4 4" xfId="22002" xr:uid="{00000000-0005-0000-0000-00007E310000}"/>
    <cellStyle name="Normal 2 3 2 3 2 5" xfId="5437" xr:uid="{00000000-0005-0000-0000-00007F310000}"/>
    <cellStyle name="Normal 2 3 2 3 2 5 2" xfId="14537" xr:uid="{00000000-0005-0000-0000-000080310000}"/>
    <cellStyle name="Normal 2 3 2 3 2 5 2 2" xfId="32719" xr:uid="{00000000-0005-0000-0000-000081310000}"/>
    <cellStyle name="Normal 2 3 2 3 2 5 3" xfId="23629" xr:uid="{00000000-0005-0000-0000-000082310000}"/>
    <cellStyle name="Normal 2 3 2 3 2 6" xfId="10003" xr:uid="{00000000-0005-0000-0000-000083310000}"/>
    <cellStyle name="Normal 2 3 2 3 2 6 2" xfId="28185" xr:uid="{00000000-0005-0000-0000-000084310000}"/>
    <cellStyle name="Normal 2 3 2 3 2 7" xfId="19094" xr:uid="{00000000-0005-0000-0000-000085310000}"/>
    <cellStyle name="Normal 2 3 2 3 3" xfId="791" xr:uid="{00000000-0005-0000-0000-000086310000}"/>
    <cellStyle name="Normal 2 3 2 3 3 2" xfId="2268" xr:uid="{00000000-0005-0000-0000-000087310000}"/>
    <cellStyle name="Normal 2 3 2 3 3 2 2" xfId="6854" xr:uid="{00000000-0005-0000-0000-000088310000}"/>
    <cellStyle name="Normal 2 3 2 3 3 2 2 2" xfId="15954" xr:uid="{00000000-0005-0000-0000-000089310000}"/>
    <cellStyle name="Normal 2 3 2 3 3 2 2 2 2" xfId="34136" xr:uid="{00000000-0005-0000-0000-00008A310000}"/>
    <cellStyle name="Normal 2 3 2 3 3 2 2 3" xfId="25046" xr:uid="{00000000-0005-0000-0000-00008B310000}"/>
    <cellStyle name="Normal 2 3 2 3 3 2 3" xfId="11418" xr:uid="{00000000-0005-0000-0000-00008C310000}"/>
    <cellStyle name="Normal 2 3 2 3 3 2 3 2" xfId="29600" xr:uid="{00000000-0005-0000-0000-00008D310000}"/>
    <cellStyle name="Normal 2 3 2 3 3 2 4" xfId="20510" xr:uid="{00000000-0005-0000-0000-00008E310000}"/>
    <cellStyle name="Normal 2 3 2 3 3 3" xfId="3800" xr:uid="{00000000-0005-0000-0000-00008F310000}"/>
    <cellStyle name="Normal 2 3 2 3 3 3 2" xfId="8356" xr:uid="{00000000-0005-0000-0000-000090310000}"/>
    <cellStyle name="Normal 2 3 2 3 3 3 2 2" xfId="17452" xr:uid="{00000000-0005-0000-0000-000091310000}"/>
    <cellStyle name="Normal 2 3 2 3 3 3 2 2 2" xfId="35634" xr:uid="{00000000-0005-0000-0000-000092310000}"/>
    <cellStyle name="Normal 2 3 2 3 3 3 2 3" xfId="26544" xr:uid="{00000000-0005-0000-0000-000093310000}"/>
    <cellStyle name="Normal 2 3 2 3 3 3 3" xfId="12912" xr:uid="{00000000-0005-0000-0000-000094310000}"/>
    <cellStyle name="Normal 2 3 2 3 3 3 3 2" xfId="31094" xr:uid="{00000000-0005-0000-0000-000095310000}"/>
    <cellStyle name="Normal 2 3 2 3 3 3 4" xfId="22004" xr:uid="{00000000-0005-0000-0000-000096310000}"/>
    <cellStyle name="Normal 2 3 2 3 3 4" xfId="5439" xr:uid="{00000000-0005-0000-0000-000097310000}"/>
    <cellStyle name="Normal 2 3 2 3 3 4 2" xfId="14539" xr:uid="{00000000-0005-0000-0000-000098310000}"/>
    <cellStyle name="Normal 2 3 2 3 3 4 2 2" xfId="32721" xr:uid="{00000000-0005-0000-0000-000099310000}"/>
    <cellStyle name="Normal 2 3 2 3 3 4 3" xfId="23631" xr:uid="{00000000-0005-0000-0000-00009A310000}"/>
    <cellStyle name="Normal 2 3 2 3 3 5" xfId="10005" xr:uid="{00000000-0005-0000-0000-00009B310000}"/>
    <cellStyle name="Normal 2 3 2 3 3 5 2" xfId="28187" xr:uid="{00000000-0005-0000-0000-00009C310000}"/>
    <cellStyle name="Normal 2 3 2 3 3 6" xfId="19096" xr:uid="{00000000-0005-0000-0000-00009D310000}"/>
    <cellStyle name="Normal 2 3 2 3 4" xfId="792" xr:uid="{00000000-0005-0000-0000-00009E310000}"/>
    <cellStyle name="Normal 2 3 2 3 4 2" xfId="3801" xr:uid="{00000000-0005-0000-0000-00009F310000}"/>
    <cellStyle name="Normal 2 3 2 3 4 2 2" xfId="8357" xr:uid="{00000000-0005-0000-0000-0000A0310000}"/>
    <cellStyle name="Normal 2 3 2 3 4 2 2 2" xfId="17453" xr:uid="{00000000-0005-0000-0000-0000A1310000}"/>
    <cellStyle name="Normal 2 3 2 3 4 2 2 2 2" xfId="35635" xr:uid="{00000000-0005-0000-0000-0000A2310000}"/>
    <cellStyle name="Normal 2 3 2 3 4 2 2 3" xfId="26545" xr:uid="{00000000-0005-0000-0000-0000A3310000}"/>
    <cellStyle name="Normal 2 3 2 3 4 2 3" xfId="12913" xr:uid="{00000000-0005-0000-0000-0000A4310000}"/>
    <cellStyle name="Normal 2 3 2 3 4 2 3 2" xfId="31095" xr:uid="{00000000-0005-0000-0000-0000A5310000}"/>
    <cellStyle name="Normal 2 3 2 3 4 2 4" xfId="22005" xr:uid="{00000000-0005-0000-0000-0000A6310000}"/>
    <cellStyle name="Normal 2 3 2 3 4 3" xfId="5440" xr:uid="{00000000-0005-0000-0000-0000A7310000}"/>
    <cellStyle name="Normal 2 3 2 3 4 3 2" xfId="14540" xr:uid="{00000000-0005-0000-0000-0000A8310000}"/>
    <cellStyle name="Normal 2 3 2 3 4 3 2 2" xfId="32722" xr:uid="{00000000-0005-0000-0000-0000A9310000}"/>
    <cellStyle name="Normal 2 3 2 3 4 3 3" xfId="23632" xr:uid="{00000000-0005-0000-0000-0000AA310000}"/>
    <cellStyle name="Normal 2 3 2 3 4 4" xfId="10006" xr:uid="{00000000-0005-0000-0000-0000AB310000}"/>
    <cellStyle name="Normal 2 3 2 3 4 4 2" xfId="28188" xr:uid="{00000000-0005-0000-0000-0000AC310000}"/>
    <cellStyle name="Normal 2 3 2 3 4 5" xfId="19097" xr:uid="{00000000-0005-0000-0000-0000AD310000}"/>
    <cellStyle name="Normal 2 3 2 3 5" xfId="2269" xr:uid="{00000000-0005-0000-0000-0000AE310000}"/>
    <cellStyle name="Normal 2 3 2 3 5 2" xfId="6855" xr:uid="{00000000-0005-0000-0000-0000AF310000}"/>
    <cellStyle name="Normal 2 3 2 3 5 2 2" xfId="15955" xr:uid="{00000000-0005-0000-0000-0000B0310000}"/>
    <cellStyle name="Normal 2 3 2 3 5 2 2 2" xfId="34137" xr:uid="{00000000-0005-0000-0000-0000B1310000}"/>
    <cellStyle name="Normal 2 3 2 3 5 2 3" xfId="25047" xr:uid="{00000000-0005-0000-0000-0000B2310000}"/>
    <cellStyle name="Normal 2 3 2 3 5 3" xfId="11419" xr:uid="{00000000-0005-0000-0000-0000B3310000}"/>
    <cellStyle name="Normal 2 3 2 3 5 3 2" xfId="29601" xr:uid="{00000000-0005-0000-0000-0000B4310000}"/>
    <cellStyle name="Normal 2 3 2 3 5 4" xfId="20511" xr:uid="{00000000-0005-0000-0000-0000B5310000}"/>
    <cellStyle name="Normal 2 3 2 3 6" xfId="3797" xr:uid="{00000000-0005-0000-0000-0000B6310000}"/>
    <cellStyle name="Normal 2 3 2 3 6 2" xfId="8353" xr:uid="{00000000-0005-0000-0000-0000B7310000}"/>
    <cellStyle name="Normal 2 3 2 3 6 2 2" xfId="17449" xr:uid="{00000000-0005-0000-0000-0000B8310000}"/>
    <cellStyle name="Normal 2 3 2 3 6 2 2 2" xfId="35631" xr:uid="{00000000-0005-0000-0000-0000B9310000}"/>
    <cellStyle name="Normal 2 3 2 3 6 2 3" xfId="26541" xr:uid="{00000000-0005-0000-0000-0000BA310000}"/>
    <cellStyle name="Normal 2 3 2 3 6 3" xfId="12909" xr:uid="{00000000-0005-0000-0000-0000BB310000}"/>
    <cellStyle name="Normal 2 3 2 3 6 3 2" xfId="31091" xr:uid="{00000000-0005-0000-0000-0000BC310000}"/>
    <cellStyle name="Normal 2 3 2 3 6 4" xfId="22001" xr:uid="{00000000-0005-0000-0000-0000BD310000}"/>
    <cellStyle name="Normal 2 3 2 3 7" xfId="5436" xr:uid="{00000000-0005-0000-0000-0000BE310000}"/>
    <cellStyle name="Normal 2 3 2 3 7 2" xfId="14536" xr:uid="{00000000-0005-0000-0000-0000BF310000}"/>
    <cellStyle name="Normal 2 3 2 3 7 2 2" xfId="32718" xr:uid="{00000000-0005-0000-0000-0000C0310000}"/>
    <cellStyle name="Normal 2 3 2 3 7 3" xfId="23628" xr:uid="{00000000-0005-0000-0000-0000C1310000}"/>
    <cellStyle name="Normal 2 3 2 3 8" xfId="10002" xr:uid="{00000000-0005-0000-0000-0000C2310000}"/>
    <cellStyle name="Normal 2 3 2 3 8 2" xfId="28184" xr:uid="{00000000-0005-0000-0000-0000C3310000}"/>
    <cellStyle name="Normal 2 3 2 3 9" xfId="19093" xr:uid="{00000000-0005-0000-0000-0000C4310000}"/>
    <cellStyle name="Normal 2 3 2 4" xfId="793" xr:uid="{00000000-0005-0000-0000-0000C5310000}"/>
    <cellStyle name="Normal 2 3 2 4 2" xfId="794" xr:uid="{00000000-0005-0000-0000-0000C6310000}"/>
    <cellStyle name="Normal 2 3 2 4 2 2" xfId="2270" xr:uid="{00000000-0005-0000-0000-0000C7310000}"/>
    <cellStyle name="Normal 2 3 2 4 2 2 2" xfId="6856" xr:uid="{00000000-0005-0000-0000-0000C8310000}"/>
    <cellStyle name="Normal 2 3 2 4 2 2 2 2" xfId="15956" xr:uid="{00000000-0005-0000-0000-0000C9310000}"/>
    <cellStyle name="Normal 2 3 2 4 2 2 2 2 2" xfId="34138" xr:uid="{00000000-0005-0000-0000-0000CA310000}"/>
    <cellStyle name="Normal 2 3 2 4 2 2 2 3" xfId="25048" xr:uid="{00000000-0005-0000-0000-0000CB310000}"/>
    <cellStyle name="Normal 2 3 2 4 2 2 3" xfId="11420" xr:uid="{00000000-0005-0000-0000-0000CC310000}"/>
    <cellStyle name="Normal 2 3 2 4 2 2 3 2" xfId="29602" xr:uid="{00000000-0005-0000-0000-0000CD310000}"/>
    <cellStyle name="Normal 2 3 2 4 2 2 4" xfId="20512" xr:uid="{00000000-0005-0000-0000-0000CE310000}"/>
    <cellStyle name="Normal 2 3 2 4 2 3" xfId="3803" xr:uid="{00000000-0005-0000-0000-0000CF310000}"/>
    <cellStyle name="Normal 2 3 2 4 2 3 2" xfId="8359" xr:uid="{00000000-0005-0000-0000-0000D0310000}"/>
    <cellStyle name="Normal 2 3 2 4 2 3 2 2" xfId="17455" xr:uid="{00000000-0005-0000-0000-0000D1310000}"/>
    <cellStyle name="Normal 2 3 2 4 2 3 2 2 2" xfId="35637" xr:uid="{00000000-0005-0000-0000-0000D2310000}"/>
    <cellStyle name="Normal 2 3 2 4 2 3 2 3" xfId="26547" xr:uid="{00000000-0005-0000-0000-0000D3310000}"/>
    <cellStyle name="Normal 2 3 2 4 2 3 3" xfId="12915" xr:uid="{00000000-0005-0000-0000-0000D4310000}"/>
    <cellStyle name="Normal 2 3 2 4 2 3 3 2" xfId="31097" xr:uid="{00000000-0005-0000-0000-0000D5310000}"/>
    <cellStyle name="Normal 2 3 2 4 2 3 4" xfId="22007" xr:uid="{00000000-0005-0000-0000-0000D6310000}"/>
    <cellStyle name="Normal 2 3 2 4 2 4" xfId="5442" xr:uid="{00000000-0005-0000-0000-0000D7310000}"/>
    <cellStyle name="Normal 2 3 2 4 2 4 2" xfId="14542" xr:uid="{00000000-0005-0000-0000-0000D8310000}"/>
    <cellStyle name="Normal 2 3 2 4 2 4 2 2" xfId="32724" xr:uid="{00000000-0005-0000-0000-0000D9310000}"/>
    <cellStyle name="Normal 2 3 2 4 2 4 3" xfId="23634" xr:uid="{00000000-0005-0000-0000-0000DA310000}"/>
    <cellStyle name="Normal 2 3 2 4 2 5" xfId="10008" xr:uid="{00000000-0005-0000-0000-0000DB310000}"/>
    <cellStyle name="Normal 2 3 2 4 2 5 2" xfId="28190" xr:uid="{00000000-0005-0000-0000-0000DC310000}"/>
    <cellStyle name="Normal 2 3 2 4 2 6" xfId="19099" xr:uid="{00000000-0005-0000-0000-0000DD310000}"/>
    <cellStyle name="Normal 2 3 2 4 3" xfId="2271" xr:uid="{00000000-0005-0000-0000-0000DE310000}"/>
    <cellStyle name="Normal 2 3 2 4 3 2" xfId="6857" xr:uid="{00000000-0005-0000-0000-0000DF310000}"/>
    <cellStyle name="Normal 2 3 2 4 3 2 2" xfId="15957" xr:uid="{00000000-0005-0000-0000-0000E0310000}"/>
    <cellStyle name="Normal 2 3 2 4 3 2 2 2" xfId="34139" xr:uid="{00000000-0005-0000-0000-0000E1310000}"/>
    <cellStyle name="Normal 2 3 2 4 3 2 3" xfId="25049" xr:uid="{00000000-0005-0000-0000-0000E2310000}"/>
    <cellStyle name="Normal 2 3 2 4 3 3" xfId="11421" xr:uid="{00000000-0005-0000-0000-0000E3310000}"/>
    <cellStyle name="Normal 2 3 2 4 3 3 2" xfId="29603" xr:uid="{00000000-0005-0000-0000-0000E4310000}"/>
    <cellStyle name="Normal 2 3 2 4 3 4" xfId="20513" xr:uid="{00000000-0005-0000-0000-0000E5310000}"/>
    <cellStyle name="Normal 2 3 2 4 4" xfId="3802" xr:uid="{00000000-0005-0000-0000-0000E6310000}"/>
    <cellStyle name="Normal 2 3 2 4 4 2" xfId="8358" xr:uid="{00000000-0005-0000-0000-0000E7310000}"/>
    <cellStyle name="Normal 2 3 2 4 4 2 2" xfId="17454" xr:uid="{00000000-0005-0000-0000-0000E8310000}"/>
    <cellStyle name="Normal 2 3 2 4 4 2 2 2" xfId="35636" xr:uid="{00000000-0005-0000-0000-0000E9310000}"/>
    <cellStyle name="Normal 2 3 2 4 4 2 3" xfId="26546" xr:uid="{00000000-0005-0000-0000-0000EA310000}"/>
    <cellStyle name="Normal 2 3 2 4 4 3" xfId="12914" xr:uid="{00000000-0005-0000-0000-0000EB310000}"/>
    <cellStyle name="Normal 2 3 2 4 4 3 2" xfId="31096" xr:uid="{00000000-0005-0000-0000-0000EC310000}"/>
    <cellStyle name="Normal 2 3 2 4 4 4" xfId="22006" xr:uid="{00000000-0005-0000-0000-0000ED310000}"/>
    <cellStyle name="Normal 2 3 2 4 5" xfId="5441" xr:uid="{00000000-0005-0000-0000-0000EE310000}"/>
    <cellStyle name="Normal 2 3 2 4 5 2" xfId="14541" xr:uid="{00000000-0005-0000-0000-0000EF310000}"/>
    <cellStyle name="Normal 2 3 2 4 5 2 2" xfId="32723" xr:uid="{00000000-0005-0000-0000-0000F0310000}"/>
    <cellStyle name="Normal 2 3 2 4 5 3" xfId="23633" xr:uid="{00000000-0005-0000-0000-0000F1310000}"/>
    <cellStyle name="Normal 2 3 2 4 6" xfId="10007" xr:uid="{00000000-0005-0000-0000-0000F2310000}"/>
    <cellStyle name="Normal 2 3 2 4 6 2" xfId="28189" xr:uid="{00000000-0005-0000-0000-0000F3310000}"/>
    <cellStyle name="Normal 2 3 2 4 7" xfId="19098" xr:uid="{00000000-0005-0000-0000-0000F4310000}"/>
    <cellStyle name="Normal 2 3 2 5" xfId="795" xr:uid="{00000000-0005-0000-0000-0000F5310000}"/>
    <cellStyle name="Normal 2 3 2 5 2" xfId="2272" xr:uid="{00000000-0005-0000-0000-0000F6310000}"/>
    <cellStyle name="Normal 2 3 2 5 2 2" xfId="6858" xr:uid="{00000000-0005-0000-0000-0000F7310000}"/>
    <cellStyle name="Normal 2 3 2 5 2 2 2" xfId="15958" xr:uid="{00000000-0005-0000-0000-0000F8310000}"/>
    <cellStyle name="Normal 2 3 2 5 2 2 2 2" xfId="34140" xr:uid="{00000000-0005-0000-0000-0000F9310000}"/>
    <cellStyle name="Normal 2 3 2 5 2 2 3" xfId="25050" xr:uid="{00000000-0005-0000-0000-0000FA310000}"/>
    <cellStyle name="Normal 2 3 2 5 2 3" xfId="11422" xr:uid="{00000000-0005-0000-0000-0000FB310000}"/>
    <cellStyle name="Normal 2 3 2 5 2 3 2" xfId="29604" xr:uid="{00000000-0005-0000-0000-0000FC310000}"/>
    <cellStyle name="Normal 2 3 2 5 2 4" xfId="20514" xr:uid="{00000000-0005-0000-0000-0000FD310000}"/>
    <cellStyle name="Normal 2 3 2 5 3" xfId="3804" xr:uid="{00000000-0005-0000-0000-0000FE310000}"/>
    <cellStyle name="Normal 2 3 2 5 3 2" xfId="8360" xr:uid="{00000000-0005-0000-0000-0000FF310000}"/>
    <cellStyle name="Normal 2 3 2 5 3 2 2" xfId="17456" xr:uid="{00000000-0005-0000-0000-000000320000}"/>
    <cellStyle name="Normal 2 3 2 5 3 2 2 2" xfId="35638" xr:uid="{00000000-0005-0000-0000-000001320000}"/>
    <cellStyle name="Normal 2 3 2 5 3 2 3" xfId="26548" xr:uid="{00000000-0005-0000-0000-000002320000}"/>
    <cellStyle name="Normal 2 3 2 5 3 3" xfId="12916" xr:uid="{00000000-0005-0000-0000-000003320000}"/>
    <cellStyle name="Normal 2 3 2 5 3 3 2" xfId="31098" xr:uid="{00000000-0005-0000-0000-000004320000}"/>
    <cellStyle name="Normal 2 3 2 5 3 4" xfId="22008" xr:uid="{00000000-0005-0000-0000-000005320000}"/>
    <cellStyle name="Normal 2 3 2 5 4" xfId="5443" xr:uid="{00000000-0005-0000-0000-000006320000}"/>
    <cellStyle name="Normal 2 3 2 5 4 2" xfId="14543" xr:uid="{00000000-0005-0000-0000-000007320000}"/>
    <cellStyle name="Normal 2 3 2 5 4 2 2" xfId="32725" xr:uid="{00000000-0005-0000-0000-000008320000}"/>
    <cellStyle name="Normal 2 3 2 5 4 3" xfId="23635" xr:uid="{00000000-0005-0000-0000-000009320000}"/>
    <cellStyle name="Normal 2 3 2 5 5" xfId="10009" xr:uid="{00000000-0005-0000-0000-00000A320000}"/>
    <cellStyle name="Normal 2 3 2 5 5 2" xfId="28191" xr:uid="{00000000-0005-0000-0000-00000B320000}"/>
    <cellStyle name="Normal 2 3 2 5 6" xfId="19100" xr:uid="{00000000-0005-0000-0000-00000C320000}"/>
    <cellStyle name="Normal 2 3 2 6" xfId="796" xr:uid="{00000000-0005-0000-0000-00000D320000}"/>
    <cellStyle name="Normal 2 3 2 6 2" xfId="3805" xr:uid="{00000000-0005-0000-0000-00000E320000}"/>
    <cellStyle name="Normal 2 3 2 6 2 2" xfId="8361" xr:uid="{00000000-0005-0000-0000-00000F320000}"/>
    <cellStyle name="Normal 2 3 2 6 2 2 2" xfId="17457" xr:uid="{00000000-0005-0000-0000-000010320000}"/>
    <cellStyle name="Normal 2 3 2 6 2 2 2 2" xfId="35639" xr:uid="{00000000-0005-0000-0000-000011320000}"/>
    <cellStyle name="Normal 2 3 2 6 2 2 3" xfId="26549" xr:uid="{00000000-0005-0000-0000-000012320000}"/>
    <cellStyle name="Normal 2 3 2 6 2 3" xfId="12917" xr:uid="{00000000-0005-0000-0000-000013320000}"/>
    <cellStyle name="Normal 2 3 2 6 2 3 2" xfId="31099" xr:uid="{00000000-0005-0000-0000-000014320000}"/>
    <cellStyle name="Normal 2 3 2 6 2 4" xfId="22009" xr:uid="{00000000-0005-0000-0000-000015320000}"/>
    <cellStyle name="Normal 2 3 2 6 3" xfId="5444" xr:uid="{00000000-0005-0000-0000-000016320000}"/>
    <cellStyle name="Normal 2 3 2 6 3 2" xfId="14544" xr:uid="{00000000-0005-0000-0000-000017320000}"/>
    <cellStyle name="Normal 2 3 2 6 3 2 2" xfId="32726" xr:uid="{00000000-0005-0000-0000-000018320000}"/>
    <cellStyle name="Normal 2 3 2 6 3 3" xfId="23636" xr:uid="{00000000-0005-0000-0000-000019320000}"/>
    <cellStyle name="Normal 2 3 2 6 4" xfId="10010" xr:uid="{00000000-0005-0000-0000-00001A320000}"/>
    <cellStyle name="Normal 2 3 2 6 4 2" xfId="28192" xr:uid="{00000000-0005-0000-0000-00001B320000}"/>
    <cellStyle name="Normal 2 3 2 6 5" xfId="19101" xr:uid="{00000000-0005-0000-0000-00001C320000}"/>
    <cellStyle name="Normal 2 3 2 7" xfId="2273" xr:uid="{00000000-0005-0000-0000-00001D320000}"/>
    <cellStyle name="Normal 2 3 2 7 2" xfId="6859" xr:uid="{00000000-0005-0000-0000-00001E320000}"/>
    <cellStyle name="Normal 2 3 2 7 2 2" xfId="15959" xr:uid="{00000000-0005-0000-0000-00001F320000}"/>
    <cellStyle name="Normal 2 3 2 7 2 2 2" xfId="34141" xr:uid="{00000000-0005-0000-0000-000020320000}"/>
    <cellStyle name="Normal 2 3 2 7 2 3" xfId="25051" xr:uid="{00000000-0005-0000-0000-000021320000}"/>
    <cellStyle name="Normal 2 3 2 7 3" xfId="11423" xr:uid="{00000000-0005-0000-0000-000022320000}"/>
    <cellStyle name="Normal 2 3 2 7 3 2" xfId="29605" xr:uid="{00000000-0005-0000-0000-000023320000}"/>
    <cellStyle name="Normal 2 3 2 7 4" xfId="20515" xr:uid="{00000000-0005-0000-0000-000024320000}"/>
    <cellStyle name="Normal 2 3 2 8" xfId="3202" xr:uid="{00000000-0005-0000-0000-000025320000}"/>
    <cellStyle name="Normal 2 3 2 8 2" xfId="7762" xr:uid="{00000000-0005-0000-0000-000026320000}"/>
    <cellStyle name="Normal 2 3 2 8 2 2" xfId="16858" xr:uid="{00000000-0005-0000-0000-000027320000}"/>
    <cellStyle name="Normal 2 3 2 8 2 2 2" xfId="35040" xr:uid="{00000000-0005-0000-0000-000028320000}"/>
    <cellStyle name="Normal 2 3 2 8 2 3" xfId="25950" xr:uid="{00000000-0005-0000-0000-000029320000}"/>
    <cellStyle name="Normal 2 3 2 8 3" xfId="12318" xr:uid="{00000000-0005-0000-0000-00002A320000}"/>
    <cellStyle name="Normal 2 3 2 8 3 2" xfId="30500" xr:uid="{00000000-0005-0000-0000-00002B320000}"/>
    <cellStyle name="Normal 2 3 2 8 4" xfId="21410" xr:uid="{00000000-0005-0000-0000-00002C320000}"/>
    <cellStyle name="Normal 2 3 2 9" xfId="4851" xr:uid="{00000000-0005-0000-0000-00002D320000}"/>
    <cellStyle name="Normal 2 3 2 9 2" xfId="13951" xr:uid="{00000000-0005-0000-0000-00002E320000}"/>
    <cellStyle name="Normal 2 3 2 9 2 2" xfId="32133" xr:uid="{00000000-0005-0000-0000-00002F320000}"/>
    <cellStyle name="Normal 2 3 2 9 3" xfId="23043" xr:uid="{00000000-0005-0000-0000-000030320000}"/>
    <cellStyle name="Normal 2 3 3" xfId="797" xr:uid="{00000000-0005-0000-0000-000031320000}"/>
    <cellStyle name="Normal 2 3 3 10" xfId="19102" xr:uid="{00000000-0005-0000-0000-000032320000}"/>
    <cellStyle name="Normal 2 3 3 2" xfId="798" xr:uid="{00000000-0005-0000-0000-000033320000}"/>
    <cellStyle name="Normal 2 3 3 2 2" xfId="799" xr:uid="{00000000-0005-0000-0000-000034320000}"/>
    <cellStyle name="Normal 2 3 3 2 2 2" xfId="800" xr:uid="{00000000-0005-0000-0000-000035320000}"/>
    <cellStyle name="Normal 2 3 3 2 2 2 2" xfId="2274" xr:uid="{00000000-0005-0000-0000-000036320000}"/>
    <cellStyle name="Normal 2 3 3 2 2 2 2 2" xfId="6860" xr:uid="{00000000-0005-0000-0000-000037320000}"/>
    <cellStyle name="Normal 2 3 3 2 2 2 2 2 2" xfId="15960" xr:uid="{00000000-0005-0000-0000-000038320000}"/>
    <cellStyle name="Normal 2 3 3 2 2 2 2 2 2 2" xfId="34142" xr:uid="{00000000-0005-0000-0000-000039320000}"/>
    <cellStyle name="Normal 2 3 3 2 2 2 2 2 3" xfId="25052" xr:uid="{00000000-0005-0000-0000-00003A320000}"/>
    <cellStyle name="Normal 2 3 3 2 2 2 2 3" xfId="11424" xr:uid="{00000000-0005-0000-0000-00003B320000}"/>
    <cellStyle name="Normal 2 3 3 2 2 2 2 3 2" xfId="29606" xr:uid="{00000000-0005-0000-0000-00003C320000}"/>
    <cellStyle name="Normal 2 3 3 2 2 2 2 4" xfId="20516" xr:uid="{00000000-0005-0000-0000-00003D320000}"/>
    <cellStyle name="Normal 2 3 3 2 2 2 3" xfId="3809" xr:uid="{00000000-0005-0000-0000-00003E320000}"/>
    <cellStyle name="Normal 2 3 3 2 2 2 3 2" xfId="8365" xr:uid="{00000000-0005-0000-0000-00003F320000}"/>
    <cellStyle name="Normal 2 3 3 2 2 2 3 2 2" xfId="17461" xr:uid="{00000000-0005-0000-0000-000040320000}"/>
    <cellStyle name="Normal 2 3 3 2 2 2 3 2 2 2" xfId="35643" xr:uid="{00000000-0005-0000-0000-000041320000}"/>
    <cellStyle name="Normal 2 3 3 2 2 2 3 2 3" xfId="26553" xr:uid="{00000000-0005-0000-0000-000042320000}"/>
    <cellStyle name="Normal 2 3 3 2 2 2 3 3" xfId="12921" xr:uid="{00000000-0005-0000-0000-000043320000}"/>
    <cellStyle name="Normal 2 3 3 2 2 2 3 3 2" xfId="31103" xr:uid="{00000000-0005-0000-0000-000044320000}"/>
    <cellStyle name="Normal 2 3 3 2 2 2 3 4" xfId="22013" xr:uid="{00000000-0005-0000-0000-000045320000}"/>
    <cellStyle name="Normal 2 3 3 2 2 2 4" xfId="5448" xr:uid="{00000000-0005-0000-0000-000046320000}"/>
    <cellStyle name="Normal 2 3 3 2 2 2 4 2" xfId="14548" xr:uid="{00000000-0005-0000-0000-000047320000}"/>
    <cellStyle name="Normal 2 3 3 2 2 2 4 2 2" xfId="32730" xr:uid="{00000000-0005-0000-0000-000048320000}"/>
    <cellStyle name="Normal 2 3 3 2 2 2 4 3" xfId="23640" xr:uid="{00000000-0005-0000-0000-000049320000}"/>
    <cellStyle name="Normal 2 3 3 2 2 2 5" xfId="10014" xr:uid="{00000000-0005-0000-0000-00004A320000}"/>
    <cellStyle name="Normal 2 3 3 2 2 2 5 2" xfId="28196" xr:uid="{00000000-0005-0000-0000-00004B320000}"/>
    <cellStyle name="Normal 2 3 3 2 2 2 6" xfId="19105" xr:uid="{00000000-0005-0000-0000-00004C320000}"/>
    <cellStyle name="Normal 2 3 3 2 2 3" xfId="2275" xr:uid="{00000000-0005-0000-0000-00004D320000}"/>
    <cellStyle name="Normal 2 3 3 2 2 3 2" xfId="6861" xr:uid="{00000000-0005-0000-0000-00004E320000}"/>
    <cellStyle name="Normal 2 3 3 2 2 3 2 2" xfId="15961" xr:uid="{00000000-0005-0000-0000-00004F320000}"/>
    <cellStyle name="Normal 2 3 3 2 2 3 2 2 2" xfId="34143" xr:uid="{00000000-0005-0000-0000-000050320000}"/>
    <cellStyle name="Normal 2 3 3 2 2 3 2 3" xfId="25053" xr:uid="{00000000-0005-0000-0000-000051320000}"/>
    <cellStyle name="Normal 2 3 3 2 2 3 3" xfId="11425" xr:uid="{00000000-0005-0000-0000-000052320000}"/>
    <cellStyle name="Normal 2 3 3 2 2 3 3 2" xfId="29607" xr:uid="{00000000-0005-0000-0000-000053320000}"/>
    <cellStyle name="Normal 2 3 3 2 2 3 4" xfId="20517" xr:uid="{00000000-0005-0000-0000-000054320000}"/>
    <cellStyle name="Normal 2 3 3 2 2 4" xfId="3808" xr:uid="{00000000-0005-0000-0000-000055320000}"/>
    <cellStyle name="Normal 2 3 3 2 2 4 2" xfId="8364" xr:uid="{00000000-0005-0000-0000-000056320000}"/>
    <cellStyle name="Normal 2 3 3 2 2 4 2 2" xfId="17460" xr:uid="{00000000-0005-0000-0000-000057320000}"/>
    <cellStyle name="Normal 2 3 3 2 2 4 2 2 2" xfId="35642" xr:uid="{00000000-0005-0000-0000-000058320000}"/>
    <cellStyle name="Normal 2 3 3 2 2 4 2 3" xfId="26552" xr:uid="{00000000-0005-0000-0000-000059320000}"/>
    <cellStyle name="Normal 2 3 3 2 2 4 3" xfId="12920" xr:uid="{00000000-0005-0000-0000-00005A320000}"/>
    <cellStyle name="Normal 2 3 3 2 2 4 3 2" xfId="31102" xr:uid="{00000000-0005-0000-0000-00005B320000}"/>
    <cellStyle name="Normal 2 3 3 2 2 4 4" xfId="22012" xr:uid="{00000000-0005-0000-0000-00005C320000}"/>
    <cellStyle name="Normal 2 3 3 2 2 5" xfId="5447" xr:uid="{00000000-0005-0000-0000-00005D320000}"/>
    <cellStyle name="Normal 2 3 3 2 2 5 2" xfId="14547" xr:uid="{00000000-0005-0000-0000-00005E320000}"/>
    <cellStyle name="Normal 2 3 3 2 2 5 2 2" xfId="32729" xr:uid="{00000000-0005-0000-0000-00005F320000}"/>
    <cellStyle name="Normal 2 3 3 2 2 5 3" xfId="23639" xr:uid="{00000000-0005-0000-0000-000060320000}"/>
    <cellStyle name="Normal 2 3 3 2 2 6" xfId="10013" xr:uid="{00000000-0005-0000-0000-000061320000}"/>
    <cellStyle name="Normal 2 3 3 2 2 6 2" xfId="28195" xr:uid="{00000000-0005-0000-0000-000062320000}"/>
    <cellStyle name="Normal 2 3 3 2 2 7" xfId="19104" xr:uid="{00000000-0005-0000-0000-000063320000}"/>
    <cellStyle name="Normal 2 3 3 2 3" xfId="801" xr:uid="{00000000-0005-0000-0000-000064320000}"/>
    <cellStyle name="Normal 2 3 3 2 3 2" xfId="2276" xr:uid="{00000000-0005-0000-0000-000065320000}"/>
    <cellStyle name="Normal 2 3 3 2 3 2 2" xfId="6862" xr:uid="{00000000-0005-0000-0000-000066320000}"/>
    <cellStyle name="Normal 2 3 3 2 3 2 2 2" xfId="15962" xr:uid="{00000000-0005-0000-0000-000067320000}"/>
    <cellStyle name="Normal 2 3 3 2 3 2 2 2 2" xfId="34144" xr:uid="{00000000-0005-0000-0000-000068320000}"/>
    <cellStyle name="Normal 2 3 3 2 3 2 2 3" xfId="25054" xr:uid="{00000000-0005-0000-0000-000069320000}"/>
    <cellStyle name="Normal 2 3 3 2 3 2 3" xfId="11426" xr:uid="{00000000-0005-0000-0000-00006A320000}"/>
    <cellStyle name="Normal 2 3 3 2 3 2 3 2" xfId="29608" xr:uid="{00000000-0005-0000-0000-00006B320000}"/>
    <cellStyle name="Normal 2 3 3 2 3 2 4" xfId="20518" xr:uid="{00000000-0005-0000-0000-00006C320000}"/>
    <cellStyle name="Normal 2 3 3 2 3 3" xfId="3810" xr:uid="{00000000-0005-0000-0000-00006D320000}"/>
    <cellStyle name="Normal 2 3 3 2 3 3 2" xfId="8366" xr:uid="{00000000-0005-0000-0000-00006E320000}"/>
    <cellStyle name="Normal 2 3 3 2 3 3 2 2" xfId="17462" xr:uid="{00000000-0005-0000-0000-00006F320000}"/>
    <cellStyle name="Normal 2 3 3 2 3 3 2 2 2" xfId="35644" xr:uid="{00000000-0005-0000-0000-000070320000}"/>
    <cellStyle name="Normal 2 3 3 2 3 3 2 3" xfId="26554" xr:uid="{00000000-0005-0000-0000-000071320000}"/>
    <cellStyle name="Normal 2 3 3 2 3 3 3" xfId="12922" xr:uid="{00000000-0005-0000-0000-000072320000}"/>
    <cellStyle name="Normal 2 3 3 2 3 3 3 2" xfId="31104" xr:uid="{00000000-0005-0000-0000-000073320000}"/>
    <cellStyle name="Normal 2 3 3 2 3 3 4" xfId="22014" xr:uid="{00000000-0005-0000-0000-000074320000}"/>
    <cellStyle name="Normal 2 3 3 2 3 4" xfId="5449" xr:uid="{00000000-0005-0000-0000-000075320000}"/>
    <cellStyle name="Normal 2 3 3 2 3 4 2" xfId="14549" xr:uid="{00000000-0005-0000-0000-000076320000}"/>
    <cellStyle name="Normal 2 3 3 2 3 4 2 2" xfId="32731" xr:uid="{00000000-0005-0000-0000-000077320000}"/>
    <cellStyle name="Normal 2 3 3 2 3 4 3" xfId="23641" xr:uid="{00000000-0005-0000-0000-000078320000}"/>
    <cellStyle name="Normal 2 3 3 2 3 5" xfId="10015" xr:uid="{00000000-0005-0000-0000-000079320000}"/>
    <cellStyle name="Normal 2 3 3 2 3 5 2" xfId="28197" xr:uid="{00000000-0005-0000-0000-00007A320000}"/>
    <cellStyle name="Normal 2 3 3 2 3 6" xfId="19106" xr:uid="{00000000-0005-0000-0000-00007B320000}"/>
    <cellStyle name="Normal 2 3 3 2 4" xfId="802" xr:uid="{00000000-0005-0000-0000-00007C320000}"/>
    <cellStyle name="Normal 2 3 3 2 4 2" xfId="3811" xr:uid="{00000000-0005-0000-0000-00007D320000}"/>
    <cellStyle name="Normal 2 3 3 2 4 2 2" xfId="8367" xr:uid="{00000000-0005-0000-0000-00007E320000}"/>
    <cellStyle name="Normal 2 3 3 2 4 2 2 2" xfId="17463" xr:uid="{00000000-0005-0000-0000-00007F320000}"/>
    <cellStyle name="Normal 2 3 3 2 4 2 2 2 2" xfId="35645" xr:uid="{00000000-0005-0000-0000-000080320000}"/>
    <cellStyle name="Normal 2 3 3 2 4 2 2 3" xfId="26555" xr:uid="{00000000-0005-0000-0000-000081320000}"/>
    <cellStyle name="Normal 2 3 3 2 4 2 3" xfId="12923" xr:uid="{00000000-0005-0000-0000-000082320000}"/>
    <cellStyle name="Normal 2 3 3 2 4 2 3 2" xfId="31105" xr:uid="{00000000-0005-0000-0000-000083320000}"/>
    <cellStyle name="Normal 2 3 3 2 4 2 4" xfId="22015" xr:uid="{00000000-0005-0000-0000-000084320000}"/>
    <cellStyle name="Normal 2 3 3 2 4 3" xfId="5450" xr:uid="{00000000-0005-0000-0000-000085320000}"/>
    <cellStyle name="Normal 2 3 3 2 4 3 2" xfId="14550" xr:uid="{00000000-0005-0000-0000-000086320000}"/>
    <cellStyle name="Normal 2 3 3 2 4 3 2 2" xfId="32732" xr:uid="{00000000-0005-0000-0000-000087320000}"/>
    <cellStyle name="Normal 2 3 3 2 4 3 3" xfId="23642" xr:uid="{00000000-0005-0000-0000-000088320000}"/>
    <cellStyle name="Normal 2 3 3 2 4 4" xfId="10016" xr:uid="{00000000-0005-0000-0000-000089320000}"/>
    <cellStyle name="Normal 2 3 3 2 4 4 2" xfId="28198" xr:uid="{00000000-0005-0000-0000-00008A320000}"/>
    <cellStyle name="Normal 2 3 3 2 4 5" xfId="19107" xr:uid="{00000000-0005-0000-0000-00008B320000}"/>
    <cellStyle name="Normal 2 3 3 2 5" xfId="2277" xr:uid="{00000000-0005-0000-0000-00008C320000}"/>
    <cellStyle name="Normal 2 3 3 2 5 2" xfId="6863" xr:uid="{00000000-0005-0000-0000-00008D320000}"/>
    <cellStyle name="Normal 2 3 3 2 5 2 2" xfId="15963" xr:uid="{00000000-0005-0000-0000-00008E320000}"/>
    <cellStyle name="Normal 2 3 3 2 5 2 2 2" xfId="34145" xr:uid="{00000000-0005-0000-0000-00008F320000}"/>
    <cellStyle name="Normal 2 3 3 2 5 2 3" xfId="25055" xr:uid="{00000000-0005-0000-0000-000090320000}"/>
    <cellStyle name="Normal 2 3 3 2 5 3" xfId="11427" xr:uid="{00000000-0005-0000-0000-000091320000}"/>
    <cellStyle name="Normal 2 3 3 2 5 3 2" xfId="29609" xr:uid="{00000000-0005-0000-0000-000092320000}"/>
    <cellStyle name="Normal 2 3 3 2 5 4" xfId="20519" xr:uid="{00000000-0005-0000-0000-000093320000}"/>
    <cellStyle name="Normal 2 3 3 2 6" xfId="3807" xr:uid="{00000000-0005-0000-0000-000094320000}"/>
    <cellStyle name="Normal 2 3 3 2 6 2" xfId="8363" xr:uid="{00000000-0005-0000-0000-000095320000}"/>
    <cellStyle name="Normal 2 3 3 2 6 2 2" xfId="17459" xr:uid="{00000000-0005-0000-0000-000096320000}"/>
    <cellStyle name="Normal 2 3 3 2 6 2 2 2" xfId="35641" xr:uid="{00000000-0005-0000-0000-000097320000}"/>
    <cellStyle name="Normal 2 3 3 2 6 2 3" xfId="26551" xr:uid="{00000000-0005-0000-0000-000098320000}"/>
    <cellStyle name="Normal 2 3 3 2 6 3" xfId="12919" xr:uid="{00000000-0005-0000-0000-000099320000}"/>
    <cellStyle name="Normal 2 3 3 2 6 3 2" xfId="31101" xr:uid="{00000000-0005-0000-0000-00009A320000}"/>
    <cellStyle name="Normal 2 3 3 2 6 4" xfId="22011" xr:uid="{00000000-0005-0000-0000-00009B320000}"/>
    <cellStyle name="Normal 2 3 3 2 7" xfId="5446" xr:uid="{00000000-0005-0000-0000-00009C320000}"/>
    <cellStyle name="Normal 2 3 3 2 7 2" xfId="14546" xr:uid="{00000000-0005-0000-0000-00009D320000}"/>
    <cellStyle name="Normal 2 3 3 2 7 2 2" xfId="32728" xr:uid="{00000000-0005-0000-0000-00009E320000}"/>
    <cellStyle name="Normal 2 3 3 2 7 3" xfId="23638" xr:uid="{00000000-0005-0000-0000-00009F320000}"/>
    <cellStyle name="Normal 2 3 3 2 8" xfId="10012" xr:uid="{00000000-0005-0000-0000-0000A0320000}"/>
    <cellStyle name="Normal 2 3 3 2 8 2" xfId="28194" xr:uid="{00000000-0005-0000-0000-0000A1320000}"/>
    <cellStyle name="Normal 2 3 3 2 9" xfId="19103" xr:uid="{00000000-0005-0000-0000-0000A2320000}"/>
    <cellStyle name="Normal 2 3 3 3" xfId="803" xr:uid="{00000000-0005-0000-0000-0000A3320000}"/>
    <cellStyle name="Normal 2 3 3 3 2" xfId="804" xr:uid="{00000000-0005-0000-0000-0000A4320000}"/>
    <cellStyle name="Normal 2 3 3 3 2 2" xfId="2278" xr:uid="{00000000-0005-0000-0000-0000A5320000}"/>
    <cellStyle name="Normal 2 3 3 3 2 2 2" xfId="6864" xr:uid="{00000000-0005-0000-0000-0000A6320000}"/>
    <cellStyle name="Normal 2 3 3 3 2 2 2 2" xfId="15964" xr:uid="{00000000-0005-0000-0000-0000A7320000}"/>
    <cellStyle name="Normal 2 3 3 3 2 2 2 2 2" xfId="34146" xr:uid="{00000000-0005-0000-0000-0000A8320000}"/>
    <cellStyle name="Normal 2 3 3 3 2 2 2 3" xfId="25056" xr:uid="{00000000-0005-0000-0000-0000A9320000}"/>
    <cellStyle name="Normal 2 3 3 3 2 2 3" xfId="11428" xr:uid="{00000000-0005-0000-0000-0000AA320000}"/>
    <cellStyle name="Normal 2 3 3 3 2 2 3 2" xfId="29610" xr:uid="{00000000-0005-0000-0000-0000AB320000}"/>
    <cellStyle name="Normal 2 3 3 3 2 2 4" xfId="20520" xr:uid="{00000000-0005-0000-0000-0000AC320000}"/>
    <cellStyle name="Normal 2 3 3 3 2 3" xfId="3813" xr:uid="{00000000-0005-0000-0000-0000AD320000}"/>
    <cellStyle name="Normal 2 3 3 3 2 3 2" xfId="8369" xr:uid="{00000000-0005-0000-0000-0000AE320000}"/>
    <cellStyle name="Normal 2 3 3 3 2 3 2 2" xfId="17465" xr:uid="{00000000-0005-0000-0000-0000AF320000}"/>
    <cellStyle name="Normal 2 3 3 3 2 3 2 2 2" xfId="35647" xr:uid="{00000000-0005-0000-0000-0000B0320000}"/>
    <cellStyle name="Normal 2 3 3 3 2 3 2 3" xfId="26557" xr:uid="{00000000-0005-0000-0000-0000B1320000}"/>
    <cellStyle name="Normal 2 3 3 3 2 3 3" xfId="12925" xr:uid="{00000000-0005-0000-0000-0000B2320000}"/>
    <cellStyle name="Normal 2 3 3 3 2 3 3 2" xfId="31107" xr:uid="{00000000-0005-0000-0000-0000B3320000}"/>
    <cellStyle name="Normal 2 3 3 3 2 3 4" xfId="22017" xr:uid="{00000000-0005-0000-0000-0000B4320000}"/>
    <cellStyle name="Normal 2 3 3 3 2 4" xfId="5452" xr:uid="{00000000-0005-0000-0000-0000B5320000}"/>
    <cellStyle name="Normal 2 3 3 3 2 4 2" xfId="14552" xr:uid="{00000000-0005-0000-0000-0000B6320000}"/>
    <cellStyle name="Normal 2 3 3 3 2 4 2 2" xfId="32734" xr:uid="{00000000-0005-0000-0000-0000B7320000}"/>
    <cellStyle name="Normal 2 3 3 3 2 4 3" xfId="23644" xr:uid="{00000000-0005-0000-0000-0000B8320000}"/>
    <cellStyle name="Normal 2 3 3 3 2 5" xfId="10018" xr:uid="{00000000-0005-0000-0000-0000B9320000}"/>
    <cellStyle name="Normal 2 3 3 3 2 5 2" xfId="28200" xr:uid="{00000000-0005-0000-0000-0000BA320000}"/>
    <cellStyle name="Normal 2 3 3 3 2 6" xfId="19109" xr:uid="{00000000-0005-0000-0000-0000BB320000}"/>
    <cellStyle name="Normal 2 3 3 3 3" xfId="2279" xr:uid="{00000000-0005-0000-0000-0000BC320000}"/>
    <cellStyle name="Normal 2 3 3 3 3 2" xfId="6865" xr:uid="{00000000-0005-0000-0000-0000BD320000}"/>
    <cellStyle name="Normal 2 3 3 3 3 2 2" xfId="15965" xr:uid="{00000000-0005-0000-0000-0000BE320000}"/>
    <cellStyle name="Normal 2 3 3 3 3 2 2 2" xfId="34147" xr:uid="{00000000-0005-0000-0000-0000BF320000}"/>
    <cellStyle name="Normal 2 3 3 3 3 2 3" xfId="25057" xr:uid="{00000000-0005-0000-0000-0000C0320000}"/>
    <cellStyle name="Normal 2 3 3 3 3 3" xfId="11429" xr:uid="{00000000-0005-0000-0000-0000C1320000}"/>
    <cellStyle name="Normal 2 3 3 3 3 3 2" xfId="29611" xr:uid="{00000000-0005-0000-0000-0000C2320000}"/>
    <cellStyle name="Normal 2 3 3 3 3 4" xfId="20521" xr:uid="{00000000-0005-0000-0000-0000C3320000}"/>
    <cellStyle name="Normal 2 3 3 3 4" xfId="3812" xr:uid="{00000000-0005-0000-0000-0000C4320000}"/>
    <cellStyle name="Normal 2 3 3 3 4 2" xfId="8368" xr:uid="{00000000-0005-0000-0000-0000C5320000}"/>
    <cellStyle name="Normal 2 3 3 3 4 2 2" xfId="17464" xr:uid="{00000000-0005-0000-0000-0000C6320000}"/>
    <cellStyle name="Normal 2 3 3 3 4 2 2 2" xfId="35646" xr:uid="{00000000-0005-0000-0000-0000C7320000}"/>
    <cellStyle name="Normal 2 3 3 3 4 2 3" xfId="26556" xr:uid="{00000000-0005-0000-0000-0000C8320000}"/>
    <cellStyle name="Normal 2 3 3 3 4 3" xfId="12924" xr:uid="{00000000-0005-0000-0000-0000C9320000}"/>
    <cellStyle name="Normal 2 3 3 3 4 3 2" xfId="31106" xr:uid="{00000000-0005-0000-0000-0000CA320000}"/>
    <cellStyle name="Normal 2 3 3 3 4 4" xfId="22016" xr:uid="{00000000-0005-0000-0000-0000CB320000}"/>
    <cellStyle name="Normal 2 3 3 3 5" xfId="5451" xr:uid="{00000000-0005-0000-0000-0000CC320000}"/>
    <cellStyle name="Normal 2 3 3 3 5 2" xfId="14551" xr:uid="{00000000-0005-0000-0000-0000CD320000}"/>
    <cellStyle name="Normal 2 3 3 3 5 2 2" xfId="32733" xr:uid="{00000000-0005-0000-0000-0000CE320000}"/>
    <cellStyle name="Normal 2 3 3 3 5 3" xfId="23643" xr:uid="{00000000-0005-0000-0000-0000CF320000}"/>
    <cellStyle name="Normal 2 3 3 3 6" xfId="10017" xr:uid="{00000000-0005-0000-0000-0000D0320000}"/>
    <cellStyle name="Normal 2 3 3 3 6 2" xfId="28199" xr:uid="{00000000-0005-0000-0000-0000D1320000}"/>
    <cellStyle name="Normal 2 3 3 3 7" xfId="19108" xr:uid="{00000000-0005-0000-0000-0000D2320000}"/>
    <cellStyle name="Normal 2 3 3 4" xfId="805" xr:uid="{00000000-0005-0000-0000-0000D3320000}"/>
    <cellStyle name="Normal 2 3 3 4 2" xfId="2280" xr:uid="{00000000-0005-0000-0000-0000D4320000}"/>
    <cellStyle name="Normal 2 3 3 4 2 2" xfId="6866" xr:uid="{00000000-0005-0000-0000-0000D5320000}"/>
    <cellStyle name="Normal 2 3 3 4 2 2 2" xfId="15966" xr:uid="{00000000-0005-0000-0000-0000D6320000}"/>
    <cellStyle name="Normal 2 3 3 4 2 2 2 2" xfId="34148" xr:uid="{00000000-0005-0000-0000-0000D7320000}"/>
    <cellStyle name="Normal 2 3 3 4 2 2 3" xfId="25058" xr:uid="{00000000-0005-0000-0000-0000D8320000}"/>
    <cellStyle name="Normal 2 3 3 4 2 3" xfId="11430" xr:uid="{00000000-0005-0000-0000-0000D9320000}"/>
    <cellStyle name="Normal 2 3 3 4 2 3 2" xfId="29612" xr:uid="{00000000-0005-0000-0000-0000DA320000}"/>
    <cellStyle name="Normal 2 3 3 4 2 4" xfId="20522" xr:uid="{00000000-0005-0000-0000-0000DB320000}"/>
    <cellStyle name="Normal 2 3 3 4 3" xfId="3814" xr:uid="{00000000-0005-0000-0000-0000DC320000}"/>
    <cellStyle name="Normal 2 3 3 4 3 2" xfId="8370" xr:uid="{00000000-0005-0000-0000-0000DD320000}"/>
    <cellStyle name="Normal 2 3 3 4 3 2 2" xfId="17466" xr:uid="{00000000-0005-0000-0000-0000DE320000}"/>
    <cellStyle name="Normal 2 3 3 4 3 2 2 2" xfId="35648" xr:uid="{00000000-0005-0000-0000-0000DF320000}"/>
    <cellStyle name="Normal 2 3 3 4 3 2 3" xfId="26558" xr:uid="{00000000-0005-0000-0000-0000E0320000}"/>
    <cellStyle name="Normal 2 3 3 4 3 3" xfId="12926" xr:uid="{00000000-0005-0000-0000-0000E1320000}"/>
    <cellStyle name="Normal 2 3 3 4 3 3 2" xfId="31108" xr:uid="{00000000-0005-0000-0000-0000E2320000}"/>
    <cellStyle name="Normal 2 3 3 4 3 4" xfId="22018" xr:uid="{00000000-0005-0000-0000-0000E3320000}"/>
    <cellStyle name="Normal 2 3 3 4 4" xfId="5453" xr:uid="{00000000-0005-0000-0000-0000E4320000}"/>
    <cellStyle name="Normal 2 3 3 4 4 2" xfId="14553" xr:uid="{00000000-0005-0000-0000-0000E5320000}"/>
    <cellStyle name="Normal 2 3 3 4 4 2 2" xfId="32735" xr:uid="{00000000-0005-0000-0000-0000E6320000}"/>
    <cellStyle name="Normal 2 3 3 4 4 3" xfId="23645" xr:uid="{00000000-0005-0000-0000-0000E7320000}"/>
    <cellStyle name="Normal 2 3 3 4 5" xfId="10019" xr:uid="{00000000-0005-0000-0000-0000E8320000}"/>
    <cellStyle name="Normal 2 3 3 4 5 2" xfId="28201" xr:uid="{00000000-0005-0000-0000-0000E9320000}"/>
    <cellStyle name="Normal 2 3 3 4 6" xfId="19110" xr:uid="{00000000-0005-0000-0000-0000EA320000}"/>
    <cellStyle name="Normal 2 3 3 5" xfId="806" xr:uid="{00000000-0005-0000-0000-0000EB320000}"/>
    <cellStyle name="Normal 2 3 3 5 2" xfId="3815" xr:uid="{00000000-0005-0000-0000-0000EC320000}"/>
    <cellStyle name="Normal 2 3 3 5 2 2" xfId="8371" xr:uid="{00000000-0005-0000-0000-0000ED320000}"/>
    <cellStyle name="Normal 2 3 3 5 2 2 2" xfId="17467" xr:uid="{00000000-0005-0000-0000-0000EE320000}"/>
    <cellStyle name="Normal 2 3 3 5 2 2 2 2" xfId="35649" xr:uid="{00000000-0005-0000-0000-0000EF320000}"/>
    <cellStyle name="Normal 2 3 3 5 2 2 3" xfId="26559" xr:uid="{00000000-0005-0000-0000-0000F0320000}"/>
    <cellStyle name="Normal 2 3 3 5 2 3" xfId="12927" xr:uid="{00000000-0005-0000-0000-0000F1320000}"/>
    <cellStyle name="Normal 2 3 3 5 2 3 2" xfId="31109" xr:uid="{00000000-0005-0000-0000-0000F2320000}"/>
    <cellStyle name="Normal 2 3 3 5 2 4" xfId="22019" xr:uid="{00000000-0005-0000-0000-0000F3320000}"/>
    <cellStyle name="Normal 2 3 3 5 3" xfId="5454" xr:uid="{00000000-0005-0000-0000-0000F4320000}"/>
    <cellStyle name="Normal 2 3 3 5 3 2" xfId="14554" xr:uid="{00000000-0005-0000-0000-0000F5320000}"/>
    <cellStyle name="Normal 2 3 3 5 3 2 2" xfId="32736" xr:uid="{00000000-0005-0000-0000-0000F6320000}"/>
    <cellStyle name="Normal 2 3 3 5 3 3" xfId="23646" xr:uid="{00000000-0005-0000-0000-0000F7320000}"/>
    <cellStyle name="Normal 2 3 3 5 4" xfId="10020" xr:uid="{00000000-0005-0000-0000-0000F8320000}"/>
    <cellStyle name="Normal 2 3 3 5 4 2" xfId="28202" xr:uid="{00000000-0005-0000-0000-0000F9320000}"/>
    <cellStyle name="Normal 2 3 3 5 5" xfId="19111" xr:uid="{00000000-0005-0000-0000-0000FA320000}"/>
    <cellStyle name="Normal 2 3 3 6" xfId="2281" xr:uid="{00000000-0005-0000-0000-0000FB320000}"/>
    <cellStyle name="Normal 2 3 3 6 2" xfId="6867" xr:uid="{00000000-0005-0000-0000-0000FC320000}"/>
    <cellStyle name="Normal 2 3 3 6 2 2" xfId="15967" xr:uid="{00000000-0005-0000-0000-0000FD320000}"/>
    <cellStyle name="Normal 2 3 3 6 2 2 2" xfId="34149" xr:uid="{00000000-0005-0000-0000-0000FE320000}"/>
    <cellStyle name="Normal 2 3 3 6 2 3" xfId="25059" xr:uid="{00000000-0005-0000-0000-0000FF320000}"/>
    <cellStyle name="Normal 2 3 3 6 3" xfId="11431" xr:uid="{00000000-0005-0000-0000-000000330000}"/>
    <cellStyle name="Normal 2 3 3 6 3 2" xfId="29613" xr:uid="{00000000-0005-0000-0000-000001330000}"/>
    <cellStyle name="Normal 2 3 3 6 4" xfId="20523" xr:uid="{00000000-0005-0000-0000-000002330000}"/>
    <cellStyle name="Normal 2 3 3 7" xfId="3806" xr:uid="{00000000-0005-0000-0000-000003330000}"/>
    <cellStyle name="Normal 2 3 3 7 2" xfId="8362" xr:uid="{00000000-0005-0000-0000-000004330000}"/>
    <cellStyle name="Normal 2 3 3 7 2 2" xfId="17458" xr:uid="{00000000-0005-0000-0000-000005330000}"/>
    <cellStyle name="Normal 2 3 3 7 2 2 2" xfId="35640" xr:uid="{00000000-0005-0000-0000-000006330000}"/>
    <cellStyle name="Normal 2 3 3 7 2 3" xfId="26550" xr:uid="{00000000-0005-0000-0000-000007330000}"/>
    <cellStyle name="Normal 2 3 3 7 3" xfId="12918" xr:uid="{00000000-0005-0000-0000-000008330000}"/>
    <cellStyle name="Normal 2 3 3 7 3 2" xfId="31100" xr:uid="{00000000-0005-0000-0000-000009330000}"/>
    <cellStyle name="Normal 2 3 3 7 4" xfId="22010" xr:uid="{00000000-0005-0000-0000-00000A330000}"/>
    <cellStyle name="Normal 2 3 3 8" xfId="5445" xr:uid="{00000000-0005-0000-0000-00000B330000}"/>
    <cellStyle name="Normal 2 3 3 8 2" xfId="14545" xr:uid="{00000000-0005-0000-0000-00000C330000}"/>
    <cellStyle name="Normal 2 3 3 8 2 2" xfId="32727" xr:uid="{00000000-0005-0000-0000-00000D330000}"/>
    <cellStyle name="Normal 2 3 3 8 3" xfId="23637" xr:uid="{00000000-0005-0000-0000-00000E330000}"/>
    <cellStyle name="Normal 2 3 3 9" xfId="10011" xr:uid="{00000000-0005-0000-0000-00000F330000}"/>
    <cellStyle name="Normal 2 3 3 9 2" xfId="28193" xr:uid="{00000000-0005-0000-0000-000010330000}"/>
    <cellStyle name="Normal 2 3 4" xfId="807" xr:uid="{00000000-0005-0000-0000-000011330000}"/>
    <cellStyle name="Normal 2 3 4 2" xfId="808" xr:uid="{00000000-0005-0000-0000-000012330000}"/>
    <cellStyle name="Normal 2 3 4 2 2" xfId="809" xr:uid="{00000000-0005-0000-0000-000013330000}"/>
    <cellStyle name="Normal 2 3 4 2 2 2" xfId="2282" xr:uid="{00000000-0005-0000-0000-000014330000}"/>
    <cellStyle name="Normal 2 3 4 2 2 2 2" xfId="6868" xr:uid="{00000000-0005-0000-0000-000015330000}"/>
    <cellStyle name="Normal 2 3 4 2 2 2 2 2" xfId="15968" xr:uid="{00000000-0005-0000-0000-000016330000}"/>
    <cellStyle name="Normal 2 3 4 2 2 2 2 2 2" xfId="34150" xr:uid="{00000000-0005-0000-0000-000017330000}"/>
    <cellStyle name="Normal 2 3 4 2 2 2 2 3" xfId="25060" xr:uid="{00000000-0005-0000-0000-000018330000}"/>
    <cellStyle name="Normal 2 3 4 2 2 2 3" xfId="11432" xr:uid="{00000000-0005-0000-0000-000019330000}"/>
    <cellStyle name="Normal 2 3 4 2 2 2 3 2" xfId="29614" xr:uid="{00000000-0005-0000-0000-00001A330000}"/>
    <cellStyle name="Normal 2 3 4 2 2 2 4" xfId="20524" xr:uid="{00000000-0005-0000-0000-00001B330000}"/>
    <cellStyle name="Normal 2 3 4 2 2 3" xfId="3818" xr:uid="{00000000-0005-0000-0000-00001C330000}"/>
    <cellStyle name="Normal 2 3 4 2 2 3 2" xfId="8374" xr:uid="{00000000-0005-0000-0000-00001D330000}"/>
    <cellStyle name="Normal 2 3 4 2 2 3 2 2" xfId="17470" xr:uid="{00000000-0005-0000-0000-00001E330000}"/>
    <cellStyle name="Normal 2 3 4 2 2 3 2 2 2" xfId="35652" xr:uid="{00000000-0005-0000-0000-00001F330000}"/>
    <cellStyle name="Normal 2 3 4 2 2 3 2 3" xfId="26562" xr:uid="{00000000-0005-0000-0000-000020330000}"/>
    <cellStyle name="Normal 2 3 4 2 2 3 3" xfId="12930" xr:uid="{00000000-0005-0000-0000-000021330000}"/>
    <cellStyle name="Normal 2 3 4 2 2 3 3 2" xfId="31112" xr:uid="{00000000-0005-0000-0000-000022330000}"/>
    <cellStyle name="Normal 2 3 4 2 2 3 4" xfId="22022" xr:uid="{00000000-0005-0000-0000-000023330000}"/>
    <cellStyle name="Normal 2 3 4 2 2 4" xfId="5457" xr:uid="{00000000-0005-0000-0000-000024330000}"/>
    <cellStyle name="Normal 2 3 4 2 2 4 2" xfId="14557" xr:uid="{00000000-0005-0000-0000-000025330000}"/>
    <cellStyle name="Normal 2 3 4 2 2 4 2 2" xfId="32739" xr:uid="{00000000-0005-0000-0000-000026330000}"/>
    <cellStyle name="Normal 2 3 4 2 2 4 3" xfId="23649" xr:uid="{00000000-0005-0000-0000-000027330000}"/>
    <cellStyle name="Normal 2 3 4 2 2 5" xfId="10023" xr:uid="{00000000-0005-0000-0000-000028330000}"/>
    <cellStyle name="Normal 2 3 4 2 2 5 2" xfId="28205" xr:uid="{00000000-0005-0000-0000-000029330000}"/>
    <cellStyle name="Normal 2 3 4 2 2 6" xfId="19114" xr:uid="{00000000-0005-0000-0000-00002A330000}"/>
    <cellStyle name="Normal 2 3 4 2 3" xfId="2283" xr:uid="{00000000-0005-0000-0000-00002B330000}"/>
    <cellStyle name="Normal 2 3 4 2 3 2" xfId="6869" xr:uid="{00000000-0005-0000-0000-00002C330000}"/>
    <cellStyle name="Normal 2 3 4 2 3 2 2" xfId="15969" xr:uid="{00000000-0005-0000-0000-00002D330000}"/>
    <cellStyle name="Normal 2 3 4 2 3 2 2 2" xfId="34151" xr:uid="{00000000-0005-0000-0000-00002E330000}"/>
    <cellStyle name="Normal 2 3 4 2 3 2 3" xfId="25061" xr:uid="{00000000-0005-0000-0000-00002F330000}"/>
    <cellStyle name="Normal 2 3 4 2 3 3" xfId="11433" xr:uid="{00000000-0005-0000-0000-000030330000}"/>
    <cellStyle name="Normal 2 3 4 2 3 3 2" xfId="29615" xr:uid="{00000000-0005-0000-0000-000031330000}"/>
    <cellStyle name="Normal 2 3 4 2 3 4" xfId="20525" xr:uid="{00000000-0005-0000-0000-000032330000}"/>
    <cellStyle name="Normal 2 3 4 2 4" xfId="3817" xr:uid="{00000000-0005-0000-0000-000033330000}"/>
    <cellStyle name="Normal 2 3 4 2 4 2" xfId="8373" xr:uid="{00000000-0005-0000-0000-000034330000}"/>
    <cellStyle name="Normal 2 3 4 2 4 2 2" xfId="17469" xr:uid="{00000000-0005-0000-0000-000035330000}"/>
    <cellStyle name="Normal 2 3 4 2 4 2 2 2" xfId="35651" xr:uid="{00000000-0005-0000-0000-000036330000}"/>
    <cellStyle name="Normal 2 3 4 2 4 2 3" xfId="26561" xr:uid="{00000000-0005-0000-0000-000037330000}"/>
    <cellStyle name="Normal 2 3 4 2 4 3" xfId="12929" xr:uid="{00000000-0005-0000-0000-000038330000}"/>
    <cellStyle name="Normal 2 3 4 2 4 3 2" xfId="31111" xr:uid="{00000000-0005-0000-0000-000039330000}"/>
    <cellStyle name="Normal 2 3 4 2 4 4" xfId="22021" xr:uid="{00000000-0005-0000-0000-00003A330000}"/>
    <cellStyle name="Normal 2 3 4 2 5" xfId="5456" xr:uid="{00000000-0005-0000-0000-00003B330000}"/>
    <cellStyle name="Normal 2 3 4 2 5 2" xfId="14556" xr:uid="{00000000-0005-0000-0000-00003C330000}"/>
    <cellStyle name="Normal 2 3 4 2 5 2 2" xfId="32738" xr:uid="{00000000-0005-0000-0000-00003D330000}"/>
    <cellStyle name="Normal 2 3 4 2 5 3" xfId="23648" xr:uid="{00000000-0005-0000-0000-00003E330000}"/>
    <cellStyle name="Normal 2 3 4 2 6" xfId="10022" xr:uid="{00000000-0005-0000-0000-00003F330000}"/>
    <cellStyle name="Normal 2 3 4 2 6 2" xfId="28204" xr:uid="{00000000-0005-0000-0000-000040330000}"/>
    <cellStyle name="Normal 2 3 4 2 7" xfId="19113" xr:uid="{00000000-0005-0000-0000-000041330000}"/>
    <cellStyle name="Normal 2 3 4 3" xfId="810" xr:uid="{00000000-0005-0000-0000-000042330000}"/>
    <cellStyle name="Normal 2 3 4 3 2" xfId="2284" xr:uid="{00000000-0005-0000-0000-000043330000}"/>
    <cellStyle name="Normal 2 3 4 3 2 2" xfId="6870" xr:uid="{00000000-0005-0000-0000-000044330000}"/>
    <cellStyle name="Normal 2 3 4 3 2 2 2" xfId="15970" xr:uid="{00000000-0005-0000-0000-000045330000}"/>
    <cellStyle name="Normal 2 3 4 3 2 2 2 2" xfId="34152" xr:uid="{00000000-0005-0000-0000-000046330000}"/>
    <cellStyle name="Normal 2 3 4 3 2 2 3" xfId="25062" xr:uid="{00000000-0005-0000-0000-000047330000}"/>
    <cellStyle name="Normal 2 3 4 3 2 3" xfId="11434" xr:uid="{00000000-0005-0000-0000-000048330000}"/>
    <cellStyle name="Normal 2 3 4 3 2 3 2" xfId="29616" xr:uid="{00000000-0005-0000-0000-000049330000}"/>
    <cellStyle name="Normal 2 3 4 3 2 4" xfId="20526" xr:uid="{00000000-0005-0000-0000-00004A330000}"/>
    <cellStyle name="Normal 2 3 4 3 3" xfId="3819" xr:uid="{00000000-0005-0000-0000-00004B330000}"/>
    <cellStyle name="Normal 2 3 4 3 3 2" xfId="8375" xr:uid="{00000000-0005-0000-0000-00004C330000}"/>
    <cellStyle name="Normal 2 3 4 3 3 2 2" xfId="17471" xr:uid="{00000000-0005-0000-0000-00004D330000}"/>
    <cellStyle name="Normal 2 3 4 3 3 2 2 2" xfId="35653" xr:uid="{00000000-0005-0000-0000-00004E330000}"/>
    <cellStyle name="Normal 2 3 4 3 3 2 3" xfId="26563" xr:uid="{00000000-0005-0000-0000-00004F330000}"/>
    <cellStyle name="Normal 2 3 4 3 3 3" xfId="12931" xr:uid="{00000000-0005-0000-0000-000050330000}"/>
    <cellStyle name="Normal 2 3 4 3 3 3 2" xfId="31113" xr:uid="{00000000-0005-0000-0000-000051330000}"/>
    <cellStyle name="Normal 2 3 4 3 3 4" xfId="22023" xr:uid="{00000000-0005-0000-0000-000052330000}"/>
    <cellStyle name="Normal 2 3 4 3 4" xfId="5458" xr:uid="{00000000-0005-0000-0000-000053330000}"/>
    <cellStyle name="Normal 2 3 4 3 4 2" xfId="14558" xr:uid="{00000000-0005-0000-0000-000054330000}"/>
    <cellStyle name="Normal 2 3 4 3 4 2 2" xfId="32740" xr:uid="{00000000-0005-0000-0000-000055330000}"/>
    <cellStyle name="Normal 2 3 4 3 4 3" xfId="23650" xr:uid="{00000000-0005-0000-0000-000056330000}"/>
    <cellStyle name="Normal 2 3 4 3 5" xfId="10024" xr:uid="{00000000-0005-0000-0000-000057330000}"/>
    <cellStyle name="Normal 2 3 4 3 5 2" xfId="28206" xr:uid="{00000000-0005-0000-0000-000058330000}"/>
    <cellStyle name="Normal 2 3 4 3 6" xfId="19115" xr:uid="{00000000-0005-0000-0000-000059330000}"/>
    <cellStyle name="Normal 2 3 4 4" xfId="811" xr:uid="{00000000-0005-0000-0000-00005A330000}"/>
    <cellStyle name="Normal 2 3 4 4 2" xfId="3820" xr:uid="{00000000-0005-0000-0000-00005B330000}"/>
    <cellStyle name="Normal 2 3 4 4 2 2" xfId="8376" xr:uid="{00000000-0005-0000-0000-00005C330000}"/>
    <cellStyle name="Normal 2 3 4 4 2 2 2" xfId="17472" xr:uid="{00000000-0005-0000-0000-00005D330000}"/>
    <cellStyle name="Normal 2 3 4 4 2 2 2 2" xfId="35654" xr:uid="{00000000-0005-0000-0000-00005E330000}"/>
    <cellStyle name="Normal 2 3 4 4 2 2 3" xfId="26564" xr:uid="{00000000-0005-0000-0000-00005F330000}"/>
    <cellStyle name="Normal 2 3 4 4 2 3" xfId="12932" xr:uid="{00000000-0005-0000-0000-000060330000}"/>
    <cellStyle name="Normal 2 3 4 4 2 3 2" xfId="31114" xr:uid="{00000000-0005-0000-0000-000061330000}"/>
    <cellStyle name="Normal 2 3 4 4 2 4" xfId="22024" xr:uid="{00000000-0005-0000-0000-000062330000}"/>
    <cellStyle name="Normal 2 3 4 4 3" xfId="5459" xr:uid="{00000000-0005-0000-0000-000063330000}"/>
    <cellStyle name="Normal 2 3 4 4 3 2" xfId="14559" xr:uid="{00000000-0005-0000-0000-000064330000}"/>
    <cellStyle name="Normal 2 3 4 4 3 2 2" xfId="32741" xr:uid="{00000000-0005-0000-0000-000065330000}"/>
    <cellStyle name="Normal 2 3 4 4 3 3" xfId="23651" xr:uid="{00000000-0005-0000-0000-000066330000}"/>
    <cellStyle name="Normal 2 3 4 4 4" xfId="10025" xr:uid="{00000000-0005-0000-0000-000067330000}"/>
    <cellStyle name="Normal 2 3 4 4 4 2" xfId="28207" xr:uid="{00000000-0005-0000-0000-000068330000}"/>
    <cellStyle name="Normal 2 3 4 4 5" xfId="19116" xr:uid="{00000000-0005-0000-0000-000069330000}"/>
    <cellStyle name="Normal 2 3 4 5" xfId="2285" xr:uid="{00000000-0005-0000-0000-00006A330000}"/>
    <cellStyle name="Normal 2 3 4 5 2" xfId="6871" xr:uid="{00000000-0005-0000-0000-00006B330000}"/>
    <cellStyle name="Normal 2 3 4 5 2 2" xfId="15971" xr:uid="{00000000-0005-0000-0000-00006C330000}"/>
    <cellStyle name="Normal 2 3 4 5 2 2 2" xfId="34153" xr:uid="{00000000-0005-0000-0000-00006D330000}"/>
    <cellStyle name="Normal 2 3 4 5 2 3" xfId="25063" xr:uid="{00000000-0005-0000-0000-00006E330000}"/>
    <cellStyle name="Normal 2 3 4 5 3" xfId="11435" xr:uid="{00000000-0005-0000-0000-00006F330000}"/>
    <cellStyle name="Normal 2 3 4 5 3 2" xfId="29617" xr:uid="{00000000-0005-0000-0000-000070330000}"/>
    <cellStyle name="Normal 2 3 4 5 4" xfId="20527" xr:uid="{00000000-0005-0000-0000-000071330000}"/>
    <cellStyle name="Normal 2 3 4 6" xfId="3816" xr:uid="{00000000-0005-0000-0000-000072330000}"/>
    <cellStyle name="Normal 2 3 4 6 2" xfId="8372" xr:uid="{00000000-0005-0000-0000-000073330000}"/>
    <cellStyle name="Normal 2 3 4 6 2 2" xfId="17468" xr:uid="{00000000-0005-0000-0000-000074330000}"/>
    <cellStyle name="Normal 2 3 4 6 2 2 2" xfId="35650" xr:uid="{00000000-0005-0000-0000-000075330000}"/>
    <cellStyle name="Normal 2 3 4 6 2 3" xfId="26560" xr:uid="{00000000-0005-0000-0000-000076330000}"/>
    <cellStyle name="Normal 2 3 4 6 3" xfId="12928" xr:uid="{00000000-0005-0000-0000-000077330000}"/>
    <cellStyle name="Normal 2 3 4 6 3 2" xfId="31110" xr:uid="{00000000-0005-0000-0000-000078330000}"/>
    <cellStyle name="Normal 2 3 4 6 4" xfId="22020" xr:uid="{00000000-0005-0000-0000-000079330000}"/>
    <cellStyle name="Normal 2 3 4 7" xfId="5455" xr:uid="{00000000-0005-0000-0000-00007A330000}"/>
    <cellStyle name="Normal 2 3 4 7 2" xfId="14555" xr:uid="{00000000-0005-0000-0000-00007B330000}"/>
    <cellStyle name="Normal 2 3 4 7 2 2" xfId="32737" xr:uid="{00000000-0005-0000-0000-00007C330000}"/>
    <cellStyle name="Normal 2 3 4 7 3" xfId="23647" xr:uid="{00000000-0005-0000-0000-00007D330000}"/>
    <cellStyle name="Normal 2 3 4 8" xfId="10021" xr:uid="{00000000-0005-0000-0000-00007E330000}"/>
    <cellStyle name="Normal 2 3 4 8 2" xfId="28203" xr:uid="{00000000-0005-0000-0000-00007F330000}"/>
    <cellStyle name="Normal 2 3 4 9" xfId="19112" xr:uid="{00000000-0005-0000-0000-000080330000}"/>
    <cellStyle name="Normal 2 3 5" xfId="812" xr:uid="{00000000-0005-0000-0000-000081330000}"/>
    <cellStyle name="Normal 2 3 5 2" xfId="813" xr:uid="{00000000-0005-0000-0000-000082330000}"/>
    <cellStyle name="Normal 2 3 5 2 2" xfId="2286" xr:uid="{00000000-0005-0000-0000-000083330000}"/>
    <cellStyle name="Normal 2 3 5 2 2 2" xfId="6872" xr:uid="{00000000-0005-0000-0000-000084330000}"/>
    <cellStyle name="Normal 2 3 5 2 2 2 2" xfId="15972" xr:uid="{00000000-0005-0000-0000-000085330000}"/>
    <cellStyle name="Normal 2 3 5 2 2 2 2 2" xfId="34154" xr:uid="{00000000-0005-0000-0000-000086330000}"/>
    <cellStyle name="Normal 2 3 5 2 2 2 3" xfId="25064" xr:uid="{00000000-0005-0000-0000-000087330000}"/>
    <cellStyle name="Normal 2 3 5 2 2 3" xfId="11436" xr:uid="{00000000-0005-0000-0000-000088330000}"/>
    <cellStyle name="Normal 2 3 5 2 2 3 2" xfId="29618" xr:uid="{00000000-0005-0000-0000-000089330000}"/>
    <cellStyle name="Normal 2 3 5 2 2 4" xfId="20528" xr:uid="{00000000-0005-0000-0000-00008A330000}"/>
    <cellStyle name="Normal 2 3 5 2 3" xfId="3822" xr:uid="{00000000-0005-0000-0000-00008B330000}"/>
    <cellStyle name="Normal 2 3 5 2 3 2" xfId="8378" xr:uid="{00000000-0005-0000-0000-00008C330000}"/>
    <cellStyle name="Normal 2 3 5 2 3 2 2" xfId="17474" xr:uid="{00000000-0005-0000-0000-00008D330000}"/>
    <cellStyle name="Normal 2 3 5 2 3 2 2 2" xfId="35656" xr:uid="{00000000-0005-0000-0000-00008E330000}"/>
    <cellStyle name="Normal 2 3 5 2 3 2 3" xfId="26566" xr:uid="{00000000-0005-0000-0000-00008F330000}"/>
    <cellStyle name="Normal 2 3 5 2 3 3" xfId="12934" xr:uid="{00000000-0005-0000-0000-000090330000}"/>
    <cellStyle name="Normal 2 3 5 2 3 3 2" xfId="31116" xr:uid="{00000000-0005-0000-0000-000091330000}"/>
    <cellStyle name="Normal 2 3 5 2 3 4" xfId="22026" xr:uid="{00000000-0005-0000-0000-000092330000}"/>
    <cellStyle name="Normal 2 3 5 2 4" xfId="5461" xr:uid="{00000000-0005-0000-0000-000093330000}"/>
    <cellStyle name="Normal 2 3 5 2 4 2" xfId="14561" xr:uid="{00000000-0005-0000-0000-000094330000}"/>
    <cellStyle name="Normal 2 3 5 2 4 2 2" xfId="32743" xr:uid="{00000000-0005-0000-0000-000095330000}"/>
    <cellStyle name="Normal 2 3 5 2 4 3" xfId="23653" xr:uid="{00000000-0005-0000-0000-000096330000}"/>
    <cellStyle name="Normal 2 3 5 2 5" xfId="10027" xr:uid="{00000000-0005-0000-0000-000097330000}"/>
    <cellStyle name="Normal 2 3 5 2 5 2" xfId="28209" xr:uid="{00000000-0005-0000-0000-000098330000}"/>
    <cellStyle name="Normal 2 3 5 2 6" xfId="19118" xr:uid="{00000000-0005-0000-0000-000099330000}"/>
    <cellStyle name="Normal 2 3 5 3" xfId="2287" xr:uid="{00000000-0005-0000-0000-00009A330000}"/>
    <cellStyle name="Normal 2 3 5 3 2" xfId="6873" xr:uid="{00000000-0005-0000-0000-00009B330000}"/>
    <cellStyle name="Normal 2 3 5 3 2 2" xfId="15973" xr:uid="{00000000-0005-0000-0000-00009C330000}"/>
    <cellStyle name="Normal 2 3 5 3 2 2 2" xfId="34155" xr:uid="{00000000-0005-0000-0000-00009D330000}"/>
    <cellStyle name="Normal 2 3 5 3 2 3" xfId="25065" xr:uid="{00000000-0005-0000-0000-00009E330000}"/>
    <cellStyle name="Normal 2 3 5 3 3" xfId="11437" xr:uid="{00000000-0005-0000-0000-00009F330000}"/>
    <cellStyle name="Normal 2 3 5 3 3 2" xfId="29619" xr:uid="{00000000-0005-0000-0000-0000A0330000}"/>
    <cellStyle name="Normal 2 3 5 3 4" xfId="20529" xr:uid="{00000000-0005-0000-0000-0000A1330000}"/>
    <cellStyle name="Normal 2 3 5 4" xfId="3821" xr:uid="{00000000-0005-0000-0000-0000A2330000}"/>
    <cellStyle name="Normal 2 3 5 4 2" xfId="8377" xr:uid="{00000000-0005-0000-0000-0000A3330000}"/>
    <cellStyle name="Normal 2 3 5 4 2 2" xfId="17473" xr:uid="{00000000-0005-0000-0000-0000A4330000}"/>
    <cellStyle name="Normal 2 3 5 4 2 2 2" xfId="35655" xr:uid="{00000000-0005-0000-0000-0000A5330000}"/>
    <cellStyle name="Normal 2 3 5 4 2 3" xfId="26565" xr:uid="{00000000-0005-0000-0000-0000A6330000}"/>
    <cellStyle name="Normal 2 3 5 4 3" xfId="12933" xr:uid="{00000000-0005-0000-0000-0000A7330000}"/>
    <cellStyle name="Normal 2 3 5 4 3 2" xfId="31115" xr:uid="{00000000-0005-0000-0000-0000A8330000}"/>
    <cellStyle name="Normal 2 3 5 4 4" xfId="22025" xr:uid="{00000000-0005-0000-0000-0000A9330000}"/>
    <cellStyle name="Normal 2 3 5 5" xfId="5460" xr:uid="{00000000-0005-0000-0000-0000AA330000}"/>
    <cellStyle name="Normal 2 3 5 5 2" xfId="14560" xr:uid="{00000000-0005-0000-0000-0000AB330000}"/>
    <cellStyle name="Normal 2 3 5 5 2 2" xfId="32742" xr:uid="{00000000-0005-0000-0000-0000AC330000}"/>
    <cellStyle name="Normal 2 3 5 5 3" xfId="23652" xr:uid="{00000000-0005-0000-0000-0000AD330000}"/>
    <cellStyle name="Normal 2 3 5 6" xfId="10026" xr:uid="{00000000-0005-0000-0000-0000AE330000}"/>
    <cellStyle name="Normal 2 3 5 6 2" xfId="28208" xr:uid="{00000000-0005-0000-0000-0000AF330000}"/>
    <cellStyle name="Normal 2 3 5 7" xfId="19117" xr:uid="{00000000-0005-0000-0000-0000B0330000}"/>
    <cellStyle name="Normal 2 3 6" xfId="814" xr:uid="{00000000-0005-0000-0000-0000B1330000}"/>
    <cellStyle name="Normal 2 3 6 2" xfId="2288" xr:uid="{00000000-0005-0000-0000-0000B2330000}"/>
    <cellStyle name="Normal 2 3 6 2 2" xfId="6874" xr:uid="{00000000-0005-0000-0000-0000B3330000}"/>
    <cellStyle name="Normal 2 3 6 2 2 2" xfId="15974" xr:uid="{00000000-0005-0000-0000-0000B4330000}"/>
    <cellStyle name="Normal 2 3 6 2 2 2 2" xfId="34156" xr:uid="{00000000-0005-0000-0000-0000B5330000}"/>
    <cellStyle name="Normal 2 3 6 2 2 3" xfId="25066" xr:uid="{00000000-0005-0000-0000-0000B6330000}"/>
    <cellStyle name="Normal 2 3 6 2 3" xfId="11438" xr:uid="{00000000-0005-0000-0000-0000B7330000}"/>
    <cellStyle name="Normal 2 3 6 2 3 2" xfId="29620" xr:uid="{00000000-0005-0000-0000-0000B8330000}"/>
    <cellStyle name="Normal 2 3 6 2 4" xfId="20530" xr:uid="{00000000-0005-0000-0000-0000B9330000}"/>
    <cellStyle name="Normal 2 3 6 3" xfId="3823" xr:uid="{00000000-0005-0000-0000-0000BA330000}"/>
    <cellStyle name="Normal 2 3 6 3 2" xfId="8379" xr:uid="{00000000-0005-0000-0000-0000BB330000}"/>
    <cellStyle name="Normal 2 3 6 3 2 2" xfId="17475" xr:uid="{00000000-0005-0000-0000-0000BC330000}"/>
    <cellStyle name="Normal 2 3 6 3 2 2 2" xfId="35657" xr:uid="{00000000-0005-0000-0000-0000BD330000}"/>
    <cellStyle name="Normal 2 3 6 3 2 3" xfId="26567" xr:uid="{00000000-0005-0000-0000-0000BE330000}"/>
    <cellStyle name="Normal 2 3 6 3 3" xfId="12935" xr:uid="{00000000-0005-0000-0000-0000BF330000}"/>
    <cellStyle name="Normal 2 3 6 3 3 2" xfId="31117" xr:uid="{00000000-0005-0000-0000-0000C0330000}"/>
    <cellStyle name="Normal 2 3 6 3 4" xfId="22027" xr:uid="{00000000-0005-0000-0000-0000C1330000}"/>
    <cellStyle name="Normal 2 3 6 4" xfId="5462" xr:uid="{00000000-0005-0000-0000-0000C2330000}"/>
    <cellStyle name="Normal 2 3 6 4 2" xfId="14562" xr:uid="{00000000-0005-0000-0000-0000C3330000}"/>
    <cellStyle name="Normal 2 3 6 4 2 2" xfId="32744" xr:uid="{00000000-0005-0000-0000-0000C4330000}"/>
    <cellStyle name="Normal 2 3 6 4 3" xfId="23654" xr:uid="{00000000-0005-0000-0000-0000C5330000}"/>
    <cellStyle name="Normal 2 3 6 5" xfId="10028" xr:uid="{00000000-0005-0000-0000-0000C6330000}"/>
    <cellStyle name="Normal 2 3 6 5 2" xfId="28210" xr:uid="{00000000-0005-0000-0000-0000C7330000}"/>
    <cellStyle name="Normal 2 3 6 6" xfId="19119" xr:uid="{00000000-0005-0000-0000-0000C8330000}"/>
    <cellStyle name="Normal 2 3 7" xfId="815" xr:uid="{00000000-0005-0000-0000-0000C9330000}"/>
    <cellStyle name="Normal 2 3 7 2" xfId="3824" xr:uid="{00000000-0005-0000-0000-0000CA330000}"/>
    <cellStyle name="Normal 2 3 7 2 2" xfId="8380" xr:uid="{00000000-0005-0000-0000-0000CB330000}"/>
    <cellStyle name="Normal 2 3 7 2 2 2" xfId="17476" xr:uid="{00000000-0005-0000-0000-0000CC330000}"/>
    <cellStyle name="Normal 2 3 7 2 2 2 2" xfId="35658" xr:uid="{00000000-0005-0000-0000-0000CD330000}"/>
    <cellStyle name="Normal 2 3 7 2 2 3" xfId="26568" xr:uid="{00000000-0005-0000-0000-0000CE330000}"/>
    <cellStyle name="Normal 2 3 7 2 3" xfId="12936" xr:uid="{00000000-0005-0000-0000-0000CF330000}"/>
    <cellStyle name="Normal 2 3 7 2 3 2" xfId="31118" xr:uid="{00000000-0005-0000-0000-0000D0330000}"/>
    <cellStyle name="Normal 2 3 7 2 4" xfId="22028" xr:uid="{00000000-0005-0000-0000-0000D1330000}"/>
    <cellStyle name="Normal 2 3 7 3" xfId="5463" xr:uid="{00000000-0005-0000-0000-0000D2330000}"/>
    <cellStyle name="Normal 2 3 7 3 2" xfId="14563" xr:uid="{00000000-0005-0000-0000-0000D3330000}"/>
    <cellStyle name="Normal 2 3 7 3 2 2" xfId="32745" xr:uid="{00000000-0005-0000-0000-0000D4330000}"/>
    <cellStyle name="Normal 2 3 7 3 3" xfId="23655" xr:uid="{00000000-0005-0000-0000-0000D5330000}"/>
    <cellStyle name="Normal 2 3 7 4" xfId="10029" xr:uid="{00000000-0005-0000-0000-0000D6330000}"/>
    <cellStyle name="Normal 2 3 7 4 2" xfId="28211" xr:uid="{00000000-0005-0000-0000-0000D7330000}"/>
    <cellStyle name="Normal 2 3 7 5" xfId="19120" xr:uid="{00000000-0005-0000-0000-0000D8330000}"/>
    <cellStyle name="Normal 2 3 8" xfId="2289" xr:uid="{00000000-0005-0000-0000-0000D9330000}"/>
    <cellStyle name="Normal 2 3 8 2" xfId="6875" xr:uid="{00000000-0005-0000-0000-0000DA330000}"/>
    <cellStyle name="Normal 2 3 8 2 2" xfId="15975" xr:uid="{00000000-0005-0000-0000-0000DB330000}"/>
    <cellStyle name="Normal 2 3 8 2 2 2" xfId="34157" xr:uid="{00000000-0005-0000-0000-0000DC330000}"/>
    <cellStyle name="Normal 2 3 8 2 3" xfId="25067" xr:uid="{00000000-0005-0000-0000-0000DD330000}"/>
    <cellStyle name="Normal 2 3 8 3" xfId="11439" xr:uid="{00000000-0005-0000-0000-0000DE330000}"/>
    <cellStyle name="Normal 2 3 8 3 2" xfId="29621" xr:uid="{00000000-0005-0000-0000-0000DF330000}"/>
    <cellStyle name="Normal 2 3 8 4" xfId="20531" xr:uid="{00000000-0005-0000-0000-0000E0330000}"/>
    <cellStyle name="Normal 2 3 9" xfId="3179" xr:uid="{00000000-0005-0000-0000-0000E1330000}"/>
    <cellStyle name="Normal 2 3 9 2" xfId="7739" xr:uid="{00000000-0005-0000-0000-0000E2330000}"/>
    <cellStyle name="Normal 2 3 9 2 2" xfId="16835" xr:uid="{00000000-0005-0000-0000-0000E3330000}"/>
    <cellStyle name="Normal 2 3 9 2 2 2" xfId="35017" xr:uid="{00000000-0005-0000-0000-0000E4330000}"/>
    <cellStyle name="Normal 2 3 9 2 3" xfId="25927" xr:uid="{00000000-0005-0000-0000-0000E5330000}"/>
    <cellStyle name="Normal 2 3 9 3" xfId="12295" xr:uid="{00000000-0005-0000-0000-0000E6330000}"/>
    <cellStyle name="Normal 2 3 9 3 2" xfId="30477" xr:uid="{00000000-0005-0000-0000-0000E7330000}"/>
    <cellStyle name="Normal 2 3 9 4" xfId="21387" xr:uid="{00000000-0005-0000-0000-0000E8330000}"/>
    <cellStyle name="Normal 2 4" xfId="58" xr:uid="{00000000-0005-0000-0000-0000E9330000}"/>
    <cellStyle name="Normal 2 4 2" xfId="816" xr:uid="{00000000-0005-0000-0000-0000EA330000}"/>
    <cellStyle name="Normal 2 4 2 2" xfId="817" xr:uid="{00000000-0005-0000-0000-0000EB330000}"/>
    <cellStyle name="Normal 2 5" xfId="128" xr:uid="{00000000-0005-0000-0000-0000EC330000}"/>
    <cellStyle name="Normal 2 5 2" xfId="818" xr:uid="{00000000-0005-0000-0000-0000ED330000}"/>
    <cellStyle name="Normal 2 6" xfId="819" xr:uid="{00000000-0005-0000-0000-0000EE330000}"/>
    <cellStyle name="normal 2_4346_Planillal_Electrica_Rev_A4" xfId="820" xr:uid="{00000000-0005-0000-0000-0000EF330000}"/>
    <cellStyle name="Normal 20" xfId="137" xr:uid="{00000000-0005-0000-0000-0000F0330000}"/>
    <cellStyle name="Normal 20 2" xfId="821" xr:uid="{00000000-0005-0000-0000-0000F1330000}"/>
    <cellStyle name="Normal 21" xfId="139" xr:uid="{00000000-0005-0000-0000-0000F2330000}"/>
    <cellStyle name="Normal 21 10" xfId="9435" xr:uid="{00000000-0005-0000-0000-0000F3330000}"/>
    <cellStyle name="Normal 21 10 2" xfId="27617" xr:uid="{00000000-0005-0000-0000-0000F4330000}"/>
    <cellStyle name="Normal 21 11" xfId="18526" xr:uid="{00000000-0005-0000-0000-0000F5330000}"/>
    <cellStyle name="Normal 21 2" xfId="822" xr:uid="{00000000-0005-0000-0000-0000F6330000}"/>
    <cellStyle name="Normal 21 2 10" xfId="19121" xr:uid="{00000000-0005-0000-0000-0000F7330000}"/>
    <cellStyle name="Normal 21 2 2" xfId="823" xr:uid="{00000000-0005-0000-0000-0000F8330000}"/>
    <cellStyle name="Normal 21 2 2 2" xfId="824" xr:uid="{00000000-0005-0000-0000-0000F9330000}"/>
    <cellStyle name="Normal 21 2 2 2 2" xfId="825" xr:uid="{00000000-0005-0000-0000-0000FA330000}"/>
    <cellStyle name="Normal 21 2 2 2 2 2" xfId="2290" xr:uid="{00000000-0005-0000-0000-0000FB330000}"/>
    <cellStyle name="Normal 21 2 2 2 2 2 2" xfId="6876" xr:uid="{00000000-0005-0000-0000-0000FC330000}"/>
    <cellStyle name="Normal 21 2 2 2 2 2 2 2" xfId="15976" xr:uid="{00000000-0005-0000-0000-0000FD330000}"/>
    <cellStyle name="Normal 21 2 2 2 2 2 2 2 2" xfId="34158" xr:uid="{00000000-0005-0000-0000-0000FE330000}"/>
    <cellStyle name="Normal 21 2 2 2 2 2 2 3" xfId="25068" xr:uid="{00000000-0005-0000-0000-0000FF330000}"/>
    <cellStyle name="Normal 21 2 2 2 2 2 3" xfId="11440" xr:uid="{00000000-0005-0000-0000-000000340000}"/>
    <cellStyle name="Normal 21 2 2 2 2 2 3 2" xfId="29622" xr:uid="{00000000-0005-0000-0000-000001340000}"/>
    <cellStyle name="Normal 21 2 2 2 2 2 4" xfId="20532" xr:uid="{00000000-0005-0000-0000-000002340000}"/>
    <cellStyle name="Normal 21 2 2 2 2 3" xfId="3828" xr:uid="{00000000-0005-0000-0000-000003340000}"/>
    <cellStyle name="Normal 21 2 2 2 2 3 2" xfId="8384" xr:uid="{00000000-0005-0000-0000-000004340000}"/>
    <cellStyle name="Normal 21 2 2 2 2 3 2 2" xfId="17480" xr:uid="{00000000-0005-0000-0000-000005340000}"/>
    <cellStyle name="Normal 21 2 2 2 2 3 2 2 2" xfId="35662" xr:uid="{00000000-0005-0000-0000-000006340000}"/>
    <cellStyle name="Normal 21 2 2 2 2 3 2 3" xfId="26572" xr:uid="{00000000-0005-0000-0000-000007340000}"/>
    <cellStyle name="Normal 21 2 2 2 2 3 3" xfId="12940" xr:uid="{00000000-0005-0000-0000-000008340000}"/>
    <cellStyle name="Normal 21 2 2 2 2 3 3 2" xfId="31122" xr:uid="{00000000-0005-0000-0000-000009340000}"/>
    <cellStyle name="Normal 21 2 2 2 2 3 4" xfId="22032" xr:uid="{00000000-0005-0000-0000-00000A340000}"/>
    <cellStyle name="Normal 21 2 2 2 2 4" xfId="5467" xr:uid="{00000000-0005-0000-0000-00000B340000}"/>
    <cellStyle name="Normal 21 2 2 2 2 4 2" xfId="14567" xr:uid="{00000000-0005-0000-0000-00000C340000}"/>
    <cellStyle name="Normal 21 2 2 2 2 4 2 2" xfId="32749" xr:uid="{00000000-0005-0000-0000-00000D340000}"/>
    <cellStyle name="Normal 21 2 2 2 2 4 3" xfId="23659" xr:uid="{00000000-0005-0000-0000-00000E340000}"/>
    <cellStyle name="Normal 21 2 2 2 2 5" xfId="10033" xr:uid="{00000000-0005-0000-0000-00000F340000}"/>
    <cellStyle name="Normal 21 2 2 2 2 5 2" xfId="28215" xr:uid="{00000000-0005-0000-0000-000010340000}"/>
    <cellStyle name="Normal 21 2 2 2 2 6" xfId="19124" xr:uid="{00000000-0005-0000-0000-000011340000}"/>
    <cellStyle name="Normal 21 2 2 2 3" xfId="2291" xr:uid="{00000000-0005-0000-0000-000012340000}"/>
    <cellStyle name="Normal 21 2 2 2 3 2" xfId="6877" xr:uid="{00000000-0005-0000-0000-000013340000}"/>
    <cellStyle name="Normal 21 2 2 2 3 2 2" xfId="15977" xr:uid="{00000000-0005-0000-0000-000014340000}"/>
    <cellStyle name="Normal 21 2 2 2 3 2 2 2" xfId="34159" xr:uid="{00000000-0005-0000-0000-000015340000}"/>
    <cellStyle name="Normal 21 2 2 2 3 2 3" xfId="25069" xr:uid="{00000000-0005-0000-0000-000016340000}"/>
    <cellStyle name="Normal 21 2 2 2 3 3" xfId="11441" xr:uid="{00000000-0005-0000-0000-000017340000}"/>
    <cellStyle name="Normal 21 2 2 2 3 3 2" xfId="29623" xr:uid="{00000000-0005-0000-0000-000018340000}"/>
    <cellStyle name="Normal 21 2 2 2 3 4" xfId="20533" xr:uid="{00000000-0005-0000-0000-000019340000}"/>
    <cellStyle name="Normal 21 2 2 2 4" xfId="3827" xr:uid="{00000000-0005-0000-0000-00001A340000}"/>
    <cellStyle name="Normal 21 2 2 2 4 2" xfId="8383" xr:uid="{00000000-0005-0000-0000-00001B340000}"/>
    <cellStyle name="Normal 21 2 2 2 4 2 2" xfId="17479" xr:uid="{00000000-0005-0000-0000-00001C340000}"/>
    <cellStyle name="Normal 21 2 2 2 4 2 2 2" xfId="35661" xr:uid="{00000000-0005-0000-0000-00001D340000}"/>
    <cellStyle name="Normal 21 2 2 2 4 2 3" xfId="26571" xr:uid="{00000000-0005-0000-0000-00001E340000}"/>
    <cellStyle name="Normal 21 2 2 2 4 3" xfId="12939" xr:uid="{00000000-0005-0000-0000-00001F340000}"/>
    <cellStyle name="Normal 21 2 2 2 4 3 2" xfId="31121" xr:uid="{00000000-0005-0000-0000-000020340000}"/>
    <cellStyle name="Normal 21 2 2 2 4 4" xfId="22031" xr:uid="{00000000-0005-0000-0000-000021340000}"/>
    <cellStyle name="Normal 21 2 2 2 5" xfId="5466" xr:uid="{00000000-0005-0000-0000-000022340000}"/>
    <cellStyle name="Normal 21 2 2 2 5 2" xfId="14566" xr:uid="{00000000-0005-0000-0000-000023340000}"/>
    <cellStyle name="Normal 21 2 2 2 5 2 2" xfId="32748" xr:uid="{00000000-0005-0000-0000-000024340000}"/>
    <cellStyle name="Normal 21 2 2 2 5 3" xfId="23658" xr:uid="{00000000-0005-0000-0000-000025340000}"/>
    <cellStyle name="Normal 21 2 2 2 6" xfId="10032" xr:uid="{00000000-0005-0000-0000-000026340000}"/>
    <cellStyle name="Normal 21 2 2 2 6 2" xfId="28214" xr:uid="{00000000-0005-0000-0000-000027340000}"/>
    <cellStyle name="Normal 21 2 2 2 7" xfId="19123" xr:uid="{00000000-0005-0000-0000-000028340000}"/>
    <cellStyle name="Normal 21 2 2 3" xfId="826" xr:uid="{00000000-0005-0000-0000-000029340000}"/>
    <cellStyle name="Normal 21 2 2 3 2" xfId="2292" xr:uid="{00000000-0005-0000-0000-00002A340000}"/>
    <cellStyle name="Normal 21 2 2 3 2 2" xfId="6878" xr:uid="{00000000-0005-0000-0000-00002B340000}"/>
    <cellStyle name="Normal 21 2 2 3 2 2 2" xfId="15978" xr:uid="{00000000-0005-0000-0000-00002C340000}"/>
    <cellStyle name="Normal 21 2 2 3 2 2 2 2" xfId="34160" xr:uid="{00000000-0005-0000-0000-00002D340000}"/>
    <cellStyle name="Normal 21 2 2 3 2 2 3" xfId="25070" xr:uid="{00000000-0005-0000-0000-00002E340000}"/>
    <cellStyle name="Normal 21 2 2 3 2 3" xfId="11442" xr:uid="{00000000-0005-0000-0000-00002F340000}"/>
    <cellStyle name="Normal 21 2 2 3 2 3 2" xfId="29624" xr:uid="{00000000-0005-0000-0000-000030340000}"/>
    <cellStyle name="Normal 21 2 2 3 2 4" xfId="20534" xr:uid="{00000000-0005-0000-0000-000031340000}"/>
    <cellStyle name="Normal 21 2 2 3 3" xfId="3829" xr:uid="{00000000-0005-0000-0000-000032340000}"/>
    <cellStyle name="Normal 21 2 2 3 3 2" xfId="8385" xr:uid="{00000000-0005-0000-0000-000033340000}"/>
    <cellStyle name="Normal 21 2 2 3 3 2 2" xfId="17481" xr:uid="{00000000-0005-0000-0000-000034340000}"/>
    <cellStyle name="Normal 21 2 2 3 3 2 2 2" xfId="35663" xr:uid="{00000000-0005-0000-0000-000035340000}"/>
    <cellStyle name="Normal 21 2 2 3 3 2 3" xfId="26573" xr:uid="{00000000-0005-0000-0000-000036340000}"/>
    <cellStyle name="Normal 21 2 2 3 3 3" xfId="12941" xr:uid="{00000000-0005-0000-0000-000037340000}"/>
    <cellStyle name="Normal 21 2 2 3 3 3 2" xfId="31123" xr:uid="{00000000-0005-0000-0000-000038340000}"/>
    <cellStyle name="Normal 21 2 2 3 3 4" xfId="22033" xr:uid="{00000000-0005-0000-0000-000039340000}"/>
    <cellStyle name="Normal 21 2 2 3 4" xfId="5468" xr:uid="{00000000-0005-0000-0000-00003A340000}"/>
    <cellStyle name="Normal 21 2 2 3 4 2" xfId="14568" xr:uid="{00000000-0005-0000-0000-00003B340000}"/>
    <cellStyle name="Normal 21 2 2 3 4 2 2" xfId="32750" xr:uid="{00000000-0005-0000-0000-00003C340000}"/>
    <cellStyle name="Normal 21 2 2 3 4 3" xfId="23660" xr:uid="{00000000-0005-0000-0000-00003D340000}"/>
    <cellStyle name="Normal 21 2 2 3 5" xfId="10034" xr:uid="{00000000-0005-0000-0000-00003E340000}"/>
    <cellStyle name="Normal 21 2 2 3 5 2" xfId="28216" xr:uid="{00000000-0005-0000-0000-00003F340000}"/>
    <cellStyle name="Normal 21 2 2 3 6" xfId="19125" xr:uid="{00000000-0005-0000-0000-000040340000}"/>
    <cellStyle name="Normal 21 2 2 4" xfId="827" xr:uid="{00000000-0005-0000-0000-000041340000}"/>
    <cellStyle name="Normal 21 2 2 4 2" xfId="3830" xr:uid="{00000000-0005-0000-0000-000042340000}"/>
    <cellStyle name="Normal 21 2 2 4 2 2" xfId="8386" xr:uid="{00000000-0005-0000-0000-000043340000}"/>
    <cellStyle name="Normal 21 2 2 4 2 2 2" xfId="17482" xr:uid="{00000000-0005-0000-0000-000044340000}"/>
    <cellStyle name="Normal 21 2 2 4 2 2 2 2" xfId="35664" xr:uid="{00000000-0005-0000-0000-000045340000}"/>
    <cellStyle name="Normal 21 2 2 4 2 2 3" xfId="26574" xr:uid="{00000000-0005-0000-0000-000046340000}"/>
    <cellStyle name="Normal 21 2 2 4 2 3" xfId="12942" xr:uid="{00000000-0005-0000-0000-000047340000}"/>
    <cellStyle name="Normal 21 2 2 4 2 3 2" xfId="31124" xr:uid="{00000000-0005-0000-0000-000048340000}"/>
    <cellStyle name="Normal 21 2 2 4 2 4" xfId="22034" xr:uid="{00000000-0005-0000-0000-000049340000}"/>
    <cellStyle name="Normal 21 2 2 4 3" xfId="5469" xr:uid="{00000000-0005-0000-0000-00004A340000}"/>
    <cellStyle name="Normal 21 2 2 4 3 2" xfId="14569" xr:uid="{00000000-0005-0000-0000-00004B340000}"/>
    <cellStyle name="Normal 21 2 2 4 3 2 2" xfId="32751" xr:uid="{00000000-0005-0000-0000-00004C340000}"/>
    <cellStyle name="Normal 21 2 2 4 3 3" xfId="23661" xr:uid="{00000000-0005-0000-0000-00004D340000}"/>
    <cellStyle name="Normal 21 2 2 4 4" xfId="10035" xr:uid="{00000000-0005-0000-0000-00004E340000}"/>
    <cellStyle name="Normal 21 2 2 4 4 2" xfId="28217" xr:uid="{00000000-0005-0000-0000-00004F340000}"/>
    <cellStyle name="Normal 21 2 2 4 5" xfId="19126" xr:uid="{00000000-0005-0000-0000-000050340000}"/>
    <cellStyle name="Normal 21 2 2 5" xfId="2293" xr:uid="{00000000-0005-0000-0000-000051340000}"/>
    <cellStyle name="Normal 21 2 2 5 2" xfId="6879" xr:uid="{00000000-0005-0000-0000-000052340000}"/>
    <cellStyle name="Normal 21 2 2 5 2 2" xfId="15979" xr:uid="{00000000-0005-0000-0000-000053340000}"/>
    <cellStyle name="Normal 21 2 2 5 2 2 2" xfId="34161" xr:uid="{00000000-0005-0000-0000-000054340000}"/>
    <cellStyle name="Normal 21 2 2 5 2 3" xfId="25071" xr:uid="{00000000-0005-0000-0000-000055340000}"/>
    <cellStyle name="Normal 21 2 2 5 3" xfId="11443" xr:uid="{00000000-0005-0000-0000-000056340000}"/>
    <cellStyle name="Normal 21 2 2 5 3 2" xfId="29625" xr:uid="{00000000-0005-0000-0000-000057340000}"/>
    <cellStyle name="Normal 21 2 2 5 4" xfId="20535" xr:uid="{00000000-0005-0000-0000-000058340000}"/>
    <cellStyle name="Normal 21 2 2 6" xfId="3826" xr:uid="{00000000-0005-0000-0000-000059340000}"/>
    <cellStyle name="Normal 21 2 2 6 2" xfId="8382" xr:uid="{00000000-0005-0000-0000-00005A340000}"/>
    <cellStyle name="Normal 21 2 2 6 2 2" xfId="17478" xr:uid="{00000000-0005-0000-0000-00005B340000}"/>
    <cellStyle name="Normal 21 2 2 6 2 2 2" xfId="35660" xr:uid="{00000000-0005-0000-0000-00005C340000}"/>
    <cellStyle name="Normal 21 2 2 6 2 3" xfId="26570" xr:uid="{00000000-0005-0000-0000-00005D340000}"/>
    <cellStyle name="Normal 21 2 2 6 3" xfId="12938" xr:uid="{00000000-0005-0000-0000-00005E340000}"/>
    <cellStyle name="Normal 21 2 2 6 3 2" xfId="31120" xr:uid="{00000000-0005-0000-0000-00005F340000}"/>
    <cellStyle name="Normal 21 2 2 6 4" xfId="22030" xr:uid="{00000000-0005-0000-0000-000060340000}"/>
    <cellStyle name="Normal 21 2 2 7" xfId="5465" xr:uid="{00000000-0005-0000-0000-000061340000}"/>
    <cellStyle name="Normal 21 2 2 7 2" xfId="14565" xr:uid="{00000000-0005-0000-0000-000062340000}"/>
    <cellStyle name="Normal 21 2 2 7 2 2" xfId="32747" xr:uid="{00000000-0005-0000-0000-000063340000}"/>
    <cellStyle name="Normal 21 2 2 7 3" xfId="23657" xr:uid="{00000000-0005-0000-0000-000064340000}"/>
    <cellStyle name="Normal 21 2 2 8" xfId="10031" xr:uid="{00000000-0005-0000-0000-000065340000}"/>
    <cellStyle name="Normal 21 2 2 8 2" xfId="28213" xr:uid="{00000000-0005-0000-0000-000066340000}"/>
    <cellStyle name="Normal 21 2 2 9" xfId="19122" xr:uid="{00000000-0005-0000-0000-000067340000}"/>
    <cellStyle name="Normal 21 2 3" xfId="828" xr:uid="{00000000-0005-0000-0000-000068340000}"/>
    <cellStyle name="Normal 21 2 3 2" xfId="829" xr:uid="{00000000-0005-0000-0000-000069340000}"/>
    <cellStyle name="Normal 21 2 3 2 2" xfId="2294" xr:uid="{00000000-0005-0000-0000-00006A340000}"/>
    <cellStyle name="Normal 21 2 3 2 2 2" xfId="6880" xr:uid="{00000000-0005-0000-0000-00006B340000}"/>
    <cellStyle name="Normal 21 2 3 2 2 2 2" xfId="15980" xr:uid="{00000000-0005-0000-0000-00006C340000}"/>
    <cellStyle name="Normal 21 2 3 2 2 2 2 2" xfId="34162" xr:uid="{00000000-0005-0000-0000-00006D340000}"/>
    <cellStyle name="Normal 21 2 3 2 2 2 3" xfId="25072" xr:uid="{00000000-0005-0000-0000-00006E340000}"/>
    <cellStyle name="Normal 21 2 3 2 2 3" xfId="11444" xr:uid="{00000000-0005-0000-0000-00006F340000}"/>
    <cellStyle name="Normal 21 2 3 2 2 3 2" xfId="29626" xr:uid="{00000000-0005-0000-0000-000070340000}"/>
    <cellStyle name="Normal 21 2 3 2 2 4" xfId="20536" xr:uid="{00000000-0005-0000-0000-000071340000}"/>
    <cellStyle name="Normal 21 2 3 2 3" xfId="3832" xr:uid="{00000000-0005-0000-0000-000072340000}"/>
    <cellStyle name="Normal 21 2 3 2 3 2" xfId="8388" xr:uid="{00000000-0005-0000-0000-000073340000}"/>
    <cellStyle name="Normal 21 2 3 2 3 2 2" xfId="17484" xr:uid="{00000000-0005-0000-0000-000074340000}"/>
    <cellStyle name="Normal 21 2 3 2 3 2 2 2" xfId="35666" xr:uid="{00000000-0005-0000-0000-000075340000}"/>
    <cellStyle name="Normal 21 2 3 2 3 2 3" xfId="26576" xr:uid="{00000000-0005-0000-0000-000076340000}"/>
    <cellStyle name="Normal 21 2 3 2 3 3" xfId="12944" xr:uid="{00000000-0005-0000-0000-000077340000}"/>
    <cellStyle name="Normal 21 2 3 2 3 3 2" xfId="31126" xr:uid="{00000000-0005-0000-0000-000078340000}"/>
    <cellStyle name="Normal 21 2 3 2 3 4" xfId="22036" xr:uid="{00000000-0005-0000-0000-000079340000}"/>
    <cellStyle name="Normal 21 2 3 2 4" xfId="5471" xr:uid="{00000000-0005-0000-0000-00007A340000}"/>
    <cellStyle name="Normal 21 2 3 2 4 2" xfId="14571" xr:uid="{00000000-0005-0000-0000-00007B340000}"/>
    <cellStyle name="Normal 21 2 3 2 4 2 2" xfId="32753" xr:uid="{00000000-0005-0000-0000-00007C340000}"/>
    <cellStyle name="Normal 21 2 3 2 4 3" xfId="23663" xr:uid="{00000000-0005-0000-0000-00007D340000}"/>
    <cellStyle name="Normal 21 2 3 2 5" xfId="10037" xr:uid="{00000000-0005-0000-0000-00007E340000}"/>
    <cellStyle name="Normal 21 2 3 2 5 2" xfId="28219" xr:uid="{00000000-0005-0000-0000-00007F340000}"/>
    <cellStyle name="Normal 21 2 3 2 6" xfId="19128" xr:uid="{00000000-0005-0000-0000-000080340000}"/>
    <cellStyle name="Normal 21 2 3 3" xfId="2295" xr:uid="{00000000-0005-0000-0000-000081340000}"/>
    <cellStyle name="Normal 21 2 3 3 2" xfId="6881" xr:uid="{00000000-0005-0000-0000-000082340000}"/>
    <cellStyle name="Normal 21 2 3 3 2 2" xfId="15981" xr:uid="{00000000-0005-0000-0000-000083340000}"/>
    <cellStyle name="Normal 21 2 3 3 2 2 2" xfId="34163" xr:uid="{00000000-0005-0000-0000-000084340000}"/>
    <cellStyle name="Normal 21 2 3 3 2 3" xfId="25073" xr:uid="{00000000-0005-0000-0000-000085340000}"/>
    <cellStyle name="Normal 21 2 3 3 3" xfId="11445" xr:uid="{00000000-0005-0000-0000-000086340000}"/>
    <cellStyle name="Normal 21 2 3 3 3 2" xfId="29627" xr:uid="{00000000-0005-0000-0000-000087340000}"/>
    <cellStyle name="Normal 21 2 3 3 4" xfId="20537" xr:uid="{00000000-0005-0000-0000-000088340000}"/>
    <cellStyle name="Normal 21 2 3 4" xfId="3831" xr:uid="{00000000-0005-0000-0000-000089340000}"/>
    <cellStyle name="Normal 21 2 3 4 2" xfId="8387" xr:uid="{00000000-0005-0000-0000-00008A340000}"/>
    <cellStyle name="Normal 21 2 3 4 2 2" xfId="17483" xr:uid="{00000000-0005-0000-0000-00008B340000}"/>
    <cellStyle name="Normal 21 2 3 4 2 2 2" xfId="35665" xr:uid="{00000000-0005-0000-0000-00008C340000}"/>
    <cellStyle name="Normal 21 2 3 4 2 3" xfId="26575" xr:uid="{00000000-0005-0000-0000-00008D340000}"/>
    <cellStyle name="Normal 21 2 3 4 3" xfId="12943" xr:uid="{00000000-0005-0000-0000-00008E340000}"/>
    <cellStyle name="Normal 21 2 3 4 3 2" xfId="31125" xr:uid="{00000000-0005-0000-0000-00008F340000}"/>
    <cellStyle name="Normal 21 2 3 4 4" xfId="22035" xr:uid="{00000000-0005-0000-0000-000090340000}"/>
    <cellStyle name="Normal 21 2 3 5" xfId="5470" xr:uid="{00000000-0005-0000-0000-000091340000}"/>
    <cellStyle name="Normal 21 2 3 5 2" xfId="14570" xr:uid="{00000000-0005-0000-0000-000092340000}"/>
    <cellStyle name="Normal 21 2 3 5 2 2" xfId="32752" xr:uid="{00000000-0005-0000-0000-000093340000}"/>
    <cellStyle name="Normal 21 2 3 5 3" xfId="23662" xr:uid="{00000000-0005-0000-0000-000094340000}"/>
    <cellStyle name="Normal 21 2 3 6" xfId="10036" xr:uid="{00000000-0005-0000-0000-000095340000}"/>
    <cellStyle name="Normal 21 2 3 6 2" xfId="28218" xr:uid="{00000000-0005-0000-0000-000096340000}"/>
    <cellStyle name="Normal 21 2 3 7" xfId="19127" xr:uid="{00000000-0005-0000-0000-000097340000}"/>
    <cellStyle name="Normal 21 2 4" xfId="830" xr:uid="{00000000-0005-0000-0000-000098340000}"/>
    <cellStyle name="Normal 21 2 4 2" xfId="2296" xr:uid="{00000000-0005-0000-0000-000099340000}"/>
    <cellStyle name="Normal 21 2 4 2 2" xfId="6882" xr:uid="{00000000-0005-0000-0000-00009A340000}"/>
    <cellStyle name="Normal 21 2 4 2 2 2" xfId="15982" xr:uid="{00000000-0005-0000-0000-00009B340000}"/>
    <cellStyle name="Normal 21 2 4 2 2 2 2" xfId="34164" xr:uid="{00000000-0005-0000-0000-00009C340000}"/>
    <cellStyle name="Normal 21 2 4 2 2 3" xfId="25074" xr:uid="{00000000-0005-0000-0000-00009D340000}"/>
    <cellStyle name="Normal 21 2 4 2 3" xfId="11446" xr:uid="{00000000-0005-0000-0000-00009E340000}"/>
    <cellStyle name="Normal 21 2 4 2 3 2" xfId="29628" xr:uid="{00000000-0005-0000-0000-00009F340000}"/>
    <cellStyle name="Normal 21 2 4 2 4" xfId="20538" xr:uid="{00000000-0005-0000-0000-0000A0340000}"/>
    <cellStyle name="Normal 21 2 4 3" xfId="3833" xr:uid="{00000000-0005-0000-0000-0000A1340000}"/>
    <cellStyle name="Normal 21 2 4 3 2" xfId="8389" xr:uid="{00000000-0005-0000-0000-0000A2340000}"/>
    <cellStyle name="Normal 21 2 4 3 2 2" xfId="17485" xr:uid="{00000000-0005-0000-0000-0000A3340000}"/>
    <cellStyle name="Normal 21 2 4 3 2 2 2" xfId="35667" xr:uid="{00000000-0005-0000-0000-0000A4340000}"/>
    <cellStyle name="Normal 21 2 4 3 2 3" xfId="26577" xr:uid="{00000000-0005-0000-0000-0000A5340000}"/>
    <cellStyle name="Normal 21 2 4 3 3" xfId="12945" xr:uid="{00000000-0005-0000-0000-0000A6340000}"/>
    <cellStyle name="Normal 21 2 4 3 3 2" xfId="31127" xr:uid="{00000000-0005-0000-0000-0000A7340000}"/>
    <cellStyle name="Normal 21 2 4 3 4" xfId="22037" xr:uid="{00000000-0005-0000-0000-0000A8340000}"/>
    <cellStyle name="Normal 21 2 4 4" xfId="5472" xr:uid="{00000000-0005-0000-0000-0000A9340000}"/>
    <cellStyle name="Normal 21 2 4 4 2" xfId="14572" xr:uid="{00000000-0005-0000-0000-0000AA340000}"/>
    <cellStyle name="Normal 21 2 4 4 2 2" xfId="32754" xr:uid="{00000000-0005-0000-0000-0000AB340000}"/>
    <cellStyle name="Normal 21 2 4 4 3" xfId="23664" xr:uid="{00000000-0005-0000-0000-0000AC340000}"/>
    <cellStyle name="Normal 21 2 4 5" xfId="10038" xr:uid="{00000000-0005-0000-0000-0000AD340000}"/>
    <cellStyle name="Normal 21 2 4 5 2" xfId="28220" xr:uid="{00000000-0005-0000-0000-0000AE340000}"/>
    <cellStyle name="Normal 21 2 4 6" xfId="19129" xr:uid="{00000000-0005-0000-0000-0000AF340000}"/>
    <cellStyle name="Normal 21 2 5" xfId="831" xr:uid="{00000000-0005-0000-0000-0000B0340000}"/>
    <cellStyle name="Normal 21 2 5 2" xfId="3834" xr:uid="{00000000-0005-0000-0000-0000B1340000}"/>
    <cellStyle name="Normal 21 2 5 2 2" xfId="8390" xr:uid="{00000000-0005-0000-0000-0000B2340000}"/>
    <cellStyle name="Normal 21 2 5 2 2 2" xfId="17486" xr:uid="{00000000-0005-0000-0000-0000B3340000}"/>
    <cellStyle name="Normal 21 2 5 2 2 2 2" xfId="35668" xr:uid="{00000000-0005-0000-0000-0000B4340000}"/>
    <cellStyle name="Normal 21 2 5 2 2 3" xfId="26578" xr:uid="{00000000-0005-0000-0000-0000B5340000}"/>
    <cellStyle name="Normal 21 2 5 2 3" xfId="12946" xr:uid="{00000000-0005-0000-0000-0000B6340000}"/>
    <cellStyle name="Normal 21 2 5 2 3 2" xfId="31128" xr:uid="{00000000-0005-0000-0000-0000B7340000}"/>
    <cellStyle name="Normal 21 2 5 2 4" xfId="22038" xr:uid="{00000000-0005-0000-0000-0000B8340000}"/>
    <cellStyle name="Normal 21 2 5 3" xfId="5473" xr:uid="{00000000-0005-0000-0000-0000B9340000}"/>
    <cellStyle name="Normal 21 2 5 3 2" xfId="14573" xr:uid="{00000000-0005-0000-0000-0000BA340000}"/>
    <cellStyle name="Normal 21 2 5 3 2 2" xfId="32755" xr:uid="{00000000-0005-0000-0000-0000BB340000}"/>
    <cellStyle name="Normal 21 2 5 3 3" xfId="23665" xr:uid="{00000000-0005-0000-0000-0000BC340000}"/>
    <cellStyle name="Normal 21 2 5 4" xfId="10039" xr:uid="{00000000-0005-0000-0000-0000BD340000}"/>
    <cellStyle name="Normal 21 2 5 4 2" xfId="28221" xr:uid="{00000000-0005-0000-0000-0000BE340000}"/>
    <cellStyle name="Normal 21 2 5 5" xfId="19130" xr:uid="{00000000-0005-0000-0000-0000BF340000}"/>
    <cellStyle name="Normal 21 2 6" xfId="2297" xr:uid="{00000000-0005-0000-0000-0000C0340000}"/>
    <cellStyle name="Normal 21 2 6 2" xfId="6883" xr:uid="{00000000-0005-0000-0000-0000C1340000}"/>
    <cellStyle name="Normal 21 2 6 2 2" xfId="15983" xr:uid="{00000000-0005-0000-0000-0000C2340000}"/>
    <cellStyle name="Normal 21 2 6 2 2 2" xfId="34165" xr:uid="{00000000-0005-0000-0000-0000C3340000}"/>
    <cellStyle name="Normal 21 2 6 2 3" xfId="25075" xr:uid="{00000000-0005-0000-0000-0000C4340000}"/>
    <cellStyle name="Normal 21 2 6 3" xfId="11447" xr:uid="{00000000-0005-0000-0000-0000C5340000}"/>
    <cellStyle name="Normal 21 2 6 3 2" xfId="29629" xr:uid="{00000000-0005-0000-0000-0000C6340000}"/>
    <cellStyle name="Normal 21 2 6 4" xfId="20539" xr:uid="{00000000-0005-0000-0000-0000C7340000}"/>
    <cellStyle name="Normal 21 2 7" xfId="3825" xr:uid="{00000000-0005-0000-0000-0000C8340000}"/>
    <cellStyle name="Normal 21 2 7 2" xfId="8381" xr:uid="{00000000-0005-0000-0000-0000C9340000}"/>
    <cellStyle name="Normal 21 2 7 2 2" xfId="17477" xr:uid="{00000000-0005-0000-0000-0000CA340000}"/>
    <cellStyle name="Normal 21 2 7 2 2 2" xfId="35659" xr:uid="{00000000-0005-0000-0000-0000CB340000}"/>
    <cellStyle name="Normal 21 2 7 2 3" xfId="26569" xr:uid="{00000000-0005-0000-0000-0000CC340000}"/>
    <cellStyle name="Normal 21 2 7 3" xfId="12937" xr:uid="{00000000-0005-0000-0000-0000CD340000}"/>
    <cellStyle name="Normal 21 2 7 3 2" xfId="31119" xr:uid="{00000000-0005-0000-0000-0000CE340000}"/>
    <cellStyle name="Normal 21 2 7 4" xfId="22029" xr:uid="{00000000-0005-0000-0000-0000CF340000}"/>
    <cellStyle name="Normal 21 2 8" xfId="5464" xr:uid="{00000000-0005-0000-0000-0000D0340000}"/>
    <cellStyle name="Normal 21 2 8 2" xfId="14564" xr:uid="{00000000-0005-0000-0000-0000D1340000}"/>
    <cellStyle name="Normal 21 2 8 2 2" xfId="32746" xr:uid="{00000000-0005-0000-0000-0000D2340000}"/>
    <cellStyle name="Normal 21 2 8 3" xfId="23656" xr:uid="{00000000-0005-0000-0000-0000D3340000}"/>
    <cellStyle name="Normal 21 2 9" xfId="10030" xr:uid="{00000000-0005-0000-0000-0000D4340000}"/>
    <cellStyle name="Normal 21 2 9 2" xfId="28212" xr:uid="{00000000-0005-0000-0000-0000D5340000}"/>
    <cellStyle name="Normal 21 3" xfId="832" xr:uid="{00000000-0005-0000-0000-0000D6340000}"/>
    <cellStyle name="Normal 21 3 2" xfId="833" xr:uid="{00000000-0005-0000-0000-0000D7340000}"/>
    <cellStyle name="Normal 21 3 2 2" xfId="834" xr:uid="{00000000-0005-0000-0000-0000D8340000}"/>
    <cellStyle name="Normal 21 3 2 2 2" xfId="2298" xr:uid="{00000000-0005-0000-0000-0000D9340000}"/>
    <cellStyle name="Normal 21 3 2 2 2 2" xfId="6884" xr:uid="{00000000-0005-0000-0000-0000DA340000}"/>
    <cellStyle name="Normal 21 3 2 2 2 2 2" xfId="15984" xr:uid="{00000000-0005-0000-0000-0000DB340000}"/>
    <cellStyle name="Normal 21 3 2 2 2 2 2 2" xfId="34166" xr:uid="{00000000-0005-0000-0000-0000DC340000}"/>
    <cellStyle name="Normal 21 3 2 2 2 2 3" xfId="25076" xr:uid="{00000000-0005-0000-0000-0000DD340000}"/>
    <cellStyle name="Normal 21 3 2 2 2 3" xfId="11448" xr:uid="{00000000-0005-0000-0000-0000DE340000}"/>
    <cellStyle name="Normal 21 3 2 2 2 3 2" xfId="29630" xr:uid="{00000000-0005-0000-0000-0000DF340000}"/>
    <cellStyle name="Normal 21 3 2 2 2 4" xfId="20540" xr:uid="{00000000-0005-0000-0000-0000E0340000}"/>
    <cellStyle name="Normal 21 3 2 2 3" xfId="3837" xr:uid="{00000000-0005-0000-0000-0000E1340000}"/>
    <cellStyle name="Normal 21 3 2 2 3 2" xfId="8393" xr:uid="{00000000-0005-0000-0000-0000E2340000}"/>
    <cellStyle name="Normal 21 3 2 2 3 2 2" xfId="17489" xr:uid="{00000000-0005-0000-0000-0000E3340000}"/>
    <cellStyle name="Normal 21 3 2 2 3 2 2 2" xfId="35671" xr:uid="{00000000-0005-0000-0000-0000E4340000}"/>
    <cellStyle name="Normal 21 3 2 2 3 2 3" xfId="26581" xr:uid="{00000000-0005-0000-0000-0000E5340000}"/>
    <cellStyle name="Normal 21 3 2 2 3 3" xfId="12949" xr:uid="{00000000-0005-0000-0000-0000E6340000}"/>
    <cellStyle name="Normal 21 3 2 2 3 3 2" xfId="31131" xr:uid="{00000000-0005-0000-0000-0000E7340000}"/>
    <cellStyle name="Normal 21 3 2 2 3 4" xfId="22041" xr:uid="{00000000-0005-0000-0000-0000E8340000}"/>
    <cellStyle name="Normal 21 3 2 2 4" xfId="5476" xr:uid="{00000000-0005-0000-0000-0000E9340000}"/>
    <cellStyle name="Normal 21 3 2 2 4 2" xfId="14576" xr:uid="{00000000-0005-0000-0000-0000EA340000}"/>
    <cellStyle name="Normal 21 3 2 2 4 2 2" xfId="32758" xr:uid="{00000000-0005-0000-0000-0000EB340000}"/>
    <cellStyle name="Normal 21 3 2 2 4 3" xfId="23668" xr:uid="{00000000-0005-0000-0000-0000EC340000}"/>
    <cellStyle name="Normal 21 3 2 2 5" xfId="10042" xr:uid="{00000000-0005-0000-0000-0000ED340000}"/>
    <cellStyle name="Normal 21 3 2 2 5 2" xfId="28224" xr:uid="{00000000-0005-0000-0000-0000EE340000}"/>
    <cellStyle name="Normal 21 3 2 2 6" xfId="19133" xr:uid="{00000000-0005-0000-0000-0000EF340000}"/>
    <cellStyle name="Normal 21 3 2 3" xfId="2299" xr:uid="{00000000-0005-0000-0000-0000F0340000}"/>
    <cellStyle name="Normal 21 3 2 3 2" xfId="6885" xr:uid="{00000000-0005-0000-0000-0000F1340000}"/>
    <cellStyle name="Normal 21 3 2 3 2 2" xfId="15985" xr:uid="{00000000-0005-0000-0000-0000F2340000}"/>
    <cellStyle name="Normal 21 3 2 3 2 2 2" xfId="34167" xr:uid="{00000000-0005-0000-0000-0000F3340000}"/>
    <cellStyle name="Normal 21 3 2 3 2 3" xfId="25077" xr:uid="{00000000-0005-0000-0000-0000F4340000}"/>
    <cellStyle name="Normal 21 3 2 3 3" xfId="11449" xr:uid="{00000000-0005-0000-0000-0000F5340000}"/>
    <cellStyle name="Normal 21 3 2 3 3 2" xfId="29631" xr:uid="{00000000-0005-0000-0000-0000F6340000}"/>
    <cellStyle name="Normal 21 3 2 3 4" xfId="20541" xr:uid="{00000000-0005-0000-0000-0000F7340000}"/>
    <cellStyle name="Normal 21 3 2 4" xfId="3836" xr:uid="{00000000-0005-0000-0000-0000F8340000}"/>
    <cellStyle name="Normal 21 3 2 4 2" xfId="8392" xr:uid="{00000000-0005-0000-0000-0000F9340000}"/>
    <cellStyle name="Normal 21 3 2 4 2 2" xfId="17488" xr:uid="{00000000-0005-0000-0000-0000FA340000}"/>
    <cellStyle name="Normal 21 3 2 4 2 2 2" xfId="35670" xr:uid="{00000000-0005-0000-0000-0000FB340000}"/>
    <cellStyle name="Normal 21 3 2 4 2 3" xfId="26580" xr:uid="{00000000-0005-0000-0000-0000FC340000}"/>
    <cellStyle name="Normal 21 3 2 4 3" xfId="12948" xr:uid="{00000000-0005-0000-0000-0000FD340000}"/>
    <cellStyle name="Normal 21 3 2 4 3 2" xfId="31130" xr:uid="{00000000-0005-0000-0000-0000FE340000}"/>
    <cellStyle name="Normal 21 3 2 4 4" xfId="22040" xr:uid="{00000000-0005-0000-0000-0000FF340000}"/>
    <cellStyle name="Normal 21 3 2 5" xfId="5475" xr:uid="{00000000-0005-0000-0000-000000350000}"/>
    <cellStyle name="Normal 21 3 2 5 2" xfId="14575" xr:uid="{00000000-0005-0000-0000-000001350000}"/>
    <cellStyle name="Normal 21 3 2 5 2 2" xfId="32757" xr:uid="{00000000-0005-0000-0000-000002350000}"/>
    <cellStyle name="Normal 21 3 2 5 3" xfId="23667" xr:uid="{00000000-0005-0000-0000-000003350000}"/>
    <cellStyle name="Normal 21 3 2 6" xfId="10041" xr:uid="{00000000-0005-0000-0000-000004350000}"/>
    <cellStyle name="Normal 21 3 2 6 2" xfId="28223" xr:uid="{00000000-0005-0000-0000-000005350000}"/>
    <cellStyle name="Normal 21 3 2 7" xfId="19132" xr:uid="{00000000-0005-0000-0000-000006350000}"/>
    <cellStyle name="Normal 21 3 3" xfId="835" xr:uid="{00000000-0005-0000-0000-000007350000}"/>
    <cellStyle name="Normal 21 3 3 2" xfId="2300" xr:uid="{00000000-0005-0000-0000-000008350000}"/>
    <cellStyle name="Normal 21 3 3 2 2" xfId="6886" xr:uid="{00000000-0005-0000-0000-000009350000}"/>
    <cellStyle name="Normal 21 3 3 2 2 2" xfId="15986" xr:uid="{00000000-0005-0000-0000-00000A350000}"/>
    <cellStyle name="Normal 21 3 3 2 2 2 2" xfId="34168" xr:uid="{00000000-0005-0000-0000-00000B350000}"/>
    <cellStyle name="Normal 21 3 3 2 2 3" xfId="25078" xr:uid="{00000000-0005-0000-0000-00000C350000}"/>
    <cellStyle name="Normal 21 3 3 2 3" xfId="11450" xr:uid="{00000000-0005-0000-0000-00000D350000}"/>
    <cellStyle name="Normal 21 3 3 2 3 2" xfId="29632" xr:uid="{00000000-0005-0000-0000-00000E350000}"/>
    <cellStyle name="Normal 21 3 3 2 4" xfId="20542" xr:uid="{00000000-0005-0000-0000-00000F350000}"/>
    <cellStyle name="Normal 21 3 3 3" xfId="3838" xr:uid="{00000000-0005-0000-0000-000010350000}"/>
    <cellStyle name="Normal 21 3 3 3 2" xfId="8394" xr:uid="{00000000-0005-0000-0000-000011350000}"/>
    <cellStyle name="Normal 21 3 3 3 2 2" xfId="17490" xr:uid="{00000000-0005-0000-0000-000012350000}"/>
    <cellStyle name="Normal 21 3 3 3 2 2 2" xfId="35672" xr:uid="{00000000-0005-0000-0000-000013350000}"/>
    <cellStyle name="Normal 21 3 3 3 2 3" xfId="26582" xr:uid="{00000000-0005-0000-0000-000014350000}"/>
    <cellStyle name="Normal 21 3 3 3 3" xfId="12950" xr:uid="{00000000-0005-0000-0000-000015350000}"/>
    <cellStyle name="Normal 21 3 3 3 3 2" xfId="31132" xr:uid="{00000000-0005-0000-0000-000016350000}"/>
    <cellStyle name="Normal 21 3 3 3 4" xfId="22042" xr:uid="{00000000-0005-0000-0000-000017350000}"/>
    <cellStyle name="Normal 21 3 3 4" xfId="5477" xr:uid="{00000000-0005-0000-0000-000018350000}"/>
    <cellStyle name="Normal 21 3 3 4 2" xfId="14577" xr:uid="{00000000-0005-0000-0000-000019350000}"/>
    <cellStyle name="Normal 21 3 3 4 2 2" xfId="32759" xr:uid="{00000000-0005-0000-0000-00001A350000}"/>
    <cellStyle name="Normal 21 3 3 4 3" xfId="23669" xr:uid="{00000000-0005-0000-0000-00001B350000}"/>
    <cellStyle name="Normal 21 3 3 5" xfId="10043" xr:uid="{00000000-0005-0000-0000-00001C350000}"/>
    <cellStyle name="Normal 21 3 3 5 2" xfId="28225" xr:uid="{00000000-0005-0000-0000-00001D350000}"/>
    <cellStyle name="Normal 21 3 3 6" xfId="19134" xr:uid="{00000000-0005-0000-0000-00001E350000}"/>
    <cellStyle name="Normal 21 3 4" xfId="836" xr:uid="{00000000-0005-0000-0000-00001F350000}"/>
    <cellStyle name="Normal 21 3 4 2" xfId="3839" xr:uid="{00000000-0005-0000-0000-000020350000}"/>
    <cellStyle name="Normal 21 3 4 2 2" xfId="8395" xr:uid="{00000000-0005-0000-0000-000021350000}"/>
    <cellStyle name="Normal 21 3 4 2 2 2" xfId="17491" xr:uid="{00000000-0005-0000-0000-000022350000}"/>
    <cellStyle name="Normal 21 3 4 2 2 2 2" xfId="35673" xr:uid="{00000000-0005-0000-0000-000023350000}"/>
    <cellStyle name="Normal 21 3 4 2 2 3" xfId="26583" xr:uid="{00000000-0005-0000-0000-000024350000}"/>
    <cellStyle name="Normal 21 3 4 2 3" xfId="12951" xr:uid="{00000000-0005-0000-0000-000025350000}"/>
    <cellStyle name="Normal 21 3 4 2 3 2" xfId="31133" xr:uid="{00000000-0005-0000-0000-000026350000}"/>
    <cellStyle name="Normal 21 3 4 2 4" xfId="22043" xr:uid="{00000000-0005-0000-0000-000027350000}"/>
    <cellStyle name="Normal 21 3 4 3" xfId="5478" xr:uid="{00000000-0005-0000-0000-000028350000}"/>
    <cellStyle name="Normal 21 3 4 3 2" xfId="14578" xr:uid="{00000000-0005-0000-0000-000029350000}"/>
    <cellStyle name="Normal 21 3 4 3 2 2" xfId="32760" xr:uid="{00000000-0005-0000-0000-00002A350000}"/>
    <cellStyle name="Normal 21 3 4 3 3" xfId="23670" xr:uid="{00000000-0005-0000-0000-00002B350000}"/>
    <cellStyle name="Normal 21 3 4 4" xfId="10044" xr:uid="{00000000-0005-0000-0000-00002C350000}"/>
    <cellStyle name="Normal 21 3 4 4 2" xfId="28226" xr:uid="{00000000-0005-0000-0000-00002D350000}"/>
    <cellStyle name="Normal 21 3 4 5" xfId="19135" xr:uid="{00000000-0005-0000-0000-00002E350000}"/>
    <cellStyle name="Normal 21 3 5" xfId="2301" xr:uid="{00000000-0005-0000-0000-00002F350000}"/>
    <cellStyle name="Normal 21 3 5 2" xfId="6887" xr:uid="{00000000-0005-0000-0000-000030350000}"/>
    <cellStyle name="Normal 21 3 5 2 2" xfId="15987" xr:uid="{00000000-0005-0000-0000-000031350000}"/>
    <cellStyle name="Normal 21 3 5 2 2 2" xfId="34169" xr:uid="{00000000-0005-0000-0000-000032350000}"/>
    <cellStyle name="Normal 21 3 5 2 3" xfId="25079" xr:uid="{00000000-0005-0000-0000-000033350000}"/>
    <cellStyle name="Normal 21 3 5 3" xfId="11451" xr:uid="{00000000-0005-0000-0000-000034350000}"/>
    <cellStyle name="Normal 21 3 5 3 2" xfId="29633" xr:uid="{00000000-0005-0000-0000-000035350000}"/>
    <cellStyle name="Normal 21 3 5 4" xfId="20543" xr:uid="{00000000-0005-0000-0000-000036350000}"/>
    <cellStyle name="Normal 21 3 6" xfId="3835" xr:uid="{00000000-0005-0000-0000-000037350000}"/>
    <cellStyle name="Normal 21 3 6 2" xfId="8391" xr:uid="{00000000-0005-0000-0000-000038350000}"/>
    <cellStyle name="Normal 21 3 6 2 2" xfId="17487" xr:uid="{00000000-0005-0000-0000-000039350000}"/>
    <cellStyle name="Normal 21 3 6 2 2 2" xfId="35669" xr:uid="{00000000-0005-0000-0000-00003A350000}"/>
    <cellStyle name="Normal 21 3 6 2 3" xfId="26579" xr:uid="{00000000-0005-0000-0000-00003B350000}"/>
    <cellStyle name="Normal 21 3 6 3" xfId="12947" xr:uid="{00000000-0005-0000-0000-00003C350000}"/>
    <cellStyle name="Normal 21 3 6 3 2" xfId="31129" xr:uid="{00000000-0005-0000-0000-00003D350000}"/>
    <cellStyle name="Normal 21 3 6 4" xfId="22039" xr:uid="{00000000-0005-0000-0000-00003E350000}"/>
    <cellStyle name="Normal 21 3 7" xfId="5474" xr:uid="{00000000-0005-0000-0000-00003F350000}"/>
    <cellStyle name="Normal 21 3 7 2" xfId="14574" xr:uid="{00000000-0005-0000-0000-000040350000}"/>
    <cellStyle name="Normal 21 3 7 2 2" xfId="32756" xr:uid="{00000000-0005-0000-0000-000041350000}"/>
    <cellStyle name="Normal 21 3 7 3" xfId="23666" xr:uid="{00000000-0005-0000-0000-000042350000}"/>
    <cellStyle name="Normal 21 3 8" xfId="10040" xr:uid="{00000000-0005-0000-0000-000043350000}"/>
    <cellStyle name="Normal 21 3 8 2" xfId="28222" xr:uid="{00000000-0005-0000-0000-000044350000}"/>
    <cellStyle name="Normal 21 3 9" xfId="19131" xr:uid="{00000000-0005-0000-0000-000045350000}"/>
    <cellStyle name="Normal 21 4" xfId="837" xr:uid="{00000000-0005-0000-0000-000046350000}"/>
    <cellStyle name="Normal 21 4 2" xfId="838" xr:uid="{00000000-0005-0000-0000-000047350000}"/>
    <cellStyle name="Normal 21 4 2 2" xfId="2302" xr:uid="{00000000-0005-0000-0000-000048350000}"/>
    <cellStyle name="Normal 21 4 2 2 2" xfId="6888" xr:uid="{00000000-0005-0000-0000-000049350000}"/>
    <cellStyle name="Normal 21 4 2 2 2 2" xfId="15988" xr:uid="{00000000-0005-0000-0000-00004A350000}"/>
    <cellStyle name="Normal 21 4 2 2 2 2 2" xfId="34170" xr:uid="{00000000-0005-0000-0000-00004B350000}"/>
    <cellStyle name="Normal 21 4 2 2 2 3" xfId="25080" xr:uid="{00000000-0005-0000-0000-00004C350000}"/>
    <cellStyle name="Normal 21 4 2 2 3" xfId="11452" xr:uid="{00000000-0005-0000-0000-00004D350000}"/>
    <cellStyle name="Normal 21 4 2 2 3 2" xfId="29634" xr:uid="{00000000-0005-0000-0000-00004E350000}"/>
    <cellStyle name="Normal 21 4 2 2 4" xfId="20544" xr:uid="{00000000-0005-0000-0000-00004F350000}"/>
    <cellStyle name="Normal 21 4 2 3" xfId="3841" xr:uid="{00000000-0005-0000-0000-000050350000}"/>
    <cellStyle name="Normal 21 4 2 3 2" xfId="8397" xr:uid="{00000000-0005-0000-0000-000051350000}"/>
    <cellStyle name="Normal 21 4 2 3 2 2" xfId="17493" xr:uid="{00000000-0005-0000-0000-000052350000}"/>
    <cellStyle name="Normal 21 4 2 3 2 2 2" xfId="35675" xr:uid="{00000000-0005-0000-0000-000053350000}"/>
    <cellStyle name="Normal 21 4 2 3 2 3" xfId="26585" xr:uid="{00000000-0005-0000-0000-000054350000}"/>
    <cellStyle name="Normal 21 4 2 3 3" xfId="12953" xr:uid="{00000000-0005-0000-0000-000055350000}"/>
    <cellStyle name="Normal 21 4 2 3 3 2" xfId="31135" xr:uid="{00000000-0005-0000-0000-000056350000}"/>
    <cellStyle name="Normal 21 4 2 3 4" xfId="22045" xr:uid="{00000000-0005-0000-0000-000057350000}"/>
    <cellStyle name="Normal 21 4 2 4" xfId="5480" xr:uid="{00000000-0005-0000-0000-000058350000}"/>
    <cellStyle name="Normal 21 4 2 4 2" xfId="14580" xr:uid="{00000000-0005-0000-0000-000059350000}"/>
    <cellStyle name="Normal 21 4 2 4 2 2" xfId="32762" xr:uid="{00000000-0005-0000-0000-00005A350000}"/>
    <cellStyle name="Normal 21 4 2 4 3" xfId="23672" xr:uid="{00000000-0005-0000-0000-00005B350000}"/>
    <cellStyle name="Normal 21 4 2 5" xfId="10046" xr:uid="{00000000-0005-0000-0000-00005C350000}"/>
    <cellStyle name="Normal 21 4 2 5 2" xfId="28228" xr:uid="{00000000-0005-0000-0000-00005D350000}"/>
    <cellStyle name="Normal 21 4 2 6" xfId="19137" xr:uid="{00000000-0005-0000-0000-00005E350000}"/>
    <cellStyle name="Normal 21 4 3" xfId="2303" xr:uid="{00000000-0005-0000-0000-00005F350000}"/>
    <cellStyle name="Normal 21 4 3 2" xfId="6889" xr:uid="{00000000-0005-0000-0000-000060350000}"/>
    <cellStyle name="Normal 21 4 3 2 2" xfId="15989" xr:uid="{00000000-0005-0000-0000-000061350000}"/>
    <cellStyle name="Normal 21 4 3 2 2 2" xfId="34171" xr:uid="{00000000-0005-0000-0000-000062350000}"/>
    <cellStyle name="Normal 21 4 3 2 3" xfId="25081" xr:uid="{00000000-0005-0000-0000-000063350000}"/>
    <cellStyle name="Normal 21 4 3 3" xfId="11453" xr:uid="{00000000-0005-0000-0000-000064350000}"/>
    <cellStyle name="Normal 21 4 3 3 2" xfId="29635" xr:uid="{00000000-0005-0000-0000-000065350000}"/>
    <cellStyle name="Normal 21 4 3 4" xfId="20545" xr:uid="{00000000-0005-0000-0000-000066350000}"/>
    <cellStyle name="Normal 21 4 4" xfId="3840" xr:uid="{00000000-0005-0000-0000-000067350000}"/>
    <cellStyle name="Normal 21 4 4 2" xfId="8396" xr:uid="{00000000-0005-0000-0000-000068350000}"/>
    <cellStyle name="Normal 21 4 4 2 2" xfId="17492" xr:uid="{00000000-0005-0000-0000-000069350000}"/>
    <cellStyle name="Normal 21 4 4 2 2 2" xfId="35674" xr:uid="{00000000-0005-0000-0000-00006A350000}"/>
    <cellStyle name="Normal 21 4 4 2 3" xfId="26584" xr:uid="{00000000-0005-0000-0000-00006B350000}"/>
    <cellStyle name="Normal 21 4 4 3" xfId="12952" xr:uid="{00000000-0005-0000-0000-00006C350000}"/>
    <cellStyle name="Normal 21 4 4 3 2" xfId="31134" xr:uid="{00000000-0005-0000-0000-00006D350000}"/>
    <cellStyle name="Normal 21 4 4 4" xfId="22044" xr:uid="{00000000-0005-0000-0000-00006E350000}"/>
    <cellStyle name="Normal 21 4 5" xfId="5479" xr:uid="{00000000-0005-0000-0000-00006F350000}"/>
    <cellStyle name="Normal 21 4 5 2" xfId="14579" xr:uid="{00000000-0005-0000-0000-000070350000}"/>
    <cellStyle name="Normal 21 4 5 2 2" xfId="32761" xr:uid="{00000000-0005-0000-0000-000071350000}"/>
    <cellStyle name="Normal 21 4 5 3" xfId="23671" xr:uid="{00000000-0005-0000-0000-000072350000}"/>
    <cellStyle name="Normal 21 4 6" xfId="10045" xr:uid="{00000000-0005-0000-0000-000073350000}"/>
    <cellStyle name="Normal 21 4 6 2" xfId="28227" xr:uid="{00000000-0005-0000-0000-000074350000}"/>
    <cellStyle name="Normal 21 4 7" xfId="19136" xr:uid="{00000000-0005-0000-0000-000075350000}"/>
    <cellStyle name="Normal 21 5" xfId="839" xr:uid="{00000000-0005-0000-0000-000076350000}"/>
    <cellStyle name="Normal 21 5 2" xfId="2304" xr:uid="{00000000-0005-0000-0000-000077350000}"/>
    <cellStyle name="Normal 21 5 2 2" xfId="6890" xr:uid="{00000000-0005-0000-0000-000078350000}"/>
    <cellStyle name="Normal 21 5 2 2 2" xfId="15990" xr:uid="{00000000-0005-0000-0000-000079350000}"/>
    <cellStyle name="Normal 21 5 2 2 2 2" xfId="34172" xr:uid="{00000000-0005-0000-0000-00007A350000}"/>
    <cellStyle name="Normal 21 5 2 2 3" xfId="25082" xr:uid="{00000000-0005-0000-0000-00007B350000}"/>
    <cellStyle name="Normal 21 5 2 3" xfId="11454" xr:uid="{00000000-0005-0000-0000-00007C350000}"/>
    <cellStyle name="Normal 21 5 2 3 2" xfId="29636" xr:uid="{00000000-0005-0000-0000-00007D350000}"/>
    <cellStyle name="Normal 21 5 2 4" xfId="20546" xr:uid="{00000000-0005-0000-0000-00007E350000}"/>
    <cellStyle name="Normal 21 5 3" xfId="3842" xr:uid="{00000000-0005-0000-0000-00007F350000}"/>
    <cellStyle name="Normal 21 5 3 2" xfId="8398" xr:uid="{00000000-0005-0000-0000-000080350000}"/>
    <cellStyle name="Normal 21 5 3 2 2" xfId="17494" xr:uid="{00000000-0005-0000-0000-000081350000}"/>
    <cellStyle name="Normal 21 5 3 2 2 2" xfId="35676" xr:uid="{00000000-0005-0000-0000-000082350000}"/>
    <cellStyle name="Normal 21 5 3 2 3" xfId="26586" xr:uid="{00000000-0005-0000-0000-000083350000}"/>
    <cellStyle name="Normal 21 5 3 3" xfId="12954" xr:uid="{00000000-0005-0000-0000-000084350000}"/>
    <cellStyle name="Normal 21 5 3 3 2" xfId="31136" xr:uid="{00000000-0005-0000-0000-000085350000}"/>
    <cellStyle name="Normal 21 5 3 4" xfId="22046" xr:uid="{00000000-0005-0000-0000-000086350000}"/>
    <cellStyle name="Normal 21 5 4" xfId="5481" xr:uid="{00000000-0005-0000-0000-000087350000}"/>
    <cellStyle name="Normal 21 5 4 2" xfId="14581" xr:uid="{00000000-0005-0000-0000-000088350000}"/>
    <cellStyle name="Normal 21 5 4 2 2" xfId="32763" xr:uid="{00000000-0005-0000-0000-000089350000}"/>
    <cellStyle name="Normal 21 5 4 3" xfId="23673" xr:uid="{00000000-0005-0000-0000-00008A350000}"/>
    <cellStyle name="Normal 21 5 5" xfId="10047" xr:uid="{00000000-0005-0000-0000-00008B350000}"/>
    <cellStyle name="Normal 21 5 5 2" xfId="28229" xr:uid="{00000000-0005-0000-0000-00008C350000}"/>
    <cellStyle name="Normal 21 5 6" xfId="19138" xr:uid="{00000000-0005-0000-0000-00008D350000}"/>
    <cellStyle name="Normal 21 6" xfId="840" xr:uid="{00000000-0005-0000-0000-00008E350000}"/>
    <cellStyle name="Normal 21 6 2" xfId="3843" xr:uid="{00000000-0005-0000-0000-00008F350000}"/>
    <cellStyle name="Normal 21 6 2 2" xfId="8399" xr:uid="{00000000-0005-0000-0000-000090350000}"/>
    <cellStyle name="Normal 21 6 2 2 2" xfId="17495" xr:uid="{00000000-0005-0000-0000-000091350000}"/>
    <cellStyle name="Normal 21 6 2 2 2 2" xfId="35677" xr:uid="{00000000-0005-0000-0000-000092350000}"/>
    <cellStyle name="Normal 21 6 2 2 3" xfId="26587" xr:uid="{00000000-0005-0000-0000-000093350000}"/>
    <cellStyle name="Normal 21 6 2 3" xfId="12955" xr:uid="{00000000-0005-0000-0000-000094350000}"/>
    <cellStyle name="Normal 21 6 2 3 2" xfId="31137" xr:uid="{00000000-0005-0000-0000-000095350000}"/>
    <cellStyle name="Normal 21 6 2 4" xfId="22047" xr:uid="{00000000-0005-0000-0000-000096350000}"/>
    <cellStyle name="Normal 21 6 3" xfId="5482" xr:uid="{00000000-0005-0000-0000-000097350000}"/>
    <cellStyle name="Normal 21 6 3 2" xfId="14582" xr:uid="{00000000-0005-0000-0000-000098350000}"/>
    <cellStyle name="Normal 21 6 3 2 2" xfId="32764" xr:uid="{00000000-0005-0000-0000-000099350000}"/>
    <cellStyle name="Normal 21 6 3 3" xfId="23674" xr:uid="{00000000-0005-0000-0000-00009A350000}"/>
    <cellStyle name="Normal 21 6 4" xfId="10048" xr:uid="{00000000-0005-0000-0000-00009B350000}"/>
    <cellStyle name="Normal 21 6 4 2" xfId="28230" xr:uid="{00000000-0005-0000-0000-00009C350000}"/>
    <cellStyle name="Normal 21 6 5" xfId="19139" xr:uid="{00000000-0005-0000-0000-00009D350000}"/>
    <cellStyle name="Normal 21 7" xfId="2305" xr:uid="{00000000-0005-0000-0000-00009E350000}"/>
    <cellStyle name="Normal 21 7 2" xfId="6891" xr:uid="{00000000-0005-0000-0000-00009F350000}"/>
    <cellStyle name="Normal 21 7 2 2" xfId="15991" xr:uid="{00000000-0005-0000-0000-0000A0350000}"/>
    <cellStyle name="Normal 21 7 2 2 2" xfId="34173" xr:uid="{00000000-0005-0000-0000-0000A1350000}"/>
    <cellStyle name="Normal 21 7 2 3" xfId="25083" xr:uid="{00000000-0005-0000-0000-0000A2350000}"/>
    <cellStyle name="Normal 21 7 3" xfId="11455" xr:uid="{00000000-0005-0000-0000-0000A3350000}"/>
    <cellStyle name="Normal 21 7 3 2" xfId="29637" xr:uid="{00000000-0005-0000-0000-0000A4350000}"/>
    <cellStyle name="Normal 21 7 4" xfId="20547" xr:uid="{00000000-0005-0000-0000-0000A5350000}"/>
    <cellStyle name="Normal 21 8" xfId="3221" xr:uid="{00000000-0005-0000-0000-0000A6350000}"/>
    <cellStyle name="Normal 21 8 2" xfId="7781" xr:uid="{00000000-0005-0000-0000-0000A7350000}"/>
    <cellStyle name="Normal 21 8 2 2" xfId="16877" xr:uid="{00000000-0005-0000-0000-0000A8350000}"/>
    <cellStyle name="Normal 21 8 2 2 2" xfId="35059" xr:uid="{00000000-0005-0000-0000-0000A9350000}"/>
    <cellStyle name="Normal 21 8 2 3" xfId="25969" xr:uid="{00000000-0005-0000-0000-0000AA350000}"/>
    <cellStyle name="Normal 21 8 3" xfId="12337" xr:uid="{00000000-0005-0000-0000-0000AB350000}"/>
    <cellStyle name="Normal 21 8 3 2" xfId="30519" xr:uid="{00000000-0005-0000-0000-0000AC350000}"/>
    <cellStyle name="Normal 21 8 4" xfId="21429" xr:uid="{00000000-0005-0000-0000-0000AD350000}"/>
    <cellStyle name="Normal 21 9" xfId="4869" xr:uid="{00000000-0005-0000-0000-0000AE350000}"/>
    <cellStyle name="Normal 21 9 2" xfId="13969" xr:uid="{00000000-0005-0000-0000-0000AF350000}"/>
    <cellStyle name="Normal 21 9 2 2" xfId="32151" xr:uid="{00000000-0005-0000-0000-0000B0350000}"/>
    <cellStyle name="Normal 21 9 3" xfId="23061" xr:uid="{00000000-0005-0000-0000-0000B1350000}"/>
    <cellStyle name="Normal 22" xfId="144" xr:uid="{00000000-0005-0000-0000-0000B2350000}"/>
    <cellStyle name="Normal 22 10" xfId="4871" xr:uid="{00000000-0005-0000-0000-0000B3350000}"/>
    <cellStyle name="Normal 22 10 2" xfId="13971" xr:uid="{00000000-0005-0000-0000-0000B4350000}"/>
    <cellStyle name="Normal 22 10 2 2" xfId="32153" xr:uid="{00000000-0005-0000-0000-0000B5350000}"/>
    <cellStyle name="Normal 22 10 3" xfId="23063" xr:uid="{00000000-0005-0000-0000-0000B6350000}"/>
    <cellStyle name="Normal 22 11" xfId="9437" xr:uid="{00000000-0005-0000-0000-0000B7350000}"/>
    <cellStyle name="Normal 22 11 2" xfId="27619" xr:uid="{00000000-0005-0000-0000-0000B8350000}"/>
    <cellStyle name="Normal 22 12" xfId="18528" xr:uid="{00000000-0005-0000-0000-0000B9350000}"/>
    <cellStyle name="Normal 22 2" xfId="146" xr:uid="{00000000-0005-0000-0000-0000BA350000}"/>
    <cellStyle name="Normal 22 2 10" xfId="18530" xr:uid="{00000000-0005-0000-0000-0000BB350000}"/>
    <cellStyle name="Normal 22 2 2" xfId="841" xr:uid="{00000000-0005-0000-0000-0000BC350000}"/>
    <cellStyle name="Normal 22 2 2 2" xfId="842" xr:uid="{00000000-0005-0000-0000-0000BD350000}"/>
    <cellStyle name="Normal 22 2 2 2 2" xfId="843" xr:uid="{00000000-0005-0000-0000-0000BE350000}"/>
    <cellStyle name="Normal 22 2 2 2 2 2" xfId="2306" xr:uid="{00000000-0005-0000-0000-0000BF350000}"/>
    <cellStyle name="Normal 22 2 2 2 2 2 2" xfId="6892" xr:uid="{00000000-0005-0000-0000-0000C0350000}"/>
    <cellStyle name="Normal 22 2 2 2 2 2 2 2" xfId="15992" xr:uid="{00000000-0005-0000-0000-0000C1350000}"/>
    <cellStyle name="Normal 22 2 2 2 2 2 2 2 2" xfId="34174" xr:uid="{00000000-0005-0000-0000-0000C2350000}"/>
    <cellStyle name="Normal 22 2 2 2 2 2 2 3" xfId="25084" xr:uid="{00000000-0005-0000-0000-0000C3350000}"/>
    <cellStyle name="Normal 22 2 2 2 2 2 3" xfId="11456" xr:uid="{00000000-0005-0000-0000-0000C4350000}"/>
    <cellStyle name="Normal 22 2 2 2 2 2 3 2" xfId="29638" xr:uid="{00000000-0005-0000-0000-0000C5350000}"/>
    <cellStyle name="Normal 22 2 2 2 2 2 4" xfId="20548" xr:uid="{00000000-0005-0000-0000-0000C6350000}"/>
    <cellStyle name="Normal 22 2 2 2 2 3" xfId="3846" xr:uid="{00000000-0005-0000-0000-0000C7350000}"/>
    <cellStyle name="Normal 22 2 2 2 2 3 2" xfId="8402" xr:uid="{00000000-0005-0000-0000-0000C8350000}"/>
    <cellStyle name="Normal 22 2 2 2 2 3 2 2" xfId="17498" xr:uid="{00000000-0005-0000-0000-0000C9350000}"/>
    <cellStyle name="Normal 22 2 2 2 2 3 2 2 2" xfId="35680" xr:uid="{00000000-0005-0000-0000-0000CA350000}"/>
    <cellStyle name="Normal 22 2 2 2 2 3 2 3" xfId="26590" xr:uid="{00000000-0005-0000-0000-0000CB350000}"/>
    <cellStyle name="Normal 22 2 2 2 2 3 3" xfId="12958" xr:uid="{00000000-0005-0000-0000-0000CC350000}"/>
    <cellStyle name="Normal 22 2 2 2 2 3 3 2" xfId="31140" xr:uid="{00000000-0005-0000-0000-0000CD350000}"/>
    <cellStyle name="Normal 22 2 2 2 2 3 4" xfId="22050" xr:uid="{00000000-0005-0000-0000-0000CE350000}"/>
    <cellStyle name="Normal 22 2 2 2 2 4" xfId="5485" xr:uid="{00000000-0005-0000-0000-0000CF350000}"/>
    <cellStyle name="Normal 22 2 2 2 2 4 2" xfId="14585" xr:uid="{00000000-0005-0000-0000-0000D0350000}"/>
    <cellStyle name="Normal 22 2 2 2 2 4 2 2" xfId="32767" xr:uid="{00000000-0005-0000-0000-0000D1350000}"/>
    <cellStyle name="Normal 22 2 2 2 2 4 3" xfId="23677" xr:uid="{00000000-0005-0000-0000-0000D2350000}"/>
    <cellStyle name="Normal 22 2 2 2 2 5" xfId="10051" xr:uid="{00000000-0005-0000-0000-0000D3350000}"/>
    <cellStyle name="Normal 22 2 2 2 2 5 2" xfId="28233" xr:uid="{00000000-0005-0000-0000-0000D4350000}"/>
    <cellStyle name="Normal 22 2 2 2 2 6" xfId="19142" xr:uid="{00000000-0005-0000-0000-0000D5350000}"/>
    <cellStyle name="Normal 22 2 2 2 3" xfId="2307" xr:uid="{00000000-0005-0000-0000-0000D6350000}"/>
    <cellStyle name="Normal 22 2 2 2 3 2" xfId="6893" xr:uid="{00000000-0005-0000-0000-0000D7350000}"/>
    <cellStyle name="Normal 22 2 2 2 3 2 2" xfId="15993" xr:uid="{00000000-0005-0000-0000-0000D8350000}"/>
    <cellStyle name="Normal 22 2 2 2 3 2 2 2" xfId="34175" xr:uid="{00000000-0005-0000-0000-0000D9350000}"/>
    <cellStyle name="Normal 22 2 2 2 3 2 3" xfId="25085" xr:uid="{00000000-0005-0000-0000-0000DA350000}"/>
    <cellStyle name="Normal 22 2 2 2 3 3" xfId="11457" xr:uid="{00000000-0005-0000-0000-0000DB350000}"/>
    <cellStyle name="Normal 22 2 2 2 3 3 2" xfId="29639" xr:uid="{00000000-0005-0000-0000-0000DC350000}"/>
    <cellStyle name="Normal 22 2 2 2 3 4" xfId="20549" xr:uid="{00000000-0005-0000-0000-0000DD350000}"/>
    <cellStyle name="Normal 22 2 2 2 4" xfId="3845" xr:uid="{00000000-0005-0000-0000-0000DE350000}"/>
    <cellStyle name="Normal 22 2 2 2 4 2" xfId="8401" xr:uid="{00000000-0005-0000-0000-0000DF350000}"/>
    <cellStyle name="Normal 22 2 2 2 4 2 2" xfId="17497" xr:uid="{00000000-0005-0000-0000-0000E0350000}"/>
    <cellStyle name="Normal 22 2 2 2 4 2 2 2" xfId="35679" xr:uid="{00000000-0005-0000-0000-0000E1350000}"/>
    <cellStyle name="Normal 22 2 2 2 4 2 3" xfId="26589" xr:uid="{00000000-0005-0000-0000-0000E2350000}"/>
    <cellStyle name="Normal 22 2 2 2 4 3" xfId="12957" xr:uid="{00000000-0005-0000-0000-0000E3350000}"/>
    <cellStyle name="Normal 22 2 2 2 4 3 2" xfId="31139" xr:uid="{00000000-0005-0000-0000-0000E4350000}"/>
    <cellStyle name="Normal 22 2 2 2 4 4" xfId="22049" xr:uid="{00000000-0005-0000-0000-0000E5350000}"/>
    <cellStyle name="Normal 22 2 2 2 5" xfId="5484" xr:uid="{00000000-0005-0000-0000-0000E6350000}"/>
    <cellStyle name="Normal 22 2 2 2 5 2" xfId="14584" xr:uid="{00000000-0005-0000-0000-0000E7350000}"/>
    <cellStyle name="Normal 22 2 2 2 5 2 2" xfId="32766" xr:uid="{00000000-0005-0000-0000-0000E8350000}"/>
    <cellStyle name="Normal 22 2 2 2 5 3" xfId="23676" xr:uid="{00000000-0005-0000-0000-0000E9350000}"/>
    <cellStyle name="Normal 22 2 2 2 6" xfId="10050" xr:uid="{00000000-0005-0000-0000-0000EA350000}"/>
    <cellStyle name="Normal 22 2 2 2 6 2" xfId="28232" xr:uid="{00000000-0005-0000-0000-0000EB350000}"/>
    <cellStyle name="Normal 22 2 2 2 7" xfId="19141" xr:uid="{00000000-0005-0000-0000-0000EC350000}"/>
    <cellStyle name="Normal 22 2 2 3" xfId="844" xr:uid="{00000000-0005-0000-0000-0000ED350000}"/>
    <cellStyle name="Normal 22 2 2 3 2" xfId="2308" xr:uid="{00000000-0005-0000-0000-0000EE350000}"/>
    <cellStyle name="Normal 22 2 2 3 2 2" xfId="6894" xr:uid="{00000000-0005-0000-0000-0000EF350000}"/>
    <cellStyle name="Normal 22 2 2 3 2 2 2" xfId="15994" xr:uid="{00000000-0005-0000-0000-0000F0350000}"/>
    <cellStyle name="Normal 22 2 2 3 2 2 2 2" xfId="34176" xr:uid="{00000000-0005-0000-0000-0000F1350000}"/>
    <cellStyle name="Normal 22 2 2 3 2 2 3" xfId="25086" xr:uid="{00000000-0005-0000-0000-0000F2350000}"/>
    <cellStyle name="Normal 22 2 2 3 2 3" xfId="11458" xr:uid="{00000000-0005-0000-0000-0000F3350000}"/>
    <cellStyle name="Normal 22 2 2 3 2 3 2" xfId="29640" xr:uid="{00000000-0005-0000-0000-0000F4350000}"/>
    <cellStyle name="Normal 22 2 2 3 2 4" xfId="20550" xr:uid="{00000000-0005-0000-0000-0000F5350000}"/>
    <cellStyle name="Normal 22 2 2 3 3" xfId="3847" xr:uid="{00000000-0005-0000-0000-0000F6350000}"/>
    <cellStyle name="Normal 22 2 2 3 3 2" xfId="8403" xr:uid="{00000000-0005-0000-0000-0000F7350000}"/>
    <cellStyle name="Normal 22 2 2 3 3 2 2" xfId="17499" xr:uid="{00000000-0005-0000-0000-0000F8350000}"/>
    <cellStyle name="Normal 22 2 2 3 3 2 2 2" xfId="35681" xr:uid="{00000000-0005-0000-0000-0000F9350000}"/>
    <cellStyle name="Normal 22 2 2 3 3 2 3" xfId="26591" xr:uid="{00000000-0005-0000-0000-0000FA350000}"/>
    <cellStyle name="Normal 22 2 2 3 3 3" xfId="12959" xr:uid="{00000000-0005-0000-0000-0000FB350000}"/>
    <cellStyle name="Normal 22 2 2 3 3 3 2" xfId="31141" xr:uid="{00000000-0005-0000-0000-0000FC350000}"/>
    <cellStyle name="Normal 22 2 2 3 3 4" xfId="22051" xr:uid="{00000000-0005-0000-0000-0000FD350000}"/>
    <cellStyle name="Normal 22 2 2 3 4" xfId="5486" xr:uid="{00000000-0005-0000-0000-0000FE350000}"/>
    <cellStyle name="Normal 22 2 2 3 4 2" xfId="14586" xr:uid="{00000000-0005-0000-0000-0000FF350000}"/>
    <cellStyle name="Normal 22 2 2 3 4 2 2" xfId="32768" xr:uid="{00000000-0005-0000-0000-000000360000}"/>
    <cellStyle name="Normal 22 2 2 3 4 3" xfId="23678" xr:uid="{00000000-0005-0000-0000-000001360000}"/>
    <cellStyle name="Normal 22 2 2 3 5" xfId="10052" xr:uid="{00000000-0005-0000-0000-000002360000}"/>
    <cellStyle name="Normal 22 2 2 3 5 2" xfId="28234" xr:uid="{00000000-0005-0000-0000-000003360000}"/>
    <cellStyle name="Normal 22 2 2 3 6" xfId="19143" xr:uid="{00000000-0005-0000-0000-000004360000}"/>
    <cellStyle name="Normal 22 2 2 4" xfId="845" xr:uid="{00000000-0005-0000-0000-000005360000}"/>
    <cellStyle name="Normal 22 2 2 4 2" xfId="3848" xr:uid="{00000000-0005-0000-0000-000006360000}"/>
    <cellStyle name="Normal 22 2 2 4 2 2" xfId="8404" xr:uid="{00000000-0005-0000-0000-000007360000}"/>
    <cellStyle name="Normal 22 2 2 4 2 2 2" xfId="17500" xr:uid="{00000000-0005-0000-0000-000008360000}"/>
    <cellStyle name="Normal 22 2 2 4 2 2 2 2" xfId="35682" xr:uid="{00000000-0005-0000-0000-000009360000}"/>
    <cellStyle name="Normal 22 2 2 4 2 2 3" xfId="26592" xr:uid="{00000000-0005-0000-0000-00000A360000}"/>
    <cellStyle name="Normal 22 2 2 4 2 3" xfId="12960" xr:uid="{00000000-0005-0000-0000-00000B360000}"/>
    <cellStyle name="Normal 22 2 2 4 2 3 2" xfId="31142" xr:uid="{00000000-0005-0000-0000-00000C360000}"/>
    <cellStyle name="Normal 22 2 2 4 2 4" xfId="22052" xr:uid="{00000000-0005-0000-0000-00000D360000}"/>
    <cellStyle name="Normal 22 2 2 4 3" xfId="5487" xr:uid="{00000000-0005-0000-0000-00000E360000}"/>
    <cellStyle name="Normal 22 2 2 4 3 2" xfId="14587" xr:uid="{00000000-0005-0000-0000-00000F360000}"/>
    <cellStyle name="Normal 22 2 2 4 3 2 2" xfId="32769" xr:uid="{00000000-0005-0000-0000-000010360000}"/>
    <cellStyle name="Normal 22 2 2 4 3 3" xfId="23679" xr:uid="{00000000-0005-0000-0000-000011360000}"/>
    <cellStyle name="Normal 22 2 2 4 4" xfId="10053" xr:uid="{00000000-0005-0000-0000-000012360000}"/>
    <cellStyle name="Normal 22 2 2 4 4 2" xfId="28235" xr:uid="{00000000-0005-0000-0000-000013360000}"/>
    <cellStyle name="Normal 22 2 2 4 5" xfId="19144" xr:uid="{00000000-0005-0000-0000-000014360000}"/>
    <cellStyle name="Normal 22 2 2 5" xfId="2309" xr:uid="{00000000-0005-0000-0000-000015360000}"/>
    <cellStyle name="Normal 22 2 2 5 2" xfId="6895" xr:uid="{00000000-0005-0000-0000-000016360000}"/>
    <cellStyle name="Normal 22 2 2 5 2 2" xfId="15995" xr:uid="{00000000-0005-0000-0000-000017360000}"/>
    <cellStyle name="Normal 22 2 2 5 2 2 2" xfId="34177" xr:uid="{00000000-0005-0000-0000-000018360000}"/>
    <cellStyle name="Normal 22 2 2 5 2 3" xfId="25087" xr:uid="{00000000-0005-0000-0000-000019360000}"/>
    <cellStyle name="Normal 22 2 2 5 3" xfId="11459" xr:uid="{00000000-0005-0000-0000-00001A360000}"/>
    <cellStyle name="Normal 22 2 2 5 3 2" xfId="29641" xr:uid="{00000000-0005-0000-0000-00001B360000}"/>
    <cellStyle name="Normal 22 2 2 5 4" xfId="20551" xr:uid="{00000000-0005-0000-0000-00001C360000}"/>
    <cellStyle name="Normal 22 2 2 6" xfId="3844" xr:uid="{00000000-0005-0000-0000-00001D360000}"/>
    <cellStyle name="Normal 22 2 2 6 2" xfId="8400" xr:uid="{00000000-0005-0000-0000-00001E360000}"/>
    <cellStyle name="Normal 22 2 2 6 2 2" xfId="17496" xr:uid="{00000000-0005-0000-0000-00001F360000}"/>
    <cellStyle name="Normal 22 2 2 6 2 2 2" xfId="35678" xr:uid="{00000000-0005-0000-0000-000020360000}"/>
    <cellStyle name="Normal 22 2 2 6 2 3" xfId="26588" xr:uid="{00000000-0005-0000-0000-000021360000}"/>
    <cellStyle name="Normal 22 2 2 6 3" xfId="12956" xr:uid="{00000000-0005-0000-0000-000022360000}"/>
    <cellStyle name="Normal 22 2 2 6 3 2" xfId="31138" xr:uid="{00000000-0005-0000-0000-000023360000}"/>
    <cellStyle name="Normal 22 2 2 6 4" xfId="22048" xr:uid="{00000000-0005-0000-0000-000024360000}"/>
    <cellStyle name="Normal 22 2 2 7" xfId="5483" xr:uid="{00000000-0005-0000-0000-000025360000}"/>
    <cellStyle name="Normal 22 2 2 7 2" xfId="14583" xr:uid="{00000000-0005-0000-0000-000026360000}"/>
    <cellStyle name="Normal 22 2 2 7 2 2" xfId="32765" xr:uid="{00000000-0005-0000-0000-000027360000}"/>
    <cellStyle name="Normal 22 2 2 7 3" xfId="23675" xr:uid="{00000000-0005-0000-0000-000028360000}"/>
    <cellStyle name="Normal 22 2 2 8" xfId="10049" xr:uid="{00000000-0005-0000-0000-000029360000}"/>
    <cellStyle name="Normal 22 2 2 8 2" xfId="28231" xr:uid="{00000000-0005-0000-0000-00002A360000}"/>
    <cellStyle name="Normal 22 2 2 9" xfId="19140" xr:uid="{00000000-0005-0000-0000-00002B360000}"/>
    <cellStyle name="Normal 22 2 3" xfId="846" xr:uid="{00000000-0005-0000-0000-00002C360000}"/>
    <cellStyle name="Normal 22 2 3 2" xfId="847" xr:uid="{00000000-0005-0000-0000-00002D360000}"/>
    <cellStyle name="Normal 22 2 3 2 2" xfId="2310" xr:uid="{00000000-0005-0000-0000-00002E360000}"/>
    <cellStyle name="Normal 22 2 3 2 2 2" xfId="6896" xr:uid="{00000000-0005-0000-0000-00002F360000}"/>
    <cellStyle name="Normal 22 2 3 2 2 2 2" xfId="15996" xr:uid="{00000000-0005-0000-0000-000030360000}"/>
    <cellStyle name="Normal 22 2 3 2 2 2 2 2" xfId="34178" xr:uid="{00000000-0005-0000-0000-000031360000}"/>
    <cellStyle name="Normal 22 2 3 2 2 2 3" xfId="25088" xr:uid="{00000000-0005-0000-0000-000032360000}"/>
    <cellStyle name="Normal 22 2 3 2 2 3" xfId="11460" xr:uid="{00000000-0005-0000-0000-000033360000}"/>
    <cellStyle name="Normal 22 2 3 2 2 3 2" xfId="29642" xr:uid="{00000000-0005-0000-0000-000034360000}"/>
    <cellStyle name="Normal 22 2 3 2 2 4" xfId="20552" xr:uid="{00000000-0005-0000-0000-000035360000}"/>
    <cellStyle name="Normal 22 2 3 2 3" xfId="3850" xr:uid="{00000000-0005-0000-0000-000036360000}"/>
    <cellStyle name="Normal 22 2 3 2 3 2" xfId="8406" xr:uid="{00000000-0005-0000-0000-000037360000}"/>
    <cellStyle name="Normal 22 2 3 2 3 2 2" xfId="17502" xr:uid="{00000000-0005-0000-0000-000038360000}"/>
    <cellStyle name="Normal 22 2 3 2 3 2 2 2" xfId="35684" xr:uid="{00000000-0005-0000-0000-000039360000}"/>
    <cellStyle name="Normal 22 2 3 2 3 2 3" xfId="26594" xr:uid="{00000000-0005-0000-0000-00003A360000}"/>
    <cellStyle name="Normal 22 2 3 2 3 3" xfId="12962" xr:uid="{00000000-0005-0000-0000-00003B360000}"/>
    <cellStyle name="Normal 22 2 3 2 3 3 2" xfId="31144" xr:uid="{00000000-0005-0000-0000-00003C360000}"/>
    <cellStyle name="Normal 22 2 3 2 3 4" xfId="22054" xr:uid="{00000000-0005-0000-0000-00003D360000}"/>
    <cellStyle name="Normal 22 2 3 2 4" xfId="5489" xr:uid="{00000000-0005-0000-0000-00003E360000}"/>
    <cellStyle name="Normal 22 2 3 2 4 2" xfId="14589" xr:uid="{00000000-0005-0000-0000-00003F360000}"/>
    <cellStyle name="Normal 22 2 3 2 4 2 2" xfId="32771" xr:uid="{00000000-0005-0000-0000-000040360000}"/>
    <cellStyle name="Normal 22 2 3 2 4 3" xfId="23681" xr:uid="{00000000-0005-0000-0000-000041360000}"/>
    <cellStyle name="Normal 22 2 3 2 5" xfId="10055" xr:uid="{00000000-0005-0000-0000-000042360000}"/>
    <cellStyle name="Normal 22 2 3 2 5 2" xfId="28237" xr:uid="{00000000-0005-0000-0000-000043360000}"/>
    <cellStyle name="Normal 22 2 3 2 6" xfId="19146" xr:uid="{00000000-0005-0000-0000-000044360000}"/>
    <cellStyle name="Normal 22 2 3 3" xfId="2311" xr:uid="{00000000-0005-0000-0000-000045360000}"/>
    <cellStyle name="Normal 22 2 3 3 2" xfId="6897" xr:uid="{00000000-0005-0000-0000-000046360000}"/>
    <cellStyle name="Normal 22 2 3 3 2 2" xfId="15997" xr:uid="{00000000-0005-0000-0000-000047360000}"/>
    <cellStyle name="Normal 22 2 3 3 2 2 2" xfId="34179" xr:uid="{00000000-0005-0000-0000-000048360000}"/>
    <cellStyle name="Normal 22 2 3 3 2 3" xfId="25089" xr:uid="{00000000-0005-0000-0000-000049360000}"/>
    <cellStyle name="Normal 22 2 3 3 3" xfId="11461" xr:uid="{00000000-0005-0000-0000-00004A360000}"/>
    <cellStyle name="Normal 22 2 3 3 3 2" xfId="29643" xr:uid="{00000000-0005-0000-0000-00004B360000}"/>
    <cellStyle name="Normal 22 2 3 3 4" xfId="20553" xr:uid="{00000000-0005-0000-0000-00004C360000}"/>
    <cellStyle name="Normal 22 2 3 4" xfId="3849" xr:uid="{00000000-0005-0000-0000-00004D360000}"/>
    <cellStyle name="Normal 22 2 3 4 2" xfId="8405" xr:uid="{00000000-0005-0000-0000-00004E360000}"/>
    <cellStyle name="Normal 22 2 3 4 2 2" xfId="17501" xr:uid="{00000000-0005-0000-0000-00004F360000}"/>
    <cellStyle name="Normal 22 2 3 4 2 2 2" xfId="35683" xr:uid="{00000000-0005-0000-0000-000050360000}"/>
    <cellStyle name="Normal 22 2 3 4 2 3" xfId="26593" xr:uid="{00000000-0005-0000-0000-000051360000}"/>
    <cellStyle name="Normal 22 2 3 4 3" xfId="12961" xr:uid="{00000000-0005-0000-0000-000052360000}"/>
    <cellStyle name="Normal 22 2 3 4 3 2" xfId="31143" xr:uid="{00000000-0005-0000-0000-000053360000}"/>
    <cellStyle name="Normal 22 2 3 4 4" xfId="22053" xr:uid="{00000000-0005-0000-0000-000054360000}"/>
    <cellStyle name="Normal 22 2 3 5" xfId="5488" xr:uid="{00000000-0005-0000-0000-000055360000}"/>
    <cellStyle name="Normal 22 2 3 5 2" xfId="14588" xr:uid="{00000000-0005-0000-0000-000056360000}"/>
    <cellStyle name="Normal 22 2 3 5 2 2" xfId="32770" xr:uid="{00000000-0005-0000-0000-000057360000}"/>
    <cellStyle name="Normal 22 2 3 5 3" xfId="23680" xr:uid="{00000000-0005-0000-0000-000058360000}"/>
    <cellStyle name="Normal 22 2 3 6" xfId="10054" xr:uid="{00000000-0005-0000-0000-000059360000}"/>
    <cellStyle name="Normal 22 2 3 6 2" xfId="28236" xr:uid="{00000000-0005-0000-0000-00005A360000}"/>
    <cellStyle name="Normal 22 2 3 7" xfId="19145" xr:uid="{00000000-0005-0000-0000-00005B360000}"/>
    <cellStyle name="Normal 22 2 4" xfId="848" xr:uid="{00000000-0005-0000-0000-00005C360000}"/>
    <cellStyle name="Normal 22 2 4 2" xfId="2312" xr:uid="{00000000-0005-0000-0000-00005D360000}"/>
    <cellStyle name="Normal 22 2 4 2 2" xfId="6898" xr:uid="{00000000-0005-0000-0000-00005E360000}"/>
    <cellStyle name="Normal 22 2 4 2 2 2" xfId="15998" xr:uid="{00000000-0005-0000-0000-00005F360000}"/>
    <cellStyle name="Normal 22 2 4 2 2 2 2" xfId="34180" xr:uid="{00000000-0005-0000-0000-000060360000}"/>
    <cellStyle name="Normal 22 2 4 2 2 3" xfId="25090" xr:uid="{00000000-0005-0000-0000-000061360000}"/>
    <cellStyle name="Normal 22 2 4 2 3" xfId="11462" xr:uid="{00000000-0005-0000-0000-000062360000}"/>
    <cellStyle name="Normal 22 2 4 2 3 2" xfId="29644" xr:uid="{00000000-0005-0000-0000-000063360000}"/>
    <cellStyle name="Normal 22 2 4 2 4" xfId="20554" xr:uid="{00000000-0005-0000-0000-000064360000}"/>
    <cellStyle name="Normal 22 2 4 3" xfId="3851" xr:uid="{00000000-0005-0000-0000-000065360000}"/>
    <cellStyle name="Normal 22 2 4 3 2" xfId="8407" xr:uid="{00000000-0005-0000-0000-000066360000}"/>
    <cellStyle name="Normal 22 2 4 3 2 2" xfId="17503" xr:uid="{00000000-0005-0000-0000-000067360000}"/>
    <cellStyle name="Normal 22 2 4 3 2 2 2" xfId="35685" xr:uid="{00000000-0005-0000-0000-000068360000}"/>
    <cellStyle name="Normal 22 2 4 3 2 3" xfId="26595" xr:uid="{00000000-0005-0000-0000-000069360000}"/>
    <cellStyle name="Normal 22 2 4 3 3" xfId="12963" xr:uid="{00000000-0005-0000-0000-00006A360000}"/>
    <cellStyle name="Normal 22 2 4 3 3 2" xfId="31145" xr:uid="{00000000-0005-0000-0000-00006B360000}"/>
    <cellStyle name="Normal 22 2 4 3 4" xfId="22055" xr:uid="{00000000-0005-0000-0000-00006C360000}"/>
    <cellStyle name="Normal 22 2 4 4" xfId="5490" xr:uid="{00000000-0005-0000-0000-00006D360000}"/>
    <cellStyle name="Normal 22 2 4 4 2" xfId="14590" xr:uid="{00000000-0005-0000-0000-00006E360000}"/>
    <cellStyle name="Normal 22 2 4 4 2 2" xfId="32772" xr:uid="{00000000-0005-0000-0000-00006F360000}"/>
    <cellStyle name="Normal 22 2 4 4 3" xfId="23682" xr:uid="{00000000-0005-0000-0000-000070360000}"/>
    <cellStyle name="Normal 22 2 4 5" xfId="10056" xr:uid="{00000000-0005-0000-0000-000071360000}"/>
    <cellStyle name="Normal 22 2 4 5 2" xfId="28238" xr:uid="{00000000-0005-0000-0000-000072360000}"/>
    <cellStyle name="Normal 22 2 4 6" xfId="19147" xr:uid="{00000000-0005-0000-0000-000073360000}"/>
    <cellStyle name="Normal 22 2 5" xfId="849" xr:uid="{00000000-0005-0000-0000-000074360000}"/>
    <cellStyle name="Normal 22 2 5 2" xfId="3852" xr:uid="{00000000-0005-0000-0000-000075360000}"/>
    <cellStyle name="Normal 22 2 5 2 2" xfId="8408" xr:uid="{00000000-0005-0000-0000-000076360000}"/>
    <cellStyle name="Normal 22 2 5 2 2 2" xfId="17504" xr:uid="{00000000-0005-0000-0000-000077360000}"/>
    <cellStyle name="Normal 22 2 5 2 2 2 2" xfId="35686" xr:uid="{00000000-0005-0000-0000-000078360000}"/>
    <cellStyle name="Normal 22 2 5 2 2 3" xfId="26596" xr:uid="{00000000-0005-0000-0000-000079360000}"/>
    <cellStyle name="Normal 22 2 5 2 3" xfId="12964" xr:uid="{00000000-0005-0000-0000-00007A360000}"/>
    <cellStyle name="Normal 22 2 5 2 3 2" xfId="31146" xr:uid="{00000000-0005-0000-0000-00007B360000}"/>
    <cellStyle name="Normal 22 2 5 2 4" xfId="22056" xr:uid="{00000000-0005-0000-0000-00007C360000}"/>
    <cellStyle name="Normal 22 2 5 3" xfId="5491" xr:uid="{00000000-0005-0000-0000-00007D360000}"/>
    <cellStyle name="Normal 22 2 5 3 2" xfId="14591" xr:uid="{00000000-0005-0000-0000-00007E360000}"/>
    <cellStyle name="Normal 22 2 5 3 2 2" xfId="32773" xr:uid="{00000000-0005-0000-0000-00007F360000}"/>
    <cellStyle name="Normal 22 2 5 3 3" xfId="23683" xr:uid="{00000000-0005-0000-0000-000080360000}"/>
    <cellStyle name="Normal 22 2 5 4" xfId="10057" xr:uid="{00000000-0005-0000-0000-000081360000}"/>
    <cellStyle name="Normal 22 2 5 4 2" xfId="28239" xr:uid="{00000000-0005-0000-0000-000082360000}"/>
    <cellStyle name="Normal 22 2 5 5" xfId="19148" xr:uid="{00000000-0005-0000-0000-000083360000}"/>
    <cellStyle name="Normal 22 2 6" xfId="2313" xr:uid="{00000000-0005-0000-0000-000084360000}"/>
    <cellStyle name="Normal 22 2 6 2" xfId="6899" xr:uid="{00000000-0005-0000-0000-000085360000}"/>
    <cellStyle name="Normal 22 2 6 2 2" xfId="15999" xr:uid="{00000000-0005-0000-0000-000086360000}"/>
    <cellStyle name="Normal 22 2 6 2 2 2" xfId="34181" xr:uid="{00000000-0005-0000-0000-000087360000}"/>
    <cellStyle name="Normal 22 2 6 2 3" xfId="25091" xr:uid="{00000000-0005-0000-0000-000088360000}"/>
    <cellStyle name="Normal 22 2 6 3" xfId="11463" xr:uid="{00000000-0005-0000-0000-000089360000}"/>
    <cellStyle name="Normal 22 2 6 3 2" xfId="29645" xr:uid="{00000000-0005-0000-0000-00008A360000}"/>
    <cellStyle name="Normal 22 2 6 4" xfId="20555" xr:uid="{00000000-0005-0000-0000-00008B360000}"/>
    <cellStyle name="Normal 22 2 7" xfId="3226" xr:uid="{00000000-0005-0000-0000-00008C360000}"/>
    <cellStyle name="Normal 22 2 7 2" xfId="7786" xr:uid="{00000000-0005-0000-0000-00008D360000}"/>
    <cellStyle name="Normal 22 2 7 2 2" xfId="16882" xr:uid="{00000000-0005-0000-0000-00008E360000}"/>
    <cellStyle name="Normal 22 2 7 2 2 2" xfId="35064" xr:uid="{00000000-0005-0000-0000-00008F360000}"/>
    <cellStyle name="Normal 22 2 7 2 3" xfId="25974" xr:uid="{00000000-0005-0000-0000-000090360000}"/>
    <cellStyle name="Normal 22 2 7 3" xfId="12342" xr:uid="{00000000-0005-0000-0000-000091360000}"/>
    <cellStyle name="Normal 22 2 7 3 2" xfId="30524" xr:uid="{00000000-0005-0000-0000-000092360000}"/>
    <cellStyle name="Normal 22 2 7 4" xfId="21434" xr:uid="{00000000-0005-0000-0000-000093360000}"/>
    <cellStyle name="Normal 22 2 8" xfId="4873" xr:uid="{00000000-0005-0000-0000-000094360000}"/>
    <cellStyle name="Normal 22 2 8 2" xfId="13973" xr:uid="{00000000-0005-0000-0000-000095360000}"/>
    <cellStyle name="Normal 22 2 8 2 2" xfId="32155" xr:uid="{00000000-0005-0000-0000-000096360000}"/>
    <cellStyle name="Normal 22 2 8 3" xfId="23065" xr:uid="{00000000-0005-0000-0000-000097360000}"/>
    <cellStyle name="Normal 22 2 9" xfId="9439" xr:uid="{00000000-0005-0000-0000-000098360000}"/>
    <cellStyle name="Normal 22 2 9 2" xfId="27621" xr:uid="{00000000-0005-0000-0000-000099360000}"/>
    <cellStyle name="Normal 22 3" xfId="850" xr:uid="{00000000-0005-0000-0000-00009A360000}"/>
    <cellStyle name="Normal 22 3 10" xfId="19149" xr:uid="{00000000-0005-0000-0000-00009B360000}"/>
    <cellStyle name="Normal 22 3 2" xfId="851" xr:uid="{00000000-0005-0000-0000-00009C360000}"/>
    <cellStyle name="Normal 22 3 2 2" xfId="852" xr:uid="{00000000-0005-0000-0000-00009D360000}"/>
    <cellStyle name="Normal 22 3 2 2 2" xfId="853" xr:uid="{00000000-0005-0000-0000-00009E360000}"/>
    <cellStyle name="Normal 22 3 2 2 2 2" xfId="2314" xr:uid="{00000000-0005-0000-0000-00009F360000}"/>
    <cellStyle name="Normal 22 3 2 2 2 2 2" xfId="6900" xr:uid="{00000000-0005-0000-0000-0000A0360000}"/>
    <cellStyle name="Normal 22 3 2 2 2 2 2 2" xfId="16000" xr:uid="{00000000-0005-0000-0000-0000A1360000}"/>
    <cellStyle name="Normal 22 3 2 2 2 2 2 2 2" xfId="34182" xr:uid="{00000000-0005-0000-0000-0000A2360000}"/>
    <cellStyle name="Normal 22 3 2 2 2 2 2 3" xfId="25092" xr:uid="{00000000-0005-0000-0000-0000A3360000}"/>
    <cellStyle name="Normal 22 3 2 2 2 2 3" xfId="11464" xr:uid="{00000000-0005-0000-0000-0000A4360000}"/>
    <cellStyle name="Normal 22 3 2 2 2 2 3 2" xfId="29646" xr:uid="{00000000-0005-0000-0000-0000A5360000}"/>
    <cellStyle name="Normal 22 3 2 2 2 2 4" xfId="20556" xr:uid="{00000000-0005-0000-0000-0000A6360000}"/>
    <cellStyle name="Normal 22 3 2 2 2 3" xfId="3856" xr:uid="{00000000-0005-0000-0000-0000A7360000}"/>
    <cellStyle name="Normal 22 3 2 2 2 3 2" xfId="8412" xr:uid="{00000000-0005-0000-0000-0000A8360000}"/>
    <cellStyle name="Normal 22 3 2 2 2 3 2 2" xfId="17508" xr:uid="{00000000-0005-0000-0000-0000A9360000}"/>
    <cellStyle name="Normal 22 3 2 2 2 3 2 2 2" xfId="35690" xr:uid="{00000000-0005-0000-0000-0000AA360000}"/>
    <cellStyle name="Normal 22 3 2 2 2 3 2 3" xfId="26600" xr:uid="{00000000-0005-0000-0000-0000AB360000}"/>
    <cellStyle name="Normal 22 3 2 2 2 3 3" xfId="12968" xr:uid="{00000000-0005-0000-0000-0000AC360000}"/>
    <cellStyle name="Normal 22 3 2 2 2 3 3 2" xfId="31150" xr:uid="{00000000-0005-0000-0000-0000AD360000}"/>
    <cellStyle name="Normal 22 3 2 2 2 3 4" xfId="22060" xr:uid="{00000000-0005-0000-0000-0000AE360000}"/>
    <cellStyle name="Normal 22 3 2 2 2 4" xfId="5495" xr:uid="{00000000-0005-0000-0000-0000AF360000}"/>
    <cellStyle name="Normal 22 3 2 2 2 4 2" xfId="14595" xr:uid="{00000000-0005-0000-0000-0000B0360000}"/>
    <cellStyle name="Normal 22 3 2 2 2 4 2 2" xfId="32777" xr:uid="{00000000-0005-0000-0000-0000B1360000}"/>
    <cellStyle name="Normal 22 3 2 2 2 4 3" xfId="23687" xr:uid="{00000000-0005-0000-0000-0000B2360000}"/>
    <cellStyle name="Normal 22 3 2 2 2 5" xfId="10061" xr:uid="{00000000-0005-0000-0000-0000B3360000}"/>
    <cellStyle name="Normal 22 3 2 2 2 5 2" xfId="28243" xr:uid="{00000000-0005-0000-0000-0000B4360000}"/>
    <cellStyle name="Normal 22 3 2 2 2 6" xfId="19152" xr:uid="{00000000-0005-0000-0000-0000B5360000}"/>
    <cellStyle name="Normal 22 3 2 2 3" xfId="2315" xr:uid="{00000000-0005-0000-0000-0000B6360000}"/>
    <cellStyle name="Normal 22 3 2 2 3 2" xfId="6901" xr:uid="{00000000-0005-0000-0000-0000B7360000}"/>
    <cellStyle name="Normal 22 3 2 2 3 2 2" xfId="16001" xr:uid="{00000000-0005-0000-0000-0000B8360000}"/>
    <cellStyle name="Normal 22 3 2 2 3 2 2 2" xfId="34183" xr:uid="{00000000-0005-0000-0000-0000B9360000}"/>
    <cellStyle name="Normal 22 3 2 2 3 2 3" xfId="25093" xr:uid="{00000000-0005-0000-0000-0000BA360000}"/>
    <cellStyle name="Normal 22 3 2 2 3 3" xfId="11465" xr:uid="{00000000-0005-0000-0000-0000BB360000}"/>
    <cellStyle name="Normal 22 3 2 2 3 3 2" xfId="29647" xr:uid="{00000000-0005-0000-0000-0000BC360000}"/>
    <cellStyle name="Normal 22 3 2 2 3 4" xfId="20557" xr:uid="{00000000-0005-0000-0000-0000BD360000}"/>
    <cellStyle name="Normal 22 3 2 2 4" xfId="3855" xr:uid="{00000000-0005-0000-0000-0000BE360000}"/>
    <cellStyle name="Normal 22 3 2 2 4 2" xfId="8411" xr:uid="{00000000-0005-0000-0000-0000BF360000}"/>
    <cellStyle name="Normal 22 3 2 2 4 2 2" xfId="17507" xr:uid="{00000000-0005-0000-0000-0000C0360000}"/>
    <cellStyle name="Normal 22 3 2 2 4 2 2 2" xfId="35689" xr:uid="{00000000-0005-0000-0000-0000C1360000}"/>
    <cellStyle name="Normal 22 3 2 2 4 2 3" xfId="26599" xr:uid="{00000000-0005-0000-0000-0000C2360000}"/>
    <cellStyle name="Normal 22 3 2 2 4 3" xfId="12967" xr:uid="{00000000-0005-0000-0000-0000C3360000}"/>
    <cellStyle name="Normal 22 3 2 2 4 3 2" xfId="31149" xr:uid="{00000000-0005-0000-0000-0000C4360000}"/>
    <cellStyle name="Normal 22 3 2 2 4 4" xfId="22059" xr:uid="{00000000-0005-0000-0000-0000C5360000}"/>
    <cellStyle name="Normal 22 3 2 2 5" xfId="5494" xr:uid="{00000000-0005-0000-0000-0000C6360000}"/>
    <cellStyle name="Normal 22 3 2 2 5 2" xfId="14594" xr:uid="{00000000-0005-0000-0000-0000C7360000}"/>
    <cellStyle name="Normal 22 3 2 2 5 2 2" xfId="32776" xr:uid="{00000000-0005-0000-0000-0000C8360000}"/>
    <cellStyle name="Normal 22 3 2 2 5 3" xfId="23686" xr:uid="{00000000-0005-0000-0000-0000C9360000}"/>
    <cellStyle name="Normal 22 3 2 2 6" xfId="10060" xr:uid="{00000000-0005-0000-0000-0000CA360000}"/>
    <cellStyle name="Normal 22 3 2 2 6 2" xfId="28242" xr:uid="{00000000-0005-0000-0000-0000CB360000}"/>
    <cellStyle name="Normal 22 3 2 2 7" xfId="19151" xr:uid="{00000000-0005-0000-0000-0000CC360000}"/>
    <cellStyle name="Normal 22 3 2 3" xfId="854" xr:uid="{00000000-0005-0000-0000-0000CD360000}"/>
    <cellStyle name="Normal 22 3 2 3 2" xfId="2316" xr:uid="{00000000-0005-0000-0000-0000CE360000}"/>
    <cellStyle name="Normal 22 3 2 3 2 2" xfId="6902" xr:uid="{00000000-0005-0000-0000-0000CF360000}"/>
    <cellStyle name="Normal 22 3 2 3 2 2 2" xfId="16002" xr:uid="{00000000-0005-0000-0000-0000D0360000}"/>
    <cellStyle name="Normal 22 3 2 3 2 2 2 2" xfId="34184" xr:uid="{00000000-0005-0000-0000-0000D1360000}"/>
    <cellStyle name="Normal 22 3 2 3 2 2 3" xfId="25094" xr:uid="{00000000-0005-0000-0000-0000D2360000}"/>
    <cellStyle name="Normal 22 3 2 3 2 3" xfId="11466" xr:uid="{00000000-0005-0000-0000-0000D3360000}"/>
    <cellStyle name="Normal 22 3 2 3 2 3 2" xfId="29648" xr:uid="{00000000-0005-0000-0000-0000D4360000}"/>
    <cellStyle name="Normal 22 3 2 3 2 4" xfId="20558" xr:uid="{00000000-0005-0000-0000-0000D5360000}"/>
    <cellStyle name="Normal 22 3 2 3 3" xfId="3857" xr:uid="{00000000-0005-0000-0000-0000D6360000}"/>
    <cellStyle name="Normal 22 3 2 3 3 2" xfId="8413" xr:uid="{00000000-0005-0000-0000-0000D7360000}"/>
    <cellStyle name="Normal 22 3 2 3 3 2 2" xfId="17509" xr:uid="{00000000-0005-0000-0000-0000D8360000}"/>
    <cellStyle name="Normal 22 3 2 3 3 2 2 2" xfId="35691" xr:uid="{00000000-0005-0000-0000-0000D9360000}"/>
    <cellStyle name="Normal 22 3 2 3 3 2 3" xfId="26601" xr:uid="{00000000-0005-0000-0000-0000DA360000}"/>
    <cellStyle name="Normal 22 3 2 3 3 3" xfId="12969" xr:uid="{00000000-0005-0000-0000-0000DB360000}"/>
    <cellStyle name="Normal 22 3 2 3 3 3 2" xfId="31151" xr:uid="{00000000-0005-0000-0000-0000DC360000}"/>
    <cellStyle name="Normal 22 3 2 3 3 4" xfId="22061" xr:uid="{00000000-0005-0000-0000-0000DD360000}"/>
    <cellStyle name="Normal 22 3 2 3 4" xfId="5496" xr:uid="{00000000-0005-0000-0000-0000DE360000}"/>
    <cellStyle name="Normal 22 3 2 3 4 2" xfId="14596" xr:uid="{00000000-0005-0000-0000-0000DF360000}"/>
    <cellStyle name="Normal 22 3 2 3 4 2 2" xfId="32778" xr:uid="{00000000-0005-0000-0000-0000E0360000}"/>
    <cellStyle name="Normal 22 3 2 3 4 3" xfId="23688" xr:uid="{00000000-0005-0000-0000-0000E1360000}"/>
    <cellStyle name="Normal 22 3 2 3 5" xfId="10062" xr:uid="{00000000-0005-0000-0000-0000E2360000}"/>
    <cellStyle name="Normal 22 3 2 3 5 2" xfId="28244" xr:uid="{00000000-0005-0000-0000-0000E3360000}"/>
    <cellStyle name="Normal 22 3 2 3 6" xfId="19153" xr:uid="{00000000-0005-0000-0000-0000E4360000}"/>
    <cellStyle name="Normal 22 3 2 4" xfId="855" xr:uid="{00000000-0005-0000-0000-0000E5360000}"/>
    <cellStyle name="Normal 22 3 2 4 2" xfId="3858" xr:uid="{00000000-0005-0000-0000-0000E6360000}"/>
    <cellStyle name="Normal 22 3 2 4 2 2" xfId="8414" xr:uid="{00000000-0005-0000-0000-0000E7360000}"/>
    <cellStyle name="Normal 22 3 2 4 2 2 2" xfId="17510" xr:uid="{00000000-0005-0000-0000-0000E8360000}"/>
    <cellStyle name="Normal 22 3 2 4 2 2 2 2" xfId="35692" xr:uid="{00000000-0005-0000-0000-0000E9360000}"/>
    <cellStyle name="Normal 22 3 2 4 2 2 3" xfId="26602" xr:uid="{00000000-0005-0000-0000-0000EA360000}"/>
    <cellStyle name="Normal 22 3 2 4 2 3" xfId="12970" xr:uid="{00000000-0005-0000-0000-0000EB360000}"/>
    <cellStyle name="Normal 22 3 2 4 2 3 2" xfId="31152" xr:uid="{00000000-0005-0000-0000-0000EC360000}"/>
    <cellStyle name="Normal 22 3 2 4 2 4" xfId="22062" xr:uid="{00000000-0005-0000-0000-0000ED360000}"/>
    <cellStyle name="Normal 22 3 2 4 3" xfId="5497" xr:uid="{00000000-0005-0000-0000-0000EE360000}"/>
    <cellStyle name="Normal 22 3 2 4 3 2" xfId="14597" xr:uid="{00000000-0005-0000-0000-0000EF360000}"/>
    <cellStyle name="Normal 22 3 2 4 3 2 2" xfId="32779" xr:uid="{00000000-0005-0000-0000-0000F0360000}"/>
    <cellStyle name="Normal 22 3 2 4 3 3" xfId="23689" xr:uid="{00000000-0005-0000-0000-0000F1360000}"/>
    <cellStyle name="Normal 22 3 2 4 4" xfId="10063" xr:uid="{00000000-0005-0000-0000-0000F2360000}"/>
    <cellStyle name="Normal 22 3 2 4 4 2" xfId="28245" xr:uid="{00000000-0005-0000-0000-0000F3360000}"/>
    <cellStyle name="Normal 22 3 2 4 5" xfId="19154" xr:uid="{00000000-0005-0000-0000-0000F4360000}"/>
    <cellStyle name="Normal 22 3 2 5" xfId="2317" xr:uid="{00000000-0005-0000-0000-0000F5360000}"/>
    <cellStyle name="Normal 22 3 2 5 2" xfId="6903" xr:uid="{00000000-0005-0000-0000-0000F6360000}"/>
    <cellStyle name="Normal 22 3 2 5 2 2" xfId="16003" xr:uid="{00000000-0005-0000-0000-0000F7360000}"/>
    <cellStyle name="Normal 22 3 2 5 2 2 2" xfId="34185" xr:uid="{00000000-0005-0000-0000-0000F8360000}"/>
    <cellStyle name="Normal 22 3 2 5 2 3" xfId="25095" xr:uid="{00000000-0005-0000-0000-0000F9360000}"/>
    <cellStyle name="Normal 22 3 2 5 3" xfId="11467" xr:uid="{00000000-0005-0000-0000-0000FA360000}"/>
    <cellStyle name="Normal 22 3 2 5 3 2" xfId="29649" xr:uid="{00000000-0005-0000-0000-0000FB360000}"/>
    <cellStyle name="Normal 22 3 2 5 4" xfId="20559" xr:uid="{00000000-0005-0000-0000-0000FC360000}"/>
    <cellStyle name="Normal 22 3 2 6" xfId="3854" xr:uid="{00000000-0005-0000-0000-0000FD360000}"/>
    <cellStyle name="Normal 22 3 2 6 2" xfId="8410" xr:uid="{00000000-0005-0000-0000-0000FE360000}"/>
    <cellStyle name="Normal 22 3 2 6 2 2" xfId="17506" xr:uid="{00000000-0005-0000-0000-0000FF360000}"/>
    <cellStyle name="Normal 22 3 2 6 2 2 2" xfId="35688" xr:uid="{00000000-0005-0000-0000-000000370000}"/>
    <cellStyle name="Normal 22 3 2 6 2 3" xfId="26598" xr:uid="{00000000-0005-0000-0000-000001370000}"/>
    <cellStyle name="Normal 22 3 2 6 3" xfId="12966" xr:uid="{00000000-0005-0000-0000-000002370000}"/>
    <cellStyle name="Normal 22 3 2 6 3 2" xfId="31148" xr:uid="{00000000-0005-0000-0000-000003370000}"/>
    <cellStyle name="Normal 22 3 2 6 4" xfId="22058" xr:uid="{00000000-0005-0000-0000-000004370000}"/>
    <cellStyle name="Normal 22 3 2 7" xfId="5493" xr:uid="{00000000-0005-0000-0000-000005370000}"/>
    <cellStyle name="Normal 22 3 2 7 2" xfId="14593" xr:uid="{00000000-0005-0000-0000-000006370000}"/>
    <cellStyle name="Normal 22 3 2 7 2 2" xfId="32775" xr:uid="{00000000-0005-0000-0000-000007370000}"/>
    <cellStyle name="Normal 22 3 2 7 3" xfId="23685" xr:uid="{00000000-0005-0000-0000-000008370000}"/>
    <cellStyle name="Normal 22 3 2 8" xfId="10059" xr:uid="{00000000-0005-0000-0000-000009370000}"/>
    <cellStyle name="Normal 22 3 2 8 2" xfId="28241" xr:uid="{00000000-0005-0000-0000-00000A370000}"/>
    <cellStyle name="Normal 22 3 2 9" xfId="19150" xr:uid="{00000000-0005-0000-0000-00000B370000}"/>
    <cellStyle name="Normal 22 3 3" xfId="856" xr:uid="{00000000-0005-0000-0000-00000C370000}"/>
    <cellStyle name="Normal 22 3 3 2" xfId="857" xr:uid="{00000000-0005-0000-0000-00000D370000}"/>
    <cellStyle name="Normal 22 3 3 2 2" xfId="2318" xr:uid="{00000000-0005-0000-0000-00000E370000}"/>
    <cellStyle name="Normal 22 3 3 2 2 2" xfId="6904" xr:uid="{00000000-0005-0000-0000-00000F370000}"/>
    <cellStyle name="Normal 22 3 3 2 2 2 2" xfId="16004" xr:uid="{00000000-0005-0000-0000-000010370000}"/>
    <cellStyle name="Normal 22 3 3 2 2 2 2 2" xfId="34186" xr:uid="{00000000-0005-0000-0000-000011370000}"/>
    <cellStyle name="Normal 22 3 3 2 2 2 3" xfId="25096" xr:uid="{00000000-0005-0000-0000-000012370000}"/>
    <cellStyle name="Normal 22 3 3 2 2 3" xfId="11468" xr:uid="{00000000-0005-0000-0000-000013370000}"/>
    <cellStyle name="Normal 22 3 3 2 2 3 2" xfId="29650" xr:uid="{00000000-0005-0000-0000-000014370000}"/>
    <cellStyle name="Normal 22 3 3 2 2 4" xfId="20560" xr:uid="{00000000-0005-0000-0000-000015370000}"/>
    <cellStyle name="Normal 22 3 3 2 3" xfId="3860" xr:uid="{00000000-0005-0000-0000-000016370000}"/>
    <cellStyle name="Normal 22 3 3 2 3 2" xfId="8416" xr:uid="{00000000-0005-0000-0000-000017370000}"/>
    <cellStyle name="Normal 22 3 3 2 3 2 2" xfId="17512" xr:uid="{00000000-0005-0000-0000-000018370000}"/>
    <cellStyle name="Normal 22 3 3 2 3 2 2 2" xfId="35694" xr:uid="{00000000-0005-0000-0000-000019370000}"/>
    <cellStyle name="Normal 22 3 3 2 3 2 3" xfId="26604" xr:uid="{00000000-0005-0000-0000-00001A370000}"/>
    <cellStyle name="Normal 22 3 3 2 3 3" xfId="12972" xr:uid="{00000000-0005-0000-0000-00001B370000}"/>
    <cellStyle name="Normal 22 3 3 2 3 3 2" xfId="31154" xr:uid="{00000000-0005-0000-0000-00001C370000}"/>
    <cellStyle name="Normal 22 3 3 2 3 4" xfId="22064" xr:uid="{00000000-0005-0000-0000-00001D370000}"/>
    <cellStyle name="Normal 22 3 3 2 4" xfId="5499" xr:uid="{00000000-0005-0000-0000-00001E370000}"/>
    <cellStyle name="Normal 22 3 3 2 4 2" xfId="14599" xr:uid="{00000000-0005-0000-0000-00001F370000}"/>
    <cellStyle name="Normal 22 3 3 2 4 2 2" xfId="32781" xr:uid="{00000000-0005-0000-0000-000020370000}"/>
    <cellStyle name="Normal 22 3 3 2 4 3" xfId="23691" xr:uid="{00000000-0005-0000-0000-000021370000}"/>
    <cellStyle name="Normal 22 3 3 2 5" xfId="10065" xr:uid="{00000000-0005-0000-0000-000022370000}"/>
    <cellStyle name="Normal 22 3 3 2 5 2" xfId="28247" xr:uid="{00000000-0005-0000-0000-000023370000}"/>
    <cellStyle name="Normal 22 3 3 2 6" xfId="19156" xr:uid="{00000000-0005-0000-0000-000024370000}"/>
    <cellStyle name="Normal 22 3 3 3" xfId="2319" xr:uid="{00000000-0005-0000-0000-000025370000}"/>
    <cellStyle name="Normal 22 3 3 3 2" xfId="6905" xr:uid="{00000000-0005-0000-0000-000026370000}"/>
    <cellStyle name="Normal 22 3 3 3 2 2" xfId="16005" xr:uid="{00000000-0005-0000-0000-000027370000}"/>
    <cellStyle name="Normal 22 3 3 3 2 2 2" xfId="34187" xr:uid="{00000000-0005-0000-0000-000028370000}"/>
    <cellStyle name="Normal 22 3 3 3 2 3" xfId="25097" xr:uid="{00000000-0005-0000-0000-000029370000}"/>
    <cellStyle name="Normal 22 3 3 3 3" xfId="11469" xr:uid="{00000000-0005-0000-0000-00002A370000}"/>
    <cellStyle name="Normal 22 3 3 3 3 2" xfId="29651" xr:uid="{00000000-0005-0000-0000-00002B370000}"/>
    <cellStyle name="Normal 22 3 3 3 4" xfId="20561" xr:uid="{00000000-0005-0000-0000-00002C370000}"/>
    <cellStyle name="Normal 22 3 3 4" xfId="3859" xr:uid="{00000000-0005-0000-0000-00002D370000}"/>
    <cellStyle name="Normal 22 3 3 4 2" xfId="8415" xr:uid="{00000000-0005-0000-0000-00002E370000}"/>
    <cellStyle name="Normal 22 3 3 4 2 2" xfId="17511" xr:uid="{00000000-0005-0000-0000-00002F370000}"/>
    <cellStyle name="Normal 22 3 3 4 2 2 2" xfId="35693" xr:uid="{00000000-0005-0000-0000-000030370000}"/>
    <cellStyle name="Normal 22 3 3 4 2 3" xfId="26603" xr:uid="{00000000-0005-0000-0000-000031370000}"/>
    <cellStyle name="Normal 22 3 3 4 3" xfId="12971" xr:uid="{00000000-0005-0000-0000-000032370000}"/>
    <cellStyle name="Normal 22 3 3 4 3 2" xfId="31153" xr:uid="{00000000-0005-0000-0000-000033370000}"/>
    <cellStyle name="Normal 22 3 3 4 4" xfId="22063" xr:uid="{00000000-0005-0000-0000-000034370000}"/>
    <cellStyle name="Normal 22 3 3 5" xfId="5498" xr:uid="{00000000-0005-0000-0000-000035370000}"/>
    <cellStyle name="Normal 22 3 3 5 2" xfId="14598" xr:uid="{00000000-0005-0000-0000-000036370000}"/>
    <cellStyle name="Normal 22 3 3 5 2 2" xfId="32780" xr:uid="{00000000-0005-0000-0000-000037370000}"/>
    <cellStyle name="Normal 22 3 3 5 3" xfId="23690" xr:uid="{00000000-0005-0000-0000-000038370000}"/>
    <cellStyle name="Normal 22 3 3 6" xfId="10064" xr:uid="{00000000-0005-0000-0000-000039370000}"/>
    <cellStyle name="Normal 22 3 3 6 2" xfId="28246" xr:uid="{00000000-0005-0000-0000-00003A370000}"/>
    <cellStyle name="Normal 22 3 3 7" xfId="19155" xr:uid="{00000000-0005-0000-0000-00003B370000}"/>
    <cellStyle name="Normal 22 3 4" xfId="858" xr:uid="{00000000-0005-0000-0000-00003C370000}"/>
    <cellStyle name="Normal 22 3 4 2" xfId="2320" xr:uid="{00000000-0005-0000-0000-00003D370000}"/>
    <cellStyle name="Normal 22 3 4 2 2" xfId="6906" xr:uid="{00000000-0005-0000-0000-00003E370000}"/>
    <cellStyle name="Normal 22 3 4 2 2 2" xfId="16006" xr:uid="{00000000-0005-0000-0000-00003F370000}"/>
    <cellStyle name="Normal 22 3 4 2 2 2 2" xfId="34188" xr:uid="{00000000-0005-0000-0000-000040370000}"/>
    <cellStyle name="Normal 22 3 4 2 2 3" xfId="25098" xr:uid="{00000000-0005-0000-0000-000041370000}"/>
    <cellStyle name="Normal 22 3 4 2 3" xfId="11470" xr:uid="{00000000-0005-0000-0000-000042370000}"/>
    <cellStyle name="Normal 22 3 4 2 3 2" xfId="29652" xr:uid="{00000000-0005-0000-0000-000043370000}"/>
    <cellStyle name="Normal 22 3 4 2 4" xfId="20562" xr:uid="{00000000-0005-0000-0000-000044370000}"/>
    <cellStyle name="Normal 22 3 4 3" xfId="3861" xr:uid="{00000000-0005-0000-0000-000045370000}"/>
    <cellStyle name="Normal 22 3 4 3 2" xfId="8417" xr:uid="{00000000-0005-0000-0000-000046370000}"/>
    <cellStyle name="Normal 22 3 4 3 2 2" xfId="17513" xr:uid="{00000000-0005-0000-0000-000047370000}"/>
    <cellStyle name="Normal 22 3 4 3 2 2 2" xfId="35695" xr:uid="{00000000-0005-0000-0000-000048370000}"/>
    <cellStyle name="Normal 22 3 4 3 2 3" xfId="26605" xr:uid="{00000000-0005-0000-0000-000049370000}"/>
    <cellStyle name="Normal 22 3 4 3 3" xfId="12973" xr:uid="{00000000-0005-0000-0000-00004A370000}"/>
    <cellStyle name="Normal 22 3 4 3 3 2" xfId="31155" xr:uid="{00000000-0005-0000-0000-00004B370000}"/>
    <cellStyle name="Normal 22 3 4 3 4" xfId="22065" xr:uid="{00000000-0005-0000-0000-00004C370000}"/>
    <cellStyle name="Normal 22 3 4 4" xfId="5500" xr:uid="{00000000-0005-0000-0000-00004D370000}"/>
    <cellStyle name="Normal 22 3 4 4 2" xfId="14600" xr:uid="{00000000-0005-0000-0000-00004E370000}"/>
    <cellStyle name="Normal 22 3 4 4 2 2" xfId="32782" xr:uid="{00000000-0005-0000-0000-00004F370000}"/>
    <cellStyle name="Normal 22 3 4 4 3" xfId="23692" xr:uid="{00000000-0005-0000-0000-000050370000}"/>
    <cellStyle name="Normal 22 3 4 5" xfId="10066" xr:uid="{00000000-0005-0000-0000-000051370000}"/>
    <cellStyle name="Normal 22 3 4 5 2" xfId="28248" xr:uid="{00000000-0005-0000-0000-000052370000}"/>
    <cellStyle name="Normal 22 3 4 6" xfId="19157" xr:uid="{00000000-0005-0000-0000-000053370000}"/>
    <cellStyle name="Normal 22 3 5" xfId="859" xr:uid="{00000000-0005-0000-0000-000054370000}"/>
    <cellStyle name="Normal 22 3 5 2" xfId="3862" xr:uid="{00000000-0005-0000-0000-000055370000}"/>
    <cellStyle name="Normal 22 3 5 2 2" xfId="8418" xr:uid="{00000000-0005-0000-0000-000056370000}"/>
    <cellStyle name="Normal 22 3 5 2 2 2" xfId="17514" xr:uid="{00000000-0005-0000-0000-000057370000}"/>
    <cellStyle name="Normal 22 3 5 2 2 2 2" xfId="35696" xr:uid="{00000000-0005-0000-0000-000058370000}"/>
    <cellStyle name="Normal 22 3 5 2 2 3" xfId="26606" xr:uid="{00000000-0005-0000-0000-000059370000}"/>
    <cellStyle name="Normal 22 3 5 2 3" xfId="12974" xr:uid="{00000000-0005-0000-0000-00005A370000}"/>
    <cellStyle name="Normal 22 3 5 2 3 2" xfId="31156" xr:uid="{00000000-0005-0000-0000-00005B370000}"/>
    <cellStyle name="Normal 22 3 5 2 4" xfId="22066" xr:uid="{00000000-0005-0000-0000-00005C370000}"/>
    <cellStyle name="Normal 22 3 5 3" xfId="5501" xr:uid="{00000000-0005-0000-0000-00005D370000}"/>
    <cellStyle name="Normal 22 3 5 3 2" xfId="14601" xr:uid="{00000000-0005-0000-0000-00005E370000}"/>
    <cellStyle name="Normal 22 3 5 3 2 2" xfId="32783" xr:uid="{00000000-0005-0000-0000-00005F370000}"/>
    <cellStyle name="Normal 22 3 5 3 3" xfId="23693" xr:uid="{00000000-0005-0000-0000-000060370000}"/>
    <cellStyle name="Normal 22 3 5 4" xfId="10067" xr:uid="{00000000-0005-0000-0000-000061370000}"/>
    <cellStyle name="Normal 22 3 5 4 2" xfId="28249" xr:uid="{00000000-0005-0000-0000-000062370000}"/>
    <cellStyle name="Normal 22 3 5 5" xfId="19158" xr:uid="{00000000-0005-0000-0000-000063370000}"/>
    <cellStyle name="Normal 22 3 6" xfId="2321" xr:uid="{00000000-0005-0000-0000-000064370000}"/>
    <cellStyle name="Normal 22 3 6 2" xfId="6907" xr:uid="{00000000-0005-0000-0000-000065370000}"/>
    <cellStyle name="Normal 22 3 6 2 2" xfId="16007" xr:uid="{00000000-0005-0000-0000-000066370000}"/>
    <cellStyle name="Normal 22 3 6 2 2 2" xfId="34189" xr:uid="{00000000-0005-0000-0000-000067370000}"/>
    <cellStyle name="Normal 22 3 6 2 3" xfId="25099" xr:uid="{00000000-0005-0000-0000-000068370000}"/>
    <cellStyle name="Normal 22 3 6 3" xfId="11471" xr:uid="{00000000-0005-0000-0000-000069370000}"/>
    <cellStyle name="Normal 22 3 6 3 2" xfId="29653" xr:uid="{00000000-0005-0000-0000-00006A370000}"/>
    <cellStyle name="Normal 22 3 6 4" xfId="20563" xr:uid="{00000000-0005-0000-0000-00006B370000}"/>
    <cellStyle name="Normal 22 3 7" xfId="3853" xr:uid="{00000000-0005-0000-0000-00006C370000}"/>
    <cellStyle name="Normal 22 3 7 2" xfId="8409" xr:uid="{00000000-0005-0000-0000-00006D370000}"/>
    <cellStyle name="Normal 22 3 7 2 2" xfId="17505" xr:uid="{00000000-0005-0000-0000-00006E370000}"/>
    <cellStyle name="Normal 22 3 7 2 2 2" xfId="35687" xr:uid="{00000000-0005-0000-0000-00006F370000}"/>
    <cellStyle name="Normal 22 3 7 2 3" xfId="26597" xr:uid="{00000000-0005-0000-0000-000070370000}"/>
    <cellStyle name="Normal 22 3 7 3" xfId="12965" xr:uid="{00000000-0005-0000-0000-000071370000}"/>
    <cellStyle name="Normal 22 3 7 3 2" xfId="31147" xr:uid="{00000000-0005-0000-0000-000072370000}"/>
    <cellStyle name="Normal 22 3 7 4" xfId="22057" xr:uid="{00000000-0005-0000-0000-000073370000}"/>
    <cellStyle name="Normal 22 3 8" xfId="5492" xr:uid="{00000000-0005-0000-0000-000074370000}"/>
    <cellStyle name="Normal 22 3 8 2" xfId="14592" xr:uid="{00000000-0005-0000-0000-000075370000}"/>
    <cellStyle name="Normal 22 3 8 2 2" xfId="32774" xr:uid="{00000000-0005-0000-0000-000076370000}"/>
    <cellStyle name="Normal 22 3 8 3" xfId="23684" xr:uid="{00000000-0005-0000-0000-000077370000}"/>
    <cellStyle name="Normal 22 3 9" xfId="10058" xr:uid="{00000000-0005-0000-0000-000078370000}"/>
    <cellStyle name="Normal 22 3 9 2" xfId="28240" xr:uid="{00000000-0005-0000-0000-000079370000}"/>
    <cellStyle name="Normal 22 4" xfId="860" xr:uid="{00000000-0005-0000-0000-00007A370000}"/>
    <cellStyle name="Normal 22 4 2" xfId="861" xr:uid="{00000000-0005-0000-0000-00007B370000}"/>
    <cellStyle name="Normal 22 4 2 2" xfId="862" xr:uid="{00000000-0005-0000-0000-00007C370000}"/>
    <cellStyle name="Normal 22 4 2 2 2" xfId="2322" xr:uid="{00000000-0005-0000-0000-00007D370000}"/>
    <cellStyle name="Normal 22 4 2 2 2 2" xfId="6908" xr:uid="{00000000-0005-0000-0000-00007E370000}"/>
    <cellStyle name="Normal 22 4 2 2 2 2 2" xfId="16008" xr:uid="{00000000-0005-0000-0000-00007F370000}"/>
    <cellStyle name="Normal 22 4 2 2 2 2 2 2" xfId="34190" xr:uid="{00000000-0005-0000-0000-000080370000}"/>
    <cellStyle name="Normal 22 4 2 2 2 2 3" xfId="25100" xr:uid="{00000000-0005-0000-0000-000081370000}"/>
    <cellStyle name="Normal 22 4 2 2 2 3" xfId="11472" xr:uid="{00000000-0005-0000-0000-000082370000}"/>
    <cellStyle name="Normal 22 4 2 2 2 3 2" xfId="29654" xr:uid="{00000000-0005-0000-0000-000083370000}"/>
    <cellStyle name="Normal 22 4 2 2 2 4" xfId="20564" xr:uid="{00000000-0005-0000-0000-000084370000}"/>
    <cellStyle name="Normal 22 4 2 2 3" xfId="3865" xr:uid="{00000000-0005-0000-0000-000085370000}"/>
    <cellStyle name="Normal 22 4 2 2 3 2" xfId="8421" xr:uid="{00000000-0005-0000-0000-000086370000}"/>
    <cellStyle name="Normal 22 4 2 2 3 2 2" xfId="17517" xr:uid="{00000000-0005-0000-0000-000087370000}"/>
    <cellStyle name="Normal 22 4 2 2 3 2 2 2" xfId="35699" xr:uid="{00000000-0005-0000-0000-000088370000}"/>
    <cellStyle name="Normal 22 4 2 2 3 2 3" xfId="26609" xr:uid="{00000000-0005-0000-0000-000089370000}"/>
    <cellStyle name="Normal 22 4 2 2 3 3" xfId="12977" xr:uid="{00000000-0005-0000-0000-00008A370000}"/>
    <cellStyle name="Normal 22 4 2 2 3 3 2" xfId="31159" xr:uid="{00000000-0005-0000-0000-00008B370000}"/>
    <cellStyle name="Normal 22 4 2 2 3 4" xfId="22069" xr:uid="{00000000-0005-0000-0000-00008C370000}"/>
    <cellStyle name="Normal 22 4 2 2 4" xfId="5504" xr:uid="{00000000-0005-0000-0000-00008D370000}"/>
    <cellStyle name="Normal 22 4 2 2 4 2" xfId="14604" xr:uid="{00000000-0005-0000-0000-00008E370000}"/>
    <cellStyle name="Normal 22 4 2 2 4 2 2" xfId="32786" xr:uid="{00000000-0005-0000-0000-00008F370000}"/>
    <cellStyle name="Normal 22 4 2 2 4 3" xfId="23696" xr:uid="{00000000-0005-0000-0000-000090370000}"/>
    <cellStyle name="Normal 22 4 2 2 5" xfId="10070" xr:uid="{00000000-0005-0000-0000-000091370000}"/>
    <cellStyle name="Normal 22 4 2 2 5 2" xfId="28252" xr:uid="{00000000-0005-0000-0000-000092370000}"/>
    <cellStyle name="Normal 22 4 2 2 6" xfId="19161" xr:uid="{00000000-0005-0000-0000-000093370000}"/>
    <cellStyle name="Normal 22 4 2 3" xfId="2323" xr:uid="{00000000-0005-0000-0000-000094370000}"/>
    <cellStyle name="Normal 22 4 2 3 2" xfId="6909" xr:uid="{00000000-0005-0000-0000-000095370000}"/>
    <cellStyle name="Normal 22 4 2 3 2 2" xfId="16009" xr:uid="{00000000-0005-0000-0000-000096370000}"/>
    <cellStyle name="Normal 22 4 2 3 2 2 2" xfId="34191" xr:uid="{00000000-0005-0000-0000-000097370000}"/>
    <cellStyle name="Normal 22 4 2 3 2 3" xfId="25101" xr:uid="{00000000-0005-0000-0000-000098370000}"/>
    <cellStyle name="Normal 22 4 2 3 3" xfId="11473" xr:uid="{00000000-0005-0000-0000-000099370000}"/>
    <cellStyle name="Normal 22 4 2 3 3 2" xfId="29655" xr:uid="{00000000-0005-0000-0000-00009A370000}"/>
    <cellStyle name="Normal 22 4 2 3 4" xfId="20565" xr:uid="{00000000-0005-0000-0000-00009B370000}"/>
    <cellStyle name="Normal 22 4 2 4" xfId="3864" xr:uid="{00000000-0005-0000-0000-00009C370000}"/>
    <cellStyle name="Normal 22 4 2 4 2" xfId="8420" xr:uid="{00000000-0005-0000-0000-00009D370000}"/>
    <cellStyle name="Normal 22 4 2 4 2 2" xfId="17516" xr:uid="{00000000-0005-0000-0000-00009E370000}"/>
    <cellStyle name="Normal 22 4 2 4 2 2 2" xfId="35698" xr:uid="{00000000-0005-0000-0000-00009F370000}"/>
    <cellStyle name="Normal 22 4 2 4 2 3" xfId="26608" xr:uid="{00000000-0005-0000-0000-0000A0370000}"/>
    <cellStyle name="Normal 22 4 2 4 3" xfId="12976" xr:uid="{00000000-0005-0000-0000-0000A1370000}"/>
    <cellStyle name="Normal 22 4 2 4 3 2" xfId="31158" xr:uid="{00000000-0005-0000-0000-0000A2370000}"/>
    <cellStyle name="Normal 22 4 2 4 4" xfId="22068" xr:uid="{00000000-0005-0000-0000-0000A3370000}"/>
    <cellStyle name="Normal 22 4 2 5" xfId="5503" xr:uid="{00000000-0005-0000-0000-0000A4370000}"/>
    <cellStyle name="Normal 22 4 2 5 2" xfId="14603" xr:uid="{00000000-0005-0000-0000-0000A5370000}"/>
    <cellStyle name="Normal 22 4 2 5 2 2" xfId="32785" xr:uid="{00000000-0005-0000-0000-0000A6370000}"/>
    <cellStyle name="Normal 22 4 2 5 3" xfId="23695" xr:uid="{00000000-0005-0000-0000-0000A7370000}"/>
    <cellStyle name="Normal 22 4 2 6" xfId="10069" xr:uid="{00000000-0005-0000-0000-0000A8370000}"/>
    <cellStyle name="Normal 22 4 2 6 2" xfId="28251" xr:uid="{00000000-0005-0000-0000-0000A9370000}"/>
    <cellStyle name="Normal 22 4 2 7" xfId="19160" xr:uid="{00000000-0005-0000-0000-0000AA370000}"/>
    <cellStyle name="Normal 22 4 3" xfId="863" xr:uid="{00000000-0005-0000-0000-0000AB370000}"/>
    <cellStyle name="Normal 22 4 3 2" xfId="2324" xr:uid="{00000000-0005-0000-0000-0000AC370000}"/>
    <cellStyle name="Normal 22 4 3 2 2" xfId="6910" xr:uid="{00000000-0005-0000-0000-0000AD370000}"/>
    <cellStyle name="Normal 22 4 3 2 2 2" xfId="16010" xr:uid="{00000000-0005-0000-0000-0000AE370000}"/>
    <cellStyle name="Normal 22 4 3 2 2 2 2" xfId="34192" xr:uid="{00000000-0005-0000-0000-0000AF370000}"/>
    <cellStyle name="Normal 22 4 3 2 2 3" xfId="25102" xr:uid="{00000000-0005-0000-0000-0000B0370000}"/>
    <cellStyle name="Normal 22 4 3 2 3" xfId="11474" xr:uid="{00000000-0005-0000-0000-0000B1370000}"/>
    <cellStyle name="Normal 22 4 3 2 3 2" xfId="29656" xr:uid="{00000000-0005-0000-0000-0000B2370000}"/>
    <cellStyle name="Normal 22 4 3 2 4" xfId="20566" xr:uid="{00000000-0005-0000-0000-0000B3370000}"/>
    <cellStyle name="Normal 22 4 3 3" xfId="3866" xr:uid="{00000000-0005-0000-0000-0000B4370000}"/>
    <cellStyle name="Normal 22 4 3 3 2" xfId="8422" xr:uid="{00000000-0005-0000-0000-0000B5370000}"/>
    <cellStyle name="Normal 22 4 3 3 2 2" xfId="17518" xr:uid="{00000000-0005-0000-0000-0000B6370000}"/>
    <cellStyle name="Normal 22 4 3 3 2 2 2" xfId="35700" xr:uid="{00000000-0005-0000-0000-0000B7370000}"/>
    <cellStyle name="Normal 22 4 3 3 2 3" xfId="26610" xr:uid="{00000000-0005-0000-0000-0000B8370000}"/>
    <cellStyle name="Normal 22 4 3 3 3" xfId="12978" xr:uid="{00000000-0005-0000-0000-0000B9370000}"/>
    <cellStyle name="Normal 22 4 3 3 3 2" xfId="31160" xr:uid="{00000000-0005-0000-0000-0000BA370000}"/>
    <cellStyle name="Normal 22 4 3 3 4" xfId="22070" xr:uid="{00000000-0005-0000-0000-0000BB370000}"/>
    <cellStyle name="Normal 22 4 3 4" xfId="5505" xr:uid="{00000000-0005-0000-0000-0000BC370000}"/>
    <cellStyle name="Normal 22 4 3 4 2" xfId="14605" xr:uid="{00000000-0005-0000-0000-0000BD370000}"/>
    <cellStyle name="Normal 22 4 3 4 2 2" xfId="32787" xr:uid="{00000000-0005-0000-0000-0000BE370000}"/>
    <cellStyle name="Normal 22 4 3 4 3" xfId="23697" xr:uid="{00000000-0005-0000-0000-0000BF370000}"/>
    <cellStyle name="Normal 22 4 3 5" xfId="10071" xr:uid="{00000000-0005-0000-0000-0000C0370000}"/>
    <cellStyle name="Normal 22 4 3 5 2" xfId="28253" xr:uid="{00000000-0005-0000-0000-0000C1370000}"/>
    <cellStyle name="Normal 22 4 3 6" xfId="19162" xr:uid="{00000000-0005-0000-0000-0000C2370000}"/>
    <cellStyle name="Normal 22 4 4" xfId="864" xr:uid="{00000000-0005-0000-0000-0000C3370000}"/>
    <cellStyle name="Normal 22 4 4 2" xfId="3867" xr:uid="{00000000-0005-0000-0000-0000C4370000}"/>
    <cellStyle name="Normal 22 4 4 2 2" xfId="8423" xr:uid="{00000000-0005-0000-0000-0000C5370000}"/>
    <cellStyle name="Normal 22 4 4 2 2 2" xfId="17519" xr:uid="{00000000-0005-0000-0000-0000C6370000}"/>
    <cellStyle name="Normal 22 4 4 2 2 2 2" xfId="35701" xr:uid="{00000000-0005-0000-0000-0000C7370000}"/>
    <cellStyle name="Normal 22 4 4 2 2 3" xfId="26611" xr:uid="{00000000-0005-0000-0000-0000C8370000}"/>
    <cellStyle name="Normal 22 4 4 2 3" xfId="12979" xr:uid="{00000000-0005-0000-0000-0000C9370000}"/>
    <cellStyle name="Normal 22 4 4 2 3 2" xfId="31161" xr:uid="{00000000-0005-0000-0000-0000CA370000}"/>
    <cellStyle name="Normal 22 4 4 2 4" xfId="22071" xr:uid="{00000000-0005-0000-0000-0000CB370000}"/>
    <cellStyle name="Normal 22 4 4 3" xfId="5506" xr:uid="{00000000-0005-0000-0000-0000CC370000}"/>
    <cellStyle name="Normal 22 4 4 3 2" xfId="14606" xr:uid="{00000000-0005-0000-0000-0000CD370000}"/>
    <cellStyle name="Normal 22 4 4 3 2 2" xfId="32788" xr:uid="{00000000-0005-0000-0000-0000CE370000}"/>
    <cellStyle name="Normal 22 4 4 3 3" xfId="23698" xr:uid="{00000000-0005-0000-0000-0000CF370000}"/>
    <cellStyle name="Normal 22 4 4 4" xfId="10072" xr:uid="{00000000-0005-0000-0000-0000D0370000}"/>
    <cellStyle name="Normal 22 4 4 4 2" xfId="28254" xr:uid="{00000000-0005-0000-0000-0000D1370000}"/>
    <cellStyle name="Normal 22 4 4 5" xfId="19163" xr:uid="{00000000-0005-0000-0000-0000D2370000}"/>
    <cellStyle name="Normal 22 4 5" xfId="2325" xr:uid="{00000000-0005-0000-0000-0000D3370000}"/>
    <cellStyle name="Normal 22 4 5 2" xfId="6911" xr:uid="{00000000-0005-0000-0000-0000D4370000}"/>
    <cellStyle name="Normal 22 4 5 2 2" xfId="16011" xr:uid="{00000000-0005-0000-0000-0000D5370000}"/>
    <cellStyle name="Normal 22 4 5 2 2 2" xfId="34193" xr:uid="{00000000-0005-0000-0000-0000D6370000}"/>
    <cellStyle name="Normal 22 4 5 2 3" xfId="25103" xr:uid="{00000000-0005-0000-0000-0000D7370000}"/>
    <cellStyle name="Normal 22 4 5 3" xfId="11475" xr:uid="{00000000-0005-0000-0000-0000D8370000}"/>
    <cellStyle name="Normal 22 4 5 3 2" xfId="29657" xr:uid="{00000000-0005-0000-0000-0000D9370000}"/>
    <cellStyle name="Normal 22 4 5 4" xfId="20567" xr:uid="{00000000-0005-0000-0000-0000DA370000}"/>
    <cellStyle name="Normal 22 4 6" xfId="3863" xr:uid="{00000000-0005-0000-0000-0000DB370000}"/>
    <cellStyle name="Normal 22 4 6 2" xfId="8419" xr:uid="{00000000-0005-0000-0000-0000DC370000}"/>
    <cellStyle name="Normal 22 4 6 2 2" xfId="17515" xr:uid="{00000000-0005-0000-0000-0000DD370000}"/>
    <cellStyle name="Normal 22 4 6 2 2 2" xfId="35697" xr:uid="{00000000-0005-0000-0000-0000DE370000}"/>
    <cellStyle name="Normal 22 4 6 2 3" xfId="26607" xr:uid="{00000000-0005-0000-0000-0000DF370000}"/>
    <cellStyle name="Normal 22 4 6 3" xfId="12975" xr:uid="{00000000-0005-0000-0000-0000E0370000}"/>
    <cellStyle name="Normal 22 4 6 3 2" xfId="31157" xr:uid="{00000000-0005-0000-0000-0000E1370000}"/>
    <cellStyle name="Normal 22 4 6 4" xfId="22067" xr:uid="{00000000-0005-0000-0000-0000E2370000}"/>
    <cellStyle name="Normal 22 4 7" xfId="5502" xr:uid="{00000000-0005-0000-0000-0000E3370000}"/>
    <cellStyle name="Normal 22 4 7 2" xfId="14602" xr:uid="{00000000-0005-0000-0000-0000E4370000}"/>
    <cellStyle name="Normal 22 4 7 2 2" xfId="32784" xr:uid="{00000000-0005-0000-0000-0000E5370000}"/>
    <cellStyle name="Normal 22 4 7 3" xfId="23694" xr:uid="{00000000-0005-0000-0000-0000E6370000}"/>
    <cellStyle name="Normal 22 4 8" xfId="10068" xr:uid="{00000000-0005-0000-0000-0000E7370000}"/>
    <cellStyle name="Normal 22 4 8 2" xfId="28250" xr:uid="{00000000-0005-0000-0000-0000E8370000}"/>
    <cellStyle name="Normal 22 4 9" xfId="19159" xr:uid="{00000000-0005-0000-0000-0000E9370000}"/>
    <cellStyle name="Normal 22 5" xfId="865" xr:uid="{00000000-0005-0000-0000-0000EA370000}"/>
    <cellStyle name="Normal 22 5 2" xfId="866" xr:uid="{00000000-0005-0000-0000-0000EB370000}"/>
    <cellStyle name="Normal 22 5 2 2" xfId="2326" xr:uid="{00000000-0005-0000-0000-0000EC370000}"/>
    <cellStyle name="Normal 22 5 2 2 2" xfId="6912" xr:uid="{00000000-0005-0000-0000-0000ED370000}"/>
    <cellStyle name="Normal 22 5 2 2 2 2" xfId="16012" xr:uid="{00000000-0005-0000-0000-0000EE370000}"/>
    <cellStyle name="Normal 22 5 2 2 2 2 2" xfId="34194" xr:uid="{00000000-0005-0000-0000-0000EF370000}"/>
    <cellStyle name="Normal 22 5 2 2 2 3" xfId="25104" xr:uid="{00000000-0005-0000-0000-0000F0370000}"/>
    <cellStyle name="Normal 22 5 2 2 3" xfId="11476" xr:uid="{00000000-0005-0000-0000-0000F1370000}"/>
    <cellStyle name="Normal 22 5 2 2 3 2" xfId="29658" xr:uid="{00000000-0005-0000-0000-0000F2370000}"/>
    <cellStyle name="Normal 22 5 2 2 4" xfId="20568" xr:uid="{00000000-0005-0000-0000-0000F3370000}"/>
    <cellStyle name="Normal 22 5 2 3" xfId="3869" xr:uid="{00000000-0005-0000-0000-0000F4370000}"/>
    <cellStyle name="Normal 22 5 2 3 2" xfId="8425" xr:uid="{00000000-0005-0000-0000-0000F5370000}"/>
    <cellStyle name="Normal 22 5 2 3 2 2" xfId="17521" xr:uid="{00000000-0005-0000-0000-0000F6370000}"/>
    <cellStyle name="Normal 22 5 2 3 2 2 2" xfId="35703" xr:uid="{00000000-0005-0000-0000-0000F7370000}"/>
    <cellStyle name="Normal 22 5 2 3 2 3" xfId="26613" xr:uid="{00000000-0005-0000-0000-0000F8370000}"/>
    <cellStyle name="Normal 22 5 2 3 3" xfId="12981" xr:uid="{00000000-0005-0000-0000-0000F9370000}"/>
    <cellStyle name="Normal 22 5 2 3 3 2" xfId="31163" xr:uid="{00000000-0005-0000-0000-0000FA370000}"/>
    <cellStyle name="Normal 22 5 2 3 4" xfId="22073" xr:uid="{00000000-0005-0000-0000-0000FB370000}"/>
    <cellStyle name="Normal 22 5 2 4" xfId="5508" xr:uid="{00000000-0005-0000-0000-0000FC370000}"/>
    <cellStyle name="Normal 22 5 2 4 2" xfId="14608" xr:uid="{00000000-0005-0000-0000-0000FD370000}"/>
    <cellStyle name="Normal 22 5 2 4 2 2" xfId="32790" xr:uid="{00000000-0005-0000-0000-0000FE370000}"/>
    <cellStyle name="Normal 22 5 2 4 3" xfId="23700" xr:uid="{00000000-0005-0000-0000-0000FF370000}"/>
    <cellStyle name="Normal 22 5 2 5" xfId="10074" xr:uid="{00000000-0005-0000-0000-000000380000}"/>
    <cellStyle name="Normal 22 5 2 5 2" xfId="28256" xr:uid="{00000000-0005-0000-0000-000001380000}"/>
    <cellStyle name="Normal 22 5 2 6" xfId="19165" xr:uid="{00000000-0005-0000-0000-000002380000}"/>
    <cellStyle name="Normal 22 5 3" xfId="2327" xr:uid="{00000000-0005-0000-0000-000003380000}"/>
    <cellStyle name="Normal 22 5 3 2" xfId="6913" xr:uid="{00000000-0005-0000-0000-000004380000}"/>
    <cellStyle name="Normal 22 5 3 2 2" xfId="16013" xr:uid="{00000000-0005-0000-0000-000005380000}"/>
    <cellStyle name="Normal 22 5 3 2 2 2" xfId="34195" xr:uid="{00000000-0005-0000-0000-000006380000}"/>
    <cellStyle name="Normal 22 5 3 2 3" xfId="25105" xr:uid="{00000000-0005-0000-0000-000007380000}"/>
    <cellStyle name="Normal 22 5 3 3" xfId="11477" xr:uid="{00000000-0005-0000-0000-000008380000}"/>
    <cellStyle name="Normal 22 5 3 3 2" xfId="29659" xr:uid="{00000000-0005-0000-0000-000009380000}"/>
    <cellStyle name="Normal 22 5 3 4" xfId="20569" xr:uid="{00000000-0005-0000-0000-00000A380000}"/>
    <cellStyle name="Normal 22 5 4" xfId="3868" xr:uid="{00000000-0005-0000-0000-00000B380000}"/>
    <cellStyle name="Normal 22 5 4 2" xfId="8424" xr:uid="{00000000-0005-0000-0000-00000C380000}"/>
    <cellStyle name="Normal 22 5 4 2 2" xfId="17520" xr:uid="{00000000-0005-0000-0000-00000D380000}"/>
    <cellStyle name="Normal 22 5 4 2 2 2" xfId="35702" xr:uid="{00000000-0005-0000-0000-00000E380000}"/>
    <cellStyle name="Normal 22 5 4 2 3" xfId="26612" xr:uid="{00000000-0005-0000-0000-00000F380000}"/>
    <cellStyle name="Normal 22 5 4 3" xfId="12980" xr:uid="{00000000-0005-0000-0000-000010380000}"/>
    <cellStyle name="Normal 22 5 4 3 2" xfId="31162" xr:uid="{00000000-0005-0000-0000-000011380000}"/>
    <cellStyle name="Normal 22 5 4 4" xfId="22072" xr:uid="{00000000-0005-0000-0000-000012380000}"/>
    <cellStyle name="Normal 22 5 5" xfId="5507" xr:uid="{00000000-0005-0000-0000-000013380000}"/>
    <cellStyle name="Normal 22 5 5 2" xfId="14607" xr:uid="{00000000-0005-0000-0000-000014380000}"/>
    <cellStyle name="Normal 22 5 5 2 2" xfId="32789" xr:uid="{00000000-0005-0000-0000-000015380000}"/>
    <cellStyle name="Normal 22 5 5 3" xfId="23699" xr:uid="{00000000-0005-0000-0000-000016380000}"/>
    <cellStyle name="Normal 22 5 6" xfId="10073" xr:uid="{00000000-0005-0000-0000-000017380000}"/>
    <cellStyle name="Normal 22 5 6 2" xfId="28255" xr:uid="{00000000-0005-0000-0000-000018380000}"/>
    <cellStyle name="Normal 22 5 7" xfId="19164" xr:uid="{00000000-0005-0000-0000-000019380000}"/>
    <cellStyle name="Normal 22 6" xfId="867" xr:uid="{00000000-0005-0000-0000-00001A380000}"/>
    <cellStyle name="Normal 22 6 2" xfId="2328" xr:uid="{00000000-0005-0000-0000-00001B380000}"/>
    <cellStyle name="Normal 22 6 2 2" xfId="6914" xr:uid="{00000000-0005-0000-0000-00001C380000}"/>
    <cellStyle name="Normal 22 6 2 2 2" xfId="16014" xr:uid="{00000000-0005-0000-0000-00001D380000}"/>
    <cellStyle name="Normal 22 6 2 2 2 2" xfId="34196" xr:uid="{00000000-0005-0000-0000-00001E380000}"/>
    <cellStyle name="Normal 22 6 2 2 3" xfId="25106" xr:uid="{00000000-0005-0000-0000-00001F380000}"/>
    <cellStyle name="Normal 22 6 2 3" xfId="11478" xr:uid="{00000000-0005-0000-0000-000020380000}"/>
    <cellStyle name="Normal 22 6 2 3 2" xfId="29660" xr:uid="{00000000-0005-0000-0000-000021380000}"/>
    <cellStyle name="Normal 22 6 2 4" xfId="20570" xr:uid="{00000000-0005-0000-0000-000022380000}"/>
    <cellStyle name="Normal 22 6 3" xfId="3870" xr:uid="{00000000-0005-0000-0000-000023380000}"/>
    <cellStyle name="Normal 22 6 3 2" xfId="8426" xr:uid="{00000000-0005-0000-0000-000024380000}"/>
    <cellStyle name="Normal 22 6 3 2 2" xfId="17522" xr:uid="{00000000-0005-0000-0000-000025380000}"/>
    <cellStyle name="Normal 22 6 3 2 2 2" xfId="35704" xr:uid="{00000000-0005-0000-0000-000026380000}"/>
    <cellStyle name="Normal 22 6 3 2 3" xfId="26614" xr:uid="{00000000-0005-0000-0000-000027380000}"/>
    <cellStyle name="Normal 22 6 3 3" xfId="12982" xr:uid="{00000000-0005-0000-0000-000028380000}"/>
    <cellStyle name="Normal 22 6 3 3 2" xfId="31164" xr:uid="{00000000-0005-0000-0000-000029380000}"/>
    <cellStyle name="Normal 22 6 3 4" xfId="22074" xr:uid="{00000000-0005-0000-0000-00002A380000}"/>
    <cellStyle name="Normal 22 6 4" xfId="5509" xr:uid="{00000000-0005-0000-0000-00002B380000}"/>
    <cellStyle name="Normal 22 6 4 2" xfId="14609" xr:uid="{00000000-0005-0000-0000-00002C380000}"/>
    <cellStyle name="Normal 22 6 4 2 2" xfId="32791" xr:uid="{00000000-0005-0000-0000-00002D380000}"/>
    <cellStyle name="Normal 22 6 4 3" xfId="23701" xr:uid="{00000000-0005-0000-0000-00002E380000}"/>
    <cellStyle name="Normal 22 6 5" xfId="10075" xr:uid="{00000000-0005-0000-0000-00002F380000}"/>
    <cellStyle name="Normal 22 6 5 2" xfId="28257" xr:uid="{00000000-0005-0000-0000-000030380000}"/>
    <cellStyle name="Normal 22 6 6" xfId="19166" xr:uid="{00000000-0005-0000-0000-000031380000}"/>
    <cellStyle name="Normal 22 7" xfId="868" xr:uid="{00000000-0005-0000-0000-000032380000}"/>
    <cellStyle name="Normal 22 7 2" xfId="3871" xr:uid="{00000000-0005-0000-0000-000033380000}"/>
    <cellStyle name="Normal 22 7 2 2" xfId="8427" xr:uid="{00000000-0005-0000-0000-000034380000}"/>
    <cellStyle name="Normal 22 7 2 2 2" xfId="17523" xr:uid="{00000000-0005-0000-0000-000035380000}"/>
    <cellStyle name="Normal 22 7 2 2 2 2" xfId="35705" xr:uid="{00000000-0005-0000-0000-000036380000}"/>
    <cellStyle name="Normal 22 7 2 2 3" xfId="26615" xr:uid="{00000000-0005-0000-0000-000037380000}"/>
    <cellStyle name="Normal 22 7 2 3" xfId="12983" xr:uid="{00000000-0005-0000-0000-000038380000}"/>
    <cellStyle name="Normal 22 7 2 3 2" xfId="31165" xr:uid="{00000000-0005-0000-0000-000039380000}"/>
    <cellStyle name="Normal 22 7 2 4" xfId="22075" xr:uid="{00000000-0005-0000-0000-00003A380000}"/>
    <cellStyle name="Normal 22 7 3" xfId="5510" xr:uid="{00000000-0005-0000-0000-00003B380000}"/>
    <cellStyle name="Normal 22 7 3 2" xfId="14610" xr:uid="{00000000-0005-0000-0000-00003C380000}"/>
    <cellStyle name="Normal 22 7 3 2 2" xfId="32792" xr:uid="{00000000-0005-0000-0000-00003D380000}"/>
    <cellStyle name="Normal 22 7 3 3" xfId="23702" xr:uid="{00000000-0005-0000-0000-00003E380000}"/>
    <cellStyle name="Normal 22 7 4" xfId="10076" xr:uid="{00000000-0005-0000-0000-00003F380000}"/>
    <cellStyle name="Normal 22 7 4 2" xfId="28258" xr:uid="{00000000-0005-0000-0000-000040380000}"/>
    <cellStyle name="Normal 22 7 5" xfId="19167" xr:uid="{00000000-0005-0000-0000-000041380000}"/>
    <cellStyle name="Normal 22 8" xfId="2329" xr:uid="{00000000-0005-0000-0000-000042380000}"/>
    <cellStyle name="Normal 22 8 2" xfId="6915" xr:uid="{00000000-0005-0000-0000-000043380000}"/>
    <cellStyle name="Normal 22 8 2 2" xfId="16015" xr:uid="{00000000-0005-0000-0000-000044380000}"/>
    <cellStyle name="Normal 22 8 2 2 2" xfId="34197" xr:uid="{00000000-0005-0000-0000-000045380000}"/>
    <cellStyle name="Normal 22 8 2 3" xfId="25107" xr:uid="{00000000-0005-0000-0000-000046380000}"/>
    <cellStyle name="Normal 22 8 3" xfId="11479" xr:uid="{00000000-0005-0000-0000-000047380000}"/>
    <cellStyle name="Normal 22 8 3 2" xfId="29661" xr:uid="{00000000-0005-0000-0000-000048380000}"/>
    <cellStyle name="Normal 22 8 4" xfId="20571" xr:uid="{00000000-0005-0000-0000-000049380000}"/>
    <cellStyle name="Normal 22 9" xfId="3224" xr:uid="{00000000-0005-0000-0000-00004A380000}"/>
    <cellStyle name="Normal 22 9 2" xfId="7784" xr:uid="{00000000-0005-0000-0000-00004B380000}"/>
    <cellStyle name="Normal 22 9 2 2" xfId="16880" xr:uid="{00000000-0005-0000-0000-00004C380000}"/>
    <cellStyle name="Normal 22 9 2 2 2" xfId="35062" xr:uid="{00000000-0005-0000-0000-00004D380000}"/>
    <cellStyle name="Normal 22 9 2 3" xfId="25972" xr:uid="{00000000-0005-0000-0000-00004E380000}"/>
    <cellStyle name="Normal 22 9 3" xfId="12340" xr:uid="{00000000-0005-0000-0000-00004F380000}"/>
    <cellStyle name="Normal 22 9 3 2" xfId="30522" xr:uid="{00000000-0005-0000-0000-000050380000}"/>
    <cellStyle name="Normal 22 9 4" xfId="21432" xr:uid="{00000000-0005-0000-0000-000051380000}"/>
    <cellStyle name="Normal 23" xfId="150" xr:uid="{00000000-0005-0000-0000-000052380000}"/>
    <cellStyle name="Normal 23 10" xfId="9440" xr:uid="{00000000-0005-0000-0000-000053380000}"/>
    <cellStyle name="Normal 23 10 2" xfId="27622" xr:uid="{00000000-0005-0000-0000-000054380000}"/>
    <cellStyle name="Normal 23 11" xfId="18531" xr:uid="{00000000-0005-0000-0000-000055380000}"/>
    <cellStyle name="Normal 23 2" xfId="869" xr:uid="{00000000-0005-0000-0000-000056380000}"/>
    <cellStyle name="Normal 23 2 10" xfId="19168" xr:uid="{00000000-0005-0000-0000-000057380000}"/>
    <cellStyle name="Normal 23 2 2" xfId="870" xr:uid="{00000000-0005-0000-0000-000058380000}"/>
    <cellStyle name="Normal 23 2 2 2" xfId="871" xr:uid="{00000000-0005-0000-0000-000059380000}"/>
    <cellStyle name="Normal 23 2 2 2 2" xfId="872" xr:uid="{00000000-0005-0000-0000-00005A380000}"/>
    <cellStyle name="Normal 23 2 2 2 2 2" xfId="2330" xr:uid="{00000000-0005-0000-0000-00005B380000}"/>
    <cellStyle name="Normal 23 2 2 2 2 2 2" xfId="6916" xr:uid="{00000000-0005-0000-0000-00005C380000}"/>
    <cellStyle name="Normal 23 2 2 2 2 2 2 2" xfId="16016" xr:uid="{00000000-0005-0000-0000-00005D380000}"/>
    <cellStyle name="Normal 23 2 2 2 2 2 2 2 2" xfId="34198" xr:uid="{00000000-0005-0000-0000-00005E380000}"/>
    <cellStyle name="Normal 23 2 2 2 2 2 2 3" xfId="25108" xr:uid="{00000000-0005-0000-0000-00005F380000}"/>
    <cellStyle name="Normal 23 2 2 2 2 2 3" xfId="11480" xr:uid="{00000000-0005-0000-0000-000060380000}"/>
    <cellStyle name="Normal 23 2 2 2 2 2 3 2" xfId="29662" xr:uid="{00000000-0005-0000-0000-000061380000}"/>
    <cellStyle name="Normal 23 2 2 2 2 2 4" xfId="20572" xr:uid="{00000000-0005-0000-0000-000062380000}"/>
    <cellStyle name="Normal 23 2 2 2 2 3" xfId="3875" xr:uid="{00000000-0005-0000-0000-000063380000}"/>
    <cellStyle name="Normal 23 2 2 2 2 3 2" xfId="8431" xr:uid="{00000000-0005-0000-0000-000064380000}"/>
    <cellStyle name="Normal 23 2 2 2 2 3 2 2" xfId="17527" xr:uid="{00000000-0005-0000-0000-000065380000}"/>
    <cellStyle name="Normal 23 2 2 2 2 3 2 2 2" xfId="35709" xr:uid="{00000000-0005-0000-0000-000066380000}"/>
    <cellStyle name="Normal 23 2 2 2 2 3 2 3" xfId="26619" xr:uid="{00000000-0005-0000-0000-000067380000}"/>
    <cellStyle name="Normal 23 2 2 2 2 3 3" xfId="12987" xr:uid="{00000000-0005-0000-0000-000068380000}"/>
    <cellStyle name="Normal 23 2 2 2 2 3 3 2" xfId="31169" xr:uid="{00000000-0005-0000-0000-000069380000}"/>
    <cellStyle name="Normal 23 2 2 2 2 3 4" xfId="22079" xr:uid="{00000000-0005-0000-0000-00006A380000}"/>
    <cellStyle name="Normal 23 2 2 2 2 4" xfId="5514" xr:uid="{00000000-0005-0000-0000-00006B380000}"/>
    <cellStyle name="Normal 23 2 2 2 2 4 2" xfId="14614" xr:uid="{00000000-0005-0000-0000-00006C380000}"/>
    <cellStyle name="Normal 23 2 2 2 2 4 2 2" xfId="32796" xr:uid="{00000000-0005-0000-0000-00006D380000}"/>
    <cellStyle name="Normal 23 2 2 2 2 4 3" xfId="23706" xr:uid="{00000000-0005-0000-0000-00006E380000}"/>
    <cellStyle name="Normal 23 2 2 2 2 5" xfId="10080" xr:uid="{00000000-0005-0000-0000-00006F380000}"/>
    <cellStyle name="Normal 23 2 2 2 2 5 2" xfId="28262" xr:uid="{00000000-0005-0000-0000-000070380000}"/>
    <cellStyle name="Normal 23 2 2 2 2 6" xfId="19171" xr:uid="{00000000-0005-0000-0000-000071380000}"/>
    <cellStyle name="Normal 23 2 2 2 3" xfId="2331" xr:uid="{00000000-0005-0000-0000-000072380000}"/>
    <cellStyle name="Normal 23 2 2 2 3 2" xfId="6917" xr:uid="{00000000-0005-0000-0000-000073380000}"/>
    <cellStyle name="Normal 23 2 2 2 3 2 2" xfId="16017" xr:uid="{00000000-0005-0000-0000-000074380000}"/>
    <cellStyle name="Normal 23 2 2 2 3 2 2 2" xfId="34199" xr:uid="{00000000-0005-0000-0000-000075380000}"/>
    <cellStyle name="Normal 23 2 2 2 3 2 3" xfId="25109" xr:uid="{00000000-0005-0000-0000-000076380000}"/>
    <cellStyle name="Normal 23 2 2 2 3 3" xfId="11481" xr:uid="{00000000-0005-0000-0000-000077380000}"/>
    <cellStyle name="Normal 23 2 2 2 3 3 2" xfId="29663" xr:uid="{00000000-0005-0000-0000-000078380000}"/>
    <cellStyle name="Normal 23 2 2 2 3 4" xfId="20573" xr:uid="{00000000-0005-0000-0000-000079380000}"/>
    <cellStyle name="Normal 23 2 2 2 4" xfId="3874" xr:uid="{00000000-0005-0000-0000-00007A380000}"/>
    <cellStyle name="Normal 23 2 2 2 4 2" xfId="8430" xr:uid="{00000000-0005-0000-0000-00007B380000}"/>
    <cellStyle name="Normal 23 2 2 2 4 2 2" xfId="17526" xr:uid="{00000000-0005-0000-0000-00007C380000}"/>
    <cellStyle name="Normal 23 2 2 2 4 2 2 2" xfId="35708" xr:uid="{00000000-0005-0000-0000-00007D380000}"/>
    <cellStyle name="Normal 23 2 2 2 4 2 3" xfId="26618" xr:uid="{00000000-0005-0000-0000-00007E380000}"/>
    <cellStyle name="Normal 23 2 2 2 4 3" xfId="12986" xr:uid="{00000000-0005-0000-0000-00007F380000}"/>
    <cellStyle name="Normal 23 2 2 2 4 3 2" xfId="31168" xr:uid="{00000000-0005-0000-0000-000080380000}"/>
    <cellStyle name="Normal 23 2 2 2 4 4" xfId="22078" xr:uid="{00000000-0005-0000-0000-000081380000}"/>
    <cellStyle name="Normal 23 2 2 2 5" xfId="5513" xr:uid="{00000000-0005-0000-0000-000082380000}"/>
    <cellStyle name="Normal 23 2 2 2 5 2" xfId="14613" xr:uid="{00000000-0005-0000-0000-000083380000}"/>
    <cellStyle name="Normal 23 2 2 2 5 2 2" xfId="32795" xr:uid="{00000000-0005-0000-0000-000084380000}"/>
    <cellStyle name="Normal 23 2 2 2 5 3" xfId="23705" xr:uid="{00000000-0005-0000-0000-000085380000}"/>
    <cellStyle name="Normal 23 2 2 2 6" xfId="10079" xr:uid="{00000000-0005-0000-0000-000086380000}"/>
    <cellStyle name="Normal 23 2 2 2 6 2" xfId="28261" xr:uid="{00000000-0005-0000-0000-000087380000}"/>
    <cellStyle name="Normal 23 2 2 2 7" xfId="19170" xr:uid="{00000000-0005-0000-0000-000088380000}"/>
    <cellStyle name="Normal 23 2 2 3" xfId="873" xr:uid="{00000000-0005-0000-0000-000089380000}"/>
    <cellStyle name="Normal 23 2 2 3 2" xfId="2332" xr:uid="{00000000-0005-0000-0000-00008A380000}"/>
    <cellStyle name="Normal 23 2 2 3 2 2" xfId="6918" xr:uid="{00000000-0005-0000-0000-00008B380000}"/>
    <cellStyle name="Normal 23 2 2 3 2 2 2" xfId="16018" xr:uid="{00000000-0005-0000-0000-00008C380000}"/>
    <cellStyle name="Normal 23 2 2 3 2 2 2 2" xfId="34200" xr:uid="{00000000-0005-0000-0000-00008D380000}"/>
    <cellStyle name="Normal 23 2 2 3 2 2 3" xfId="25110" xr:uid="{00000000-0005-0000-0000-00008E380000}"/>
    <cellStyle name="Normal 23 2 2 3 2 3" xfId="11482" xr:uid="{00000000-0005-0000-0000-00008F380000}"/>
    <cellStyle name="Normal 23 2 2 3 2 3 2" xfId="29664" xr:uid="{00000000-0005-0000-0000-000090380000}"/>
    <cellStyle name="Normal 23 2 2 3 2 4" xfId="20574" xr:uid="{00000000-0005-0000-0000-000091380000}"/>
    <cellStyle name="Normal 23 2 2 3 3" xfId="3876" xr:uid="{00000000-0005-0000-0000-000092380000}"/>
    <cellStyle name="Normal 23 2 2 3 3 2" xfId="8432" xr:uid="{00000000-0005-0000-0000-000093380000}"/>
    <cellStyle name="Normal 23 2 2 3 3 2 2" xfId="17528" xr:uid="{00000000-0005-0000-0000-000094380000}"/>
    <cellStyle name="Normal 23 2 2 3 3 2 2 2" xfId="35710" xr:uid="{00000000-0005-0000-0000-000095380000}"/>
    <cellStyle name="Normal 23 2 2 3 3 2 3" xfId="26620" xr:uid="{00000000-0005-0000-0000-000096380000}"/>
    <cellStyle name="Normal 23 2 2 3 3 3" xfId="12988" xr:uid="{00000000-0005-0000-0000-000097380000}"/>
    <cellStyle name="Normal 23 2 2 3 3 3 2" xfId="31170" xr:uid="{00000000-0005-0000-0000-000098380000}"/>
    <cellStyle name="Normal 23 2 2 3 3 4" xfId="22080" xr:uid="{00000000-0005-0000-0000-000099380000}"/>
    <cellStyle name="Normal 23 2 2 3 4" xfId="5515" xr:uid="{00000000-0005-0000-0000-00009A380000}"/>
    <cellStyle name="Normal 23 2 2 3 4 2" xfId="14615" xr:uid="{00000000-0005-0000-0000-00009B380000}"/>
    <cellStyle name="Normal 23 2 2 3 4 2 2" xfId="32797" xr:uid="{00000000-0005-0000-0000-00009C380000}"/>
    <cellStyle name="Normal 23 2 2 3 4 3" xfId="23707" xr:uid="{00000000-0005-0000-0000-00009D380000}"/>
    <cellStyle name="Normal 23 2 2 3 5" xfId="10081" xr:uid="{00000000-0005-0000-0000-00009E380000}"/>
    <cellStyle name="Normal 23 2 2 3 5 2" xfId="28263" xr:uid="{00000000-0005-0000-0000-00009F380000}"/>
    <cellStyle name="Normal 23 2 2 3 6" xfId="19172" xr:uid="{00000000-0005-0000-0000-0000A0380000}"/>
    <cellStyle name="Normal 23 2 2 4" xfId="874" xr:uid="{00000000-0005-0000-0000-0000A1380000}"/>
    <cellStyle name="Normal 23 2 2 4 2" xfId="3877" xr:uid="{00000000-0005-0000-0000-0000A2380000}"/>
    <cellStyle name="Normal 23 2 2 4 2 2" xfId="8433" xr:uid="{00000000-0005-0000-0000-0000A3380000}"/>
    <cellStyle name="Normal 23 2 2 4 2 2 2" xfId="17529" xr:uid="{00000000-0005-0000-0000-0000A4380000}"/>
    <cellStyle name="Normal 23 2 2 4 2 2 2 2" xfId="35711" xr:uid="{00000000-0005-0000-0000-0000A5380000}"/>
    <cellStyle name="Normal 23 2 2 4 2 2 3" xfId="26621" xr:uid="{00000000-0005-0000-0000-0000A6380000}"/>
    <cellStyle name="Normal 23 2 2 4 2 3" xfId="12989" xr:uid="{00000000-0005-0000-0000-0000A7380000}"/>
    <cellStyle name="Normal 23 2 2 4 2 3 2" xfId="31171" xr:uid="{00000000-0005-0000-0000-0000A8380000}"/>
    <cellStyle name="Normal 23 2 2 4 2 4" xfId="22081" xr:uid="{00000000-0005-0000-0000-0000A9380000}"/>
    <cellStyle name="Normal 23 2 2 4 3" xfId="5516" xr:uid="{00000000-0005-0000-0000-0000AA380000}"/>
    <cellStyle name="Normal 23 2 2 4 3 2" xfId="14616" xr:uid="{00000000-0005-0000-0000-0000AB380000}"/>
    <cellStyle name="Normal 23 2 2 4 3 2 2" xfId="32798" xr:uid="{00000000-0005-0000-0000-0000AC380000}"/>
    <cellStyle name="Normal 23 2 2 4 3 3" xfId="23708" xr:uid="{00000000-0005-0000-0000-0000AD380000}"/>
    <cellStyle name="Normal 23 2 2 4 4" xfId="10082" xr:uid="{00000000-0005-0000-0000-0000AE380000}"/>
    <cellStyle name="Normal 23 2 2 4 4 2" xfId="28264" xr:uid="{00000000-0005-0000-0000-0000AF380000}"/>
    <cellStyle name="Normal 23 2 2 4 5" xfId="19173" xr:uid="{00000000-0005-0000-0000-0000B0380000}"/>
    <cellStyle name="Normal 23 2 2 5" xfId="2333" xr:uid="{00000000-0005-0000-0000-0000B1380000}"/>
    <cellStyle name="Normal 23 2 2 5 2" xfId="6919" xr:uid="{00000000-0005-0000-0000-0000B2380000}"/>
    <cellStyle name="Normal 23 2 2 5 2 2" xfId="16019" xr:uid="{00000000-0005-0000-0000-0000B3380000}"/>
    <cellStyle name="Normal 23 2 2 5 2 2 2" xfId="34201" xr:uid="{00000000-0005-0000-0000-0000B4380000}"/>
    <cellStyle name="Normal 23 2 2 5 2 3" xfId="25111" xr:uid="{00000000-0005-0000-0000-0000B5380000}"/>
    <cellStyle name="Normal 23 2 2 5 3" xfId="11483" xr:uid="{00000000-0005-0000-0000-0000B6380000}"/>
    <cellStyle name="Normal 23 2 2 5 3 2" xfId="29665" xr:uid="{00000000-0005-0000-0000-0000B7380000}"/>
    <cellStyle name="Normal 23 2 2 5 4" xfId="20575" xr:uid="{00000000-0005-0000-0000-0000B8380000}"/>
    <cellStyle name="Normal 23 2 2 6" xfId="3873" xr:uid="{00000000-0005-0000-0000-0000B9380000}"/>
    <cellStyle name="Normal 23 2 2 6 2" xfId="8429" xr:uid="{00000000-0005-0000-0000-0000BA380000}"/>
    <cellStyle name="Normal 23 2 2 6 2 2" xfId="17525" xr:uid="{00000000-0005-0000-0000-0000BB380000}"/>
    <cellStyle name="Normal 23 2 2 6 2 2 2" xfId="35707" xr:uid="{00000000-0005-0000-0000-0000BC380000}"/>
    <cellStyle name="Normal 23 2 2 6 2 3" xfId="26617" xr:uid="{00000000-0005-0000-0000-0000BD380000}"/>
    <cellStyle name="Normal 23 2 2 6 3" xfId="12985" xr:uid="{00000000-0005-0000-0000-0000BE380000}"/>
    <cellStyle name="Normal 23 2 2 6 3 2" xfId="31167" xr:uid="{00000000-0005-0000-0000-0000BF380000}"/>
    <cellStyle name="Normal 23 2 2 6 4" xfId="22077" xr:uid="{00000000-0005-0000-0000-0000C0380000}"/>
    <cellStyle name="Normal 23 2 2 7" xfId="5512" xr:uid="{00000000-0005-0000-0000-0000C1380000}"/>
    <cellStyle name="Normal 23 2 2 7 2" xfId="14612" xr:uid="{00000000-0005-0000-0000-0000C2380000}"/>
    <cellStyle name="Normal 23 2 2 7 2 2" xfId="32794" xr:uid="{00000000-0005-0000-0000-0000C3380000}"/>
    <cellStyle name="Normal 23 2 2 7 3" xfId="23704" xr:uid="{00000000-0005-0000-0000-0000C4380000}"/>
    <cellStyle name="Normal 23 2 2 8" xfId="10078" xr:uid="{00000000-0005-0000-0000-0000C5380000}"/>
    <cellStyle name="Normal 23 2 2 8 2" xfId="28260" xr:uid="{00000000-0005-0000-0000-0000C6380000}"/>
    <cellStyle name="Normal 23 2 2 9" xfId="19169" xr:uid="{00000000-0005-0000-0000-0000C7380000}"/>
    <cellStyle name="Normal 23 2 3" xfId="875" xr:uid="{00000000-0005-0000-0000-0000C8380000}"/>
    <cellStyle name="Normal 23 2 3 2" xfId="876" xr:uid="{00000000-0005-0000-0000-0000C9380000}"/>
    <cellStyle name="Normal 23 2 3 2 2" xfId="2334" xr:uid="{00000000-0005-0000-0000-0000CA380000}"/>
    <cellStyle name="Normal 23 2 3 2 2 2" xfId="6920" xr:uid="{00000000-0005-0000-0000-0000CB380000}"/>
    <cellStyle name="Normal 23 2 3 2 2 2 2" xfId="16020" xr:uid="{00000000-0005-0000-0000-0000CC380000}"/>
    <cellStyle name="Normal 23 2 3 2 2 2 2 2" xfId="34202" xr:uid="{00000000-0005-0000-0000-0000CD380000}"/>
    <cellStyle name="Normal 23 2 3 2 2 2 3" xfId="25112" xr:uid="{00000000-0005-0000-0000-0000CE380000}"/>
    <cellStyle name="Normal 23 2 3 2 2 3" xfId="11484" xr:uid="{00000000-0005-0000-0000-0000CF380000}"/>
    <cellStyle name="Normal 23 2 3 2 2 3 2" xfId="29666" xr:uid="{00000000-0005-0000-0000-0000D0380000}"/>
    <cellStyle name="Normal 23 2 3 2 2 4" xfId="20576" xr:uid="{00000000-0005-0000-0000-0000D1380000}"/>
    <cellStyle name="Normal 23 2 3 2 3" xfId="3879" xr:uid="{00000000-0005-0000-0000-0000D2380000}"/>
    <cellStyle name="Normal 23 2 3 2 3 2" xfId="8435" xr:uid="{00000000-0005-0000-0000-0000D3380000}"/>
    <cellStyle name="Normal 23 2 3 2 3 2 2" xfId="17531" xr:uid="{00000000-0005-0000-0000-0000D4380000}"/>
    <cellStyle name="Normal 23 2 3 2 3 2 2 2" xfId="35713" xr:uid="{00000000-0005-0000-0000-0000D5380000}"/>
    <cellStyle name="Normal 23 2 3 2 3 2 3" xfId="26623" xr:uid="{00000000-0005-0000-0000-0000D6380000}"/>
    <cellStyle name="Normal 23 2 3 2 3 3" xfId="12991" xr:uid="{00000000-0005-0000-0000-0000D7380000}"/>
    <cellStyle name="Normal 23 2 3 2 3 3 2" xfId="31173" xr:uid="{00000000-0005-0000-0000-0000D8380000}"/>
    <cellStyle name="Normal 23 2 3 2 3 4" xfId="22083" xr:uid="{00000000-0005-0000-0000-0000D9380000}"/>
    <cellStyle name="Normal 23 2 3 2 4" xfId="5518" xr:uid="{00000000-0005-0000-0000-0000DA380000}"/>
    <cellStyle name="Normal 23 2 3 2 4 2" xfId="14618" xr:uid="{00000000-0005-0000-0000-0000DB380000}"/>
    <cellStyle name="Normal 23 2 3 2 4 2 2" xfId="32800" xr:uid="{00000000-0005-0000-0000-0000DC380000}"/>
    <cellStyle name="Normal 23 2 3 2 4 3" xfId="23710" xr:uid="{00000000-0005-0000-0000-0000DD380000}"/>
    <cellStyle name="Normal 23 2 3 2 5" xfId="10084" xr:uid="{00000000-0005-0000-0000-0000DE380000}"/>
    <cellStyle name="Normal 23 2 3 2 5 2" xfId="28266" xr:uid="{00000000-0005-0000-0000-0000DF380000}"/>
    <cellStyle name="Normal 23 2 3 2 6" xfId="19175" xr:uid="{00000000-0005-0000-0000-0000E0380000}"/>
    <cellStyle name="Normal 23 2 3 3" xfId="2335" xr:uid="{00000000-0005-0000-0000-0000E1380000}"/>
    <cellStyle name="Normal 23 2 3 3 2" xfId="6921" xr:uid="{00000000-0005-0000-0000-0000E2380000}"/>
    <cellStyle name="Normal 23 2 3 3 2 2" xfId="16021" xr:uid="{00000000-0005-0000-0000-0000E3380000}"/>
    <cellStyle name="Normal 23 2 3 3 2 2 2" xfId="34203" xr:uid="{00000000-0005-0000-0000-0000E4380000}"/>
    <cellStyle name="Normal 23 2 3 3 2 3" xfId="25113" xr:uid="{00000000-0005-0000-0000-0000E5380000}"/>
    <cellStyle name="Normal 23 2 3 3 3" xfId="11485" xr:uid="{00000000-0005-0000-0000-0000E6380000}"/>
    <cellStyle name="Normal 23 2 3 3 3 2" xfId="29667" xr:uid="{00000000-0005-0000-0000-0000E7380000}"/>
    <cellStyle name="Normal 23 2 3 3 4" xfId="20577" xr:uid="{00000000-0005-0000-0000-0000E8380000}"/>
    <cellStyle name="Normal 23 2 3 4" xfId="3878" xr:uid="{00000000-0005-0000-0000-0000E9380000}"/>
    <cellStyle name="Normal 23 2 3 4 2" xfId="8434" xr:uid="{00000000-0005-0000-0000-0000EA380000}"/>
    <cellStyle name="Normal 23 2 3 4 2 2" xfId="17530" xr:uid="{00000000-0005-0000-0000-0000EB380000}"/>
    <cellStyle name="Normal 23 2 3 4 2 2 2" xfId="35712" xr:uid="{00000000-0005-0000-0000-0000EC380000}"/>
    <cellStyle name="Normal 23 2 3 4 2 3" xfId="26622" xr:uid="{00000000-0005-0000-0000-0000ED380000}"/>
    <cellStyle name="Normal 23 2 3 4 3" xfId="12990" xr:uid="{00000000-0005-0000-0000-0000EE380000}"/>
    <cellStyle name="Normal 23 2 3 4 3 2" xfId="31172" xr:uid="{00000000-0005-0000-0000-0000EF380000}"/>
    <cellStyle name="Normal 23 2 3 4 4" xfId="22082" xr:uid="{00000000-0005-0000-0000-0000F0380000}"/>
    <cellStyle name="Normal 23 2 3 5" xfId="5517" xr:uid="{00000000-0005-0000-0000-0000F1380000}"/>
    <cellStyle name="Normal 23 2 3 5 2" xfId="14617" xr:uid="{00000000-0005-0000-0000-0000F2380000}"/>
    <cellStyle name="Normal 23 2 3 5 2 2" xfId="32799" xr:uid="{00000000-0005-0000-0000-0000F3380000}"/>
    <cellStyle name="Normal 23 2 3 5 3" xfId="23709" xr:uid="{00000000-0005-0000-0000-0000F4380000}"/>
    <cellStyle name="Normal 23 2 3 6" xfId="10083" xr:uid="{00000000-0005-0000-0000-0000F5380000}"/>
    <cellStyle name="Normal 23 2 3 6 2" xfId="28265" xr:uid="{00000000-0005-0000-0000-0000F6380000}"/>
    <cellStyle name="Normal 23 2 3 7" xfId="19174" xr:uid="{00000000-0005-0000-0000-0000F7380000}"/>
    <cellStyle name="Normal 23 2 4" xfId="877" xr:uid="{00000000-0005-0000-0000-0000F8380000}"/>
    <cellStyle name="Normal 23 2 4 2" xfId="2336" xr:uid="{00000000-0005-0000-0000-0000F9380000}"/>
    <cellStyle name="Normal 23 2 4 2 2" xfId="6922" xr:uid="{00000000-0005-0000-0000-0000FA380000}"/>
    <cellStyle name="Normal 23 2 4 2 2 2" xfId="16022" xr:uid="{00000000-0005-0000-0000-0000FB380000}"/>
    <cellStyle name="Normal 23 2 4 2 2 2 2" xfId="34204" xr:uid="{00000000-0005-0000-0000-0000FC380000}"/>
    <cellStyle name="Normal 23 2 4 2 2 3" xfId="25114" xr:uid="{00000000-0005-0000-0000-0000FD380000}"/>
    <cellStyle name="Normal 23 2 4 2 3" xfId="11486" xr:uid="{00000000-0005-0000-0000-0000FE380000}"/>
    <cellStyle name="Normal 23 2 4 2 3 2" xfId="29668" xr:uid="{00000000-0005-0000-0000-0000FF380000}"/>
    <cellStyle name="Normal 23 2 4 2 4" xfId="20578" xr:uid="{00000000-0005-0000-0000-000000390000}"/>
    <cellStyle name="Normal 23 2 4 3" xfId="3880" xr:uid="{00000000-0005-0000-0000-000001390000}"/>
    <cellStyle name="Normal 23 2 4 3 2" xfId="8436" xr:uid="{00000000-0005-0000-0000-000002390000}"/>
    <cellStyle name="Normal 23 2 4 3 2 2" xfId="17532" xr:uid="{00000000-0005-0000-0000-000003390000}"/>
    <cellStyle name="Normal 23 2 4 3 2 2 2" xfId="35714" xr:uid="{00000000-0005-0000-0000-000004390000}"/>
    <cellStyle name="Normal 23 2 4 3 2 3" xfId="26624" xr:uid="{00000000-0005-0000-0000-000005390000}"/>
    <cellStyle name="Normal 23 2 4 3 3" xfId="12992" xr:uid="{00000000-0005-0000-0000-000006390000}"/>
    <cellStyle name="Normal 23 2 4 3 3 2" xfId="31174" xr:uid="{00000000-0005-0000-0000-000007390000}"/>
    <cellStyle name="Normal 23 2 4 3 4" xfId="22084" xr:uid="{00000000-0005-0000-0000-000008390000}"/>
    <cellStyle name="Normal 23 2 4 4" xfId="5519" xr:uid="{00000000-0005-0000-0000-000009390000}"/>
    <cellStyle name="Normal 23 2 4 4 2" xfId="14619" xr:uid="{00000000-0005-0000-0000-00000A390000}"/>
    <cellStyle name="Normal 23 2 4 4 2 2" xfId="32801" xr:uid="{00000000-0005-0000-0000-00000B390000}"/>
    <cellStyle name="Normal 23 2 4 4 3" xfId="23711" xr:uid="{00000000-0005-0000-0000-00000C390000}"/>
    <cellStyle name="Normal 23 2 4 5" xfId="10085" xr:uid="{00000000-0005-0000-0000-00000D390000}"/>
    <cellStyle name="Normal 23 2 4 5 2" xfId="28267" xr:uid="{00000000-0005-0000-0000-00000E390000}"/>
    <cellStyle name="Normal 23 2 4 6" xfId="19176" xr:uid="{00000000-0005-0000-0000-00000F390000}"/>
    <cellStyle name="Normal 23 2 5" xfId="878" xr:uid="{00000000-0005-0000-0000-000010390000}"/>
    <cellStyle name="Normal 23 2 5 2" xfId="3881" xr:uid="{00000000-0005-0000-0000-000011390000}"/>
    <cellStyle name="Normal 23 2 5 2 2" xfId="8437" xr:uid="{00000000-0005-0000-0000-000012390000}"/>
    <cellStyle name="Normal 23 2 5 2 2 2" xfId="17533" xr:uid="{00000000-0005-0000-0000-000013390000}"/>
    <cellStyle name="Normal 23 2 5 2 2 2 2" xfId="35715" xr:uid="{00000000-0005-0000-0000-000014390000}"/>
    <cellStyle name="Normal 23 2 5 2 2 3" xfId="26625" xr:uid="{00000000-0005-0000-0000-000015390000}"/>
    <cellStyle name="Normal 23 2 5 2 3" xfId="12993" xr:uid="{00000000-0005-0000-0000-000016390000}"/>
    <cellStyle name="Normal 23 2 5 2 3 2" xfId="31175" xr:uid="{00000000-0005-0000-0000-000017390000}"/>
    <cellStyle name="Normal 23 2 5 2 4" xfId="22085" xr:uid="{00000000-0005-0000-0000-000018390000}"/>
    <cellStyle name="Normal 23 2 5 3" xfId="5520" xr:uid="{00000000-0005-0000-0000-000019390000}"/>
    <cellStyle name="Normal 23 2 5 3 2" xfId="14620" xr:uid="{00000000-0005-0000-0000-00001A390000}"/>
    <cellStyle name="Normal 23 2 5 3 2 2" xfId="32802" xr:uid="{00000000-0005-0000-0000-00001B390000}"/>
    <cellStyle name="Normal 23 2 5 3 3" xfId="23712" xr:uid="{00000000-0005-0000-0000-00001C390000}"/>
    <cellStyle name="Normal 23 2 5 4" xfId="10086" xr:uid="{00000000-0005-0000-0000-00001D390000}"/>
    <cellStyle name="Normal 23 2 5 4 2" xfId="28268" xr:uid="{00000000-0005-0000-0000-00001E390000}"/>
    <cellStyle name="Normal 23 2 5 5" xfId="19177" xr:uid="{00000000-0005-0000-0000-00001F390000}"/>
    <cellStyle name="Normal 23 2 6" xfId="2337" xr:uid="{00000000-0005-0000-0000-000020390000}"/>
    <cellStyle name="Normal 23 2 6 2" xfId="6923" xr:uid="{00000000-0005-0000-0000-000021390000}"/>
    <cellStyle name="Normal 23 2 6 2 2" xfId="16023" xr:uid="{00000000-0005-0000-0000-000022390000}"/>
    <cellStyle name="Normal 23 2 6 2 2 2" xfId="34205" xr:uid="{00000000-0005-0000-0000-000023390000}"/>
    <cellStyle name="Normal 23 2 6 2 3" xfId="25115" xr:uid="{00000000-0005-0000-0000-000024390000}"/>
    <cellStyle name="Normal 23 2 6 3" xfId="11487" xr:uid="{00000000-0005-0000-0000-000025390000}"/>
    <cellStyle name="Normal 23 2 6 3 2" xfId="29669" xr:uid="{00000000-0005-0000-0000-000026390000}"/>
    <cellStyle name="Normal 23 2 6 4" xfId="20579" xr:uid="{00000000-0005-0000-0000-000027390000}"/>
    <cellStyle name="Normal 23 2 7" xfId="3872" xr:uid="{00000000-0005-0000-0000-000028390000}"/>
    <cellStyle name="Normal 23 2 7 2" xfId="8428" xr:uid="{00000000-0005-0000-0000-000029390000}"/>
    <cellStyle name="Normal 23 2 7 2 2" xfId="17524" xr:uid="{00000000-0005-0000-0000-00002A390000}"/>
    <cellStyle name="Normal 23 2 7 2 2 2" xfId="35706" xr:uid="{00000000-0005-0000-0000-00002B390000}"/>
    <cellStyle name="Normal 23 2 7 2 3" xfId="26616" xr:uid="{00000000-0005-0000-0000-00002C390000}"/>
    <cellStyle name="Normal 23 2 7 3" xfId="12984" xr:uid="{00000000-0005-0000-0000-00002D390000}"/>
    <cellStyle name="Normal 23 2 7 3 2" xfId="31166" xr:uid="{00000000-0005-0000-0000-00002E390000}"/>
    <cellStyle name="Normal 23 2 7 4" xfId="22076" xr:uid="{00000000-0005-0000-0000-00002F390000}"/>
    <cellStyle name="Normal 23 2 8" xfId="5511" xr:uid="{00000000-0005-0000-0000-000030390000}"/>
    <cellStyle name="Normal 23 2 8 2" xfId="14611" xr:uid="{00000000-0005-0000-0000-000031390000}"/>
    <cellStyle name="Normal 23 2 8 2 2" xfId="32793" xr:uid="{00000000-0005-0000-0000-000032390000}"/>
    <cellStyle name="Normal 23 2 8 3" xfId="23703" xr:uid="{00000000-0005-0000-0000-000033390000}"/>
    <cellStyle name="Normal 23 2 9" xfId="10077" xr:uid="{00000000-0005-0000-0000-000034390000}"/>
    <cellStyle name="Normal 23 2 9 2" xfId="28259" xr:uid="{00000000-0005-0000-0000-000035390000}"/>
    <cellStyle name="Normal 23 3" xfId="879" xr:uid="{00000000-0005-0000-0000-000036390000}"/>
    <cellStyle name="Normal 23 3 2" xfId="880" xr:uid="{00000000-0005-0000-0000-000037390000}"/>
    <cellStyle name="Normal 23 3 2 2" xfId="881" xr:uid="{00000000-0005-0000-0000-000038390000}"/>
    <cellStyle name="Normal 23 3 2 2 2" xfId="2338" xr:uid="{00000000-0005-0000-0000-000039390000}"/>
    <cellStyle name="Normal 23 3 2 2 2 2" xfId="6924" xr:uid="{00000000-0005-0000-0000-00003A390000}"/>
    <cellStyle name="Normal 23 3 2 2 2 2 2" xfId="16024" xr:uid="{00000000-0005-0000-0000-00003B390000}"/>
    <cellStyle name="Normal 23 3 2 2 2 2 2 2" xfId="34206" xr:uid="{00000000-0005-0000-0000-00003C390000}"/>
    <cellStyle name="Normal 23 3 2 2 2 2 3" xfId="25116" xr:uid="{00000000-0005-0000-0000-00003D390000}"/>
    <cellStyle name="Normal 23 3 2 2 2 3" xfId="11488" xr:uid="{00000000-0005-0000-0000-00003E390000}"/>
    <cellStyle name="Normal 23 3 2 2 2 3 2" xfId="29670" xr:uid="{00000000-0005-0000-0000-00003F390000}"/>
    <cellStyle name="Normal 23 3 2 2 2 4" xfId="20580" xr:uid="{00000000-0005-0000-0000-000040390000}"/>
    <cellStyle name="Normal 23 3 2 2 3" xfId="3884" xr:uid="{00000000-0005-0000-0000-000041390000}"/>
    <cellStyle name="Normal 23 3 2 2 3 2" xfId="8440" xr:uid="{00000000-0005-0000-0000-000042390000}"/>
    <cellStyle name="Normal 23 3 2 2 3 2 2" xfId="17536" xr:uid="{00000000-0005-0000-0000-000043390000}"/>
    <cellStyle name="Normal 23 3 2 2 3 2 2 2" xfId="35718" xr:uid="{00000000-0005-0000-0000-000044390000}"/>
    <cellStyle name="Normal 23 3 2 2 3 2 3" xfId="26628" xr:uid="{00000000-0005-0000-0000-000045390000}"/>
    <cellStyle name="Normal 23 3 2 2 3 3" xfId="12996" xr:uid="{00000000-0005-0000-0000-000046390000}"/>
    <cellStyle name="Normal 23 3 2 2 3 3 2" xfId="31178" xr:uid="{00000000-0005-0000-0000-000047390000}"/>
    <cellStyle name="Normal 23 3 2 2 3 4" xfId="22088" xr:uid="{00000000-0005-0000-0000-000048390000}"/>
    <cellStyle name="Normal 23 3 2 2 4" xfId="5523" xr:uid="{00000000-0005-0000-0000-000049390000}"/>
    <cellStyle name="Normal 23 3 2 2 4 2" xfId="14623" xr:uid="{00000000-0005-0000-0000-00004A390000}"/>
    <cellStyle name="Normal 23 3 2 2 4 2 2" xfId="32805" xr:uid="{00000000-0005-0000-0000-00004B390000}"/>
    <cellStyle name="Normal 23 3 2 2 4 3" xfId="23715" xr:uid="{00000000-0005-0000-0000-00004C390000}"/>
    <cellStyle name="Normal 23 3 2 2 5" xfId="10089" xr:uid="{00000000-0005-0000-0000-00004D390000}"/>
    <cellStyle name="Normal 23 3 2 2 5 2" xfId="28271" xr:uid="{00000000-0005-0000-0000-00004E390000}"/>
    <cellStyle name="Normal 23 3 2 2 6" xfId="19180" xr:uid="{00000000-0005-0000-0000-00004F390000}"/>
    <cellStyle name="Normal 23 3 2 3" xfId="2339" xr:uid="{00000000-0005-0000-0000-000050390000}"/>
    <cellStyle name="Normal 23 3 2 3 2" xfId="6925" xr:uid="{00000000-0005-0000-0000-000051390000}"/>
    <cellStyle name="Normal 23 3 2 3 2 2" xfId="16025" xr:uid="{00000000-0005-0000-0000-000052390000}"/>
    <cellStyle name="Normal 23 3 2 3 2 2 2" xfId="34207" xr:uid="{00000000-0005-0000-0000-000053390000}"/>
    <cellStyle name="Normal 23 3 2 3 2 3" xfId="25117" xr:uid="{00000000-0005-0000-0000-000054390000}"/>
    <cellStyle name="Normal 23 3 2 3 3" xfId="11489" xr:uid="{00000000-0005-0000-0000-000055390000}"/>
    <cellStyle name="Normal 23 3 2 3 3 2" xfId="29671" xr:uid="{00000000-0005-0000-0000-000056390000}"/>
    <cellStyle name="Normal 23 3 2 3 4" xfId="20581" xr:uid="{00000000-0005-0000-0000-000057390000}"/>
    <cellStyle name="Normal 23 3 2 4" xfId="3883" xr:uid="{00000000-0005-0000-0000-000058390000}"/>
    <cellStyle name="Normal 23 3 2 4 2" xfId="8439" xr:uid="{00000000-0005-0000-0000-000059390000}"/>
    <cellStyle name="Normal 23 3 2 4 2 2" xfId="17535" xr:uid="{00000000-0005-0000-0000-00005A390000}"/>
    <cellStyle name="Normal 23 3 2 4 2 2 2" xfId="35717" xr:uid="{00000000-0005-0000-0000-00005B390000}"/>
    <cellStyle name="Normal 23 3 2 4 2 3" xfId="26627" xr:uid="{00000000-0005-0000-0000-00005C390000}"/>
    <cellStyle name="Normal 23 3 2 4 3" xfId="12995" xr:uid="{00000000-0005-0000-0000-00005D390000}"/>
    <cellStyle name="Normal 23 3 2 4 3 2" xfId="31177" xr:uid="{00000000-0005-0000-0000-00005E390000}"/>
    <cellStyle name="Normal 23 3 2 4 4" xfId="22087" xr:uid="{00000000-0005-0000-0000-00005F390000}"/>
    <cellStyle name="Normal 23 3 2 5" xfId="5522" xr:uid="{00000000-0005-0000-0000-000060390000}"/>
    <cellStyle name="Normal 23 3 2 5 2" xfId="14622" xr:uid="{00000000-0005-0000-0000-000061390000}"/>
    <cellStyle name="Normal 23 3 2 5 2 2" xfId="32804" xr:uid="{00000000-0005-0000-0000-000062390000}"/>
    <cellStyle name="Normal 23 3 2 5 3" xfId="23714" xr:uid="{00000000-0005-0000-0000-000063390000}"/>
    <cellStyle name="Normal 23 3 2 6" xfId="10088" xr:uid="{00000000-0005-0000-0000-000064390000}"/>
    <cellStyle name="Normal 23 3 2 6 2" xfId="28270" xr:uid="{00000000-0005-0000-0000-000065390000}"/>
    <cellStyle name="Normal 23 3 2 7" xfId="19179" xr:uid="{00000000-0005-0000-0000-000066390000}"/>
    <cellStyle name="Normal 23 3 3" xfId="882" xr:uid="{00000000-0005-0000-0000-000067390000}"/>
    <cellStyle name="Normal 23 3 3 2" xfId="2340" xr:uid="{00000000-0005-0000-0000-000068390000}"/>
    <cellStyle name="Normal 23 3 3 2 2" xfId="6926" xr:uid="{00000000-0005-0000-0000-000069390000}"/>
    <cellStyle name="Normal 23 3 3 2 2 2" xfId="16026" xr:uid="{00000000-0005-0000-0000-00006A390000}"/>
    <cellStyle name="Normal 23 3 3 2 2 2 2" xfId="34208" xr:uid="{00000000-0005-0000-0000-00006B390000}"/>
    <cellStyle name="Normal 23 3 3 2 2 3" xfId="25118" xr:uid="{00000000-0005-0000-0000-00006C390000}"/>
    <cellStyle name="Normal 23 3 3 2 3" xfId="11490" xr:uid="{00000000-0005-0000-0000-00006D390000}"/>
    <cellStyle name="Normal 23 3 3 2 3 2" xfId="29672" xr:uid="{00000000-0005-0000-0000-00006E390000}"/>
    <cellStyle name="Normal 23 3 3 2 4" xfId="20582" xr:uid="{00000000-0005-0000-0000-00006F390000}"/>
    <cellStyle name="Normal 23 3 3 3" xfId="3885" xr:uid="{00000000-0005-0000-0000-000070390000}"/>
    <cellStyle name="Normal 23 3 3 3 2" xfId="8441" xr:uid="{00000000-0005-0000-0000-000071390000}"/>
    <cellStyle name="Normal 23 3 3 3 2 2" xfId="17537" xr:uid="{00000000-0005-0000-0000-000072390000}"/>
    <cellStyle name="Normal 23 3 3 3 2 2 2" xfId="35719" xr:uid="{00000000-0005-0000-0000-000073390000}"/>
    <cellStyle name="Normal 23 3 3 3 2 3" xfId="26629" xr:uid="{00000000-0005-0000-0000-000074390000}"/>
    <cellStyle name="Normal 23 3 3 3 3" xfId="12997" xr:uid="{00000000-0005-0000-0000-000075390000}"/>
    <cellStyle name="Normal 23 3 3 3 3 2" xfId="31179" xr:uid="{00000000-0005-0000-0000-000076390000}"/>
    <cellStyle name="Normal 23 3 3 3 4" xfId="22089" xr:uid="{00000000-0005-0000-0000-000077390000}"/>
    <cellStyle name="Normal 23 3 3 4" xfId="5524" xr:uid="{00000000-0005-0000-0000-000078390000}"/>
    <cellStyle name="Normal 23 3 3 4 2" xfId="14624" xr:uid="{00000000-0005-0000-0000-000079390000}"/>
    <cellStyle name="Normal 23 3 3 4 2 2" xfId="32806" xr:uid="{00000000-0005-0000-0000-00007A390000}"/>
    <cellStyle name="Normal 23 3 3 4 3" xfId="23716" xr:uid="{00000000-0005-0000-0000-00007B390000}"/>
    <cellStyle name="Normal 23 3 3 5" xfId="10090" xr:uid="{00000000-0005-0000-0000-00007C390000}"/>
    <cellStyle name="Normal 23 3 3 5 2" xfId="28272" xr:uid="{00000000-0005-0000-0000-00007D390000}"/>
    <cellStyle name="Normal 23 3 3 6" xfId="19181" xr:uid="{00000000-0005-0000-0000-00007E390000}"/>
    <cellStyle name="Normal 23 3 4" xfId="883" xr:uid="{00000000-0005-0000-0000-00007F390000}"/>
    <cellStyle name="Normal 23 3 4 2" xfId="3886" xr:uid="{00000000-0005-0000-0000-000080390000}"/>
    <cellStyle name="Normal 23 3 4 2 2" xfId="8442" xr:uid="{00000000-0005-0000-0000-000081390000}"/>
    <cellStyle name="Normal 23 3 4 2 2 2" xfId="17538" xr:uid="{00000000-0005-0000-0000-000082390000}"/>
    <cellStyle name="Normal 23 3 4 2 2 2 2" xfId="35720" xr:uid="{00000000-0005-0000-0000-000083390000}"/>
    <cellStyle name="Normal 23 3 4 2 2 3" xfId="26630" xr:uid="{00000000-0005-0000-0000-000084390000}"/>
    <cellStyle name="Normal 23 3 4 2 3" xfId="12998" xr:uid="{00000000-0005-0000-0000-000085390000}"/>
    <cellStyle name="Normal 23 3 4 2 3 2" xfId="31180" xr:uid="{00000000-0005-0000-0000-000086390000}"/>
    <cellStyle name="Normal 23 3 4 2 4" xfId="22090" xr:uid="{00000000-0005-0000-0000-000087390000}"/>
    <cellStyle name="Normal 23 3 4 3" xfId="5525" xr:uid="{00000000-0005-0000-0000-000088390000}"/>
    <cellStyle name="Normal 23 3 4 3 2" xfId="14625" xr:uid="{00000000-0005-0000-0000-000089390000}"/>
    <cellStyle name="Normal 23 3 4 3 2 2" xfId="32807" xr:uid="{00000000-0005-0000-0000-00008A390000}"/>
    <cellStyle name="Normal 23 3 4 3 3" xfId="23717" xr:uid="{00000000-0005-0000-0000-00008B390000}"/>
    <cellStyle name="Normal 23 3 4 4" xfId="10091" xr:uid="{00000000-0005-0000-0000-00008C390000}"/>
    <cellStyle name="Normal 23 3 4 4 2" xfId="28273" xr:uid="{00000000-0005-0000-0000-00008D390000}"/>
    <cellStyle name="Normal 23 3 4 5" xfId="19182" xr:uid="{00000000-0005-0000-0000-00008E390000}"/>
    <cellStyle name="Normal 23 3 5" xfId="2341" xr:uid="{00000000-0005-0000-0000-00008F390000}"/>
    <cellStyle name="Normal 23 3 5 2" xfId="6927" xr:uid="{00000000-0005-0000-0000-000090390000}"/>
    <cellStyle name="Normal 23 3 5 2 2" xfId="16027" xr:uid="{00000000-0005-0000-0000-000091390000}"/>
    <cellStyle name="Normal 23 3 5 2 2 2" xfId="34209" xr:uid="{00000000-0005-0000-0000-000092390000}"/>
    <cellStyle name="Normal 23 3 5 2 3" xfId="25119" xr:uid="{00000000-0005-0000-0000-000093390000}"/>
    <cellStyle name="Normal 23 3 5 3" xfId="11491" xr:uid="{00000000-0005-0000-0000-000094390000}"/>
    <cellStyle name="Normal 23 3 5 3 2" xfId="29673" xr:uid="{00000000-0005-0000-0000-000095390000}"/>
    <cellStyle name="Normal 23 3 5 4" xfId="20583" xr:uid="{00000000-0005-0000-0000-000096390000}"/>
    <cellStyle name="Normal 23 3 6" xfId="3882" xr:uid="{00000000-0005-0000-0000-000097390000}"/>
    <cellStyle name="Normal 23 3 6 2" xfId="8438" xr:uid="{00000000-0005-0000-0000-000098390000}"/>
    <cellStyle name="Normal 23 3 6 2 2" xfId="17534" xr:uid="{00000000-0005-0000-0000-000099390000}"/>
    <cellStyle name="Normal 23 3 6 2 2 2" xfId="35716" xr:uid="{00000000-0005-0000-0000-00009A390000}"/>
    <cellStyle name="Normal 23 3 6 2 3" xfId="26626" xr:uid="{00000000-0005-0000-0000-00009B390000}"/>
    <cellStyle name="Normal 23 3 6 3" xfId="12994" xr:uid="{00000000-0005-0000-0000-00009C390000}"/>
    <cellStyle name="Normal 23 3 6 3 2" xfId="31176" xr:uid="{00000000-0005-0000-0000-00009D390000}"/>
    <cellStyle name="Normal 23 3 6 4" xfId="22086" xr:uid="{00000000-0005-0000-0000-00009E390000}"/>
    <cellStyle name="Normal 23 3 7" xfId="5521" xr:uid="{00000000-0005-0000-0000-00009F390000}"/>
    <cellStyle name="Normal 23 3 7 2" xfId="14621" xr:uid="{00000000-0005-0000-0000-0000A0390000}"/>
    <cellStyle name="Normal 23 3 7 2 2" xfId="32803" xr:uid="{00000000-0005-0000-0000-0000A1390000}"/>
    <cellStyle name="Normal 23 3 7 3" xfId="23713" xr:uid="{00000000-0005-0000-0000-0000A2390000}"/>
    <cellStyle name="Normal 23 3 8" xfId="10087" xr:uid="{00000000-0005-0000-0000-0000A3390000}"/>
    <cellStyle name="Normal 23 3 8 2" xfId="28269" xr:uid="{00000000-0005-0000-0000-0000A4390000}"/>
    <cellStyle name="Normal 23 3 9" xfId="19178" xr:uid="{00000000-0005-0000-0000-0000A5390000}"/>
    <cellStyle name="Normal 23 4" xfId="884" xr:uid="{00000000-0005-0000-0000-0000A6390000}"/>
    <cellStyle name="Normal 23 4 2" xfId="885" xr:uid="{00000000-0005-0000-0000-0000A7390000}"/>
    <cellStyle name="Normal 23 4 2 2" xfId="2342" xr:uid="{00000000-0005-0000-0000-0000A8390000}"/>
    <cellStyle name="Normal 23 4 2 2 2" xfId="6928" xr:uid="{00000000-0005-0000-0000-0000A9390000}"/>
    <cellStyle name="Normal 23 4 2 2 2 2" xfId="16028" xr:uid="{00000000-0005-0000-0000-0000AA390000}"/>
    <cellStyle name="Normal 23 4 2 2 2 2 2" xfId="34210" xr:uid="{00000000-0005-0000-0000-0000AB390000}"/>
    <cellStyle name="Normal 23 4 2 2 2 3" xfId="25120" xr:uid="{00000000-0005-0000-0000-0000AC390000}"/>
    <cellStyle name="Normal 23 4 2 2 3" xfId="11492" xr:uid="{00000000-0005-0000-0000-0000AD390000}"/>
    <cellStyle name="Normal 23 4 2 2 3 2" xfId="29674" xr:uid="{00000000-0005-0000-0000-0000AE390000}"/>
    <cellStyle name="Normal 23 4 2 2 4" xfId="20584" xr:uid="{00000000-0005-0000-0000-0000AF390000}"/>
    <cellStyle name="Normal 23 4 2 3" xfId="3888" xr:uid="{00000000-0005-0000-0000-0000B0390000}"/>
    <cellStyle name="Normal 23 4 2 3 2" xfId="8444" xr:uid="{00000000-0005-0000-0000-0000B1390000}"/>
    <cellStyle name="Normal 23 4 2 3 2 2" xfId="17540" xr:uid="{00000000-0005-0000-0000-0000B2390000}"/>
    <cellStyle name="Normal 23 4 2 3 2 2 2" xfId="35722" xr:uid="{00000000-0005-0000-0000-0000B3390000}"/>
    <cellStyle name="Normal 23 4 2 3 2 3" xfId="26632" xr:uid="{00000000-0005-0000-0000-0000B4390000}"/>
    <cellStyle name="Normal 23 4 2 3 3" xfId="13000" xr:uid="{00000000-0005-0000-0000-0000B5390000}"/>
    <cellStyle name="Normal 23 4 2 3 3 2" xfId="31182" xr:uid="{00000000-0005-0000-0000-0000B6390000}"/>
    <cellStyle name="Normal 23 4 2 3 4" xfId="22092" xr:uid="{00000000-0005-0000-0000-0000B7390000}"/>
    <cellStyle name="Normal 23 4 2 4" xfId="5527" xr:uid="{00000000-0005-0000-0000-0000B8390000}"/>
    <cellStyle name="Normal 23 4 2 4 2" xfId="14627" xr:uid="{00000000-0005-0000-0000-0000B9390000}"/>
    <cellStyle name="Normal 23 4 2 4 2 2" xfId="32809" xr:uid="{00000000-0005-0000-0000-0000BA390000}"/>
    <cellStyle name="Normal 23 4 2 4 3" xfId="23719" xr:uid="{00000000-0005-0000-0000-0000BB390000}"/>
    <cellStyle name="Normal 23 4 2 5" xfId="10093" xr:uid="{00000000-0005-0000-0000-0000BC390000}"/>
    <cellStyle name="Normal 23 4 2 5 2" xfId="28275" xr:uid="{00000000-0005-0000-0000-0000BD390000}"/>
    <cellStyle name="Normal 23 4 2 6" xfId="19184" xr:uid="{00000000-0005-0000-0000-0000BE390000}"/>
    <cellStyle name="Normal 23 4 3" xfId="2343" xr:uid="{00000000-0005-0000-0000-0000BF390000}"/>
    <cellStyle name="Normal 23 4 3 2" xfId="6929" xr:uid="{00000000-0005-0000-0000-0000C0390000}"/>
    <cellStyle name="Normal 23 4 3 2 2" xfId="16029" xr:uid="{00000000-0005-0000-0000-0000C1390000}"/>
    <cellStyle name="Normal 23 4 3 2 2 2" xfId="34211" xr:uid="{00000000-0005-0000-0000-0000C2390000}"/>
    <cellStyle name="Normal 23 4 3 2 3" xfId="25121" xr:uid="{00000000-0005-0000-0000-0000C3390000}"/>
    <cellStyle name="Normal 23 4 3 3" xfId="11493" xr:uid="{00000000-0005-0000-0000-0000C4390000}"/>
    <cellStyle name="Normal 23 4 3 3 2" xfId="29675" xr:uid="{00000000-0005-0000-0000-0000C5390000}"/>
    <cellStyle name="Normal 23 4 3 4" xfId="20585" xr:uid="{00000000-0005-0000-0000-0000C6390000}"/>
    <cellStyle name="Normal 23 4 4" xfId="3887" xr:uid="{00000000-0005-0000-0000-0000C7390000}"/>
    <cellStyle name="Normal 23 4 4 2" xfId="8443" xr:uid="{00000000-0005-0000-0000-0000C8390000}"/>
    <cellStyle name="Normal 23 4 4 2 2" xfId="17539" xr:uid="{00000000-0005-0000-0000-0000C9390000}"/>
    <cellStyle name="Normal 23 4 4 2 2 2" xfId="35721" xr:uid="{00000000-0005-0000-0000-0000CA390000}"/>
    <cellStyle name="Normal 23 4 4 2 3" xfId="26631" xr:uid="{00000000-0005-0000-0000-0000CB390000}"/>
    <cellStyle name="Normal 23 4 4 3" xfId="12999" xr:uid="{00000000-0005-0000-0000-0000CC390000}"/>
    <cellStyle name="Normal 23 4 4 3 2" xfId="31181" xr:uid="{00000000-0005-0000-0000-0000CD390000}"/>
    <cellStyle name="Normal 23 4 4 4" xfId="22091" xr:uid="{00000000-0005-0000-0000-0000CE390000}"/>
    <cellStyle name="Normal 23 4 5" xfId="5526" xr:uid="{00000000-0005-0000-0000-0000CF390000}"/>
    <cellStyle name="Normal 23 4 5 2" xfId="14626" xr:uid="{00000000-0005-0000-0000-0000D0390000}"/>
    <cellStyle name="Normal 23 4 5 2 2" xfId="32808" xr:uid="{00000000-0005-0000-0000-0000D1390000}"/>
    <cellStyle name="Normal 23 4 5 3" xfId="23718" xr:uid="{00000000-0005-0000-0000-0000D2390000}"/>
    <cellStyle name="Normal 23 4 6" xfId="10092" xr:uid="{00000000-0005-0000-0000-0000D3390000}"/>
    <cellStyle name="Normal 23 4 6 2" xfId="28274" xr:uid="{00000000-0005-0000-0000-0000D4390000}"/>
    <cellStyle name="Normal 23 4 7" xfId="19183" xr:uid="{00000000-0005-0000-0000-0000D5390000}"/>
    <cellStyle name="Normal 23 5" xfId="886" xr:uid="{00000000-0005-0000-0000-0000D6390000}"/>
    <cellStyle name="Normal 23 5 2" xfId="2344" xr:uid="{00000000-0005-0000-0000-0000D7390000}"/>
    <cellStyle name="Normal 23 5 2 2" xfId="6930" xr:uid="{00000000-0005-0000-0000-0000D8390000}"/>
    <cellStyle name="Normal 23 5 2 2 2" xfId="16030" xr:uid="{00000000-0005-0000-0000-0000D9390000}"/>
    <cellStyle name="Normal 23 5 2 2 2 2" xfId="34212" xr:uid="{00000000-0005-0000-0000-0000DA390000}"/>
    <cellStyle name="Normal 23 5 2 2 3" xfId="25122" xr:uid="{00000000-0005-0000-0000-0000DB390000}"/>
    <cellStyle name="Normal 23 5 2 3" xfId="11494" xr:uid="{00000000-0005-0000-0000-0000DC390000}"/>
    <cellStyle name="Normal 23 5 2 3 2" xfId="29676" xr:uid="{00000000-0005-0000-0000-0000DD390000}"/>
    <cellStyle name="Normal 23 5 2 4" xfId="20586" xr:uid="{00000000-0005-0000-0000-0000DE390000}"/>
    <cellStyle name="Normal 23 5 3" xfId="3889" xr:uid="{00000000-0005-0000-0000-0000DF390000}"/>
    <cellStyle name="Normal 23 5 3 2" xfId="8445" xr:uid="{00000000-0005-0000-0000-0000E0390000}"/>
    <cellStyle name="Normal 23 5 3 2 2" xfId="17541" xr:uid="{00000000-0005-0000-0000-0000E1390000}"/>
    <cellStyle name="Normal 23 5 3 2 2 2" xfId="35723" xr:uid="{00000000-0005-0000-0000-0000E2390000}"/>
    <cellStyle name="Normal 23 5 3 2 3" xfId="26633" xr:uid="{00000000-0005-0000-0000-0000E3390000}"/>
    <cellStyle name="Normal 23 5 3 3" xfId="13001" xr:uid="{00000000-0005-0000-0000-0000E4390000}"/>
    <cellStyle name="Normal 23 5 3 3 2" xfId="31183" xr:uid="{00000000-0005-0000-0000-0000E5390000}"/>
    <cellStyle name="Normal 23 5 3 4" xfId="22093" xr:uid="{00000000-0005-0000-0000-0000E6390000}"/>
    <cellStyle name="Normal 23 5 4" xfId="5528" xr:uid="{00000000-0005-0000-0000-0000E7390000}"/>
    <cellStyle name="Normal 23 5 4 2" xfId="14628" xr:uid="{00000000-0005-0000-0000-0000E8390000}"/>
    <cellStyle name="Normal 23 5 4 2 2" xfId="32810" xr:uid="{00000000-0005-0000-0000-0000E9390000}"/>
    <cellStyle name="Normal 23 5 4 3" xfId="23720" xr:uid="{00000000-0005-0000-0000-0000EA390000}"/>
    <cellStyle name="Normal 23 5 5" xfId="10094" xr:uid="{00000000-0005-0000-0000-0000EB390000}"/>
    <cellStyle name="Normal 23 5 5 2" xfId="28276" xr:uid="{00000000-0005-0000-0000-0000EC390000}"/>
    <cellStyle name="Normal 23 5 6" xfId="19185" xr:uid="{00000000-0005-0000-0000-0000ED390000}"/>
    <cellStyle name="Normal 23 6" xfId="887" xr:uid="{00000000-0005-0000-0000-0000EE390000}"/>
    <cellStyle name="Normal 23 6 2" xfId="3890" xr:uid="{00000000-0005-0000-0000-0000EF390000}"/>
    <cellStyle name="Normal 23 6 2 2" xfId="8446" xr:uid="{00000000-0005-0000-0000-0000F0390000}"/>
    <cellStyle name="Normal 23 6 2 2 2" xfId="17542" xr:uid="{00000000-0005-0000-0000-0000F1390000}"/>
    <cellStyle name="Normal 23 6 2 2 2 2" xfId="35724" xr:uid="{00000000-0005-0000-0000-0000F2390000}"/>
    <cellStyle name="Normal 23 6 2 2 3" xfId="26634" xr:uid="{00000000-0005-0000-0000-0000F3390000}"/>
    <cellStyle name="Normal 23 6 2 3" xfId="13002" xr:uid="{00000000-0005-0000-0000-0000F4390000}"/>
    <cellStyle name="Normal 23 6 2 3 2" xfId="31184" xr:uid="{00000000-0005-0000-0000-0000F5390000}"/>
    <cellStyle name="Normal 23 6 2 4" xfId="22094" xr:uid="{00000000-0005-0000-0000-0000F6390000}"/>
    <cellStyle name="Normal 23 6 3" xfId="5529" xr:uid="{00000000-0005-0000-0000-0000F7390000}"/>
    <cellStyle name="Normal 23 6 3 2" xfId="14629" xr:uid="{00000000-0005-0000-0000-0000F8390000}"/>
    <cellStyle name="Normal 23 6 3 2 2" xfId="32811" xr:uid="{00000000-0005-0000-0000-0000F9390000}"/>
    <cellStyle name="Normal 23 6 3 3" xfId="23721" xr:uid="{00000000-0005-0000-0000-0000FA390000}"/>
    <cellStyle name="Normal 23 6 4" xfId="10095" xr:uid="{00000000-0005-0000-0000-0000FB390000}"/>
    <cellStyle name="Normal 23 6 4 2" xfId="28277" xr:uid="{00000000-0005-0000-0000-0000FC390000}"/>
    <cellStyle name="Normal 23 6 5" xfId="19186" xr:uid="{00000000-0005-0000-0000-0000FD390000}"/>
    <cellStyle name="Normal 23 7" xfId="2345" xr:uid="{00000000-0005-0000-0000-0000FE390000}"/>
    <cellStyle name="Normal 23 7 2" xfId="6931" xr:uid="{00000000-0005-0000-0000-0000FF390000}"/>
    <cellStyle name="Normal 23 7 2 2" xfId="16031" xr:uid="{00000000-0005-0000-0000-0000003A0000}"/>
    <cellStyle name="Normal 23 7 2 2 2" xfId="34213" xr:uid="{00000000-0005-0000-0000-0000013A0000}"/>
    <cellStyle name="Normal 23 7 2 3" xfId="25123" xr:uid="{00000000-0005-0000-0000-0000023A0000}"/>
    <cellStyle name="Normal 23 7 3" xfId="11495" xr:uid="{00000000-0005-0000-0000-0000033A0000}"/>
    <cellStyle name="Normal 23 7 3 2" xfId="29677" xr:uid="{00000000-0005-0000-0000-0000043A0000}"/>
    <cellStyle name="Normal 23 7 4" xfId="20587" xr:uid="{00000000-0005-0000-0000-0000053A0000}"/>
    <cellStyle name="Normal 23 8" xfId="3227" xr:uid="{00000000-0005-0000-0000-0000063A0000}"/>
    <cellStyle name="Normal 23 8 2" xfId="7787" xr:uid="{00000000-0005-0000-0000-0000073A0000}"/>
    <cellStyle name="Normal 23 8 2 2" xfId="16883" xr:uid="{00000000-0005-0000-0000-0000083A0000}"/>
    <cellStyle name="Normal 23 8 2 2 2" xfId="35065" xr:uid="{00000000-0005-0000-0000-0000093A0000}"/>
    <cellStyle name="Normal 23 8 2 3" xfId="25975" xr:uid="{00000000-0005-0000-0000-00000A3A0000}"/>
    <cellStyle name="Normal 23 8 3" xfId="12343" xr:uid="{00000000-0005-0000-0000-00000B3A0000}"/>
    <cellStyle name="Normal 23 8 3 2" xfId="30525" xr:uid="{00000000-0005-0000-0000-00000C3A0000}"/>
    <cellStyle name="Normal 23 8 4" xfId="21435" xr:uid="{00000000-0005-0000-0000-00000D3A0000}"/>
    <cellStyle name="Normal 23 9" xfId="4874" xr:uid="{00000000-0005-0000-0000-00000E3A0000}"/>
    <cellStyle name="Normal 23 9 2" xfId="13974" xr:uid="{00000000-0005-0000-0000-00000F3A0000}"/>
    <cellStyle name="Normal 23 9 2 2" xfId="32156" xr:uid="{00000000-0005-0000-0000-0000103A0000}"/>
    <cellStyle name="Normal 23 9 3" xfId="23066" xr:uid="{00000000-0005-0000-0000-0000113A0000}"/>
    <cellStyle name="Normal 24" xfId="157" xr:uid="{00000000-0005-0000-0000-0000123A0000}"/>
    <cellStyle name="Normal 24 10" xfId="18537" xr:uid="{00000000-0005-0000-0000-0000133A0000}"/>
    <cellStyle name="Normal 24 2" xfId="888" xr:uid="{00000000-0005-0000-0000-0000143A0000}"/>
    <cellStyle name="Normal 24 2 2" xfId="889" xr:uid="{00000000-0005-0000-0000-0000153A0000}"/>
    <cellStyle name="Normal 24 2 2 2" xfId="890" xr:uid="{00000000-0005-0000-0000-0000163A0000}"/>
    <cellStyle name="Normal 24 2 2 2 2" xfId="2346" xr:uid="{00000000-0005-0000-0000-0000173A0000}"/>
    <cellStyle name="Normal 24 2 2 2 2 2" xfId="6932" xr:uid="{00000000-0005-0000-0000-0000183A0000}"/>
    <cellStyle name="Normal 24 2 2 2 2 2 2" xfId="16032" xr:uid="{00000000-0005-0000-0000-0000193A0000}"/>
    <cellStyle name="Normal 24 2 2 2 2 2 2 2" xfId="34214" xr:uid="{00000000-0005-0000-0000-00001A3A0000}"/>
    <cellStyle name="Normal 24 2 2 2 2 2 3" xfId="25124" xr:uid="{00000000-0005-0000-0000-00001B3A0000}"/>
    <cellStyle name="Normal 24 2 2 2 2 3" xfId="11496" xr:uid="{00000000-0005-0000-0000-00001C3A0000}"/>
    <cellStyle name="Normal 24 2 2 2 2 3 2" xfId="29678" xr:uid="{00000000-0005-0000-0000-00001D3A0000}"/>
    <cellStyle name="Normal 24 2 2 2 2 4" xfId="20588" xr:uid="{00000000-0005-0000-0000-00001E3A0000}"/>
    <cellStyle name="Normal 24 2 2 2 3" xfId="3893" xr:uid="{00000000-0005-0000-0000-00001F3A0000}"/>
    <cellStyle name="Normal 24 2 2 2 3 2" xfId="8449" xr:uid="{00000000-0005-0000-0000-0000203A0000}"/>
    <cellStyle name="Normal 24 2 2 2 3 2 2" xfId="17545" xr:uid="{00000000-0005-0000-0000-0000213A0000}"/>
    <cellStyle name="Normal 24 2 2 2 3 2 2 2" xfId="35727" xr:uid="{00000000-0005-0000-0000-0000223A0000}"/>
    <cellStyle name="Normal 24 2 2 2 3 2 3" xfId="26637" xr:uid="{00000000-0005-0000-0000-0000233A0000}"/>
    <cellStyle name="Normal 24 2 2 2 3 3" xfId="13005" xr:uid="{00000000-0005-0000-0000-0000243A0000}"/>
    <cellStyle name="Normal 24 2 2 2 3 3 2" xfId="31187" xr:uid="{00000000-0005-0000-0000-0000253A0000}"/>
    <cellStyle name="Normal 24 2 2 2 3 4" xfId="22097" xr:uid="{00000000-0005-0000-0000-0000263A0000}"/>
    <cellStyle name="Normal 24 2 2 2 4" xfId="5532" xr:uid="{00000000-0005-0000-0000-0000273A0000}"/>
    <cellStyle name="Normal 24 2 2 2 4 2" xfId="14632" xr:uid="{00000000-0005-0000-0000-0000283A0000}"/>
    <cellStyle name="Normal 24 2 2 2 4 2 2" xfId="32814" xr:uid="{00000000-0005-0000-0000-0000293A0000}"/>
    <cellStyle name="Normal 24 2 2 2 4 3" xfId="23724" xr:uid="{00000000-0005-0000-0000-00002A3A0000}"/>
    <cellStyle name="Normal 24 2 2 2 5" xfId="10098" xr:uid="{00000000-0005-0000-0000-00002B3A0000}"/>
    <cellStyle name="Normal 24 2 2 2 5 2" xfId="28280" xr:uid="{00000000-0005-0000-0000-00002C3A0000}"/>
    <cellStyle name="Normal 24 2 2 2 6" xfId="19189" xr:uid="{00000000-0005-0000-0000-00002D3A0000}"/>
    <cellStyle name="Normal 24 2 2 3" xfId="2347" xr:uid="{00000000-0005-0000-0000-00002E3A0000}"/>
    <cellStyle name="Normal 24 2 2 3 2" xfId="6933" xr:uid="{00000000-0005-0000-0000-00002F3A0000}"/>
    <cellStyle name="Normal 24 2 2 3 2 2" xfId="16033" xr:uid="{00000000-0005-0000-0000-0000303A0000}"/>
    <cellStyle name="Normal 24 2 2 3 2 2 2" xfId="34215" xr:uid="{00000000-0005-0000-0000-0000313A0000}"/>
    <cellStyle name="Normal 24 2 2 3 2 3" xfId="25125" xr:uid="{00000000-0005-0000-0000-0000323A0000}"/>
    <cellStyle name="Normal 24 2 2 3 3" xfId="11497" xr:uid="{00000000-0005-0000-0000-0000333A0000}"/>
    <cellStyle name="Normal 24 2 2 3 3 2" xfId="29679" xr:uid="{00000000-0005-0000-0000-0000343A0000}"/>
    <cellStyle name="Normal 24 2 2 3 4" xfId="20589" xr:uid="{00000000-0005-0000-0000-0000353A0000}"/>
    <cellStyle name="Normal 24 2 2 4" xfId="3892" xr:uid="{00000000-0005-0000-0000-0000363A0000}"/>
    <cellStyle name="Normal 24 2 2 4 2" xfId="8448" xr:uid="{00000000-0005-0000-0000-0000373A0000}"/>
    <cellStyle name="Normal 24 2 2 4 2 2" xfId="17544" xr:uid="{00000000-0005-0000-0000-0000383A0000}"/>
    <cellStyle name="Normal 24 2 2 4 2 2 2" xfId="35726" xr:uid="{00000000-0005-0000-0000-0000393A0000}"/>
    <cellStyle name="Normal 24 2 2 4 2 3" xfId="26636" xr:uid="{00000000-0005-0000-0000-00003A3A0000}"/>
    <cellStyle name="Normal 24 2 2 4 3" xfId="13004" xr:uid="{00000000-0005-0000-0000-00003B3A0000}"/>
    <cellStyle name="Normal 24 2 2 4 3 2" xfId="31186" xr:uid="{00000000-0005-0000-0000-00003C3A0000}"/>
    <cellStyle name="Normal 24 2 2 4 4" xfId="22096" xr:uid="{00000000-0005-0000-0000-00003D3A0000}"/>
    <cellStyle name="Normal 24 2 2 5" xfId="5531" xr:uid="{00000000-0005-0000-0000-00003E3A0000}"/>
    <cellStyle name="Normal 24 2 2 5 2" xfId="14631" xr:uid="{00000000-0005-0000-0000-00003F3A0000}"/>
    <cellStyle name="Normal 24 2 2 5 2 2" xfId="32813" xr:uid="{00000000-0005-0000-0000-0000403A0000}"/>
    <cellStyle name="Normal 24 2 2 5 3" xfId="23723" xr:uid="{00000000-0005-0000-0000-0000413A0000}"/>
    <cellStyle name="Normal 24 2 2 6" xfId="10097" xr:uid="{00000000-0005-0000-0000-0000423A0000}"/>
    <cellStyle name="Normal 24 2 2 6 2" xfId="28279" xr:uid="{00000000-0005-0000-0000-0000433A0000}"/>
    <cellStyle name="Normal 24 2 2 7" xfId="19188" xr:uid="{00000000-0005-0000-0000-0000443A0000}"/>
    <cellStyle name="Normal 24 2 3" xfId="891" xr:uid="{00000000-0005-0000-0000-0000453A0000}"/>
    <cellStyle name="Normal 24 2 3 2" xfId="2348" xr:uid="{00000000-0005-0000-0000-0000463A0000}"/>
    <cellStyle name="Normal 24 2 3 2 2" xfId="6934" xr:uid="{00000000-0005-0000-0000-0000473A0000}"/>
    <cellStyle name="Normal 24 2 3 2 2 2" xfId="16034" xr:uid="{00000000-0005-0000-0000-0000483A0000}"/>
    <cellStyle name="Normal 24 2 3 2 2 2 2" xfId="34216" xr:uid="{00000000-0005-0000-0000-0000493A0000}"/>
    <cellStyle name="Normal 24 2 3 2 2 3" xfId="25126" xr:uid="{00000000-0005-0000-0000-00004A3A0000}"/>
    <cellStyle name="Normal 24 2 3 2 3" xfId="11498" xr:uid="{00000000-0005-0000-0000-00004B3A0000}"/>
    <cellStyle name="Normal 24 2 3 2 3 2" xfId="29680" xr:uid="{00000000-0005-0000-0000-00004C3A0000}"/>
    <cellStyle name="Normal 24 2 3 2 4" xfId="20590" xr:uid="{00000000-0005-0000-0000-00004D3A0000}"/>
    <cellStyle name="Normal 24 2 3 3" xfId="3894" xr:uid="{00000000-0005-0000-0000-00004E3A0000}"/>
    <cellStyle name="Normal 24 2 3 3 2" xfId="8450" xr:uid="{00000000-0005-0000-0000-00004F3A0000}"/>
    <cellStyle name="Normal 24 2 3 3 2 2" xfId="17546" xr:uid="{00000000-0005-0000-0000-0000503A0000}"/>
    <cellStyle name="Normal 24 2 3 3 2 2 2" xfId="35728" xr:uid="{00000000-0005-0000-0000-0000513A0000}"/>
    <cellStyle name="Normal 24 2 3 3 2 3" xfId="26638" xr:uid="{00000000-0005-0000-0000-0000523A0000}"/>
    <cellStyle name="Normal 24 2 3 3 3" xfId="13006" xr:uid="{00000000-0005-0000-0000-0000533A0000}"/>
    <cellStyle name="Normal 24 2 3 3 3 2" xfId="31188" xr:uid="{00000000-0005-0000-0000-0000543A0000}"/>
    <cellStyle name="Normal 24 2 3 3 4" xfId="22098" xr:uid="{00000000-0005-0000-0000-0000553A0000}"/>
    <cellStyle name="Normal 24 2 3 4" xfId="5533" xr:uid="{00000000-0005-0000-0000-0000563A0000}"/>
    <cellStyle name="Normal 24 2 3 4 2" xfId="14633" xr:uid="{00000000-0005-0000-0000-0000573A0000}"/>
    <cellStyle name="Normal 24 2 3 4 2 2" xfId="32815" xr:uid="{00000000-0005-0000-0000-0000583A0000}"/>
    <cellStyle name="Normal 24 2 3 4 3" xfId="23725" xr:uid="{00000000-0005-0000-0000-0000593A0000}"/>
    <cellStyle name="Normal 24 2 3 5" xfId="10099" xr:uid="{00000000-0005-0000-0000-00005A3A0000}"/>
    <cellStyle name="Normal 24 2 3 5 2" xfId="28281" xr:uid="{00000000-0005-0000-0000-00005B3A0000}"/>
    <cellStyle name="Normal 24 2 3 6" xfId="19190" xr:uid="{00000000-0005-0000-0000-00005C3A0000}"/>
    <cellStyle name="Normal 24 2 4" xfId="892" xr:uid="{00000000-0005-0000-0000-00005D3A0000}"/>
    <cellStyle name="Normal 24 2 4 2" xfId="3895" xr:uid="{00000000-0005-0000-0000-00005E3A0000}"/>
    <cellStyle name="Normal 24 2 4 2 2" xfId="8451" xr:uid="{00000000-0005-0000-0000-00005F3A0000}"/>
    <cellStyle name="Normal 24 2 4 2 2 2" xfId="17547" xr:uid="{00000000-0005-0000-0000-0000603A0000}"/>
    <cellStyle name="Normal 24 2 4 2 2 2 2" xfId="35729" xr:uid="{00000000-0005-0000-0000-0000613A0000}"/>
    <cellStyle name="Normal 24 2 4 2 2 3" xfId="26639" xr:uid="{00000000-0005-0000-0000-0000623A0000}"/>
    <cellStyle name="Normal 24 2 4 2 3" xfId="13007" xr:uid="{00000000-0005-0000-0000-0000633A0000}"/>
    <cellStyle name="Normal 24 2 4 2 3 2" xfId="31189" xr:uid="{00000000-0005-0000-0000-0000643A0000}"/>
    <cellStyle name="Normal 24 2 4 2 4" xfId="22099" xr:uid="{00000000-0005-0000-0000-0000653A0000}"/>
    <cellStyle name="Normal 24 2 4 3" xfId="5534" xr:uid="{00000000-0005-0000-0000-0000663A0000}"/>
    <cellStyle name="Normal 24 2 4 3 2" xfId="14634" xr:uid="{00000000-0005-0000-0000-0000673A0000}"/>
    <cellStyle name="Normal 24 2 4 3 2 2" xfId="32816" xr:uid="{00000000-0005-0000-0000-0000683A0000}"/>
    <cellStyle name="Normal 24 2 4 3 3" xfId="23726" xr:uid="{00000000-0005-0000-0000-0000693A0000}"/>
    <cellStyle name="Normal 24 2 4 4" xfId="10100" xr:uid="{00000000-0005-0000-0000-00006A3A0000}"/>
    <cellStyle name="Normal 24 2 4 4 2" xfId="28282" xr:uid="{00000000-0005-0000-0000-00006B3A0000}"/>
    <cellStyle name="Normal 24 2 4 5" xfId="19191" xr:uid="{00000000-0005-0000-0000-00006C3A0000}"/>
    <cellStyle name="Normal 24 2 5" xfId="2349" xr:uid="{00000000-0005-0000-0000-00006D3A0000}"/>
    <cellStyle name="Normal 24 2 5 2" xfId="6935" xr:uid="{00000000-0005-0000-0000-00006E3A0000}"/>
    <cellStyle name="Normal 24 2 5 2 2" xfId="16035" xr:uid="{00000000-0005-0000-0000-00006F3A0000}"/>
    <cellStyle name="Normal 24 2 5 2 2 2" xfId="34217" xr:uid="{00000000-0005-0000-0000-0000703A0000}"/>
    <cellStyle name="Normal 24 2 5 2 3" xfId="25127" xr:uid="{00000000-0005-0000-0000-0000713A0000}"/>
    <cellStyle name="Normal 24 2 5 3" xfId="11499" xr:uid="{00000000-0005-0000-0000-0000723A0000}"/>
    <cellStyle name="Normal 24 2 5 3 2" xfId="29681" xr:uid="{00000000-0005-0000-0000-0000733A0000}"/>
    <cellStyle name="Normal 24 2 5 4" xfId="20591" xr:uid="{00000000-0005-0000-0000-0000743A0000}"/>
    <cellStyle name="Normal 24 2 6" xfId="3891" xr:uid="{00000000-0005-0000-0000-0000753A0000}"/>
    <cellStyle name="Normal 24 2 6 2" xfId="8447" xr:uid="{00000000-0005-0000-0000-0000763A0000}"/>
    <cellStyle name="Normal 24 2 6 2 2" xfId="17543" xr:uid="{00000000-0005-0000-0000-0000773A0000}"/>
    <cellStyle name="Normal 24 2 6 2 2 2" xfId="35725" xr:uid="{00000000-0005-0000-0000-0000783A0000}"/>
    <cellStyle name="Normal 24 2 6 2 3" xfId="26635" xr:uid="{00000000-0005-0000-0000-0000793A0000}"/>
    <cellStyle name="Normal 24 2 6 3" xfId="13003" xr:uid="{00000000-0005-0000-0000-00007A3A0000}"/>
    <cellStyle name="Normal 24 2 6 3 2" xfId="31185" xr:uid="{00000000-0005-0000-0000-00007B3A0000}"/>
    <cellStyle name="Normal 24 2 6 4" xfId="22095" xr:uid="{00000000-0005-0000-0000-00007C3A0000}"/>
    <cellStyle name="Normal 24 2 7" xfId="5530" xr:uid="{00000000-0005-0000-0000-00007D3A0000}"/>
    <cellStyle name="Normal 24 2 7 2" xfId="14630" xr:uid="{00000000-0005-0000-0000-00007E3A0000}"/>
    <cellStyle name="Normal 24 2 7 2 2" xfId="32812" xr:uid="{00000000-0005-0000-0000-00007F3A0000}"/>
    <cellStyle name="Normal 24 2 7 3" xfId="23722" xr:uid="{00000000-0005-0000-0000-0000803A0000}"/>
    <cellStyle name="Normal 24 2 8" xfId="10096" xr:uid="{00000000-0005-0000-0000-0000813A0000}"/>
    <cellStyle name="Normal 24 2 8 2" xfId="28278" xr:uid="{00000000-0005-0000-0000-0000823A0000}"/>
    <cellStyle name="Normal 24 2 9" xfId="19187" xr:uid="{00000000-0005-0000-0000-0000833A0000}"/>
    <cellStyle name="Normal 24 3" xfId="893" xr:uid="{00000000-0005-0000-0000-0000843A0000}"/>
    <cellStyle name="Normal 24 3 2" xfId="894" xr:uid="{00000000-0005-0000-0000-0000853A0000}"/>
    <cellStyle name="Normal 24 3 2 2" xfId="2350" xr:uid="{00000000-0005-0000-0000-0000863A0000}"/>
    <cellStyle name="Normal 24 3 2 2 2" xfId="6936" xr:uid="{00000000-0005-0000-0000-0000873A0000}"/>
    <cellStyle name="Normal 24 3 2 2 2 2" xfId="16036" xr:uid="{00000000-0005-0000-0000-0000883A0000}"/>
    <cellStyle name="Normal 24 3 2 2 2 2 2" xfId="34218" xr:uid="{00000000-0005-0000-0000-0000893A0000}"/>
    <cellStyle name="Normal 24 3 2 2 2 3" xfId="25128" xr:uid="{00000000-0005-0000-0000-00008A3A0000}"/>
    <cellStyle name="Normal 24 3 2 2 3" xfId="11500" xr:uid="{00000000-0005-0000-0000-00008B3A0000}"/>
    <cellStyle name="Normal 24 3 2 2 3 2" xfId="29682" xr:uid="{00000000-0005-0000-0000-00008C3A0000}"/>
    <cellStyle name="Normal 24 3 2 2 4" xfId="20592" xr:uid="{00000000-0005-0000-0000-00008D3A0000}"/>
    <cellStyle name="Normal 24 3 2 3" xfId="3897" xr:uid="{00000000-0005-0000-0000-00008E3A0000}"/>
    <cellStyle name="Normal 24 3 2 3 2" xfId="8453" xr:uid="{00000000-0005-0000-0000-00008F3A0000}"/>
    <cellStyle name="Normal 24 3 2 3 2 2" xfId="17549" xr:uid="{00000000-0005-0000-0000-0000903A0000}"/>
    <cellStyle name="Normal 24 3 2 3 2 2 2" xfId="35731" xr:uid="{00000000-0005-0000-0000-0000913A0000}"/>
    <cellStyle name="Normal 24 3 2 3 2 3" xfId="26641" xr:uid="{00000000-0005-0000-0000-0000923A0000}"/>
    <cellStyle name="Normal 24 3 2 3 3" xfId="13009" xr:uid="{00000000-0005-0000-0000-0000933A0000}"/>
    <cellStyle name="Normal 24 3 2 3 3 2" xfId="31191" xr:uid="{00000000-0005-0000-0000-0000943A0000}"/>
    <cellStyle name="Normal 24 3 2 3 4" xfId="22101" xr:uid="{00000000-0005-0000-0000-0000953A0000}"/>
    <cellStyle name="Normal 24 3 2 4" xfId="5536" xr:uid="{00000000-0005-0000-0000-0000963A0000}"/>
    <cellStyle name="Normal 24 3 2 4 2" xfId="14636" xr:uid="{00000000-0005-0000-0000-0000973A0000}"/>
    <cellStyle name="Normal 24 3 2 4 2 2" xfId="32818" xr:uid="{00000000-0005-0000-0000-0000983A0000}"/>
    <cellStyle name="Normal 24 3 2 4 3" xfId="23728" xr:uid="{00000000-0005-0000-0000-0000993A0000}"/>
    <cellStyle name="Normal 24 3 2 5" xfId="10102" xr:uid="{00000000-0005-0000-0000-00009A3A0000}"/>
    <cellStyle name="Normal 24 3 2 5 2" xfId="28284" xr:uid="{00000000-0005-0000-0000-00009B3A0000}"/>
    <cellStyle name="Normal 24 3 2 6" xfId="19193" xr:uid="{00000000-0005-0000-0000-00009C3A0000}"/>
    <cellStyle name="Normal 24 3 3" xfId="2351" xr:uid="{00000000-0005-0000-0000-00009D3A0000}"/>
    <cellStyle name="Normal 24 3 3 2" xfId="6937" xr:uid="{00000000-0005-0000-0000-00009E3A0000}"/>
    <cellStyle name="Normal 24 3 3 2 2" xfId="16037" xr:uid="{00000000-0005-0000-0000-00009F3A0000}"/>
    <cellStyle name="Normal 24 3 3 2 2 2" xfId="34219" xr:uid="{00000000-0005-0000-0000-0000A03A0000}"/>
    <cellStyle name="Normal 24 3 3 2 3" xfId="25129" xr:uid="{00000000-0005-0000-0000-0000A13A0000}"/>
    <cellStyle name="Normal 24 3 3 3" xfId="11501" xr:uid="{00000000-0005-0000-0000-0000A23A0000}"/>
    <cellStyle name="Normal 24 3 3 3 2" xfId="29683" xr:uid="{00000000-0005-0000-0000-0000A33A0000}"/>
    <cellStyle name="Normal 24 3 3 4" xfId="20593" xr:uid="{00000000-0005-0000-0000-0000A43A0000}"/>
    <cellStyle name="Normal 24 3 4" xfId="3896" xr:uid="{00000000-0005-0000-0000-0000A53A0000}"/>
    <cellStyle name="Normal 24 3 4 2" xfId="8452" xr:uid="{00000000-0005-0000-0000-0000A63A0000}"/>
    <cellStyle name="Normal 24 3 4 2 2" xfId="17548" xr:uid="{00000000-0005-0000-0000-0000A73A0000}"/>
    <cellStyle name="Normal 24 3 4 2 2 2" xfId="35730" xr:uid="{00000000-0005-0000-0000-0000A83A0000}"/>
    <cellStyle name="Normal 24 3 4 2 3" xfId="26640" xr:uid="{00000000-0005-0000-0000-0000A93A0000}"/>
    <cellStyle name="Normal 24 3 4 3" xfId="13008" xr:uid="{00000000-0005-0000-0000-0000AA3A0000}"/>
    <cellStyle name="Normal 24 3 4 3 2" xfId="31190" xr:uid="{00000000-0005-0000-0000-0000AB3A0000}"/>
    <cellStyle name="Normal 24 3 4 4" xfId="22100" xr:uid="{00000000-0005-0000-0000-0000AC3A0000}"/>
    <cellStyle name="Normal 24 3 5" xfId="5535" xr:uid="{00000000-0005-0000-0000-0000AD3A0000}"/>
    <cellStyle name="Normal 24 3 5 2" xfId="14635" xr:uid="{00000000-0005-0000-0000-0000AE3A0000}"/>
    <cellStyle name="Normal 24 3 5 2 2" xfId="32817" xr:uid="{00000000-0005-0000-0000-0000AF3A0000}"/>
    <cellStyle name="Normal 24 3 5 3" xfId="23727" xr:uid="{00000000-0005-0000-0000-0000B03A0000}"/>
    <cellStyle name="Normal 24 3 6" xfId="10101" xr:uid="{00000000-0005-0000-0000-0000B13A0000}"/>
    <cellStyle name="Normal 24 3 6 2" xfId="28283" xr:uid="{00000000-0005-0000-0000-0000B23A0000}"/>
    <cellStyle name="Normal 24 3 7" xfId="19192" xr:uid="{00000000-0005-0000-0000-0000B33A0000}"/>
    <cellStyle name="Normal 24 4" xfId="895" xr:uid="{00000000-0005-0000-0000-0000B43A0000}"/>
    <cellStyle name="Normal 24 4 2" xfId="2352" xr:uid="{00000000-0005-0000-0000-0000B53A0000}"/>
    <cellStyle name="Normal 24 4 2 2" xfId="6938" xr:uid="{00000000-0005-0000-0000-0000B63A0000}"/>
    <cellStyle name="Normal 24 4 2 2 2" xfId="16038" xr:uid="{00000000-0005-0000-0000-0000B73A0000}"/>
    <cellStyle name="Normal 24 4 2 2 2 2" xfId="34220" xr:uid="{00000000-0005-0000-0000-0000B83A0000}"/>
    <cellStyle name="Normal 24 4 2 2 3" xfId="25130" xr:uid="{00000000-0005-0000-0000-0000B93A0000}"/>
    <cellStyle name="Normal 24 4 2 3" xfId="11502" xr:uid="{00000000-0005-0000-0000-0000BA3A0000}"/>
    <cellStyle name="Normal 24 4 2 3 2" xfId="29684" xr:uid="{00000000-0005-0000-0000-0000BB3A0000}"/>
    <cellStyle name="Normal 24 4 2 4" xfId="20594" xr:uid="{00000000-0005-0000-0000-0000BC3A0000}"/>
    <cellStyle name="Normal 24 4 3" xfId="3898" xr:uid="{00000000-0005-0000-0000-0000BD3A0000}"/>
    <cellStyle name="Normal 24 4 3 2" xfId="8454" xr:uid="{00000000-0005-0000-0000-0000BE3A0000}"/>
    <cellStyle name="Normal 24 4 3 2 2" xfId="17550" xr:uid="{00000000-0005-0000-0000-0000BF3A0000}"/>
    <cellStyle name="Normal 24 4 3 2 2 2" xfId="35732" xr:uid="{00000000-0005-0000-0000-0000C03A0000}"/>
    <cellStyle name="Normal 24 4 3 2 3" xfId="26642" xr:uid="{00000000-0005-0000-0000-0000C13A0000}"/>
    <cellStyle name="Normal 24 4 3 3" xfId="13010" xr:uid="{00000000-0005-0000-0000-0000C23A0000}"/>
    <cellStyle name="Normal 24 4 3 3 2" xfId="31192" xr:uid="{00000000-0005-0000-0000-0000C33A0000}"/>
    <cellStyle name="Normal 24 4 3 4" xfId="22102" xr:uid="{00000000-0005-0000-0000-0000C43A0000}"/>
    <cellStyle name="Normal 24 4 4" xfId="5537" xr:uid="{00000000-0005-0000-0000-0000C53A0000}"/>
    <cellStyle name="Normal 24 4 4 2" xfId="14637" xr:uid="{00000000-0005-0000-0000-0000C63A0000}"/>
    <cellStyle name="Normal 24 4 4 2 2" xfId="32819" xr:uid="{00000000-0005-0000-0000-0000C73A0000}"/>
    <cellStyle name="Normal 24 4 4 3" xfId="23729" xr:uid="{00000000-0005-0000-0000-0000C83A0000}"/>
    <cellStyle name="Normal 24 4 5" xfId="10103" xr:uid="{00000000-0005-0000-0000-0000C93A0000}"/>
    <cellStyle name="Normal 24 4 5 2" xfId="28285" xr:uid="{00000000-0005-0000-0000-0000CA3A0000}"/>
    <cellStyle name="Normal 24 4 6" xfId="19194" xr:uid="{00000000-0005-0000-0000-0000CB3A0000}"/>
    <cellStyle name="Normal 24 5" xfId="896" xr:uid="{00000000-0005-0000-0000-0000CC3A0000}"/>
    <cellStyle name="Normal 24 5 2" xfId="3899" xr:uid="{00000000-0005-0000-0000-0000CD3A0000}"/>
    <cellStyle name="Normal 24 5 2 2" xfId="8455" xr:uid="{00000000-0005-0000-0000-0000CE3A0000}"/>
    <cellStyle name="Normal 24 5 2 2 2" xfId="17551" xr:uid="{00000000-0005-0000-0000-0000CF3A0000}"/>
    <cellStyle name="Normal 24 5 2 2 2 2" xfId="35733" xr:uid="{00000000-0005-0000-0000-0000D03A0000}"/>
    <cellStyle name="Normal 24 5 2 2 3" xfId="26643" xr:uid="{00000000-0005-0000-0000-0000D13A0000}"/>
    <cellStyle name="Normal 24 5 2 3" xfId="13011" xr:uid="{00000000-0005-0000-0000-0000D23A0000}"/>
    <cellStyle name="Normal 24 5 2 3 2" xfId="31193" xr:uid="{00000000-0005-0000-0000-0000D33A0000}"/>
    <cellStyle name="Normal 24 5 2 4" xfId="22103" xr:uid="{00000000-0005-0000-0000-0000D43A0000}"/>
    <cellStyle name="Normal 24 5 3" xfId="5538" xr:uid="{00000000-0005-0000-0000-0000D53A0000}"/>
    <cellStyle name="Normal 24 5 3 2" xfId="14638" xr:uid="{00000000-0005-0000-0000-0000D63A0000}"/>
    <cellStyle name="Normal 24 5 3 2 2" xfId="32820" xr:uid="{00000000-0005-0000-0000-0000D73A0000}"/>
    <cellStyle name="Normal 24 5 3 3" xfId="23730" xr:uid="{00000000-0005-0000-0000-0000D83A0000}"/>
    <cellStyle name="Normal 24 5 4" xfId="10104" xr:uid="{00000000-0005-0000-0000-0000D93A0000}"/>
    <cellStyle name="Normal 24 5 4 2" xfId="28286" xr:uid="{00000000-0005-0000-0000-0000DA3A0000}"/>
    <cellStyle name="Normal 24 5 5" xfId="19195" xr:uid="{00000000-0005-0000-0000-0000DB3A0000}"/>
    <cellStyle name="Normal 24 6" xfId="2353" xr:uid="{00000000-0005-0000-0000-0000DC3A0000}"/>
    <cellStyle name="Normal 24 6 2" xfId="6939" xr:uid="{00000000-0005-0000-0000-0000DD3A0000}"/>
    <cellStyle name="Normal 24 6 2 2" xfId="16039" xr:uid="{00000000-0005-0000-0000-0000DE3A0000}"/>
    <cellStyle name="Normal 24 6 2 2 2" xfId="34221" xr:uid="{00000000-0005-0000-0000-0000DF3A0000}"/>
    <cellStyle name="Normal 24 6 2 3" xfId="25131" xr:uid="{00000000-0005-0000-0000-0000E03A0000}"/>
    <cellStyle name="Normal 24 6 3" xfId="11503" xr:uid="{00000000-0005-0000-0000-0000E13A0000}"/>
    <cellStyle name="Normal 24 6 3 2" xfId="29685" xr:uid="{00000000-0005-0000-0000-0000E23A0000}"/>
    <cellStyle name="Normal 24 6 4" xfId="20595" xr:uid="{00000000-0005-0000-0000-0000E33A0000}"/>
    <cellStyle name="Normal 24 7" xfId="3233" xr:uid="{00000000-0005-0000-0000-0000E43A0000}"/>
    <cellStyle name="Normal 24 7 2" xfId="7793" xr:uid="{00000000-0005-0000-0000-0000E53A0000}"/>
    <cellStyle name="Normal 24 7 2 2" xfId="16889" xr:uid="{00000000-0005-0000-0000-0000E63A0000}"/>
    <cellStyle name="Normal 24 7 2 2 2" xfId="35071" xr:uid="{00000000-0005-0000-0000-0000E73A0000}"/>
    <cellStyle name="Normal 24 7 2 3" xfId="25981" xr:uid="{00000000-0005-0000-0000-0000E83A0000}"/>
    <cellStyle name="Normal 24 7 3" xfId="12349" xr:uid="{00000000-0005-0000-0000-0000E93A0000}"/>
    <cellStyle name="Normal 24 7 3 2" xfId="30531" xr:uid="{00000000-0005-0000-0000-0000EA3A0000}"/>
    <cellStyle name="Normal 24 7 4" xfId="21441" xr:uid="{00000000-0005-0000-0000-0000EB3A0000}"/>
    <cellStyle name="Normal 24 8" xfId="4880" xr:uid="{00000000-0005-0000-0000-0000EC3A0000}"/>
    <cellStyle name="Normal 24 8 2" xfId="13980" xr:uid="{00000000-0005-0000-0000-0000ED3A0000}"/>
    <cellStyle name="Normal 24 8 2 2" xfId="32162" xr:uid="{00000000-0005-0000-0000-0000EE3A0000}"/>
    <cellStyle name="Normal 24 8 3" xfId="23072" xr:uid="{00000000-0005-0000-0000-0000EF3A0000}"/>
    <cellStyle name="Normal 24 9" xfId="9446" xr:uid="{00000000-0005-0000-0000-0000F03A0000}"/>
    <cellStyle name="Normal 24 9 2" xfId="27628" xr:uid="{00000000-0005-0000-0000-0000F13A0000}"/>
    <cellStyle name="Normal 25" xfId="159" xr:uid="{00000000-0005-0000-0000-0000F23A0000}"/>
    <cellStyle name="Normal 25 10" xfId="18539" xr:uid="{00000000-0005-0000-0000-0000F33A0000}"/>
    <cellStyle name="Normal 25 2" xfId="897" xr:uid="{00000000-0005-0000-0000-0000F43A0000}"/>
    <cellStyle name="Normal 25 2 2" xfId="898" xr:uid="{00000000-0005-0000-0000-0000F53A0000}"/>
    <cellStyle name="Normal 25 2 2 2" xfId="899" xr:uid="{00000000-0005-0000-0000-0000F63A0000}"/>
    <cellStyle name="Normal 25 2 2 2 2" xfId="2354" xr:uid="{00000000-0005-0000-0000-0000F73A0000}"/>
    <cellStyle name="Normal 25 2 2 2 2 2" xfId="6940" xr:uid="{00000000-0005-0000-0000-0000F83A0000}"/>
    <cellStyle name="Normal 25 2 2 2 2 2 2" xfId="16040" xr:uid="{00000000-0005-0000-0000-0000F93A0000}"/>
    <cellStyle name="Normal 25 2 2 2 2 2 2 2" xfId="34222" xr:uid="{00000000-0005-0000-0000-0000FA3A0000}"/>
    <cellStyle name="Normal 25 2 2 2 2 2 3" xfId="25132" xr:uid="{00000000-0005-0000-0000-0000FB3A0000}"/>
    <cellStyle name="Normal 25 2 2 2 2 3" xfId="11504" xr:uid="{00000000-0005-0000-0000-0000FC3A0000}"/>
    <cellStyle name="Normal 25 2 2 2 2 3 2" xfId="29686" xr:uid="{00000000-0005-0000-0000-0000FD3A0000}"/>
    <cellStyle name="Normal 25 2 2 2 2 4" xfId="20596" xr:uid="{00000000-0005-0000-0000-0000FE3A0000}"/>
    <cellStyle name="Normal 25 2 2 2 3" xfId="3902" xr:uid="{00000000-0005-0000-0000-0000FF3A0000}"/>
    <cellStyle name="Normal 25 2 2 2 3 2" xfId="8458" xr:uid="{00000000-0005-0000-0000-0000003B0000}"/>
    <cellStyle name="Normal 25 2 2 2 3 2 2" xfId="17554" xr:uid="{00000000-0005-0000-0000-0000013B0000}"/>
    <cellStyle name="Normal 25 2 2 2 3 2 2 2" xfId="35736" xr:uid="{00000000-0005-0000-0000-0000023B0000}"/>
    <cellStyle name="Normal 25 2 2 2 3 2 3" xfId="26646" xr:uid="{00000000-0005-0000-0000-0000033B0000}"/>
    <cellStyle name="Normal 25 2 2 2 3 3" xfId="13014" xr:uid="{00000000-0005-0000-0000-0000043B0000}"/>
    <cellStyle name="Normal 25 2 2 2 3 3 2" xfId="31196" xr:uid="{00000000-0005-0000-0000-0000053B0000}"/>
    <cellStyle name="Normal 25 2 2 2 3 4" xfId="22106" xr:uid="{00000000-0005-0000-0000-0000063B0000}"/>
    <cellStyle name="Normal 25 2 2 2 4" xfId="5541" xr:uid="{00000000-0005-0000-0000-0000073B0000}"/>
    <cellStyle name="Normal 25 2 2 2 4 2" xfId="14641" xr:uid="{00000000-0005-0000-0000-0000083B0000}"/>
    <cellStyle name="Normal 25 2 2 2 4 2 2" xfId="32823" xr:uid="{00000000-0005-0000-0000-0000093B0000}"/>
    <cellStyle name="Normal 25 2 2 2 4 3" xfId="23733" xr:uid="{00000000-0005-0000-0000-00000A3B0000}"/>
    <cellStyle name="Normal 25 2 2 2 5" xfId="10107" xr:uid="{00000000-0005-0000-0000-00000B3B0000}"/>
    <cellStyle name="Normal 25 2 2 2 5 2" xfId="28289" xr:uid="{00000000-0005-0000-0000-00000C3B0000}"/>
    <cellStyle name="Normal 25 2 2 2 6" xfId="19198" xr:uid="{00000000-0005-0000-0000-00000D3B0000}"/>
    <cellStyle name="Normal 25 2 2 3" xfId="2355" xr:uid="{00000000-0005-0000-0000-00000E3B0000}"/>
    <cellStyle name="Normal 25 2 2 3 2" xfId="6941" xr:uid="{00000000-0005-0000-0000-00000F3B0000}"/>
    <cellStyle name="Normal 25 2 2 3 2 2" xfId="16041" xr:uid="{00000000-0005-0000-0000-0000103B0000}"/>
    <cellStyle name="Normal 25 2 2 3 2 2 2" xfId="34223" xr:uid="{00000000-0005-0000-0000-0000113B0000}"/>
    <cellStyle name="Normal 25 2 2 3 2 3" xfId="25133" xr:uid="{00000000-0005-0000-0000-0000123B0000}"/>
    <cellStyle name="Normal 25 2 2 3 3" xfId="11505" xr:uid="{00000000-0005-0000-0000-0000133B0000}"/>
    <cellStyle name="Normal 25 2 2 3 3 2" xfId="29687" xr:uid="{00000000-0005-0000-0000-0000143B0000}"/>
    <cellStyle name="Normal 25 2 2 3 4" xfId="20597" xr:uid="{00000000-0005-0000-0000-0000153B0000}"/>
    <cellStyle name="Normal 25 2 2 4" xfId="3901" xr:uid="{00000000-0005-0000-0000-0000163B0000}"/>
    <cellStyle name="Normal 25 2 2 4 2" xfId="8457" xr:uid="{00000000-0005-0000-0000-0000173B0000}"/>
    <cellStyle name="Normal 25 2 2 4 2 2" xfId="17553" xr:uid="{00000000-0005-0000-0000-0000183B0000}"/>
    <cellStyle name="Normal 25 2 2 4 2 2 2" xfId="35735" xr:uid="{00000000-0005-0000-0000-0000193B0000}"/>
    <cellStyle name="Normal 25 2 2 4 2 3" xfId="26645" xr:uid="{00000000-0005-0000-0000-00001A3B0000}"/>
    <cellStyle name="Normal 25 2 2 4 3" xfId="13013" xr:uid="{00000000-0005-0000-0000-00001B3B0000}"/>
    <cellStyle name="Normal 25 2 2 4 3 2" xfId="31195" xr:uid="{00000000-0005-0000-0000-00001C3B0000}"/>
    <cellStyle name="Normal 25 2 2 4 4" xfId="22105" xr:uid="{00000000-0005-0000-0000-00001D3B0000}"/>
    <cellStyle name="Normal 25 2 2 5" xfId="5540" xr:uid="{00000000-0005-0000-0000-00001E3B0000}"/>
    <cellStyle name="Normal 25 2 2 5 2" xfId="14640" xr:uid="{00000000-0005-0000-0000-00001F3B0000}"/>
    <cellStyle name="Normal 25 2 2 5 2 2" xfId="32822" xr:uid="{00000000-0005-0000-0000-0000203B0000}"/>
    <cellStyle name="Normal 25 2 2 5 3" xfId="23732" xr:uid="{00000000-0005-0000-0000-0000213B0000}"/>
    <cellStyle name="Normal 25 2 2 6" xfId="10106" xr:uid="{00000000-0005-0000-0000-0000223B0000}"/>
    <cellStyle name="Normal 25 2 2 6 2" xfId="28288" xr:uid="{00000000-0005-0000-0000-0000233B0000}"/>
    <cellStyle name="Normal 25 2 2 7" xfId="19197" xr:uid="{00000000-0005-0000-0000-0000243B0000}"/>
    <cellStyle name="Normal 25 2 3" xfId="900" xr:uid="{00000000-0005-0000-0000-0000253B0000}"/>
    <cellStyle name="Normal 25 2 3 2" xfId="2356" xr:uid="{00000000-0005-0000-0000-0000263B0000}"/>
    <cellStyle name="Normal 25 2 3 2 2" xfId="6942" xr:uid="{00000000-0005-0000-0000-0000273B0000}"/>
    <cellStyle name="Normal 25 2 3 2 2 2" xfId="16042" xr:uid="{00000000-0005-0000-0000-0000283B0000}"/>
    <cellStyle name="Normal 25 2 3 2 2 2 2" xfId="34224" xr:uid="{00000000-0005-0000-0000-0000293B0000}"/>
    <cellStyle name="Normal 25 2 3 2 2 3" xfId="25134" xr:uid="{00000000-0005-0000-0000-00002A3B0000}"/>
    <cellStyle name="Normal 25 2 3 2 3" xfId="11506" xr:uid="{00000000-0005-0000-0000-00002B3B0000}"/>
    <cellStyle name="Normal 25 2 3 2 3 2" xfId="29688" xr:uid="{00000000-0005-0000-0000-00002C3B0000}"/>
    <cellStyle name="Normal 25 2 3 2 4" xfId="20598" xr:uid="{00000000-0005-0000-0000-00002D3B0000}"/>
    <cellStyle name="Normal 25 2 3 3" xfId="3903" xr:uid="{00000000-0005-0000-0000-00002E3B0000}"/>
    <cellStyle name="Normal 25 2 3 3 2" xfId="8459" xr:uid="{00000000-0005-0000-0000-00002F3B0000}"/>
    <cellStyle name="Normal 25 2 3 3 2 2" xfId="17555" xr:uid="{00000000-0005-0000-0000-0000303B0000}"/>
    <cellStyle name="Normal 25 2 3 3 2 2 2" xfId="35737" xr:uid="{00000000-0005-0000-0000-0000313B0000}"/>
    <cellStyle name="Normal 25 2 3 3 2 3" xfId="26647" xr:uid="{00000000-0005-0000-0000-0000323B0000}"/>
    <cellStyle name="Normal 25 2 3 3 3" xfId="13015" xr:uid="{00000000-0005-0000-0000-0000333B0000}"/>
    <cellStyle name="Normal 25 2 3 3 3 2" xfId="31197" xr:uid="{00000000-0005-0000-0000-0000343B0000}"/>
    <cellStyle name="Normal 25 2 3 3 4" xfId="22107" xr:uid="{00000000-0005-0000-0000-0000353B0000}"/>
    <cellStyle name="Normal 25 2 3 4" xfId="5542" xr:uid="{00000000-0005-0000-0000-0000363B0000}"/>
    <cellStyle name="Normal 25 2 3 4 2" xfId="14642" xr:uid="{00000000-0005-0000-0000-0000373B0000}"/>
    <cellStyle name="Normal 25 2 3 4 2 2" xfId="32824" xr:uid="{00000000-0005-0000-0000-0000383B0000}"/>
    <cellStyle name="Normal 25 2 3 4 3" xfId="23734" xr:uid="{00000000-0005-0000-0000-0000393B0000}"/>
    <cellStyle name="Normal 25 2 3 5" xfId="10108" xr:uid="{00000000-0005-0000-0000-00003A3B0000}"/>
    <cellStyle name="Normal 25 2 3 5 2" xfId="28290" xr:uid="{00000000-0005-0000-0000-00003B3B0000}"/>
    <cellStyle name="Normal 25 2 3 6" xfId="19199" xr:uid="{00000000-0005-0000-0000-00003C3B0000}"/>
    <cellStyle name="Normal 25 2 4" xfId="901" xr:uid="{00000000-0005-0000-0000-00003D3B0000}"/>
    <cellStyle name="Normal 25 2 4 2" xfId="3904" xr:uid="{00000000-0005-0000-0000-00003E3B0000}"/>
    <cellStyle name="Normal 25 2 4 2 2" xfId="8460" xr:uid="{00000000-0005-0000-0000-00003F3B0000}"/>
    <cellStyle name="Normal 25 2 4 2 2 2" xfId="17556" xr:uid="{00000000-0005-0000-0000-0000403B0000}"/>
    <cellStyle name="Normal 25 2 4 2 2 2 2" xfId="35738" xr:uid="{00000000-0005-0000-0000-0000413B0000}"/>
    <cellStyle name="Normal 25 2 4 2 2 3" xfId="26648" xr:uid="{00000000-0005-0000-0000-0000423B0000}"/>
    <cellStyle name="Normal 25 2 4 2 3" xfId="13016" xr:uid="{00000000-0005-0000-0000-0000433B0000}"/>
    <cellStyle name="Normal 25 2 4 2 3 2" xfId="31198" xr:uid="{00000000-0005-0000-0000-0000443B0000}"/>
    <cellStyle name="Normal 25 2 4 2 4" xfId="22108" xr:uid="{00000000-0005-0000-0000-0000453B0000}"/>
    <cellStyle name="Normal 25 2 4 3" xfId="5543" xr:uid="{00000000-0005-0000-0000-0000463B0000}"/>
    <cellStyle name="Normal 25 2 4 3 2" xfId="14643" xr:uid="{00000000-0005-0000-0000-0000473B0000}"/>
    <cellStyle name="Normal 25 2 4 3 2 2" xfId="32825" xr:uid="{00000000-0005-0000-0000-0000483B0000}"/>
    <cellStyle name="Normal 25 2 4 3 3" xfId="23735" xr:uid="{00000000-0005-0000-0000-0000493B0000}"/>
    <cellStyle name="Normal 25 2 4 4" xfId="10109" xr:uid="{00000000-0005-0000-0000-00004A3B0000}"/>
    <cellStyle name="Normal 25 2 4 4 2" xfId="28291" xr:uid="{00000000-0005-0000-0000-00004B3B0000}"/>
    <cellStyle name="Normal 25 2 4 5" xfId="19200" xr:uid="{00000000-0005-0000-0000-00004C3B0000}"/>
    <cellStyle name="Normal 25 2 5" xfId="2357" xr:uid="{00000000-0005-0000-0000-00004D3B0000}"/>
    <cellStyle name="Normal 25 2 5 2" xfId="6943" xr:uid="{00000000-0005-0000-0000-00004E3B0000}"/>
    <cellStyle name="Normal 25 2 5 2 2" xfId="16043" xr:uid="{00000000-0005-0000-0000-00004F3B0000}"/>
    <cellStyle name="Normal 25 2 5 2 2 2" xfId="34225" xr:uid="{00000000-0005-0000-0000-0000503B0000}"/>
    <cellStyle name="Normal 25 2 5 2 3" xfId="25135" xr:uid="{00000000-0005-0000-0000-0000513B0000}"/>
    <cellStyle name="Normal 25 2 5 3" xfId="11507" xr:uid="{00000000-0005-0000-0000-0000523B0000}"/>
    <cellStyle name="Normal 25 2 5 3 2" xfId="29689" xr:uid="{00000000-0005-0000-0000-0000533B0000}"/>
    <cellStyle name="Normal 25 2 5 4" xfId="20599" xr:uid="{00000000-0005-0000-0000-0000543B0000}"/>
    <cellStyle name="Normal 25 2 6" xfId="3900" xr:uid="{00000000-0005-0000-0000-0000553B0000}"/>
    <cellStyle name="Normal 25 2 6 2" xfId="8456" xr:uid="{00000000-0005-0000-0000-0000563B0000}"/>
    <cellStyle name="Normal 25 2 6 2 2" xfId="17552" xr:uid="{00000000-0005-0000-0000-0000573B0000}"/>
    <cellStyle name="Normal 25 2 6 2 2 2" xfId="35734" xr:uid="{00000000-0005-0000-0000-0000583B0000}"/>
    <cellStyle name="Normal 25 2 6 2 3" xfId="26644" xr:uid="{00000000-0005-0000-0000-0000593B0000}"/>
    <cellStyle name="Normal 25 2 6 3" xfId="13012" xr:uid="{00000000-0005-0000-0000-00005A3B0000}"/>
    <cellStyle name="Normal 25 2 6 3 2" xfId="31194" xr:uid="{00000000-0005-0000-0000-00005B3B0000}"/>
    <cellStyle name="Normal 25 2 6 4" xfId="22104" xr:uid="{00000000-0005-0000-0000-00005C3B0000}"/>
    <cellStyle name="Normal 25 2 7" xfId="5539" xr:uid="{00000000-0005-0000-0000-00005D3B0000}"/>
    <cellStyle name="Normal 25 2 7 2" xfId="14639" xr:uid="{00000000-0005-0000-0000-00005E3B0000}"/>
    <cellStyle name="Normal 25 2 7 2 2" xfId="32821" xr:uid="{00000000-0005-0000-0000-00005F3B0000}"/>
    <cellStyle name="Normal 25 2 7 3" xfId="23731" xr:uid="{00000000-0005-0000-0000-0000603B0000}"/>
    <cellStyle name="Normal 25 2 8" xfId="10105" xr:uid="{00000000-0005-0000-0000-0000613B0000}"/>
    <cellStyle name="Normal 25 2 8 2" xfId="28287" xr:uid="{00000000-0005-0000-0000-0000623B0000}"/>
    <cellStyle name="Normal 25 2 9" xfId="19196" xr:uid="{00000000-0005-0000-0000-0000633B0000}"/>
    <cellStyle name="Normal 25 3" xfId="902" xr:uid="{00000000-0005-0000-0000-0000643B0000}"/>
    <cellStyle name="Normal 25 3 2" xfId="903" xr:uid="{00000000-0005-0000-0000-0000653B0000}"/>
    <cellStyle name="Normal 25 3 2 2" xfId="2358" xr:uid="{00000000-0005-0000-0000-0000663B0000}"/>
    <cellStyle name="Normal 25 3 2 2 2" xfId="6944" xr:uid="{00000000-0005-0000-0000-0000673B0000}"/>
    <cellStyle name="Normal 25 3 2 2 2 2" xfId="16044" xr:uid="{00000000-0005-0000-0000-0000683B0000}"/>
    <cellStyle name="Normal 25 3 2 2 2 2 2" xfId="34226" xr:uid="{00000000-0005-0000-0000-0000693B0000}"/>
    <cellStyle name="Normal 25 3 2 2 2 3" xfId="25136" xr:uid="{00000000-0005-0000-0000-00006A3B0000}"/>
    <cellStyle name="Normal 25 3 2 2 3" xfId="11508" xr:uid="{00000000-0005-0000-0000-00006B3B0000}"/>
    <cellStyle name="Normal 25 3 2 2 3 2" xfId="29690" xr:uid="{00000000-0005-0000-0000-00006C3B0000}"/>
    <cellStyle name="Normal 25 3 2 2 4" xfId="20600" xr:uid="{00000000-0005-0000-0000-00006D3B0000}"/>
    <cellStyle name="Normal 25 3 2 3" xfId="3906" xr:uid="{00000000-0005-0000-0000-00006E3B0000}"/>
    <cellStyle name="Normal 25 3 2 3 2" xfId="8462" xr:uid="{00000000-0005-0000-0000-00006F3B0000}"/>
    <cellStyle name="Normal 25 3 2 3 2 2" xfId="17558" xr:uid="{00000000-0005-0000-0000-0000703B0000}"/>
    <cellStyle name="Normal 25 3 2 3 2 2 2" xfId="35740" xr:uid="{00000000-0005-0000-0000-0000713B0000}"/>
    <cellStyle name="Normal 25 3 2 3 2 3" xfId="26650" xr:uid="{00000000-0005-0000-0000-0000723B0000}"/>
    <cellStyle name="Normal 25 3 2 3 3" xfId="13018" xr:uid="{00000000-0005-0000-0000-0000733B0000}"/>
    <cellStyle name="Normal 25 3 2 3 3 2" xfId="31200" xr:uid="{00000000-0005-0000-0000-0000743B0000}"/>
    <cellStyle name="Normal 25 3 2 3 4" xfId="22110" xr:uid="{00000000-0005-0000-0000-0000753B0000}"/>
    <cellStyle name="Normal 25 3 2 4" xfId="5545" xr:uid="{00000000-0005-0000-0000-0000763B0000}"/>
    <cellStyle name="Normal 25 3 2 4 2" xfId="14645" xr:uid="{00000000-0005-0000-0000-0000773B0000}"/>
    <cellStyle name="Normal 25 3 2 4 2 2" xfId="32827" xr:uid="{00000000-0005-0000-0000-0000783B0000}"/>
    <cellStyle name="Normal 25 3 2 4 3" xfId="23737" xr:uid="{00000000-0005-0000-0000-0000793B0000}"/>
    <cellStyle name="Normal 25 3 2 5" xfId="10111" xr:uid="{00000000-0005-0000-0000-00007A3B0000}"/>
    <cellStyle name="Normal 25 3 2 5 2" xfId="28293" xr:uid="{00000000-0005-0000-0000-00007B3B0000}"/>
    <cellStyle name="Normal 25 3 2 6" xfId="19202" xr:uid="{00000000-0005-0000-0000-00007C3B0000}"/>
    <cellStyle name="Normal 25 3 3" xfId="2359" xr:uid="{00000000-0005-0000-0000-00007D3B0000}"/>
    <cellStyle name="Normal 25 3 3 2" xfId="6945" xr:uid="{00000000-0005-0000-0000-00007E3B0000}"/>
    <cellStyle name="Normal 25 3 3 2 2" xfId="16045" xr:uid="{00000000-0005-0000-0000-00007F3B0000}"/>
    <cellStyle name="Normal 25 3 3 2 2 2" xfId="34227" xr:uid="{00000000-0005-0000-0000-0000803B0000}"/>
    <cellStyle name="Normal 25 3 3 2 3" xfId="25137" xr:uid="{00000000-0005-0000-0000-0000813B0000}"/>
    <cellStyle name="Normal 25 3 3 3" xfId="11509" xr:uid="{00000000-0005-0000-0000-0000823B0000}"/>
    <cellStyle name="Normal 25 3 3 3 2" xfId="29691" xr:uid="{00000000-0005-0000-0000-0000833B0000}"/>
    <cellStyle name="Normal 25 3 3 4" xfId="20601" xr:uid="{00000000-0005-0000-0000-0000843B0000}"/>
    <cellStyle name="Normal 25 3 4" xfId="3905" xr:uid="{00000000-0005-0000-0000-0000853B0000}"/>
    <cellStyle name="Normal 25 3 4 2" xfId="8461" xr:uid="{00000000-0005-0000-0000-0000863B0000}"/>
    <cellStyle name="Normal 25 3 4 2 2" xfId="17557" xr:uid="{00000000-0005-0000-0000-0000873B0000}"/>
    <cellStyle name="Normal 25 3 4 2 2 2" xfId="35739" xr:uid="{00000000-0005-0000-0000-0000883B0000}"/>
    <cellStyle name="Normal 25 3 4 2 3" xfId="26649" xr:uid="{00000000-0005-0000-0000-0000893B0000}"/>
    <cellStyle name="Normal 25 3 4 3" xfId="13017" xr:uid="{00000000-0005-0000-0000-00008A3B0000}"/>
    <cellStyle name="Normal 25 3 4 3 2" xfId="31199" xr:uid="{00000000-0005-0000-0000-00008B3B0000}"/>
    <cellStyle name="Normal 25 3 4 4" xfId="22109" xr:uid="{00000000-0005-0000-0000-00008C3B0000}"/>
    <cellStyle name="Normal 25 3 5" xfId="5544" xr:uid="{00000000-0005-0000-0000-00008D3B0000}"/>
    <cellStyle name="Normal 25 3 5 2" xfId="14644" xr:uid="{00000000-0005-0000-0000-00008E3B0000}"/>
    <cellStyle name="Normal 25 3 5 2 2" xfId="32826" xr:uid="{00000000-0005-0000-0000-00008F3B0000}"/>
    <cellStyle name="Normal 25 3 5 3" xfId="23736" xr:uid="{00000000-0005-0000-0000-0000903B0000}"/>
    <cellStyle name="Normal 25 3 6" xfId="10110" xr:uid="{00000000-0005-0000-0000-0000913B0000}"/>
    <cellStyle name="Normal 25 3 6 2" xfId="28292" xr:uid="{00000000-0005-0000-0000-0000923B0000}"/>
    <cellStyle name="Normal 25 3 7" xfId="19201" xr:uid="{00000000-0005-0000-0000-0000933B0000}"/>
    <cellStyle name="Normal 25 4" xfId="904" xr:uid="{00000000-0005-0000-0000-0000943B0000}"/>
    <cellStyle name="Normal 25 4 2" xfId="2360" xr:uid="{00000000-0005-0000-0000-0000953B0000}"/>
    <cellStyle name="Normal 25 4 2 2" xfId="6946" xr:uid="{00000000-0005-0000-0000-0000963B0000}"/>
    <cellStyle name="Normal 25 4 2 2 2" xfId="16046" xr:uid="{00000000-0005-0000-0000-0000973B0000}"/>
    <cellStyle name="Normal 25 4 2 2 2 2" xfId="34228" xr:uid="{00000000-0005-0000-0000-0000983B0000}"/>
    <cellStyle name="Normal 25 4 2 2 3" xfId="25138" xr:uid="{00000000-0005-0000-0000-0000993B0000}"/>
    <cellStyle name="Normal 25 4 2 3" xfId="11510" xr:uid="{00000000-0005-0000-0000-00009A3B0000}"/>
    <cellStyle name="Normal 25 4 2 3 2" xfId="29692" xr:uid="{00000000-0005-0000-0000-00009B3B0000}"/>
    <cellStyle name="Normal 25 4 2 4" xfId="20602" xr:uid="{00000000-0005-0000-0000-00009C3B0000}"/>
    <cellStyle name="Normal 25 4 3" xfId="3907" xr:uid="{00000000-0005-0000-0000-00009D3B0000}"/>
    <cellStyle name="Normal 25 4 3 2" xfId="8463" xr:uid="{00000000-0005-0000-0000-00009E3B0000}"/>
    <cellStyle name="Normal 25 4 3 2 2" xfId="17559" xr:uid="{00000000-0005-0000-0000-00009F3B0000}"/>
    <cellStyle name="Normal 25 4 3 2 2 2" xfId="35741" xr:uid="{00000000-0005-0000-0000-0000A03B0000}"/>
    <cellStyle name="Normal 25 4 3 2 3" xfId="26651" xr:uid="{00000000-0005-0000-0000-0000A13B0000}"/>
    <cellStyle name="Normal 25 4 3 3" xfId="13019" xr:uid="{00000000-0005-0000-0000-0000A23B0000}"/>
    <cellStyle name="Normal 25 4 3 3 2" xfId="31201" xr:uid="{00000000-0005-0000-0000-0000A33B0000}"/>
    <cellStyle name="Normal 25 4 3 4" xfId="22111" xr:uid="{00000000-0005-0000-0000-0000A43B0000}"/>
    <cellStyle name="Normal 25 4 4" xfId="5546" xr:uid="{00000000-0005-0000-0000-0000A53B0000}"/>
    <cellStyle name="Normal 25 4 4 2" xfId="14646" xr:uid="{00000000-0005-0000-0000-0000A63B0000}"/>
    <cellStyle name="Normal 25 4 4 2 2" xfId="32828" xr:uid="{00000000-0005-0000-0000-0000A73B0000}"/>
    <cellStyle name="Normal 25 4 4 3" xfId="23738" xr:uid="{00000000-0005-0000-0000-0000A83B0000}"/>
    <cellStyle name="Normal 25 4 5" xfId="10112" xr:uid="{00000000-0005-0000-0000-0000A93B0000}"/>
    <cellStyle name="Normal 25 4 5 2" xfId="28294" xr:uid="{00000000-0005-0000-0000-0000AA3B0000}"/>
    <cellStyle name="Normal 25 4 6" xfId="19203" xr:uid="{00000000-0005-0000-0000-0000AB3B0000}"/>
    <cellStyle name="Normal 25 5" xfId="905" xr:uid="{00000000-0005-0000-0000-0000AC3B0000}"/>
    <cellStyle name="Normal 25 5 2" xfId="3908" xr:uid="{00000000-0005-0000-0000-0000AD3B0000}"/>
    <cellStyle name="Normal 25 5 2 2" xfId="8464" xr:uid="{00000000-0005-0000-0000-0000AE3B0000}"/>
    <cellStyle name="Normal 25 5 2 2 2" xfId="17560" xr:uid="{00000000-0005-0000-0000-0000AF3B0000}"/>
    <cellStyle name="Normal 25 5 2 2 2 2" xfId="35742" xr:uid="{00000000-0005-0000-0000-0000B03B0000}"/>
    <cellStyle name="Normal 25 5 2 2 3" xfId="26652" xr:uid="{00000000-0005-0000-0000-0000B13B0000}"/>
    <cellStyle name="Normal 25 5 2 3" xfId="13020" xr:uid="{00000000-0005-0000-0000-0000B23B0000}"/>
    <cellStyle name="Normal 25 5 2 3 2" xfId="31202" xr:uid="{00000000-0005-0000-0000-0000B33B0000}"/>
    <cellStyle name="Normal 25 5 2 4" xfId="22112" xr:uid="{00000000-0005-0000-0000-0000B43B0000}"/>
    <cellStyle name="Normal 25 5 3" xfId="5547" xr:uid="{00000000-0005-0000-0000-0000B53B0000}"/>
    <cellStyle name="Normal 25 5 3 2" xfId="14647" xr:uid="{00000000-0005-0000-0000-0000B63B0000}"/>
    <cellStyle name="Normal 25 5 3 2 2" xfId="32829" xr:uid="{00000000-0005-0000-0000-0000B73B0000}"/>
    <cellStyle name="Normal 25 5 3 3" xfId="23739" xr:uid="{00000000-0005-0000-0000-0000B83B0000}"/>
    <cellStyle name="Normal 25 5 4" xfId="10113" xr:uid="{00000000-0005-0000-0000-0000B93B0000}"/>
    <cellStyle name="Normal 25 5 4 2" xfId="28295" xr:uid="{00000000-0005-0000-0000-0000BA3B0000}"/>
    <cellStyle name="Normal 25 5 5" xfId="19204" xr:uid="{00000000-0005-0000-0000-0000BB3B0000}"/>
    <cellStyle name="Normal 25 6" xfId="2361" xr:uid="{00000000-0005-0000-0000-0000BC3B0000}"/>
    <cellStyle name="Normal 25 6 2" xfId="6947" xr:uid="{00000000-0005-0000-0000-0000BD3B0000}"/>
    <cellStyle name="Normal 25 6 2 2" xfId="16047" xr:uid="{00000000-0005-0000-0000-0000BE3B0000}"/>
    <cellStyle name="Normal 25 6 2 2 2" xfId="34229" xr:uid="{00000000-0005-0000-0000-0000BF3B0000}"/>
    <cellStyle name="Normal 25 6 2 3" xfId="25139" xr:uid="{00000000-0005-0000-0000-0000C03B0000}"/>
    <cellStyle name="Normal 25 6 3" xfId="11511" xr:uid="{00000000-0005-0000-0000-0000C13B0000}"/>
    <cellStyle name="Normal 25 6 3 2" xfId="29693" xr:uid="{00000000-0005-0000-0000-0000C23B0000}"/>
    <cellStyle name="Normal 25 6 4" xfId="20603" xr:uid="{00000000-0005-0000-0000-0000C33B0000}"/>
    <cellStyle name="Normal 25 7" xfId="3235" xr:uid="{00000000-0005-0000-0000-0000C43B0000}"/>
    <cellStyle name="Normal 25 7 2" xfId="7795" xr:uid="{00000000-0005-0000-0000-0000C53B0000}"/>
    <cellStyle name="Normal 25 7 2 2" xfId="16891" xr:uid="{00000000-0005-0000-0000-0000C63B0000}"/>
    <cellStyle name="Normal 25 7 2 2 2" xfId="35073" xr:uid="{00000000-0005-0000-0000-0000C73B0000}"/>
    <cellStyle name="Normal 25 7 2 3" xfId="25983" xr:uid="{00000000-0005-0000-0000-0000C83B0000}"/>
    <cellStyle name="Normal 25 7 3" xfId="12351" xr:uid="{00000000-0005-0000-0000-0000C93B0000}"/>
    <cellStyle name="Normal 25 7 3 2" xfId="30533" xr:uid="{00000000-0005-0000-0000-0000CA3B0000}"/>
    <cellStyle name="Normal 25 7 4" xfId="21443" xr:uid="{00000000-0005-0000-0000-0000CB3B0000}"/>
    <cellStyle name="Normal 25 8" xfId="4882" xr:uid="{00000000-0005-0000-0000-0000CC3B0000}"/>
    <cellStyle name="Normal 25 8 2" xfId="13982" xr:uid="{00000000-0005-0000-0000-0000CD3B0000}"/>
    <cellStyle name="Normal 25 8 2 2" xfId="32164" xr:uid="{00000000-0005-0000-0000-0000CE3B0000}"/>
    <cellStyle name="Normal 25 8 3" xfId="23074" xr:uid="{00000000-0005-0000-0000-0000CF3B0000}"/>
    <cellStyle name="Normal 25 9" xfId="9448" xr:uid="{00000000-0005-0000-0000-0000D03B0000}"/>
    <cellStyle name="Normal 25 9 2" xfId="27630" xr:uid="{00000000-0005-0000-0000-0000D13B0000}"/>
    <cellStyle name="Normal 26" xfId="160" xr:uid="{00000000-0005-0000-0000-0000D23B0000}"/>
    <cellStyle name="Normal 26 10" xfId="18540" xr:uid="{00000000-0005-0000-0000-0000D33B0000}"/>
    <cellStyle name="Normal 26 2" xfId="906" xr:uid="{00000000-0005-0000-0000-0000D43B0000}"/>
    <cellStyle name="Normal 26 2 2" xfId="907" xr:uid="{00000000-0005-0000-0000-0000D53B0000}"/>
    <cellStyle name="Normal 26 2 2 2" xfId="908" xr:uid="{00000000-0005-0000-0000-0000D63B0000}"/>
    <cellStyle name="Normal 26 2 2 2 2" xfId="2362" xr:uid="{00000000-0005-0000-0000-0000D73B0000}"/>
    <cellStyle name="Normal 26 2 2 2 2 2" xfId="6948" xr:uid="{00000000-0005-0000-0000-0000D83B0000}"/>
    <cellStyle name="Normal 26 2 2 2 2 2 2" xfId="16048" xr:uid="{00000000-0005-0000-0000-0000D93B0000}"/>
    <cellStyle name="Normal 26 2 2 2 2 2 2 2" xfId="34230" xr:uid="{00000000-0005-0000-0000-0000DA3B0000}"/>
    <cellStyle name="Normal 26 2 2 2 2 2 3" xfId="25140" xr:uid="{00000000-0005-0000-0000-0000DB3B0000}"/>
    <cellStyle name="Normal 26 2 2 2 2 3" xfId="11512" xr:uid="{00000000-0005-0000-0000-0000DC3B0000}"/>
    <cellStyle name="Normal 26 2 2 2 2 3 2" xfId="29694" xr:uid="{00000000-0005-0000-0000-0000DD3B0000}"/>
    <cellStyle name="Normal 26 2 2 2 2 4" xfId="20604" xr:uid="{00000000-0005-0000-0000-0000DE3B0000}"/>
    <cellStyle name="Normal 26 2 2 2 3" xfId="3911" xr:uid="{00000000-0005-0000-0000-0000DF3B0000}"/>
    <cellStyle name="Normal 26 2 2 2 3 2" xfId="8467" xr:uid="{00000000-0005-0000-0000-0000E03B0000}"/>
    <cellStyle name="Normal 26 2 2 2 3 2 2" xfId="17563" xr:uid="{00000000-0005-0000-0000-0000E13B0000}"/>
    <cellStyle name="Normal 26 2 2 2 3 2 2 2" xfId="35745" xr:uid="{00000000-0005-0000-0000-0000E23B0000}"/>
    <cellStyle name="Normal 26 2 2 2 3 2 3" xfId="26655" xr:uid="{00000000-0005-0000-0000-0000E33B0000}"/>
    <cellStyle name="Normal 26 2 2 2 3 3" xfId="13023" xr:uid="{00000000-0005-0000-0000-0000E43B0000}"/>
    <cellStyle name="Normal 26 2 2 2 3 3 2" xfId="31205" xr:uid="{00000000-0005-0000-0000-0000E53B0000}"/>
    <cellStyle name="Normal 26 2 2 2 3 4" xfId="22115" xr:uid="{00000000-0005-0000-0000-0000E63B0000}"/>
    <cellStyle name="Normal 26 2 2 2 4" xfId="5550" xr:uid="{00000000-0005-0000-0000-0000E73B0000}"/>
    <cellStyle name="Normal 26 2 2 2 4 2" xfId="14650" xr:uid="{00000000-0005-0000-0000-0000E83B0000}"/>
    <cellStyle name="Normal 26 2 2 2 4 2 2" xfId="32832" xr:uid="{00000000-0005-0000-0000-0000E93B0000}"/>
    <cellStyle name="Normal 26 2 2 2 4 3" xfId="23742" xr:uid="{00000000-0005-0000-0000-0000EA3B0000}"/>
    <cellStyle name="Normal 26 2 2 2 5" xfId="10116" xr:uid="{00000000-0005-0000-0000-0000EB3B0000}"/>
    <cellStyle name="Normal 26 2 2 2 5 2" xfId="28298" xr:uid="{00000000-0005-0000-0000-0000EC3B0000}"/>
    <cellStyle name="Normal 26 2 2 2 6" xfId="19207" xr:uid="{00000000-0005-0000-0000-0000ED3B0000}"/>
    <cellStyle name="Normal 26 2 2 3" xfId="2363" xr:uid="{00000000-0005-0000-0000-0000EE3B0000}"/>
    <cellStyle name="Normal 26 2 2 3 2" xfId="6949" xr:uid="{00000000-0005-0000-0000-0000EF3B0000}"/>
    <cellStyle name="Normal 26 2 2 3 2 2" xfId="16049" xr:uid="{00000000-0005-0000-0000-0000F03B0000}"/>
    <cellStyle name="Normal 26 2 2 3 2 2 2" xfId="34231" xr:uid="{00000000-0005-0000-0000-0000F13B0000}"/>
    <cellStyle name="Normal 26 2 2 3 2 3" xfId="25141" xr:uid="{00000000-0005-0000-0000-0000F23B0000}"/>
    <cellStyle name="Normal 26 2 2 3 3" xfId="11513" xr:uid="{00000000-0005-0000-0000-0000F33B0000}"/>
    <cellStyle name="Normal 26 2 2 3 3 2" xfId="29695" xr:uid="{00000000-0005-0000-0000-0000F43B0000}"/>
    <cellStyle name="Normal 26 2 2 3 4" xfId="20605" xr:uid="{00000000-0005-0000-0000-0000F53B0000}"/>
    <cellStyle name="Normal 26 2 2 4" xfId="3910" xr:uid="{00000000-0005-0000-0000-0000F63B0000}"/>
    <cellStyle name="Normal 26 2 2 4 2" xfId="8466" xr:uid="{00000000-0005-0000-0000-0000F73B0000}"/>
    <cellStyle name="Normal 26 2 2 4 2 2" xfId="17562" xr:uid="{00000000-0005-0000-0000-0000F83B0000}"/>
    <cellStyle name="Normal 26 2 2 4 2 2 2" xfId="35744" xr:uid="{00000000-0005-0000-0000-0000F93B0000}"/>
    <cellStyle name="Normal 26 2 2 4 2 3" xfId="26654" xr:uid="{00000000-0005-0000-0000-0000FA3B0000}"/>
    <cellStyle name="Normal 26 2 2 4 3" xfId="13022" xr:uid="{00000000-0005-0000-0000-0000FB3B0000}"/>
    <cellStyle name="Normal 26 2 2 4 3 2" xfId="31204" xr:uid="{00000000-0005-0000-0000-0000FC3B0000}"/>
    <cellStyle name="Normal 26 2 2 4 4" xfId="22114" xr:uid="{00000000-0005-0000-0000-0000FD3B0000}"/>
    <cellStyle name="Normal 26 2 2 5" xfId="5549" xr:uid="{00000000-0005-0000-0000-0000FE3B0000}"/>
    <cellStyle name="Normal 26 2 2 5 2" xfId="14649" xr:uid="{00000000-0005-0000-0000-0000FF3B0000}"/>
    <cellStyle name="Normal 26 2 2 5 2 2" xfId="32831" xr:uid="{00000000-0005-0000-0000-0000003C0000}"/>
    <cellStyle name="Normal 26 2 2 5 3" xfId="23741" xr:uid="{00000000-0005-0000-0000-0000013C0000}"/>
    <cellStyle name="Normal 26 2 2 6" xfId="10115" xr:uid="{00000000-0005-0000-0000-0000023C0000}"/>
    <cellStyle name="Normal 26 2 2 6 2" xfId="28297" xr:uid="{00000000-0005-0000-0000-0000033C0000}"/>
    <cellStyle name="Normal 26 2 2 7" xfId="19206" xr:uid="{00000000-0005-0000-0000-0000043C0000}"/>
    <cellStyle name="Normal 26 2 3" xfId="909" xr:uid="{00000000-0005-0000-0000-0000053C0000}"/>
    <cellStyle name="Normal 26 2 3 2" xfId="2364" xr:uid="{00000000-0005-0000-0000-0000063C0000}"/>
    <cellStyle name="Normal 26 2 3 2 2" xfId="6950" xr:uid="{00000000-0005-0000-0000-0000073C0000}"/>
    <cellStyle name="Normal 26 2 3 2 2 2" xfId="16050" xr:uid="{00000000-0005-0000-0000-0000083C0000}"/>
    <cellStyle name="Normal 26 2 3 2 2 2 2" xfId="34232" xr:uid="{00000000-0005-0000-0000-0000093C0000}"/>
    <cellStyle name="Normal 26 2 3 2 2 3" xfId="25142" xr:uid="{00000000-0005-0000-0000-00000A3C0000}"/>
    <cellStyle name="Normal 26 2 3 2 3" xfId="11514" xr:uid="{00000000-0005-0000-0000-00000B3C0000}"/>
    <cellStyle name="Normal 26 2 3 2 3 2" xfId="29696" xr:uid="{00000000-0005-0000-0000-00000C3C0000}"/>
    <cellStyle name="Normal 26 2 3 2 4" xfId="20606" xr:uid="{00000000-0005-0000-0000-00000D3C0000}"/>
    <cellStyle name="Normal 26 2 3 3" xfId="3912" xr:uid="{00000000-0005-0000-0000-00000E3C0000}"/>
    <cellStyle name="Normal 26 2 3 3 2" xfId="8468" xr:uid="{00000000-0005-0000-0000-00000F3C0000}"/>
    <cellStyle name="Normal 26 2 3 3 2 2" xfId="17564" xr:uid="{00000000-0005-0000-0000-0000103C0000}"/>
    <cellStyle name="Normal 26 2 3 3 2 2 2" xfId="35746" xr:uid="{00000000-0005-0000-0000-0000113C0000}"/>
    <cellStyle name="Normal 26 2 3 3 2 3" xfId="26656" xr:uid="{00000000-0005-0000-0000-0000123C0000}"/>
    <cellStyle name="Normal 26 2 3 3 3" xfId="13024" xr:uid="{00000000-0005-0000-0000-0000133C0000}"/>
    <cellStyle name="Normal 26 2 3 3 3 2" xfId="31206" xr:uid="{00000000-0005-0000-0000-0000143C0000}"/>
    <cellStyle name="Normal 26 2 3 3 4" xfId="22116" xr:uid="{00000000-0005-0000-0000-0000153C0000}"/>
    <cellStyle name="Normal 26 2 3 4" xfId="5551" xr:uid="{00000000-0005-0000-0000-0000163C0000}"/>
    <cellStyle name="Normal 26 2 3 4 2" xfId="14651" xr:uid="{00000000-0005-0000-0000-0000173C0000}"/>
    <cellStyle name="Normal 26 2 3 4 2 2" xfId="32833" xr:uid="{00000000-0005-0000-0000-0000183C0000}"/>
    <cellStyle name="Normal 26 2 3 4 3" xfId="23743" xr:uid="{00000000-0005-0000-0000-0000193C0000}"/>
    <cellStyle name="Normal 26 2 3 5" xfId="10117" xr:uid="{00000000-0005-0000-0000-00001A3C0000}"/>
    <cellStyle name="Normal 26 2 3 5 2" xfId="28299" xr:uid="{00000000-0005-0000-0000-00001B3C0000}"/>
    <cellStyle name="Normal 26 2 3 6" xfId="19208" xr:uid="{00000000-0005-0000-0000-00001C3C0000}"/>
    <cellStyle name="Normal 26 2 4" xfId="910" xr:uid="{00000000-0005-0000-0000-00001D3C0000}"/>
    <cellStyle name="Normal 26 2 4 2" xfId="3913" xr:uid="{00000000-0005-0000-0000-00001E3C0000}"/>
    <cellStyle name="Normal 26 2 4 2 2" xfId="8469" xr:uid="{00000000-0005-0000-0000-00001F3C0000}"/>
    <cellStyle name="Normal 26 2 4 2 2 2" xfId="17565" xr:uid="{00000000-0005-0000-0000-0000203C0000}"/>
    <cellStyle name="Normal 26 2 4 2 2 2 2" xfId="35747" xr:uid="{00000000-0005-0000-0000-0000213C0000}"/>
    <cellStyle name="Normal 26 2 4 2 2 3" xfId="26657" xr:uid="{00000000-0005-0000-0000-0000223C0000}"/>
    <cellStyle name="Normal 26 2 4 2 3" xfId="13025" xr:uid="{00000000-0005-0000-0000-0000233C0000}"/>
    <cellStyle name="Normal 26 2 4 2 3 2" xfId="31207" xr:uid="{00000000-0005-0000-0000-0000243C0000}"/>
    <cellStyle name="Normal 26 2 4 2 4" xfId="22117" xr:uid="{00000000-0005-0000-0000-0000253C0000}"/>
    <cellStyle name="Normal 26 2 4 3" xfId="5552" xr:uid="{00000000-0005-0000-0000-0000263C0000}"/>
    <cellStyle name="Normal 26 2 4 3 2" xfId="14652" xr:uid="{00000000-0005-0000-0000-0000273C0000}"/>
    <cellStyle name="Normal 26 2 4 3 2 2" xfId="32834" xr:uid="{00000000-0005-0000-0000-0000283C0000}"/>
    <cellStyle name="Normal 26 2 4 3 3" xfId="23744" xr:uid="{00000000-0005-0000-0000-0000293C0000}"/>
    <cellStyle name="Normal 26 2 4 4" xfId="10118" xr:uid="{00000000-0005-0000-0000-00002A3C0000}"/>
    <cellStyle name="Normal 26 2 4 4 2" xfId="28300" xr:uid="{00000000-0005-0000-0000-00002B3C0000}"/>
    <cellStyle name="Normal 26 2 4 5" xfId="19209" xr:uid="{00000000-0005-0000-0000-00002C3C0000}"/>
    <cellStyle name="Normal 26 2 5" xfId="2365" xr:uid="{00000000-0005-0000-0000-00002D3C0000}"/>
    <cellStyle name="Normal 26 2 5 2" xfId="6951" xr:uid="{00000000-0005-0000-0000-00002E3C0000}"/>
    <cellStyle name="Normal 26 2 5 2 2" xfId="16051" xr:uid="{00000000-0005-0000-0000-00002F3C0000}"/>
    <cellStyle name="Normal 26 2 5 2 2 2" xfId="34233" xr:uid="{00000000-0005-0000-0000-0000303C0000}"/>
    <cellStyle name="Normal 26 2 5 2 3" xfId="25143" xr:uid="{00000000-0005-0000-0000-0000313C0000}"/>
    <cellStyle name="Normal 26 2 5 3" xfId="11515" xr:uid="{00000000-0005-0000-0000-0000323C0000}"/>
    <cellStyle name="Normal 26 2 5 3 2" xfId="29697" xr:uid="{00000000-0005-0000-0000-0000333C0000}"/>
    <cellStyle name="Normal 26 2 5 4" xfId="20607" xr:uid="{00000000-0005-0000-0000-0000343C0000}"/>
    <cellStyle name="Normal 26 2 6" xfId="3909" xr:uid="{00000000-0005-0000-0000-0000353C0000}"/>
    <cellStyle name="Normal 26 2 6 2" xfId="8465" xr:uid="{00000000-0005-0000-0000-0000363C0000}"/>
    <cellStyle name="Normal 26 2 6 2 2" xfId="17561" xr:uid="{00000000-0005-0000-0000-0000373C0000}"/>
    <cellStyle name="Normal 26 2 6 2 2 2" xfId="35743" xr:uid="{00000000-0005-0000-0000-0000383C0000}"/>
    <cellStyle name="Normal 26 2 6 2 3" xfId="26653" xr:uid="{00000000-0005-0000-0000-0000393C0000}"/>
    <cellStyle name="Normal 26 2 6 3" xfId="13021" xr:uid="{00000000-0005-0000-0000-00003A3C0000}"/>
    <cellStyle name="Normal 26 2 6 3 2" xfId="31203" xr:uid="{00000000-0005-0000-0000-00003B3C0000}"/>
    <cellStyle name="Normal 26 2 6 4" xfId="22113" xr:uid="{00000000-0005-0000-0000-00003C3C0000}"/>
    <cellStyle name="Normal 26 2 7" xfId="5548" xr:uid="{00000000-0005-0000-0000-00003D3C0000}"/>
    <cellStyle name="Normal 26 2 7 2" xfId="14648" xr:uid="{00000000-0005-0000-0000-00003E3C0000}"/>
    <cellStyle name="Normal 26 2 7 2 2" xfId="32830" xr:uid="{00000000-0005-0000-0000-00003F3C0000}"/>
    <cellStyle name="Normal 26 2 7 3" xfId="23740" xr:uid="{00000000-0005-0000-0000-0000403C0000}"/>
    <cellStyle name="Normal 26 2 8" xfId="10114" xr:uid="{00000000-0005-0000-0000-0000413C0000}"/>
    <cellStyle name="Normal 26 2 8 2" xfId="28296" xr:uid="{00000000-0005-0000-0000-0000423C0000}"/>
    <cellStyle name="Normal 26 2 9" xfId="19205" xr:uid="{00000000-0005-0000-0000-0000433C0000}"/>
    <cellStyle name="Normal 26 3" xfId="911" xr:uid="{00000000-0005-0000-0000-0000443C0000}"/>
    <cellStyle name="Normal 26 3 2" xfId="912" xr:uid="{00000000-0005-0000-0000-0000453C0000}"/>
    <cellStyle name="Normal 26 3 2 2" xfId="2366" xr:uid="{00000000-0005-0000-0000-0000463C0000}"/>
    <cellStyle name="Normal 26 3 2 2 2" xfId="6952" xr:uid="{00000000-0005-0000-0000-0000473C0000}"/>
    <cellStyle name="Normal 26 3 2 2 2 2" xfId="16052" xr:uid="{00000000-0005-0000-0000-0000483C0000}"/>
    <cellStyle name="Normal 26 3 2 2 2 2 2" xfId="34234" xr:uid="{00000000-0005-0000-0000-0000493C0000}"/>
    <cellStyle name="Normal 26 3 2 2 2 3" xfId="25144" xr:uid="{00000000-0005-0000-0000-00004A3C0000}"/>
    <cellStyle name="Normal 26 3 2 2 3" xfId="11516" xr:uid="{00000000-0005-0000-0000-00004B3C0000}"/>
    <cellStyle name="Normal 26 3 2 2 3 2" xfId="29698" xr:uid="{00000000-0005-0000-0000-00004C3C0000}"/>
    <cellStyle name="Normal 26 3 2 2 4" xfId="20608" xr:uid="{00000000-0005-0000-0000-00004D3C0000}"/>
    <cellStyle name="Normal 26 3 2 3" xfId="3915" xr:uid="{00000000-0005-0000-0000-00004E3C0000}"/>
    <cellStyle name="Normal 26 3 2 3 2" xfId="8471" xr:uid="{00000000-0005-0000-0000-00004F3C0000}"/>
    <cellStyle name="Normal 26 3 2 3 2 2" xfId="17567" xr:uid="{00000000-0005-0000-0000-0000503C0000}"/>
    <cellStyle name="Normal 26 3 2 3 2 2 2" xfId="35749" xr:uid="{00000000-0005-0000-0000-0000513C0000}"/>
    <cellStyle name="Normal 26 3 2 3 2 3" xfId="26659" xr:uid="{00000000-0005-0000-0000-0000523C0000}"/>
    <cellStyle name="Normal 26 3 2 3 3" xfId="13027" xr:uid="{00000000-0005-0000-0000-0000533C0000}"/>
    <cellStyle name="Normal 26 3 2 3 3 2" xfId="31209" xr:uid="{00000000-0005-0000-0000-0000543C0000}"/>
    <cellStyle name="Normal 26 3 2 3 4" xfId="22119" xr:uid="{00000000-0005-0000-0000-0000553C0000}"/>
    <cellStyle name="Normal 26 3 2 4" xfId="5554" xr:uid="{00000000-0005-0000-0000-0000563C0000}"/>
    <cellStyle name="Normal 26 3 2 4 2" xfId="14654" xr:uid="{00000000-0005-0000-0000-0000573C0000}"/>
    <cellStyle name="Normal 26 3 2 4 2 2" xfId="32836" xr:uid="{00000000-0005-0000-0000-0000583C0000}"/>
    <cellStyle name="Normal 26 3 2 4 3" xfId="23746" xr:uid="{00000000-0005-0000-0000-0000593C0000}"/>
    <cellStyle name="Normal 26 3 2 5" xfId="10120" xr:uid="{00000000-0005-0000-0000-00005A3C0000}"/>
    <cellStyle name="Normal 26 3 2 5 2" xfId="28302" xr:uid="{00000000-0005-0000-0000-00005B3C0000}"/>
    <cellStyle name="Normal 26 3 2 6" xfId="19211" xr:uid="{00000000-0005-0000-0000-00005C3C0000}"/>
    <cellStyle name="Normal 26 3 3" xfId="2367" xr:uid="{00000000-0005-0000-0000-00005D3C0000}"/>
    <cellStyle name="Normal 26 3 3 2" xfId="6953" xr:uid="{00000000-0005-0000-0000-00005E3C0000}"/>
    <cellStyle name="Normal 26 3 3 2 2" xfId="16053" xr:uid="{00000000-0005-0000-0000-00005F3C0000}"/>
    <cellStyle name="Normal 26 3 3 2 2 2" xfId="34235" xr:uid="{00000000-0005-0000-0000-0000603C0000}"/>
    <cellStyle name="Normal 26 3 3 2 3" xfId="25145" xr:uid="{00000000-0005-0000-0000-0000613C0000}"/>
    <cellStyle name="Normal 26 3 3 3" xfId="11517" xr:uid="{00000000-0005-0000-0000-0000623C0000}"/>
    <cellStyle name="Normal 26 3 3 3 2" xfId="29699" xr:uid="{00000000-0005-0000-0000-0000633C0000}"/>
    <cellStyle name="Normal 26 3 3 4" xfId="20609" xr:uid="{00000000-0005-0000-0000-0000643C0000}"/>
    <cellStyle name="Normal 26 3 4" xfId="3914" xr:uid="{00000000-0005-0000-0000-0000653C0000}"/>
    <cellStyle name="Normal 26 3 4 2" xfId="8470" xr:uid="{00000000-0005-0000-0000-0000663C0000}"/>
    <cellStyle name="Normal 26 3 4 2 2" xfId="17566" xr:uid="{00000000-0005-0000-0000-0000673C0000}"/>
    <cellStyle name="Normal 26 3 4 2 2 2" xfId="35748" xr:uid="{00000000-0005-0000-0000-0000683C0000}"/>
    <cellStyle name="Normal 26 3 4 2 3" xfId="26658" xr:uid="{00000000-0005-0000-0000-0000693C0000}"/>
    <cellStyle name="Normal 26 3 4 3" xfId="13026" xr:uid="{00000000-0005-0000-0000-00006A3C0000}"/>
    <cellStyle name="Normal 26 3 4 3 2" xfId="31208" xr:uid="{00000000-0005-0000-0000-00006B3C0000}"/>
    <cellStyle name="Normal 26 3 4 4" xfId="22118" xr:uid="{00000000-0005-0000-0000-00006C3C0000}"/>
    <cellStyle name="Normal 26 3 5" xfId="5553" xr:uid="{00000000-0005-0000-0000-00006D3C0000}"/>
    <cellStyle name="Normal 26 3 5 2" xfId="14653" xr:uid="{00000000-0005-0000-0000-00006E3C0000}"/>
    <cellStyle name="Normal 26 3 5 2 2" xfId="32835" xr:uid="{00000000-0005-0000-0000-00006F3C0000}"/>
    <cellStyle name="Normal 26 3 5 3" xfId="23745" xr:uid="{00000000-0005-0000-0000-0000703C0000}"/>
    <cellStyle name="Normal 26 3 6" xfId="10119" xr:uid="{00000000-0005-0000-0000-0000713C0000}"/>
    <cellStyle name="Normal 26 3 6 2" xfId="28301" xr:uid="{00000000-0005-0000-0000-0000723C0000}"/>
    <cellStyle name="Normal 26 3 7" xfId="19210" xr:uid="{00000000-0005-0000-0000-0000733C0000}"/>
    <cellStyle name="Normal 26 4" xfId="913" xr:uid="{00000000-0005-0000-0000-0000743C0000}"/>
    <cellStyle name="Normal 26 4 2" xfId="2368" xr:uid="{00000000-0005-0000-0000-0000753C0000}"/>
    <cellStyle name="Normal 26 4 2 2" xfId="6954" xr:uid="{00000000-0005-0000-0000-0000763C0000}"/>
    <cellStyle name="Normal 26 4 2 2 2" xfId="16054" xr:uid="{00000000-0005-0000-0000-0000773C0000}"/>
    <cellStyle name="Normal 26 4 2 2 2 2" xfId="34236" xr:uid="{00000000-0005-0000-0000-0000783C0000}"/>
    <cellStyle name="Normal 26 4 2 2 3" xfId="25146" xr:uid="{00000000-0005-0000-0000-0000793C0000}"/>
    <cellStyle name="Normal 26 4 2 3" xfId="11518" xr:uid="{00000000-0005-0000-0000-00007A3C0000}"/>
    <cellStyle name="Normal 26 4 2 3 2" xfId="29700" xr:uid="{00000000-0005-0000-0000-00007B3C0000}"/>
    <cellStyle name="Normal 26 4 2 4" xfId="20610" xr:uid="{00000000-0005-0000-0000-00007C3C0000}"/>
    <cellStyle name="Normal 26 4 3" xfId="3916" xr:uid="{00000000-0005-0000-0000-00007D3C0000}"/>
    <cellStyle name="Normal 26 4 3 2" xfId="8472" xr:uid="{00000000-0005-0000-0000-00007E3C0000}"/>
    <cellStyle name="Normal 26 4 3 2 2" xfId="17568" xr:uid="{00000000-0005-0000-0000-00007F3C0000}"/>
    <cellStyle name="Normal 26 4 3 2 2 2" xfId="35750" xr:uid="{00000000-0005-0000-0000-0000803C0000}"/>
    <cellStyle name="Normal 26 4 3 2 3" xfId="26660" xr:uid="{00000000-0005-0000-0000-0000813C0000}"/>
    <cellStyle name="Normal 26 4 3 3" xfId="13028" xr:uid="{00000000-0005-0000-0000-0000823C0000}"/>
    <cellStyle name="Normal 26 4 3 3 2" xfId="31210" xr:uid="{00000000-0005-0000-0000-0000833C0000}"/>
    <cellStyle name="Normal 26 4 3 4" xfId="22120" xr:uid="{00000000-0005-0000-0000-0000843C0000}"/>
    <cellStyle name="Normal 26 4 4" xfId="5555" xr:uid="{00000000-0005-0000-0000-0000853C0000}"/>
    <cellStyle name="Normal 26 4 4 2" xfId="14655" xr:uid="{00000000-0005-0000-0000-0000863C0000}"/>
    <cellStyle name="Normal 26 4 4 2 2" xfId="32837" xr:uid="{00000000-0005-0000-0000-0000873C0000}"/>
    <cellStyle name="Normal 26 4 4 3" xfId="23747" xr:uid="{00000000-0005-0000-0000-0000883C0000}"/>
    <cellStyle name="Normal 26 4 5" xfId="10121" xr:uid="{00000000-0005-0000-0000-0000893C0000}"/>
    <cellStyle name="Normal 26 4 5 2" xfId="28303" xr:uid="{00000000-0005-0000-0000-00008A3C0000}"/>
    <cellStyle name="Normal 26 4 6" xfId="19212" xr:uid="{00000000-0005-0000-0000-00008B3C0000}"/>
    <cellStyle name="Normal 26 5" xfId="914" xr:uid="{00000000-0005-0000-0000-00008C3C0000}"/>
    <cellStyle name="Normal 26 5 2" xfId="3917" xr:uid="{00000000-0005-0000-0000-00008D3C0000}"/>
    <cellStyle name="Normal 26 5 2 2" xfId="8473" xr:uid="{00000000-0005-0000-0000-00008E3C0000}"/>
    <cellStyle name="Normal 26 5 2 2 2" xfId="17569" xr:uid="{00000000-0005-0000-0000-00008F3C0000}"/>
    <cellStyle name="Normal 26 5 2 2 2 2" xfId="35751" xr:uid="{00000000-0005-0000-0000-0000903C0000}"/>
    <cellStyle name="Normal 26 5 2 2 3" xfId="26661" xr:uid="{00000000-0005-0000-0000-0000913C0000}"/>
    <cellStyle name="Normal 26 5 2 3" xfId="13029" xr:uid="{00000000-0005-0000-0000-0000923C0000}"/>
    <cellStyle name="Normal 26 5 2 3 2" xfId="31211" xr:uid="{00000000-0005-0000-0000-0000933C0000}"/>
    <cellStyle name="Normal 26 5 2 4" xfId="22121" xr:uid="{00000000-0005-0000-0000-0000943C0000}"/>
    <cellStyle name="Normal 26 5 3" xfId="5556" xr:uid="{00000000-0005-0000-0000-0000953C0000}"/>
    <cellStyle name="Normal 26 5 3 2" xfId="14656" xr:uid="{00000000-0005-0000-0000-0000963C0000}"/>
    <cellStyle name="Normal 26 5 3 2 2" xfId="32838" xr:uid="{00000000-0005-0000-0000-0000973C0000}"/>
    <cellStyle name="Normal 26 5 3 3" xfId="23748" xr:uid="{00000000-0005-0000-0000-0000983C0000}"/>
    <cellStyle name="Normal 26 5 4" xfId="10122" xr:uid="{00000000-0005-0000-0000-0000993C0000}"/>
    <cellStyle name="Normal 26 5 4 2" xfId="28304" xr:uid="{00000000-0005-0000-0000-00009A3C0000}"/>
    <cellStyle name="Normal 26 5 5" xfId="19213" xr:uid="{00000000-0005-0000-0000-00009B3C0000}"/>
    <cellStyle name="Normal 26 6" xfId="2369" xr:uid="{00000000-0005-0000-0000-00009C3C0000}"/>
    <cellStyle name="Normal 26 6 2" xfId="6955" xr:uid="{00000000-0005-0000-0000-00009D3C0000}"/>
    <cellStyle name="Normal 26 6 2 2" xfId="16055" xr:uid="{00000000-0005-0000-0000-00009E3C0000}"/>
    <cellStyle name="Normal 26 6 2 2 2" xfId="34237" xr:uid="{00000000-0005-0000-0000-00009F3C0000}"/>
    <cellStyle name="Normal 26 6 2 3" xfId="25147" xr:uid="{00000000-0005-0000-0000-0000A03C0000}"/>
    <cellStyle name="Normal 26 6 3" xfId="11519" xr:uid="{00000000-0005-0000-0000-0000A13C0000}"/>
    <cellStyle name="Normal 26 6 3 2" xfId="29701" xr:uid="{00000000-0005-0000-0000-0000A23C0000}"/>
    <cellStyle name="Normal 26 6 4" xfId="20611" xr:uid="{00000000-0005-0000-0000-0000A33C0000}"/>
    <cellStyle name="Normal 26 7" xfId="3236" xr:uid="{00000000-0005-0000-0000-0000A43C0000}"/>
    <cellStyle name="Normal 26 7 2" xfId="7796" xr:uid="{00000000-0005-0000-0000-0000A53C0000}"/>
    <cellStyle name="Normal 26 7 2 2" xfId="16892" xr:uid="{00000000-0005-0000-0000-0000A63C0000}"/>
    <cellStyle name="Normal 26 7 2 2 2" xfId="35074" xr:uid="{00000000-0005-0000-0000-0000A73C0000}"/>
    <cellStyle name="Normal 26 7 2 3" xfId="25984" xr:uid="{00000000-0005-0000-0000-0000A83C0000}"/>
    <cellStyle name="Normal 26 7 3" xfId="12352" xr:uid="{00000000-0005-0000-0000-0000A93C0000}"/>
    <cellStyle name="Normal 26 7 3 2" xfId="30534" xr:uid="{00000000-0005-0000-0000-0000AA3C0000}"/>
    <cellStyle name="Normal 26 7 4" xfId="21444" xr:uid="{00000000-0005-0000-0000-0000AB3C0000}"/>
    <cellStyle name="Normal 26 8" xfId="4883" xr:uid="{00000000-0005-0000-0000-0000AC3C0000}"/>
    <cellStyle name="Normal 26 8 2" xfId="13983" xr:uid="{00000000-0005-0000-0000-0000AD3C0000}"/>
    <cellStyle name="Normal 26 8 2 2" xfId="32165" xr:uid="{00000000-0005-0000-0000-0000AE3C0000}"/>
    <cellStyle name="Normal 26 8 3" xfId="23075" xr:uid="{00000000-0005-0000-0000-0000AF3C0000}"/>
    <cellStyle name="Normal 26 9" xfId="9449" xr:uid="{00000000-0005-0000-0000-0000B03C0000}"/>
    <cellStyle name="Normal 26 9 2" xfId="27631" xr:uid="{00000000-0005-0000-0000-0000B13C0000}"/>
    <cellStyle name="Normal 27" xfId="161" xr:uid="{00000000-0005-0000-0000-0000B23C0000}"/>
    <cellStyle name="Normal 27 10" xfId="18541" xr:uid="{00000000-0005-0000-0000-0000B33C0000}"/>
    <cellStyle name="Normal 27 2" xfId="915" xr:uid="{00000000-0005-0000-0000-0000B43C0000}"/>
    <cellStyle name="Normal 27 2 2" xfId="916" xr:uid="{00000000-0005-0000-0000-0000B53C0000}"/>
    <cellStyle name="Normal 27 2 2 2" xfId="917" xr:uid="{00000000-0005-0000-0000-0000B63C0000}"/>
    <cellStyle name="Normal 27 2 2 2 2" xfId="2370" xr:uid="{00000000-0005-0000-0000-0000B73C0000}"/>
    <cellStyle name="Normal 27 2 2 2 2 2" xfId="6956" xr:uid="{00000000-0005-0000-0000-0000B83C0000}"/>
    <cellStyle name="Normal 27 2 2 2 2 2 2" xfId="16056" xr:uid="{00000000-0005-0000-0000-0000B93C0000}"/>
    <cellStyle name="Normal 27 2 2 2 2 2 2 2" xfId="34238" xr:uid="{00000000-0005-0000-0000-0000BA3C0000}"/>
    <cellStyle name="Normal 27 2 2 2 2 2 3" xfId="25148" xr:uid="{00000000-0005-0000-0000-0000BB3C0000}"/>
    <cellStyle name="Normal 27 2 2 2 2 3" xfId="11520" xr:uid="{00000000-0005-0000-0000-0000BC3C0000}"/>
    <cellStyle name="Normal 27 2 2 2 2 3 2" xfId="29702" xr:uid="{00000000-0005-0000-0000-0000BD3C0000}"/>
    <cellStyle name="Normal 27 2 2 2 2 4" xfId="20612" xr:uid="{00000000-0005-0000-0000-0000BE3C0000}"/>
    <cellStyle name="Normal 27 2 2 2 3" xfId="3920" xr:uid="{00000000-0005-0000-0000-0000BF3C0000}"/>
    <cellStyle name="Normal 27 2 2 2 3 2" xfId="8476" xr:uid="{00000000-0005-0000-0000-0000C03C0000}"/>
    <cellStyle name="Normal 27 2 2 2 3 2 2" xfId="17572" xr:uid="{00000000-0005-0000-0000-0000C13C0000}"/>
    <cellStyle name="Normal 27 2 2 2 3 2 2 2" xfId="35754" xr:uid="{00000000-0005-0000-0000-0000C23C0000}"/>
    <cellStyle name="Normal 27 2 2 2 3 2 3" xfId="26664" xr:uid="{00000000-0005-0000-0000-0000C33C0000}"/>
    <cellStyle name="Normal 27 2 2 2 3 3" xfId="13032" xr:uid="{00000000-0005-0000-0000-0000C43C0000}"/>
    <cellStyle name="Normal 27 2 2 2 3 3 2" xfId="31214" xr:uid="{00000000-0005-0000-0000-0000C53C0000}"/>
    <cellStyle name="Normal 27 2 2 2 3 4" xfId="22124" xr:uid="{00000000-0005-0000-0000-0000C63C0000}"/>
    <cellStyle name="Normal 27 2 2 2 4" xfId="5559" xr:uid="{00000000-0005-0000-0000-0000C73C0000}"/>
    <cellStyle name="Normal 27 2 2 2 4 2" xfId="14659" xr:uid="{00000000-0005-0000-0000-0000C83C0000}"/>
    <cellStyle name="Normal 27 2 2 2 4 2 2" xfId="32841" xr:uid="{00000000-0005-0000-0000-0000C93C0000}"/>
    <cellStyle name="Normal 27 2 2 2 4 3" xfId="23751" xr:uid="{00000000-0005-0000-0000-0000CA3C0000}"/>
    <cellStyle name="Normal 27 2 2 2 5" xfId="10125" xr:uid="{00000000-0005-0000-0000-0000CB3C0000}"/>
    <cellStyle name="Normal 27 2 2 2 5 2" xfId="28307" xr:uid="{00000000-0005-0000-0000-0000CC3C0000}"/>
    <cellStyle name="Normal 27 2 2 2 6" xfId="19216" xr:uid="{00000000-0005-0000-0000-0000CD3C0000}"/>
    <cellStyle name="Normal 27 2 2 3" xfId="2371" xr:uid="{00000000-0005-0000-0000-0000CE3C0000}"/>
    <cellStyle name="Normal 27 2 2 3 2" xfId="6957" xr:uid="{00000000-0005-0000-0000-0000CF3C0000}"/>
    <cellStyle name="Normal 27 2 2 3 2 2" xfId="16057" xr:uid="{00000000-0005-0000-0000-0000D03C0000}"/>
    <cellStyle name="Normal 27 2 2 3 2 2 2" xfId="34239" xr:uid="{00000000-0005-0000-0000-0000D13C0000}"/>
    <cellStyle name="Normal 27 2 2 3 2 3" xfId="25149" xr:uid="{00000000-0005-0000-0000-0000D23C0000}"/>
    <cellStyle name="Normal 27 2 2 3 3" xfId="11521" xr:uid="{00000000-0005-0000-0000-0000D33C0000}"/>
    <cellStyle name="Normal 27 2 2 3 3 2" xfId="29703" xr:uid="{00000000-0005-0000-0000-0000D43C0000}"/>
    <cellStyle name="Normal 27 2 2 3 4" xfId="20613" xr:uid="{00000000-0005-0000-0000-0000D53C0000}"/>
    <cellStyle name="Normal 27 2 2 4" xfId="3919" xr:uid="{00000000-0005-0000-0000-0000D63C0000}"/>
    <cellStyle name="Normal 27 2 2 4 2" xfId="8475" xr:uid="{00000000-0005-0000-0000-0000D73C0000}"/>
    <cellStyle name="Normal 27 2 2 4 2 2" xfId="17571" xr:uid="{00000000-0005-0000-0000-0000D83C0000}"/>
    <cellStyle name="Normal 27 2 2 4 2 2 2" xfId="35753" xr:uid="{00000000-0005-0000-0000-0000D93C0000}"/>
    <cellStyle name="Normal 27 2 2 4 2 3" xfId="26663" xr:uid="{00000000-0005-0000-0000-0000DA3C0000}"/>
    <cellStyle name="Normal 27 2 2 4 3" xfId="13031" xr:uid="{00000000-0005-0000-0000-0000DB3C0000}"/>
    <cellStyle name="Normal 27 2 2 4 3 2" xfId="31213" xr:uid="{00000000-0005-0000-0000-0000DC3C0000}"/>
    <cellStyle name="Normal 27 2 2 4 4" xfId="22123" xr:uid="{00000000-0005-0000-0000-0000DD3C0000}"/>
    <cellStyle name="Normal 27 2 2 5" xfId="5558" xr:uid="{00000000-0005-0000-0000-0000DE3C0000}"/>
    <cellStyle name="Normal 27 2 2 5 2" xfId="14658" xr:uid="{00000000-0005-0000-0000-0000DF3C0000}"/>
    <cellStyle name="Normal 27 2 2 5 2 2" xfId="32840" xr:uid="{00000000-0005-0000-0000-0000E03C0000}"/>
    <cellStyle name="Normal 27 2 2 5 3" xfId="23750" xr:uid="{00000000-0005-0000-0000-0000E13C0000}"/>
    <cellStyle name="Normal 27 2 2 6" xfId="10124" xr:uid="{00000000-0005-0000-0000-0000E23C0000}"/>
    <cellStyle name="Normal 27 2 2 6 2" xfId="28306" xr:uid="{00000000-0005-0000-0000-0000E33C0000}"/>
    <cellStyle name="Normal 27 2 2 7" xfId="19215" xr:uid="{00000000-0005-0000-0000-0000E43C0000}"/>
    <cellStyle name="Normal 27 2 3" xfId="918" xr:uid="{00000000-0005-0000-0000-0000E53C0000}"/>
    <cellStyle name="Normal 27 2 3 2" xfId="2372" xr:uid="{00000000-0005-0000-0000-0000E63C0000}"/>
    <cellStyle name="Normal 27 2 3 2 2" xfId="6958" xr:uid="{00000000-0005-0000-0000-0000E73C0000}"/>
    <cellStyle name="Normal 27 2 3 2 2 2" xfId="16058" xr:uid="{00000000-0005-0000-0000-0000E83C0000}"/>
    <cellStyle name="Normal 27 2 3 2 2 2 2" xfId="34240" xr:uid="{00000000-0005-0000-0000-0000E93C0000}"/>
    <cellStyle name="Normal 27 2 3 2 2 3" xfId="25150" xr:uid="{00000000-0005-0000-0000-0000EA3C0000}"/>
    <cellStyle name="Normal 27 2 3 2 3" xfId="11522" xr:uid="{00000000-0005-0000-0000-0000EB3C0000}"/>
    <cellStyle name="Normal 27 2 3 2 3 2" xfId="29704" xr:uid="{00000000-0005-0000-0000-0000EC3C0000}"/>
    <cellStyle name="Normal 27 2 3 2 4" xfId="20614" xr:uid="{00000000-0005-0000-0000-0000ED3C0000}"/>
    <cellStyle name="Normal 27 2 3 3" xfId="3921" xr:uid="{00000000-0005-0000-0000-0000EE3C0000}"/>
    <cellStyle name="Normal 27 2 3 3 2" xfId="8477" xr:uid="{00000000-0005-0000-0000-0000EF3C0000}"/>
    <cellStyle name="Normal 27 2 3 3 2 2" xfId="17573" xr:uid="{00000000-0005-0000-0000-0000F03C0000}"/>
    <cellStyle name="Normal 27 2 3 3 2 2 2" xfId="35755" xr:uid="{00000000-0005-0000-0000-0000F13C0000}"/>
    <cellStyle name="Normal 27 2 3 3 2 3" xfId="26665" xr:uid="{00000000-0005-0000-0000-0000F23C0000}"/>
    <cellStyle name="Normal 27 2 3 3 3" xfId="13033" xr:uid="{00000000-0005-0000-0000-0000F33C0000}"/>
    <cellStyle name="Normal 27 2 3 3 3 2" xfId="31215" xr:uid="{00000000-0005-0000-0000-0000F43C0000}"/>
    <cellStyle name="Normal 27 2 3 3 4" xfId="22125" xr:uid="{00000000-0005-0000-0000-0000F53C0000}"/>
    <cellStyle name="Normal 27 2 3 4" xfId="5560" xr:uid="{00000000-0005-0000-0000-0000F63C0000}"/>
    <cellStyle name="Normal 27 2 3 4 2" xfId="14660" xr:uid="{00000000-0005-0000-0000-0000F73C0000}"/>
    <cellStyle name="Normal 27 2 3 4 2 2" xfId="32842" xr:uid="{00000000-0005-0000-0000-0000F83C0000}"/>
    <cellStyle name="Normal 27 2 3 4 3" xfId="23752" xr:uid="{00000000-0005-0000-0000-0000F93C0000}"/>
    <cellStyle name="Normal 27 2 3 5" xfId="10126" xr:uid="{00000000-0005-0000-0000-0000FA3C0000}"/>
    <cellStyle name="Normal 27 2 3 5 2" xfId="28308" xr:uid="{00000000-0005-0000-0000-0000FB3C0000}"/>
    <cellStyle name="Normal 27 2 3 6" xfId="19217" xr:uid="{00000000-0005-0000-0000-0000FC3C0000}"/>
    <cellStyle name="Normal 27 2 4" xfId="919" xr:uid="{00000000-0005-0000-0000-0000FD3C0000}"/>
    <cellStyle name="Normal 27 2 4 2" xfId="3922" xr:uid="{00000000-0005-0000-0000-0000FE3C0000}"/>
    <cellStyle name="Normal 27 2 4 2 2" xfId="8478" xr:uid="{00000000-0005-0000-0000-0000FF3C0000}"/>
    <cellStyle name="Normal 27 2 4 2 2 2" xfId="17574" xr:uid="{00000000-0005-0000-0000-0000003D0000}"/>
    <cellStyle name="Normal 27 2 4 2 2 2 2" xfId="35756" xr:uid="{00000000-0005-0000-0000-0000013D0000}"/>
    <cellStyle name="Normal 27 2 4 2 2 3" xfId="26666" xr:uid="{00000000-0005-0000-0000-0000023D0000}"/>
    <cellStyle name="Normal 27 2 4 2 3" xfId="13034" xr:uid="{00000000-0005-0000-0000-0000033D0000}"/>
    <cellStyle name="Normal 27 2 4 2 3 2" xfId="31216" xr:uid="{00000000-0005-0000-0000-0000043D0000}"/>
    <cellStyle name="Normal 27 2 4 2 4" xfId="22126" xr:uid="{00000000-0005-0000-0000-0000053D0000}"/>
    <cellStyle name="Normal 27 2 4 3" xfId="5561" xr:uid="{00000000-0005-0000-0000-0000063D0000}"/>
    <cellStyle name="Normal 27 2 4 3 2" xfId="14661" xr:uid="{00000000-0005-0000-0000-0000073D0000}"/>
    <cellStyle name="Normal 27 2 4 3 2 2" xfId="32843" xr:uid="{00000000-0005-0000-0000-0000083D0000}"/>
    <cellStyle name="Normal 27 2 4 3 3" xfId="23753" xr:uid="{00000000-0005-0000-0000-0000093D0000}"/>
    <cellStyle name="Normal 27 2 4 4" xfId="10127" xr:uid="{00000000-0005-0000-0000-00000A3D0000}"/>
    <cellStyle name="Normal 27 2 4 4 2" xfId="28309" xr:uid="{00000000-0005-0000-0000-00000B3D0000}"/>
    <cellStyle name="Normal 27 2 4 5" xfId="19218" xr:uid="{00000000-0005-0000-0000-00000C3D0000}"/>
    <cellStyle name="Normal 27 2 5" xfId="2373" xr:uid="{00000000-0005-0000-0000-00000D3D0000}"/>
    <cellStyle name="Normal 27 2 5 2" xfId="6959" xr:uid="{00000000-0005-0000-0000-00000E3D0000}"/>
    <cellStyle name="Normal 27 2 5 2 2" xfId="16059" xr:uid="{00000000-0005-0000-0000-00000F3D0000}"/>
    <cellStyle name="Normal 27 2 5 2 2 2" xfId="34241" xr:uid="{00000000-0005-0000-0000-0000103D0000}"/>
    <cellStyle name="Normal 27 2 5 2 3" xfId="25151" xr:uid="{00000000-0005-0000-0000-0000113D0000}"/>
    <cellStyle name="Normal 27 2 5 3" xfId="11523" xr:uid="{00000000-0005-0000-0000-0000123D0000}"/>
    <cellStyle name="Normal 27 2 5 3 2" xfId="29705" xr:uid="{00000000-0005-0000-0000-0000133D0000}"/>
    <cellStyle name="Normal 27 2 5 4" xfId="20615" xr:uid="{00000000-0005-0000-0000-0000143D0000}"/>
    <cellStyle name="Normal 27 2 6" xfId="3918" xr:uid="{00000000-0005-0000-0000-0000153D0000}"/>
    <cellStyle name="Normal 27 2 6 2" xfId="8474" xr:uid="{00000000-0005-0000-0000-0000163D0000}"/>
    <cellStyle name="Normal 27 2 6 2 2" xfId="17570" xr:uid="{00000000-0005-0000-0000-0000173D0000}"/>
    <cellStyle name="Normal 27 2 6 2 2 2" xfId="35752" xr:uid="{00000000-0005-0000-0000-0000183D0000}"/>
    <cellStyle name="Normal 27 2 6 2 3" xfId="26662" xr:uid="{00000000-0005-0000-0000-0000193D0000}"/>
    <cellStyle name="Normal 27 2 6 3" xfId="13030" xr:uid="{00000000-0005-0000-0000-00001A3D0000}"/>
    <cellStyle name="Normal 27 2 6 3 2" xfId="31212" xr:uid="{00000000-0005-0000-0000-00001B3D0000}"/>
    <cellStyle name="Normal 27 2 6 4" xfId="22122" xr:uid="{00000000-0005-0000-0000-00001C3D0000}"/>
    <cellStyle name="Normal 27 2 7" xfId="5557" xr:uid="{00000000-0005-0000-0000-00001D3D0000}"/>
    <cellStyle name="Normal 27 2 7 2" xfId="14657" xr:uid="{00000000-0005-0000-0000-00001E3D0000}"/>
    <cellStyle name="Normal 27 2 7 2 2" xfId="32839" xr:uid="{00000000-0005-0000-0000-00001F3D0000}"/>
    <cellStyle name="Normal 27 2 7 3" xfId="23749" xr:uid="{00000000-0005-0000-0000-0000203D0000}"/>
    <cellStyle name="Normal 27 2 8" xfId="10123" xr:uid="{00000000-0005-0000-0000-0000213D0000}"/>
    <cellStyle name="Normal 27 2 8 2" xfId="28305" xr:uid="{00000000-0005-0000-0000-0000223D0000}"/>
    <cellStyle name="Normal 27 2 9" xfId="19214" xr:uid="{00000000-0005-0000-0000-0000233D0000}"/>
    <cellStyle name="Normal 27 3" xfId="920" xr:uid="{00000000-0005-0000-0000-0000243D0000}"/>
    <cellStyle name="Normal 27 3 2" xfId="921" xr:uid="{00000000-0005-0000-0000-0000253D0000}"/>
    <cellStyle name="Normal 27 3 2 2" xfId="2374" xr:uid="{00000000-0005-0000-0000-0000263D0000}"/>
    <cellStyle name="Normal 27 3 2 2 2" xfId="6960" xr:uid="{00000000-0005-0000-0000-0000273D0000}"/>
    <cellStyle name="Normal 27 3 2 2 2 2" xfId="16060" xr:uid="{00000000-0005-0000-0000-0000283D0000}"/>
    <cellStyle name="Normal 27 3 2 2 2 2 2" xfId="34242" xr:uid="{00000000-0005-0000-0000-0000293D0000}"/>
    <cellStyle name="Normal 27 3 2 2 2 3" xfId="25152" xr:uid="{00000000-0005-0000-0000-00002A3D0000}"/>
    <cellStyle name="Normal 27 3 2 2 3" xfId="11524" xr:uid="{00000000-0005-0000-0000-00002B3D0000}"/>
    <cellStyle name="Normal 27 3 2 2 3 2" xfId="29706" xr:uid="{00000000-0005-0000-0000-00002C3D0000}"/>
    <cellStyle name="Normal 27 3 2 2 4" xfId="20616" xr:uid="{00000000-0005-0000-0000-00002D3D0000}"/>
    <cellStyle name="Normal 27 3 2 3" xfId="3924" xr:uid="{00000000-0005-0000-0000-00002E3D0000}"/>
    <cellStyle name="Normal 27 3 2 3 2" xfId="8480" xr:uid="{00000000-0005-0000-0000-00002F3D0000}"/>
    <cellStyle name="Normal 27 3 2 3 2 2" xfId="17576" xr:uid="{00000000-0005-0000-0000-0000303D0000}"/>
    <cellStyle name="Normal 27 3 2 3 2 2 2" xfId="35758" xr:uid="{00000000-0005-0000-0000-0000313D0000}"/>
    <cellStyle name="Normal 27 3 2 3 2 3" xfId="26668" xr:uid="{00000000-0005-0000-0000-0000323D0000}"/>
    <cellStyle name="Normal 27 3 2 3 3" xfId="13036" xr:uid="{00000000-0005-0000-0000-0000333D0000}"/>
    <cellStyle name="Normal 27 3 2 3 3 2" xfId="31218" xr:uid="{00000000-0005-0000-0000-0000343D0000}"/>
    <cellStyle name="Normal 27 3 2 3 4" xfId="22128" xr:uid="{00000000-0005-0000-0000-0000353D0000}"/>
    <cellStyle name="Normal 27 3 2 4" xfId="5563" xr:uid="{00000000-0005-0000-0000-0000363D0000}"/>
    <cellStyle name="Normal 27 3 2 4 2" xfId="14663" xr:uid="{00000000-0005-0000-0000-0000373D0000}"/>
    <cellStyle name="Normal 27 3 2 4 2 2" xfId="32845" xr:uid="{00000000-0005-0000-0000-0000383D0000}"/>
    <cellStyle name="Normal 27 3 2 4 3" xfId="23755" xr:uid="{00000000-0005-0000-0000-0000393D0000}"/>
    <cellStyle name="Normal 27 3 2 5" xfId="10129" xr:uid="{00000000-0005-0000-0000-00003A3D0000}"/>
    <cellStyle name="Normal 27 3 2 5 2" xfId="28311" xr:uid="{00000000-0005-0000-0000-00003B3D0000}"/>
    <cellStyle name="Normal 27 3 2 6" xfId="19220" xr:uid="{00000000-0005-0000-0000-00003C3D0000}"/>
    <cellStyle name="Normal 27 3 3" xfId="2375" xr:uid="{00000000-0005-0000-0000-00003D3D0000}"/>
    <cellStyle name="Normal 27 3 3 2" xfId="6961" xr:uid="{00000000-0005-0000-0000-00003E3D0000}"/>
    <cellStyle name="Normal 27 3 3 2 2" xfId="16061" xr:uid="{00000000-0005-0000-0000-00003F3D0000}"/>
    <cellStyle name="Normal 27 3 3 2 2 2" xfId="34243" xr:uid="{00000000-0005-0000-0000-0000403D0000}"/>
    <cellStyle name="Normal 27 3 3 2 3" xfId="25153" xr:uid="{00000000-0005-0000-0000-0000413D0000}"/>
    <cellStyle name="Normal 27 3 3 3" xfId="11525" xr:uid="{00000000-0005-0000-0000-0000423D0000}"/>
    <cellStyle name="Normal 27 3 3 3 2" xfId="29707" xr:uid="{00000000-0005-0000-0000-0000433D0000}"/>
    <cellStyle name="Normal 27 3 3 4" xfId="20617" xr:uid="{00000000-0005-0000-0000-0000443D0000}"/>
    <cellStyle name="Normal 27 3 4" xfId="3923" xr:uid="{00000000-0005-0000-0000-0000453D0000}"/>
    <cellStyle name="Normal 27 3 4 2" xfId="8479" xr:uid="{00000000-0005-0000-0000-0000463D0000}"/>
    <cellStyle name="Normal 27 3 4 2 2" xfId="17575" xr:uid="{00000000-0005-0000-0000-0000473D0000}"/>
    <cellStyle name="Normal 27 3 4 2 2 2" xfId="35757" xr:uid="{00000000-0005-0000-0000-0000483D0000}"/>
    <cellStyle name="Normal 27 3 4 2 3" xfId="26667" xr:uid="{00000000-0005-0000-0000-0000493D0000}"/>
    <cellStyle name="Normal 27 3 4 3" xfId="13035" xr:uid="{00000000-0005-0000-0000-00004A3D0000}"/>
    <cellStyle name="Normal 27 3 4 3 2" xfId="31217" xr:uid="{00000000-0005-0000-0000-00004B3D0000}"/>
    <cellStyle name="Normal 27 3 4 4" xfId="22127" xr:uid="{00000000-0005-0000-0000-00004C3D0000}"/>
    <cellStyle name="Normal 27 3 5" xfId="5562" xr:uid="{00000000-0005-0000-0000-00004D3D0000}"/>
    <cellStyle name="Normal 27 3 5 2" xfId="14662" xr:uid="{00000000-0005-0000-0000-00004E3D0000}"/>
    <cellStyle name="Normal 27 3 5 2 2" xfId="32844" xr:uid="{00000000-0005-0000-0000-00004F3D0000}"/>
    <cellStyle name="Normal 27 3 5 3" xfId="23754" xr:uid="{00000000-0005-0000-0000-0000503D0000}"/>
    <cellStyle name="Normal 27 3 6" xfId="10128" xr:uid="{00000000-0005-0000-0000-0000513D0000}"/>
    <cellStyle name="Normal 27 3 6 2" xfId="28310" xr:uid="{00000000-0005-0000-0000-0000523D0000}"/>
    <cellStyle name="Normal 27 3 7" xfId="19219" xr:uid="{00000000-0005-0000-0000-0000533D0000}"/>
    <cellStyle name="Normal 27 4" xfId="922" xr:uid="{00000000-0005-0000-0000-0000543D0000}"/>
    <cellStyle name="Normal 27 4 2" xfId="2376" xr:uid="{00000000-0005-0000-0000-0000553D0000}"/>
    <cellStyle name="Normal 27 4 2 2" xfId="6962" xr:uid="{00000000-0005-0000-0000-0000563D0000}"/>
    <cellStyle name="Normal 27 4 2 2 2" xfId="16062" xr:uid="{00000000-0005-0000-0000-0000573D0000}"/>
    <cellStyle name="Normal 27 4 2 2 2 2" xfId="34244" xr:uid="{00000000-0005-0000-0000-0000583D0000}"/>
    <cellStyle name="Normal 27 4 2 2 3" xfId="25154" xr:uid="{00000000-0005-0000-0000-0000593D0000}"/>
    <cellStyle name="Normal 27 4 2 3" xfId="11526" xr:uid="{00000000-0005-0000-0000-00005A3D0000}"/>
    <cellStyle name="Normal 27 4 2 3 2" xfId="29708" xr:uid="{00000000-0005-0000-0000-00005B3D0000}"/>
    <cellStyle name="Normal 27 4 2 4" xfId="20618" xr:uid="{00000000-0005-0000-0000-00005C3D0000}"/>
    <cellStyle name="Normal 27 4 3" xfId="3925" xr:uid="{00000000-0005-0000-0000-00005D3D0000}"/>
    <cellStyle name="Normal 27 4 3 2" xfId="8481" xr:uid="{00000000-0005-0000-0000-00005E3D0000}"/>
    <cellStyle name="Normal 27 4 3 2 2" xfId="17577" xr:uid="{00000000-0005-0000-0000-00005F3D0000}"/>
    <cellStyle name="Normal 27 4 3 2 2 2" xfId="35759" xr:uid="{00000000-0005-0000-0000-0000603D0000}"/>
    <cellStyle name="Normal 27 4 3 2 3" xfId="26669" xr:uid="{00000000-0005-0000-0000-0000613D0000}"/>
    <cellStyle name="Normal 27 4 3 3" xfId="13037" xr:uid="{00000000-0005-0000-0000-0000623D0000}"/>
    <cellStyle name="Normal 27 4 3 3 2" xfId="31219" xr:uid="{00000000-0005-0000-0000-0000633D0000}"/>
    <cellStyle name="Normal 27 4 3 4" xfId="22129" xr:uid="{00000000-0005-0000-0000-0000643D0000}"/>
    <cellStyle name="Normal 27 4 4" xfId="5564" xr:uid="{00000000-0005-0000-0000-0000653D0000}"/>
    <cellStyle name="Normal 27 4 4 2" xfId="14664" xr:uid="{00000000-0005-0000-0000-0000663D0000}"/>
    <cellStyle name="Normal 27 4 4 2 2" xfId="32846" xr:uid="{00000000-0005-0000-0000-0000673D0000}"/>
    <cellStyle name="Normal 27 4 4 3" xfId="23756" xr:uid="{00000000-0005-0000-0000-0000683D0000}"/>
    <cellStyle name="Normal 27 4 5" xfId="10130" xr:uid="{00000000-0005-0000-0000-0000693D0000}"/>
    <cellStyle name="Normal 27 4 5 2" xfId="28312" xr:uid="{00000000-0005-0000-0000-00006A3D0000}"/>
    <cellStyle name="Normal 27 4 6" xfId="19221" xr:uid="{00000000-0005-0000-0000-00006B3D0000}"/>
    <cellStyle name="Normal 27 5" xfId="923" xr:uid="{00000000-0005-0000-0000-00006C3D0000}"/>
    <cellStyle name="Normal 27 5 2" xfId="3926" xr:uid="{00000000-0005-0000-0000-00006D3D0000}"/>
    <cellStyle name="Normal 27 5 2 2" xfId="8482" xr:uid="{00000000-0005-0000-0000-00006E3D0000}"/>
    <cellStyle name="Normal 27 5 2 2 2" xfId="17578" xr:uid="{00000000-0005-0000-0000-00006F3D0000}"/>
    <cellStyle name="Normal 27 5 2 2 2 2" xfId="35760" xr:uid="{00000000-0005-0000-0000-0000703D0000}"/>
    <cellStyle name="Normal 27 5 2 2 3" xfId="26670" xr:uid="{00000000-0005-0000-0000-0000713D0000}"/>
    <cellStyle name="Normal 27 5 2 3" xfId="13038" xr:uid="{00000000-0005-0000-0000-0000723D0000}"/>
    <cellStyle name="Normal 27 5 2 3 2" xfId="31220" xr:uid="{00000000-0005-0000-0000-0000733D0000}"/>
    <cellStyle name="Normal 27 5 2 4" xfId="22130" xr:uid="{00000000-0005-0000-0000-0000743D0000}"/>
    <cellStyle name="Normal 27 5 3" xfId="5565" xr:uid="{00000000-0005-0000-0000-0000753D0000}"/>
    <cellStyle name="Normal 27 5 3 2" xfId="14665" xr:uid="{00000000-0005-0000-0000-0000763D0000}"/>
    <cellStyle name="Normal 27 5 3 2 2" xfId="32847" xr:uid="{00000000-0005-0000-0000-0000773D0000}"/>
    <cellStyle name="Normal 27 5 3 3" xfId="23757" xr:uid="{00000000-0005-0000-0000-0000783D0000}"/>
    <cellStyle name="Normal 27 5 4" xfId="10131" xr:uid="{00000000-0005-0000-0000-0000793D0000}"/>
    <cellStyle name="Normal 27 5 4 2" xfId="28313" xr:uid="{00000000-0005-0000-0000-00007A3D0000}"/>
    <cellStyle name="Normal 27 5 5" xfId="19222" xr:uid="{00000000-0005-0000-0000-00007B3D0000}"/>
    <cellStyle name="Normal 27 6" xfId="2377" xr:uid="{00000000-0005-0000-0000-00007C3D0000}"/>
    <cellStyle name="Normal 27 6 2" xfId="6963" xr:uid="{00000000-0005-0000-0000-00007D3D0000}"/>
    <cellStyle name="Normal 27 6 2 2" xfId="16063" xr:uid="{00000000-0005-0000-0000-00007E3D0000}"/>
    <cellStyle name="Normal 27 6 2 2 2" xfId="34245" xr:uid="{00000000-0005-0000-0000-00007F3D0000}"/>
    <cellStyle name="Normal 27 6 2 3" xfId="25155" xr:uid="{00000000-0005-0000-0000-0000803D0000}"/>
    <cellStyle name="Normal 27 6 3" xfId="11527" xr:uid="{00000000-0005-0000-0000-0000813D0000}"/>
    <cellStyle name="Normal 27 6 3 2" xfId="29709" xr:uid="{00000000-0005-0000-0000-0000823D0000}"/>
    <cellStyle name="Normal 27 6 4" xfId="20619" xr:uid="{00000000-0005-0000-0000-0000833D0000}"/>
    <cellStyle name="Normal 27 7" xfId="3237" xr:uid="{00000000-0005-0000-0000-0000843D0000}"/>
    <cellStyle name="Normal 27 7 2" xfId="7797" xr:uid="{00000000-0005-0000-0000-0000853D0000}"/>
    <cellStyle name="Normal 27 7 2 2" xfId="16893" xr:uid="{00000000-0005-0000-0000-0000863D0000}"/>
    <cellStyle name="Normal 27 7 2 2 2" xfId="35075" xr:uid="{00000000-0005-0000-0000-0000873D0000}"/>
    <cellStyle name="Normal 27 7 2 3" xfId="25985" xr:uid="{00000000-0005-0000-0000-0000883D0000}"/>
    <cellStyle name="Normal 27 7 3" xfId="12353" xr:uid="{00000000-0005-0000-0000-0000893D0000}"/>
    <cellStyle name="Normal 27 7 3 2" xfId="30535" xr:uid="{00000000-0005-0000-0000-00008A3D0000}"/>
    <cellStyle name="Normal 27 7 4" xfId="21445" xr:uid="{00000000-0005-0000-0000-00008B3D0000}"/>
    <cellStyle name="Normal 27 8" xfId="4884" xr:uid="{00000000-0005-0000-0000-00008C3D0000}"/>
    <cellStyle name="Normal 27 8 2" xfId="13984" xr:uid="{00000000-0005-0000-0000-00008D3D0000}"/>
    <cellStyle name="Normal 27 8 2 2" xfId="32166" xr:uid="{00000000-0005-0000-0000-00008E3D0000}"/>
    <cellStyle name="Normal 27 8 3" xfId="23076" xr:uid="{00000000-0005-0000-0000-00008F3D0000}"/>
    <cellStyle name="Normal 27 9" xfId="9450" xr:uid="{00000000-0005-0000-0000-0000903D0000}"/>
    <cellStyle name="Normal 27 9 2" xfId="27632" xr:uid="{00000000-0005-0000-0000-0000913D0000}"/>
    <cellStyle name="Normal 28" xfId="163" xr:uid="{00000000-0005-0000-0000-0000923D0000}"/>
    <cellStyle name="Normal 28 10" xfId="18542" xr:uid="{00000000-0005-0000-0000-0000933D0000}"/>
    <cellStyle name="Normal 28 2" xfId="924" xr:uid="{00000000-0005-0000-0000-0000943D0000}"/>
    <cellStyle name="Normal 28 2 2" xfId="925" xr:uid="{00000000-0005-0000-0000-0000953D0000}"/>
    <cellStyle name="Normal 28 2 2 2" xfId="926" xr:uid="{00000000-0005-0000-0000-0000963D0000}"/>
    <cellStyle name="Normal 28 2 2 2 2" xfId="2378" xr:uid="{00000000-0005-0000-0000-0000973D0000}"/>
    <cellStyle name="Normal 28 2 2 2 2 2" xfId="6964" xr:uid="{00000000-0005-0000-0000-0000983D0000}"/>
    <cellStyle name="Normal 28 2 2 2 2 2 2" xfId="16064" xr:uid="{00000000-0005-0000-0000-0000993D0000}"/>
    <cellStyle name="Normal 28 2 2 2 2 2 2 2" xfId="34246" xr:uid="{00000000-0005-0000-0000-00009A3D0000}"/>
    <cellStyle name="Normal 28 2 2 2 2 2 3" xfId="25156" xr:uid="{00000000-0005-0000-0000-00009B3D0000}"/>
    <cellStyle name="Normal 28 2 2 2 2 3" xfId="11528" xr:uid="{00000000-0005-0000-0000-00009C3D0000}"/>
    <cellStyle name="Normal 28 2 2 2 2 3 2" xfId="29710" xr:uid="{00000000-0005-0000-0000-00009D3D0000}"/>
    <cellStyle name="Normal 28 2 2 2 2 4" xfId="20620" xr:uid="{00000000-0005-0000-0000-00009E3D0000}"/>
    <cellStyle name="Normal 28 2 2 2 3" xfId="3929" xr:uid="{00000000-0005-0000-0000-00009F3D0000}"/>
    <cellStyle name="Normal 28 2 2 2 3 2" xfId="8485" xr:uid="{00000000-0005-0000-0000-0000A03D0000}"/>
    <cellStyle name="Normal 28 2 2 2 3 2 2" xfId="17581" xr:uid="{00000000-0005-0000-0000-0000A13D0000}"/>
    <cellStyle name="Normal 28 2 2 2 3 2 2 2" xfId="35763" xr:uid="{00000000-0005-0000-0000-0000A23D0000}"/>
    <cellStyle name="Normal 28 2 2 2 3 2 3" xfId="26673" xr:uid="{00000000-0005-0000-0000-0000A33D0000}"/>
    <cellStyle name="Normal 28 2 2 2 3 3" xfId="13041" xr:uid="{00000000-0005-0000-0000-0000A43D0000}"/>
    <cellStyle name="Normal 28 2 2 2 3 3 2" xfId="31223" xr:uid="{00000000-0005-0000-0000-0000A53D0000}"/>
    <cellStyle name="Normal 28 2 2 2 3 4" xfId="22133" xr:uid="{00000000-0005-0000-0000-0000A63D0000}"/>
    <cellStyle name="Normal 28 2 2 2 4" xfId="5568" xr:uid="{00000000-0005-0000-0000-0000A73D0000}"/>
    <cellStyle name="Normal 28 2 2 2 4 2" xfId="14668" xr:uid="{00000000-0005-0000-0000-0000A83D0000}"/>
    <cellStyle name="Normal 28 2 2 2 4 2 2" xfId="32850" xr:uid="{00000000-0005-0000-0000-0000A93D0000}"/>
    <cellStyle name="Normal 28 2 2 2 4 3" xfId="23760" xr:uid="{00000000-0005-0000-0000-0000AA3D0000}"/>
    <cellStyle name="Normal 28 2 2 2 5" xfId="10134" xr:uid="{00000000-0005-0000-0000-0000AB3D0000}"/>
    <cellStyle name="Normal 28 2 2 2 5 2" xfId="28316" xr:uid="{00000000-0005-0000-0000-0000AC3D0000}"/>
    <cellStyle name="Normal 28 2 2 2 6" xfId="19225" xr:uid="{00000000-0005-0000-0000-0000AD3D0000}"/>
    <cellStyle name="Normal 28 2 2 3" xfId="2379" xr:uid="{00000000-0005-0000-0000-0000AE3D0000}"/>
    <cellStyle name="Normal 28 2 2 3 2" xfId="6965" xr:uid="{00000000-0005-0000-0000-0000AF3D0000}"/>
    <cellStyle name="Normal 28 2 2 3 2 2" xfId="16065" xr:uid="{00000000-0005-0000-0000-0000B03D0000}"/>
    <cellStyle name="Normal 28 2 2 3 2 2 2" xfId="34247" xr:uid="{00000000-0005-0000-0000-0000B13D0000}"/>
    <cellStyle name="Normal 28 2 2 3 2 3" xfId="25157" xr:uid="{00000000-0005-0000-0000-0000B23D0000}"/>
    <cellStyle name="Normal 28 2 2 3 3" xfId="11529" xr:uid="{00000000-0005-0000-0000-0000B33D0000}"/>
    <cellStyle name="Normal 28 2 2 3 3 2" xfId="29711" xr:uid="{00000000-0005-0000-0000-0000B43D0000}"/>
    <cellStyle name="Normal 28 2 2 3 4" xfId="20621" xr:uid="{00000000-0005-0000-0000-0000B53D0000}"/>
    <cellStyle name="Normal 28 2 2 4" xfId="3928" xr:uid="{00000000-0005-0000-0000-0000B63D0000}"/>
    <cellStyle name="Normal 28 2 2 4 2" xfId="8484" xr:uid="{00000000-0005-0000-0000-0000B73D0000}"/>
    <cellStyle name="Normal 28 2 2 4 2 2" xfId="17580" xr:uid="{00000000-0005-0000-0000-0000B83D0000}"/>
    <cellStyle name="Normal 28 2 2 4 2 2 2" xfId="35762" xr:uid="{00000000-0005-0000-0000-0000B93D0000}"/>
    <cellStyle name="Normal 28 2 2 4 2 3" xfId="26672" xr:uid="{00000000-0005-0000-0000-0000BA3D0000}"/>
    <cellStyle name="Normal 28 2 2 4 3" xfId="13040" xr:uid="{00000000-0005-0000-0000-0000BB3D0000}"/>
    <cellStyle name="Normal 28 2 2 4 3 2" xfId="31222" xr:uid="{00000000-0005-0000-0000-0000BC3D0000}"/>
    <cellStyle name="Normal 28 2 2 4 4" xfId="22132" xr:uid="{00000000-0005-0000-0000-0000BD3D0000}"/>
    <cellStyle name="Normal 28 2 2 5" xfId="5567" xr:uid="{00000000-0005-0000-0000-0000BE3D0000}"/>
    <cellStyle name="Normal 28 2 2 5 2" xfId="14667" xr:uid="{00000000-0005-0000-0000-0000BF3D0000}"/>
    <cellStyle name="Normal 28 2 2 5 2 2" xfId="32849" xr:uid="{00000000-0005-0000-0000-0000C03D0000}"/>
    <cellStyle name="Normal 28 2 2 5 3" xfId="23759" xr:uid="{00000000-0005-0000-0000-0000C13D0000}"/>
    <cellStyle name="Normal 28 2 2 6" xfId="10133" xr:uid="{00000000-0005-0000-0000-0000C23D0000}"/>
    <cellStyle name="Normal 28 2 2 6 2" xfId="28315" xr:uid="{00000000-0005-0000-0000-0000C33D0000}"/>
    <cellStyle name="Normal 28 2 2 7" xfId="19224" xr:uid="{00000000-0005-0000-0000-0000C43D0000}"/>
    <cellStyle name="Normal 28 2 3" xfId="927" xr:uid="{00000000-0005-0000-0000-0000C53D0000}"/>
    <cellStyle name="Normal 28 2 3 2" xfId="2380" xr:uid="{00000000-0005-0000-0000-0000C63D0000}"/>
    <cellStyle name="Normal 28 2 3 2 2" xfId="6966" xr:uid="{00000000-0005-0000-0000-0000C73D0000}"/>
    <cellStyle name="Normal 28 2 3 2 2 2" xfId="16066" xr:uid="{00000000-0005-0000-0000-0000C83D0000}"/>
    <cellStyle name="Normal 28 2 3 2 2 2 2" xfId="34248" xr:uid="{00000000-0005-0000-0000-0000C93D0000}"/>
    <cellStyle name="Normal 28 2 3 2 2 3" xfId="25158" xr:uid="{00000000-0005-0000-0000-0000CA3D0000}"/>
    <cellStyle name="Normal 28 2 3 2 3" xfId="11530" xr:uid="{00000000-0005-0000-0000-0000CB3D0000}"/>
    <cellStyle name="Normal 28 2 3 2 3 2" xfId="29712" xr:uid="{00000000-0005-0000-0000-0000CC3D0000}"/>
    <cellStyle name="Normal 28 2 3 2 4" xfId="20622" xr:uid="{00000000-0005-0000-0000-0000CD3D0000}"/>
    <cellStyle name="Normal 28 2 3 3" xfId="3930" xr:uid="{00000000-0005-0000-0000-0000CE3D0000}"/>
    <cellStyle name="Normal 28 2 3 3 2" xfId="8486" xr:uid="{00000000-0005-0000-0000-0000CF3D0000}"/>
    <cellStyle name="Normal 28 2 3 3 2 2" xfId="17582" xr:uid="{00000000-0005-0000-0000-0000D03D0000}"/>
    <cellStyle name="Normal 28 2 3 3 2 2 2" xfId="35764" xr:uid="{00000000-0005-0000-0000-0000D13D0000}"/>
    <cellStyle name="Normal 28 2 3 3 2 3" xfId="26674" xr:uid="{00000000-0005-0000-0000-0000D23D0000}"/>
    <cellStyle name="Normal 28 2 3 3 3" xfId="13042" xr:uid="{00000000-0005-0000-0000-0000D33D0000}"/>
    <cellStyle name="Normal 28 2 3 3 3 2" xfId="31224" xr:uid="{00000000-0005-0000-0000-0000D43D0000}"/>
    <cellStyle name="Normal 28 2 3 3 4" xfId="22134" xr:uid="{00000000-0005-0000-0000-0000D53D0000}"/>
    <cellStyle name="Normal 28 2 3 4" xfId="5569" xr:uid="{00000000-0005-0000-0000-0000D63D0000}"/>
    <cellStyle name="Normal 28 2 3 4 2" xfId="14669" xr:uid="{00000000-0005-0000-0000-0000D73D0000}"/>
    <cellStyle name="Normal 28 2 3 4 2 2" xfId="32851" xr:uid="{00000000-0005-0000-0000-0000D83D0000}"/>
    <cellStyle name="Normal 28 2 3 4 3" xfId="23761" xr:uid="{00000000-0005-0000-0000-0000D93D0000}"/>
    <cellStyle name="Normal 28 2 3 5" xfId="10135" xr:uid="{00000000-0005-0000-0000-0000DA3D0000}"/>
    <cellStyle name="Normal 28 2 3 5 2" xfId="28317" xr:uid="{00000000-0005-0000-0000-0000DB3D0000}"/>
    <cellStyle name="Normal 28 2 3 6" xfId="19226" xr:uid="{00000000-0005-0000-0000-0000DC3D0000}"/>
    <cellStyle name="Normal 28 2 4" xfId="928" xr:uid="{00000000-0005-0000-0000-0000DD3D0000}"/>
    <cellStyle name="Normal 28 2 4 2" xfId="3931" xr:uid="{00000000-0005-0000-0000-0000DE3D0000}"/>
    <cellStyle name="Normal 28 2 4 2 2" xfId="8487" xr:uid="{00000000-0005-0000-0000-0000DF3D0000}"/>
    <cellStyle name="Normal 28 2 4 2 2 2" xfId="17583" xr:uid="{00000000-0005-0000-0000-0000E03D0000}"/>
    <cellStyle name="Normal 28 2 4 2 2 2 2" xfId="35765" xr:uid="{00000000-0005-0000-0000-0000E13D0000}"/>
    <cellStyle name="Normal 28 2 4 2 2 3" xfId="26675" xr:uid="{00000000-0005-0000-0000-0000E23D0000}"/>
    <cellStyle name="Normal 28 2 4 2 3" xfId="13043" xr:uid="{00000000-0005-0000-0000-0000E33D0000}"/>
    <cellStyle name="Normal 28 2 4 2 3 2" xfId="31225" xr:uid="{00000000-0005-0000-0000-0000E43D0000}"/>
    <cellStyle name="Normal 28 2 4 2 4" xfId="22135" xr:uid="{00000000-0005-0000-0000-0000E53D0000}"/>
    <cellStyle name="Normal 28 2 4 3" xfId="5570" xr:uid="{00000000-0005-0000-0000-0000E63D0000}"/>
    <cellStyle name="Normal 28 2 4 3 2" xfId="14670" xr:uid="{00000000-0005-0000-0000-0000E73D0000}"/>
    <cellStyle name="Normal 28 2 4 3 2 2" xfId="32852" xr:uid="{00000000-0005-0000-0000-0000E83D0000}"/>
    <cellStyle name="Normal 28 2 4 3 3" xfId="23762" xr:uid="{00000000-0005-0000-0000-0000E93D0000}"/>
    <cellStyle name="Normal 28 2 4 4" xfId="10136" xr:uid="{00000000-0005-0000-0000-0000EA3D0000}"/>
    <cellStyle name="Normal 28 2 4 4 2" xfId="28318" xr:uid="{00000000-0005-0000-0000-0000EB3D0000}"/>
    <cellStyle name="Normal 28 2 4 5" xfId="19227" xr:uid="{00000000-0005-0000-0000-0000EC3D0000}"/>
    <cellStyle name="Normal 28 2 5" xfId="2381" xr:uid="{00000000-0005-0000-0000-0000ED3D0000}"/>
    <cellStyle name="Normal 28 2 5 2" xfId="6967" xr:uid="{00000000-0005-0000-0000-0000EE3D0000}"/>
    <cellStyle name="Normal 28 2 5 2 2" xfId="16067" xr:uid="{00000000-0005-0000-0000-0000EF3D0000}"/>
    <cellStyle name="Normal 28 2 5 2 2 2" xfId="34249" xr:uid="{00000000-0005-0000-0000-0000F03D0000}"/>
    <cellStyle name="Normal 28 2 5 2 3" xfId="25159" xr:uid="{00000000-0005-0000-0000-0000F13D0000}"/>
    <cellStyle name="Normal 28 2 5 3" xfId="11531" xr:uid="{00000000-0005-0000-0000-0000F23D0000}"/>
    <cellStyle name="Normal 28 2 5 3 2" xfId="29713" xr:uid="{00000000-0005-0000-0000-0000F33D0000}"/>
    <cellStyle name="Normal 28 2 5 4" xfId="20623" xr:uid="{00000000-0005-0000-0000-0000F43D0000}"/>
    <cellStyle name="Normal 28 2 6" xfId="3927" xr:uid="{00000000-0005-0000-0000-0000F53D0000}"/>
    <cellStyle name="Normal 28 2 6 2" xfId="8483" xr:uid="{00000000-0005-0000-0000-0000F63D0000}"/>
    <cellStyle name="Normal 28 2 6 2 2" xfId="17579" xr:uid="{00000000-0005-0000-0000-0000F73D0000}"/>
    <cellStyle name="Normal 28 2 6 2 2 2" xfId="35761" xr:uid="{00000000-0005-0000-0000-0000F83D0000}"/>
    <cellStyle name="Normal 28 2 6 2 3" xfId="26671" xr:uid="{00000000-0005-0000-0000-0000F93D0000}"/>
    <cellStyle name="Normal 28 2 6 3" xfId="13039" xr:uid="{00000000-0005-0000-0000-0000FA3D0000}"/>
    <cellStyle name="Normal 28 2 6 3 2" xfId="31221" xr:uid="{00000000-0005-0000-0000-0000FB3D0000}"/>
    <cellStyle name="Normal 28 2 6 4" xfId="22131" xr:uid="{00000000-0005-0000-0000-0000FC3D0000}"/>
    <cellStyle name="Normal 28 2 7" xfId="5566" xr:uid="{00000000-0005-0000-0000-0000FD3D0000}"/>
    <cellStyle name="Normal 28 2 7 2" xfId="14666" xr:uid="{00000000-0005-0000-0000-0000FE3D0000}"/>
    <cellStyle name="Normal 28 2 7 2 2" xfId="32848" xr:uid="{00000000-0005-0000-0000-0000FF3D0000}"/>
    <cellStyle name="Normal 28 2 7 3" xfId="23758" xr:uid="{00000000-0005-0000-0000-0000003E0000}"/>
    <cellStyle name="Normal 28 2 8" xfId="10132" xr:uid="{00000000-0005-0000-0000-0000013E0000}"/>
    <cellStyle name="Normal 28 2 8 2" xfId="28314" xr:uid="{00000000-0005-0000-0000-0000023E0000}"/>
    <cellStyle name="Normal 28 2 9" xfId="19223" xr:uid="{00000000-0005-0000-0000-0000033E0000}"/>
    <cellStyle name="Normal 28 3" xfId="929" xr:uid="{00000000-0005-0000-0000-0000043E0000}"/>
    <cellStyle name="Normal 28 3 2" xfId="930" xr:uid="{00000000-0005-0000-0000-0000053E0000}"/>
    <cellStyle name="Normal 28 3 2 2" xfId="2382" xr:uid="{00000000-0005-0000-0000-0000063E0000}"/>
    <cellStyle name="Normal 28 3 2 2 2" xfId="6968" xr:uid="{00000000-0005-0000-0000-0000073E0000}"/>
    <cellStyle name="Normal 28 3 2 2 2 2" xfId="16068" xr:uid="{00000000-0005-0000-0000-0000083E0000}"/>
    <cellStyle name="Normal 28 3 2 2 2 2 2" xfId="34250" xr:uid="{00000000-0005-0000-0000-0000093E0000}"/>
    <cellStyle name="Normal 28 3 2 2 2 3" xfId="25160" xr:uid="{00000000-0005-0000-0000-00000A3E0000}"/>
    <cellStyle name="Normal 28 3 2 2 3" xfId="11532" xr:uid="{00000000-0005-0000-0000-00000B3E0000}"/>
    <cellStyle name="Normal 28 3 2 2 3 2" xfId="29714" xr:uid="{00000000-0005-0000-0000-00000C3E0000}"/>
    <cellStyle name="Normal 28 3 2 2 4" xfId="20624" xr:uid="{00000000-0005-0000-0000-00000D3E0000}"/>
    <cellStyle name="Normal 28 3 2 3" xfId="3933" xr:uid="{00000000-0005-0000-0000-00000E3E0000}"/>
    <cellStyle name="Normal 28 3 2 3 2" xfId="8489" xr:uid="{00000000-0005-0000-0000-00000F3E0000}"/>
    <cellStyle name="Normal 28 3 2 3 2 2" xfId="17585" xr:uid="{00000000-0005-0000-0000-0000103E0000}"/>
    <cellStyle name="Normal 28 3 2 3 2 2 2" xfId="35767" xr:uid="{00000000-0005-0000-0000-0000113E0000}"/>
    <cellStyle name="Normal 28 3 2 3 2 3" xfId="26677" xr:uid="{00000000-0005-0000-0000-0000123E0000}"/>
    <cellStyle name="Normal 28 3 2 3 3" xfId="13045" xr:uid="{00000000-0005-0000-0000-0000133E0000}"/>
    <cellStyle name="Normal 28 3 2 3 3 2" xfId="31227" xr:uid="{00000000-0005-0000-0000-0000143E0000}"/>
    <cellStyle name="Normal 28 3 2 3 4" xfId="22137" xr:uid="{00000000-0005-0000-0000-0000153E0000}"/>
    <cellStyle name="Normal 28 3 2 4" xfId="5572" xr:uid="{00000000-0005-0000-0000-0000163E0000}"/>
    <cellStyle name="Normal 28 3 2 4 2" xfId="14672" xr:uid="{00000000-0005-0000-0000-0000173E0000}"/>
    <cellStyle name="Normal 28 3 2 4 2 2" xfId="32854" xr:uid="{00000000-0005-0000-0000-0000183E0000}"/>
    <cellStyle name="Normal 28 3 2 4 3" xfId="23764" xr:uid="{00000000-0005-0000-0000-0000193E0000}"/>
    <cellStyle name="Normal 28 3 2 5" xfId="10138" xr:uid="{00000000-0005-0000-0000-00001A3E0000}"/>
    <cellStyle name="Normal 28 3 2 5 2" xfId="28320" xr:uid="{00000000-0005-0000-0000-00001B3E0000}"/>
    <cellStyle name="Normal 28 3 2 6" xfId="19229" xr:uid="{00000000-0005-0000-0000-00001C3E0000}"/>
    <cellStyle name="Normal 28 3 3" xfId="2383" xr:uid="{00000000-0005-0000-0000-00001D3E0000}"/>
    <cellStyle name="Normal 28 3 3 2" xfId="6969" xr:uid="{00000000-0005-0000-0000-00001E3E0000}"/>
    <cellStyle name="Normal 28 3 3 2 2" xfId="16069" xr:uid="{00000000-0005-0000-0000-00001F3E0000}"/>
    <cellStyle name="Normal 28 3 3 2 2 2" xfId="34251" xr:uid="{00000000-0005-0000-0000-0000203E0000}"/>
    <cellStyle name="Normal 28 3 3 2 3" xfId="25161" xr:uid="{00000000-0005-0000-0000-0000213E0000}"/>
    <cellStyle name="Normal 28 3 3 3" xfId="11533" xr:uid="{00000000-0005-0000-0000-0000223E0000}"/>
    <cellStyle name="Normal 28 3 3 3 2" xfId="29715" xr:uid="{00000000-0005-0000-0000-0000233E0000}"/>
    <cellStyle name="Normal 28 3 3 4" xfId="20625" xr:uid="{00000000-0005-0000-0000-0000243E0000}"/>
    <cellStyle name="Normal 28 3 4" xfId="3932" xr:uid="{00000000-0005-0000-0000-0000253E0000}"/>
    <cellStyle name="Normal 28 3 4 2" xfId="8488" xr:uid="{00000000-0005-0000-0000-0000263E0000}"/>
    <cellStyle name="Normal 28 3 4 2 2" xfId="17584" xr:uid="{00000000-0005-0000-0000-0000273E0000}"/>
    <cellStyle name="Normal 28 3 4 2 2 2" xfId="35766" xr:uid="{00000000-0005-0000-0000-0000283E0000}"/>
    <cellStyle name="Normal 28 3 4 2 3" xfId="26676" xr:uid="{00000000-0005-0000-0000-0000293E0000}"/>
    <cellStyle name="Normal 28 3 4 3" xfId="13044" xr:uid="{00000000-0005-0000-0000-00002A3E0000}"/>
    <cellStyle name="Normal 28 3 4 3 2" xfId="31226" xr:uid="{00000000-0005-0000-0000-00002B3E0000}"/>
    <cellStyle name="Normal 28 3 4 4" xfId="22136" xr:uid="{00000000-0005-0000-0000-00002C3E0000}"/>
    <cellStyle name="Normal 28 3 5" xfId="5571" xr:uid="{00000000-0005-0000-0000-00002D3E0000}"/>
    <cellStyle name="Normal 28 3 5 2" xfId="14671" xr:uid="{00000000-0005-0000-0000-00002E3E0000}"/>
    <cellStyle name="Normal 28 3 5 2 2" xfId="32853" xr:uid="{00000000-0005-0000-0000-00002F3E0000}"/>
    <cellStyle name="Normal 28 3 5 3" xfId="23763" xr:uid="{00000000-0005-0000-0000-0000303E0000}"/>
    <cellStyle name="Normal 28 3 6" xfId="10137" xr:uid="{00000000-0005-0000-0000-0000313E0000}"/>
    <cellStyle name="Normal 28 3 6 2" xfId="28319" xr:uid="{00000000-0005-0000-0000-0000323E0000}"/>
    <cellStyle name="Normal 28 3 7" xfId="19228" xr:uid="{00000000-0005-0000-0000-0000333E0000}"/>
    <cellStyle name="Normal 28 4" xfId="931" xr:uid="{00000000-0005-0000-0000-0000343E0000}"/>
    <cellStyle name="Normal 28 4 2" xfId="2384" xr:uid="{00000000-0005-0000-0000-0000353E0000}"/>
    <cellStyle name="Normal 28 4 2 2" xfId="6970" xr:uid="{00000000-0005-0000-0000-0000363E0000}"/>
    <cellStyle name="Normal 28 4 2 2 2" xfId="16070" xr:uid="{00000000-0005-0000-0000-0000373E0000}"/>
    <cellStyle name="Normal 28 4 2 2 2 2" xfId="34252" xr:uid="{00000000-0005-0000-0000-0000383E0000}"/>
    <cellStyle name="Normal 28 4 2 2 3" xfId="25162" xr:uid="{00000000-0005-0000-0000-0000393E0000}"/>
    <cellStyle name="Normal 28 4 2 3" xfId="11534" xr:uid="{00000000-0005-0000-0000-00003A3E0000}"/>
    <cellStyle name="Normal 28 4 2 3 2" xfId="29716" xr:uid="{00000000-0005-0000-0000-00003B3E0000}"/>
    <cellStyle name="Normal 28 4 2 4" xfId="20626" xr:uid="{00000000-0005-0000-0000-00003C3E0000}"/>
    <cellStyle name="Normal 28 4 3" xfId="3934" xr:uid="{00000000-0005-0000-0000-00003D3E0000}"/>
    <cellStyle name="Normal 28 4 3 2" xfId="8490" xr:uid="{00000000-0005-0000-0000-00003E3E0000}"/>
    <cellStyle name="Normal 28 4 3 2 2" xfId="17586" xr:uid="{00000000-0005-0000-0000-00003F3E0000}"/>
    <cellStyle name="Normal 28 4 3 2 2 2" xfId="35768" xr:uid="{00000000-0005-0000-0000-0000403E0000}"/>
    <cellStyle name="Normal 28 4 3 2 3" xfId="26678" xr:uid="{00000000-0005-0000-0000-0000413E0000}"/>
    <cellStyle name="Normal 28 4 3 3" xfId="13046" xr:uid="{00000000-0005-0000-0000-0000423E0000}"/>
    <cellStyle name="Normal 28 4 3 3 2" xfId="31228" xr:uid="{00000000-0005-0000-0000-0000433E0000}"/>
    <cellStyle name="Normal 28 4 3 4" xfId="22138" xr:uid="{00000000-0005-0000-0000-0000443E0000}"/>
    <cellStyle name="Normal 28 4 4" xfId="5573" xr:uid="{00000000-0005-0000-0000-0000453E0000}"/>
    <cellStyle name="Normal 28 4 4 2" xfId="14673" xr:uid="{00000000-0005-0000-0000-0000463E0000}"/>
    <cellStyle name="Normal 28 4 4 2 2" xfId="32855" xr:uid="{00000000-0005-0000-0000-0000473E0000}"/>
    <cellStyle name="Normal 28 4 4 3" xfId="23765" xr:uid="{00000000-0005-0000-0000-0000483E0000}"/>
    <cellStyle name="Normal 28 4 5" xfId="10139" xr:uid="{00000000-0005-0000-0000-0000493E0000}"/>
    <cellStyle name="Normal 28 4 5 2" xfId="28321" xr:uid="{00000000-0005-0000-0000-00004A3E0000}"/>
    <cellStyle name="Normal 28 4 6" xfId="19230" xr:uid="{00000000-0005-0000-0000-00004B3E0000}"/>
    <cellStyle name="Normal 28 5" xfId="932" xr:uid="{00000000-0005-0000-0000-00004C3E0000}"/>
    <cellStyle name="Normal 28 5 2" xfId="3935" xr:uid="{00000000-0005-0000-0000-00004D3E0000}"/>
    <cellStyle name="Normal 28 5 2 2" xfId="8491" xr:uid="{00000000-0005-0000-0000-00004E3E0000}"/>
    <cellStyle name="Normal 28 5 2 2 2" xfId="17587" xr:uid="{00000000-0005-0000-0000-00004F3E0000}"/>
    <cellStyle name="Normal 28 5 2 2 2 2" xfId="35769" xr:uid="{00000000-0005-0000-0000-0000503E0000}"/>
    <cellStyle name="Normal 28 5 2 2 3" xfId="26679" xr:uid="{00000000-0005-0000-0000-0000513E0000}"/>
    <cellStyle name="Normal 28 5 2 3" xfId="13047" xr:uid="{00000000-0005-0000-0000-0000523E0000}"/>
    <cellStyle name="Normal 28 5 2 3 2" xfId="31229" xr:uid="{00000000-0005-0000-0000-0000533E0000}"/>
    <cellStyle name="Normal 28 5 2 4" xfId="22139" xr:uid="{00000000-0005-0000-0000-0000543E0000}"/>
    <cellStyle name="Normal 28 5 3" xfId="5574" xr:uid="{00000000-0005-0000-0000-0000553E0000}"/>
    <cellStyle name="Normal 28 5 3 2" xfId="14674" xr:uid="{00000000-0005-0000-0000-0000563E0000}"/>
    <cellStyle name="Normal 28 5 3 2 2" xfId="32856" xr:uid="{00000000-0005-0000-0000-0000573E0000}"/>
    <cellStyle name="Normal 28 5 3 3" xfId="23766" xr:uid="{00000000-0005-0000-0000-0000583E0000}"/>
    <cellStyle name="Normal 28 5 4" xfId="10140" xr:uid="{00000000-0005-0000-0000-0000593E0000}"/>
    <cellStyle name="Normal 28 5 4 2" xfId="28322" xr:uid="{00000000-0005-0000-0000-00005A3E0000}"/>
    <cellStyle name="Normal 28 5 5" xfId="19231" xr:uid="{00000000-0005-0000-0000-00005B3E0000}"/>
    <cellStyle name="Normal 28 6" xfId="2385" xr:uid="{00000000-0005-0000-0000-00005C3E0000}"/>
    <cellStyle name="Normal 28 6 2" xfId="6971" xr:uid="{00000000-0005-0000-0000-00005D3E0000}"/>
    <cellStyle name="Normal 28 6 2 2" xfId="16071" xr:uid="{00000000-0005-0000-0000-00005E3E0000}"/>
    <cellStyle name="Normal 28 6 2 2 2" xfId="34253" xr:uid="{00000000-0005-0000-0000-00005F3E0000}"/>
    <cellStyle name="Normal 28 6 2 3" xfId="25163" xr:uid="{00000000-0005-0000-0000-0000603E0000}"/>
    <cellStyle name="Normal 28 6 3" xfId="11535" xr:uid="{00000000-0005-0000-0000-0000613E0000}"/>
    <cellStyle name="Normal 28 6 3 2" xfId="29717" xr:uid="{00000000-0005-0000-0000-0000623E0000}"/>
    <cellStyle name="Normal 28 6 4" xfId="20627" xr:uid="{00000000-0005-0000-0000-0000633E0000}"/>
    <cellStyle name="Normal 28 7" xfId="3238" xr:uid="{00000000-0005-0000-0000-0000643E0000}"/>
    <cellStyle name="Normal 28 7 2" xfId="7798" xr:uid="{00000000-0005-0000-0000-0000653E0000}"/>
    <cellStyle name="Normal 28 7 2 2" xfId="16894" xr:uid="{00000000-0005-0000-0000-0000663E0000}"/>
    <cellStyle name="Normal 28 7 2 2 2" xfId="35076" xr:uid="{00000000-0005-0000-0000-0000673E0000}"/>
    <cellStyle name="Normal 28 7 2 3" xfId="25986" xr:uid="{00000000-0005-0000-0000-0000683E0000}"/>
    <cellStyle name="Normal 28 7 3" xfId="12354" xr:uid="{00000000-0005-0000-0000-0000693E0000}"/>
    <cellStyle name="Normal 28 7 3 2" xfId="30536" xr:uid="{00000000-0005-0000-0000-00006A3E0000}"/>
    <cellStyle name="Normal 28 7 4" xfId="21446" xr:uid="{00000000-0005-0000-0000-00006B3E0000}"/>
    <cellStyle name="Normal 28 8" xfId="4885" xr:uid="{00000000-0005-0000-0000-00006C3E0000}"/>
    <cellStyle name="Normal 28 8 2" xfId="13985" xr:uid="{00000000-0005-0000-0000-00006D3E0000}"/>
    <cellStyle name="Normal 28 8 2 2" xfId="32167" xr:uid="{00000000-0005-0000-0000-00006E3E0000}"/>
    <cellStyle name="Normal 28 8 3" xfId="23077" xr:uid="{00000000-0005-0000-0000-00006F3E0000}"/>
    <cellStyle name="Normal 28 9" xfId="9451" xr:uid="{00000000-0005-0000-0000-0000703E0000}"/>
    <cellStyle name="Normal 28 9 2" xfId="27633" xr:uid="{00000000-0005-0000-0000-0000713E0000}"/>
    <cellStyle name="Normal 29" xfId="164" xr:uid="{00000000-0005-0000-0000-0000723E0000}"/>
    <cellStyle name="Normal 29 10" xfId="9452" xr:uid="{00000000-0005-0000-0000-0000733E0000}"/>
    <cellStyle name="Normal 29 10 2" xfId="27634" xr:uid="{00000000-0005-0000-0000-0000743E0000}"/>
    <cellStyle name="Normal 29 11" xfId="18543" xr:uid="{00000000-0005-0000-0000-0000753E0000}"/>
    <cellStyle name="Normal 29 2" xfId="933" xr:uid="{00000000-0005-0000-0000-0000763E0000}"/>
    <cellStyle name="Normal 29 2 10" xfId="19232" xr:uid="{00000000-0005-0000-0000-0000773E0000}"/>
    <cellStyle name="Normal 29 2 2" xfId="934" xr:uid="{00000000-0005-0000-0000-0000783E0000}"/>
    <cellStyle name="Normal 29 2 2 2" xfId="935" xr:uid="{00000000-0005-0000-0000-0000793E0000}"/>
    <cellStyle name="Normal 29 2 2 2 2" xfId="936" xr:uid="{00000000-0005-0000-0000-00007A3E0000}"/>
    <cellStyle name="Normal 29 2 2 2 2 2" xfId="2386" xr:uid="{00000000-0005-0000-0000-00007B3E0000}"/>
    <cellStyle name="Normal 29 2 2 2 2 2 2" xfId="6972" xr:uid="{00000000-0005-0000-0000-00007C3E0000}"/>
    <cellStyle name="Normal 29 2 2 2 2 2 2 2" xfId="16072" xr:uid="{00000000-0005-0000-0000-00007D3E0000}"/>
    <cellStyle name="Normal 29 2 2 2 2 2 2 2 2" xfId="34254" xr:uid="{00000000-0005-0000-0000-00007E3E0000}"/>
    <cellStyle name="Normal 29 2 2 2 2 2 2 3" xfId="25164" xr:uid="{00000000-0005-0000-0000-00007F3E0000}"/>
    <cellStyle name="Normal 29 2 2 2 2 2 3" xfId="11536" xr:uid="{00000000-0005-0000-0000-0000803E0000}"/>
    <cellStyle name="Normal 29 2 2 2 2 2 3 2" xfId="29718" xr:uid="{00000000-0005-0000-0000-0000813E0000}"/>
    <cellStyle name="Normal 29 2 2 2 2 2 4" xfId="20628" xr:uid="{00000000-0005-0000-0000-0000823E0000}"/>
    <cellStyle name="Normal 29 2 2 2 2 3" xfId="3939" xr:uid="{00000000-0005-0000-0000-0000833E0000}"/>
    <cellStyle name="Normal 29 2 2 2 2 3 2" xfId="8495" xr:uid="{00000000-0005-0000-0000-0000843E0000}"/>
    <cellStyle name="Normal 29 2 2 2 2 3 2 2" xfId="17591" xr:uid="{00000000-0005-0000-0000-0000853E0000}"/>
    <cellStyle name="Normal 29 2 2 2 2 3 2 2 2" xfId="35773" xr:uid="{00000000-0005-0000-0000-0000863E0000}"/>
    <cellStyle name="Normal 29 2 2 2 2 3 2 3" xfId="26683" xr:uid="{00000000-0005-0000-0000-0000873E0000}"/>
    <cellStyle name="Normal 29 2 2 2 2 3 3" xfId="13051" xr:uid="{00000000-0005-0000-0000-0000883E0000}"/>
    <cellStyle name="Normal 29 2 2 2 2 3 3 2" xfId="31233" xr:uid="{00000000-0005-0000-0000-0000893E0000}"/>
    <cellStyle name="Normal 29 2 2 2 2 3 4" xfId="22143" xr:uid="{00000000-0005-0000-0000-00008A3E0000}"/>
    <cellStyle name="Normal 29 2 2 2 2 4" xfId="5578" xr:uid="{00000000-0005-0000-0000-00008B3E0000}"/>
    <cellStyle name="Normal 29 2 2 2 2 4 2" xfId="14678" xr:uid="{00000000-0005-0000-0000-00008C3E0000}"/>
    <cellStyle name="Normal 29 2 2 2 2 4 2 2" xfId="32860" xr:uid="{00000000-0005-0000-0000-00008D3E0000}"/>
    <cellStyle name="Normal 29 2 2 2 2 4 3" xfId="23770" xr:uid="{00000000-0005-0000-0000-00008E3E0000}"/>
    <cellStyle name="Normal 29 2 2 2 2 5" xfId="10144" xr:uid="{00000000-0005-0000-0000-00008F3E0000}"/>
    <cellStyle name="Normal 29 2 2 2 2 5 2" xfId="28326" xr:uid="{00000000-0005-0000-0000-0000903E0000}"/>
    <cellStyle name="Normal 29 2 2 2 2 6" xfId="19235" xr:uid="{00000000-0005-0000-0000-0000913E0000}"/>
    <cellStyle name="Normal 29 2 2 2 3" xfId="2387" xr:uid="{00000000-0005-0000-0000-0000923E0000}"/>
    <cellStyle name="Normal 29 2 2 2 3 2" xfId="6973" xr:uid="{00000000-0005-0000-0000-0000933E0000}"/>
    <cellStyle name="Normal 29 2 2 2 3 2 2" xfId="16073" xr:uid="{00000000-0005-0000-0000-0000943E0000}"/>
    <cellStyle name="Normal 29 2 2 2 3 2 2 2" xfId="34255" xr:uid="{00000000-0005-0000-0000-0000953E0000}"/>
    <cellStyle name="Normal 29 2 2 2 3 2 3" xfId="25165" xr:uid="{00000000-0005-0000-0000-0000963E0000}"/>
    <cellStyle name="Normal 29 2 2 2 3 3" xfId="11537" xr:uid="{00000000-0005-0000-0000-0000973E0000}"/>
    <cellStyle name="Normal 29 2 2 2 3 3 2" xfId="29719" xr:uid="{00000000-0005-0000-0000-0000983E0000}"/>
    <cellStyle name="Normal 29 2 2 2 3 4" xfId="20629" xr:uid="{00000000-0005-0000-0000-0000993E0000}"/>
    <cellStyle name="Normal 29 2 2 2 4" xfId="3938" xr:uid="{00000000-0005-0000-0000-00009A3E0000}"/>
    <cellStyle name="Normal 29 2 2 2 4 2" xfId="8494" xr:uid="{00000000-0005-0000-0000-00009B3E0000}"/>
    <cellStyle name="Normal 29 2 2 2 4 2 2" xfId="17590" xr:uid="{00000000-0005-0000-0000-00009C3E0000}"/>
    <cellStyle name="Normal 29 2 2 2 4 2 2 2" xfId="35772" xr:uid="{00000000-0005-0000-0000-00009D3E0000}"/>
    <cellStyle name="Normal 29 2 2 2 4 2 3" xfId="26682" xr:uid="{00000000-0005-0000-0000-00009E3E0000}"/>
    <cellStyle name="Normal 29 2 2 2 4 3" xfId="13050" xr:uid="{00000000-0005-0000-0000-00009F3E0000}"/>
    <cellStyle name="Normal 29 2 2 2 4 3 2" xfId="31232" xr:uid="{00000000-0005-0000-0000-0000A03E0000}"/>
    <cellStyle name="Normal 29 2 2 2 4 4" xfId="22142" xr:uid="{00000000-0005-0000-0000-0000A13E0000}"/>
    <cellStyle name="Normal 29 2 2 2 5" xfId="5577" xr:uid="{00000000-0005-0000-0000-0000A23E0000}"/>
    <cellStyle name="Normal 29 2 2 2 5 2" xfId="14677" xr:uid="{00000000-0005-0000-0000-0000A33E0000}"/>
    <cellStyle name="Normal 29 2 2 2 5 2 2" xfId="32859" xr:uid="{00000000-0005-0000-0000-0000A43E0000}"/>
    <cellStyle name="Normal 29 2 2 2 5 3" xfId="23769" xr:uid="{00000000-0005-0000-0000-0000A53E0000}"/>
    <cellStyle name="Normal 29 2 2 2 6" xfId="10143" xr:uid="{00000000-0005-0000-0000-0000A63E0000}"/>
    <cellStyle name="Normal 29 2 2 2 6 2" xfId="28325" xr:uid="{00000000-0005-0000-0000-0000A73E0000}"/>
    <cellStyle name="Normal 29 2 2 2 7" xfId="19234" xr:uid="{00000000-0005-0000-0000-0000A83E0000}"/>
    <cellStyle name="Normal 29 2 2 3" xfId="937" xr:uid="{00000000-0005-0000-0000-0000A93E0000}"/>
    <cellStyle name="Normal 29 2 2 3 2" xfId="2388" xr:uid="{00000000-0005-0000-0000-0000AA3E0000}"/>
    <cellStyle name="Normal 29 2 2 3 2 2" xfId="6974" xr:uid="{00000000-0005-0000-0000-0000AB3E0000}"/>
    <cellStyle name="Normal 29 2 2 3 2 2 2" xfId="16074" xr:uid="{00000000-0005-0000-0000-0000AC3E0000}"/>
    <cellStyle name="Normal 29 2 2 3 2 2 2 2" xfId="34256" xr:uid="{00000000-0005-0000-0000-0000AD3E0000}"/>
    <cellStyle name="Normal 29 2 2 3 2 2 3" xfId="25166" xr:uid="{00000000-0005-0000-0000-0000AE3E0000}"/>
    <cellStyle name="Normal 29 2 2 3 2 3" xfId="11538" xr:uid="{00000000-0005-0000-0000-0000AF3E0000}"/>
    <cellStyle name="Normal 29 2 2 3 2 3 2" xfId="29720" xr:uid="{00000000-0005-0000-0000-0000B03E0000}"/>
    <cellStyle name="Normal 29 2 2 3 2 4" xfId="20630" xr:uid="{00000000-0005-0000-0000-0000B13E0000}"/>
    <cellStyle name="Normal 29 2 2 3 3" xfId="3940" xr:uid="{00000000-0005-0000-0000-0000B23E0000}"/>
    <cellStyle name="Normal 29 2 2 3 3 2" xfId="8496" xr:uid="{00000000-0005-0000-0000-0000B33E0000}"/>
    <cellStyle name="Normal 29 2 2 3 3 2 2" xfId="17592" xr:uid="{00000000-0005-0000-0000-0000B43E0000}"/>
    <cellStyle name="Normal 29 2 2 3 3 2 2 2" xfId="35774" xr:uid="{00000000-0005-0000-0000-0000B53E0000}"/>
    <cellStyle name="Normal 29 2 2 3 3 2 3" xfId="26684" xr:uid="{00000000-0005-0000-0000-0000B63E0000}"/>
    <cellStyle name="Normal 29 2 2 3 3 3" xfId="13052" xr:uid="{00000000-0005-0000-0000-0000B73E0000}"/>
    <cellStyle name="Normal 29 2 2 3 3 3 2" xfId="31234" xr:uid="{00000000-0005-0000-0000-0000B83E0000}"/>
    <cellStyle name="Normal 29 2 2 3 3 4" xfId="22144" xr:uid="{00000000-0005-0000-0000-0000B93E0000}"/>
    <cellStyle name="Normal 29 2 2 3 4" xfId="5579" xr:uid="{00000000-0005-0000-0000-0000BA3E0000}"/>
    <cellStyle name="Normal 29 2 2 3 4 2" xfId="14679" xr:uid="{00000000-0005-0000-0000-0000BB3E0000}"/>
    <cellStyle name="Normal 29 2 2 3 4 2 2" xfId="32861" xr:uid="{00000000-0005-0000-0000-0000BC3E0000}"/>
    <cellStyle name="Normal 29 2 2 3 4 3" xfId="23771" xr:uid="{00000000-0005-0000-0000-0000BD3E0000}"/>
    <cellStyle name="Normal 29 2 2 3 5" xfId="10145" xr:uid="{00000000-0005-0000-0000-0000BE3E0000}"/>
    <cellStyle name="Normal 29 2 2 3 5 2" xfId="28327" xr:uid="{00000000-0005-0000-0000-0000BF3E0000}"/>
    <cellStyle name="Normal 29 2 2 3 6" xfId="19236" xr:uid="{00000000-0005-0000-0000-0000C03E0000}"/>
    <cellStyle name="Normal 29 2 2 4" xfId="938" xr:uid="{00000000-0005-0000-0000-0000C13E0000}"/>
    <cellStyle name="Normal 29 2 2 4 2" xfId="3941" xr:uid="{00000000-0005-0000-0000-0000C23E0000}"/>
    <cellStyle name="Normal 29 2 2 4 2 2" xfId="8497" xr:uid="{00000000-0005-0000-0000-0000C33E0000}"/>
    <cellStyle name="Normal 29 2 2 4 2 2 2" xfId="17593" xr:uid="{00000000-0005-0000-0000-0000C43E0000}"/>
    <cellStyle name="Normal 29 2 2 4 2 2 2 2" xfId="35775" xr:uid="{00000000-0005-0000-0000-0000C53E0000}"/>
    <cellStyle name="Normal 29 2 2 4 2 2 3" xfId="26685" xr:uid="{00000000-0005-0000-0000-0000C63E0000}"/>
    <cellStyle name="Normal 29 2 2 4 2 3" xfId="13053" xr:uid="{00000000-0005-0000-0000-0000C73E0000}"/>
    <cellStyle name="Normal 29 2 2 4 2 3 2" xfId="31235" xr:uid="{00000000-0005-0000-0000-0000C83E0000}"/>
    <cellStyle name="Normal 29 2 2 4 2 4" xfId="22145" xr:uid="{00000000-0005-0000-0000-0000C93E0000}"/>
    <cellStyle name="Normal 29 2 2 4 3" xfId="5580" xr:uid="{00000000-0005-0000-0000-0000CA3E0000}"/>
    <cellStyle name="Normal 29 2 2 4 3 2" xfId="14680" xr:uid="{00000000-0005-0000-0000-0000CB3E0000}"/>
    <cellStyle name="Normal 29 2 2 4 3 2 2" xfId="32862" xr:uid="{00000000-0005-0000-0000-0000CC3E0000}"/>
    <cellStyle name="Normal 29 2 2 4 3 3" xfId="23772" xr:uid="{00000000-0005-0000-0000-0000CD3E0000}"/>
    <cellStyle name="Normal 29 2 2 4 4" xfId="10146" xr:uid="{00000000-0005-0000-0000-0000CE3E0000}"/>
    <cellStyle name="Normal 29 2 2 4 4 2" xfId="28328" xr:uid="{00000000-0005-0000-0000-0000CF3E0000}"/>
    <cellStyle name="Normal 29 2 2 4 5" xfId="19237" xr:uid="{00000000-0005-0000-0000-0000D03E0000}"/>
    <cellStyle name="Normal 29 2 2 5" xfId="2389" xr:uid="{00000000-0005-0000-0000-0000D13E0000}"/>
    <cellStyle name="Normal 29 2 2 5 2" xfId="6975" xr:uid="{00000000-0005-0000-0000-0000D23E0000}"/>
    <cellStyle name="Normal 29 2 2 5 2 2" xfId="16075" xr:uid="{00000000-0005-0000-0000-0000D33E0000}"/>
    <cellStyle name="Normal 29 2 2 5 2 2 2" xfId="34257" xr:uid="{00000000-0005-0000-0000-0000D43E0000}"/>
    <cellStyle name="Normal 29 2 2 5 2 3" xfId="25167" xr:uid="{00000000-0005-0000-0000-0000D53E0000}"/>
    <cellStyle name="Normal 29 2 2 5 3" xfId="11539" xr:uid="{00000000-0005-0000-0000-0000D63E0000}"/>
    <cellStyle name="Normal 29 2 2 5 3 2" xfId="29721" xr:uid="{00000000-0005-0000-0000-0000D73E0000}"/>
    <cellStyle name="Normal 29 2 2 5 4" xfId="20631" xr:uid="{00000000-0005-0000-0000-0000D83E0000}"/>
    <cellStyle name="Normal 29 2 2 6" xfId="3937" xr:uid="{00000000-0005-0000-0000-0000D93E0000}"/>
    <cellStyle name="Normal 29 2 2 6 2" xfId="8493" xr:uid="{00000000-0005-0000-0000-0000DA3E0000}"/>
    <cellStyle name="Normal 29 2 2 6 2 2" xfId="17589" xr:uid="{00000000-0005-0000-0000-0000DB3E0000}"/>
    <cellStyle name="Normal 29 2 2 6 2 2 2" xfId="35771" xr:uid="{00000000-0005-0000-0000-0000DC3E0000}"/>
    <cellStyle name="Normal 29 2 2 6 2 3" xfId="26681" xr:uid="{00000000-0005-0000-0000-0000DD3E0000}"/>
    <cellStyle name="Normal 29 2 2 6 3" xfId="13049" xr:uid="{00000000-0005-0000-0000-0000DE3E0000}"/>
    <cellStyle name="Normal 29 2 2 6 3 2" xfId="31231" xr:uid="{00000000-0005-0000-0000-0000DF3E0000}"/>
    <cellStyle name="Normal 29 2 2 6 4" xfId="22141" xr:uid="{00000000-0005-0000-0000-0000E03E0000}"/>
    <cellStyle name="Normal 29 2 2 7" xfId="5576" xr:uid="{00000000-0005-0000-0000-0000E13E0000}"/>
    <cellStyle name="Normal 29 2 2 7 2" xfId="14676" xr:uid="{00000000-0005-0000-0000-0000E23E0000}"/>
    <cellStyle name="Normal 29 2 2 7 2 2" xfId="32858" xr:uid="{00000000-0005-0000-0000-0000E33E0000}"/>
    <cellStyle name="Normal 29 2 2 7 3" xfId="23768" xr:uid="{00000000-0005-0000-0000-0000E43E0000}"/>
    <cellStyle name="Normal 29 2 2 8" xfId="10142" xr:uid="{00000000-0005-0000-0000-0000E53E0000}"/>
    <cellStyle name="Normal 29 2 2 8 2" xfId="28324" xr:uid="{00000000-0005-0000-0000-0000E63E0000}"/>
    <cellStyle name="Normal 29 2 2 9" xfId="19233" xr:uid="{00000000-0005-0000-0000-0000E73E0000}"/>
    <cellStyle name="Normal 29 2 3" xfId="939" xr:uid="{00000000-0005-0000-0000-0000E83E0000}"/>
    <cellStyle name="Normal 29 2 3 2" xfId="940" xr:uid="{00000000-0005-0000-0000-0000E93E0000}"/>
    <cellStyle name="Normal 29 2 3 2 2" xfId="2390" xr:uid="{00000000-0005-0000-0000-0000EA3E0000}"/>
    <cellStyle name="Normal 29 2 3 2 2 2" xfId="6976" xr:uid="{00000000-0005-0000-0000-0000EB3E0000}"/>
    <cellStyle name="Normal 29 2 3 2 2 2 2" xfId="16076" xr:uid="{00000000-0005-0000-0000-0000EC3E0000}"/>
    <cellStyle name="Normal 29 2 3 2 2 2 2 2" xfId="34258" xr:uid="{00000000-0005-0000-0000-0000ED3E0000}"/>
    <cellStyle name="Normal 29 2 3 2 2 2 3" xfId="25168" xr:uid="{00000000-0005-0000-0000-0000EE3E0000}"/>
    <cellStyle name="Normal 29 2 3 2 2 3" xfId="11540" xr:uid="{00000000-0005-0000-0000-0000EF3E0000}"/>
    <cellStyle name="Normal 29 2 3 2 2 3 2" xfId="29722" xr:uid="{00000000-0005-0000-0000-0000F03E0000}"/>
    <cellStyle name="Normal 29 2 3 2 2 4" xfId="20632" xr:uid="{00000000-0005-0000-0000-0000F13E0000}"/>
    <cellStyle name="Normal 29 2 3 2 3" xfId="3943" xr:uid="{00000000-0005-0000-0000-0000F23E0000}"/>
    <cellStyle name="Normal 29 2 3 2 3 2" xfId="8499" xr:uid="{00000000-0005-0000-0000-0000F33E0000}"/>
    <cellStyle name="Normal 29 2 3 2 3 2 2" xfId="17595" xr:uid="{00000000-0005-0000-0000-0000F43E0000}"/>
    <cellStyle name="Normal 29 2 3 2 3 2 2 2" xfId="35777" xr:uid="{00000000-0005-0000-0000-0000F53E0000}"/>
    <cellStyle name="Normal 29 2 3 2 3 2 3" xfId="26687" xr:uid="{00000000-0005-0000-0000-0000F63E0000}"/>
    <cellStyle name="Normal 29 2 3 2 3 3" xfId="13055" xr:uid="{00000000-0005-0000-0000-0000F73E0000}"/>
    <cellStyle name="Normal 29 2 3 2 3 3 2" xfId="31237" xr:uid="{00000000-0005-0000-0000-0000F83E0000}"/>
    <cellStyle name="Normal 29 2 3 2 3 4" xfId="22147" xr:uid="{00000000-0005-0000-0000-0000F93E0000}"/>
    <cellStyle name="Normal 29 2 3 2 4" xfId="5582" xr:uid="{00000000-0005-0000-0000-0000FA3E0000}"/>
    <cellStyle name="Normal 29 2 3 2 4 2" xfId="14682" xr:uid="{00000000-0005-0000-0000-0000FB3E0000}"/>
    <cellStyle name="Normal 29 2 3 2 4 2 2" xfId="32864" xr:uid="{00000000-0005-0000-0000-0000FC3E0000}"/>
    <cellStyle name="Normal 29 2 3 2 4 3" xfId="23774" xr:uid="{00000000-0005-0000-0000-0000FD3E0000}"/>
    <cellStyle name="Normal 29 2 3 2 5" xfId="10148" xr:uid="{00000000-0005-0000-0000-0000FE3E0000}"/>
    <cellStyle name="Normal 29 2 3 2 5 2" xfId="28330" xr:uid="{00000000-0005-0000-0000-0000FF3E0000}"/>
    <cellStyle name="Normal 29 2 3 2 6" xfId="19239" xr:uid="{00000000-0005-0000-0000-0000003F0000}"/>
    <cellStyle name="Normal 29 2 3 3" xfId="2391" xr:uid="{00000000-0005-0000-0000-0000013F0000}"/>
    <cellStyle name="Normal 29 2 3 3 2" xfId="6977" xr:uid="{00000000-0005-0000-0000-0000023F0000}"/>
    <cellStyle name="Normal 29 2 3 3 2 2" xfId="16077" xr:uid="{00000000-0005-0000-0000-0000033F0000}"/>
    <cellStyle name="Normal 29 2 3 3 2 2 2" xfId="34259" xr:uid="{00000000-0005-0000-0000-0000043F0000}"/>
    <cellStyle name="Normal 29 2 3 3 2 3" xfId="25169" xr:uid="{00000000-0005-0000-0000-0000053F0000}"/>
    <cellStyle name="Normal 29 2 3 3 3" xfId="11541" xr:uid="{00000000-0005-0000-0000-0000063F0000}"/>
    <cellStyle name="Normal 29 2 3 3 3 2" xfId="29723" xr:uid="{00000000-0005-0000-0000-0000073F0000}"/>
    <cellStyle name="Normal 29 2 3 3 4" xfId="20633" xr:uid="{00000000-0005-0000-0000-0000083F0000}"/>
    <cellStyle name="Normal 29 2 3 4" xfId="3942" xr:uid="{00000000-0005-0000-0000-0000093F0000}"/>
    <cellStyle name="Normal 29 2 3 4 2" xfId="8498" xr:uid="{00000000-0005-0000-0000-00000A3F0000}"/>
    <cellStyle name="Normal 29 2 3 4 2 2" xfId="17594" xr:uid="{00000000-0005-0000-0000-00000B3F0000}"/>
    <cellStyle name="Normal 29 2 3 4 2 2 2" xfId="35776" xr:uid="{00000000-0005-0000-0000-00000C3F0000}"/>
    <cellStyle name="Normal 29 2 3 4 2 3" xfId="26686" xr:uid="{00000000-0005-0000-0000-00000D3F0000}"/>
    <cellStyle name="Normal 29 2 3 4 3" xfId="13054" xr:uid="{00000000-0005-0000-0000-00000E3F0000}"/>
    <cellStyle name="Normal 29 2 3 4 3 2" xfId="31236" xr:uid="{00000000-0005-0000-0000-00000F3F0000}"/>
    <cellStyle name="Normal 29 2 3 4 4" xfId="22146" xr:uid="{00000000-0005-0000-0000-0000103F0000}"/>
    <cellStyle name="Normal 29 2 3 5" xfId="5581" xr:uid="{00000000-0005-0000-0000-0000113F0000}"/>
    <cellStyle name="Normal 29 2 3 5 2" xfId="14681" xr:uid="{00000000-0005-0000-0000-0000123F0000}"/>
    <cellStyle name="Normal 29 2 3 5 2 2" xfId="32863" xr:uid="{00000000-0005-0000-0000-0000133F0000}"/>
    <cellStyle name="Normal 29 2 3 5 3" xfId="23773" xr:uid="{00000000-0005-0000-0000-0000143F0000}"/>
    <cellStyle name="Normal 29 2 3 6" xfId="10147" xr:uid="{00000000-0005-0000-0000-0000153F0000}"/>
    <cellStyle name="Normal 29 2 3 6 2" xfId="28329" xr:uid="{00000000-0005-0000-0000-0000163F0000}"/>
    <cellStyle name="Normal 29 2 3 7" xfId="19238" xr:uid="{00000000-0005-0000-0000-0000173F0000}"/>
    <cellStyle name="Normal 29 2 4" xfId="941" xr:uid="{00000000-0005-0000-0000-0000183F0000}"/>
    <cellStyle name="Normal 29 2 4 2" xfId="2392" xr:uid="{00000000-0005-0000-0000-0000193F0000}"/>
    <cellStyle name="Normal 29 2 4 2 2" xfId="6978" xr:uid="{00000000-0005-0000-0000-00001A3F0000}"/>
    <cellStyle name="Normal 29 2 4 2 2 2" xfId="16078" xr:uid="{00000000-0005-0000-0000-00001B3F0000}"/>
    <cellStyle name="Normal 29 2 4 2 2 2 2" xfId="34260" xr:uid="{00000000-0005-0000-0000-00001C3F0000}"/>
    <cellStyle name="Normal 29 2 4 2 2 3" xfId="25170" xr:uid="{00000000-0005-0000-0000-00001D3F0000}"/>
    <cellStyle name="Normal 29 2 4 2 3" xfId="11542" xr:uid="{00000000-0005-0000-0000-00001E3F0000}"/>
    <cellStyle name="Normal 29 2 4 2 3 2" xfId="29724" xr:uid="{00000000-0005-0000-0000-00001F3F0000}"/>
    <cellStyle name="Normal 29 2 4 2 4" xfId="20634" xr:uid="{00000000-0005-0000-0000-0000203F0000}"/>
    <cellStyle name="Normal 29 2 4 3" xfId="3944" xr:uid="{00000000-0005-0000-0000-0000213F0000}"/>
    <cellStyle name="Normal 29 2 4 3 2" xfId="8500" xr:uid="{00000000-0005-0000-0000-0000223F0000}"/>
    <cellStyle name="Normal 29 2 4 3 2 2" xfId="17596" xr:uid="{00000000-0005-0000-0000-0000233F0000}"/>
    <cellStyle name="Normal 29 2 4 3 2 2 2" xfId="35778" xr:uid="{00000000-0005-0000-0000-0000243F0000}"/>
    <cellStyle name="Normal 29 2 4 3 2 3" xfId="26688" xr:uid="{00000000-0005-0000-0000-0000253F0000}"/>
    <cellStyle name="Normal 29 2 4 3 3" xfId="13056" xr:uid="{00000000-0005-0000-0000-0000263F0000}"/>
    <cellStyle name="Normal 29 2 4 3 3 2" xfId="31238" xr:uid="{00000000-0005-0000-0000-0000273F0000}"/>
    <cellStyle name="Normal 29 2 4 3 4" xfId="22148" xr:uid="{00000000-0005-0000-0000-0000283F0000}"/>
    <cellStyle name="Normal 29 2 4 4" xfId="5583" xr:uid="{00000000-0005-0000-0000-0000293F0000}"/>
    <cellStyle name="Normal 29 2 4 4 2" xfId="14683" xr:uid="{00000000-0005-0000-0000-00002A3F0000}"/>
    <cellStyle name="Normal 29 2 4 4 2 2" xfId="32865" xr:uid="{00000000-0005-0000-0000-00002B3F0000}"/>
    <cellStyle name="Normal 29 2 4 4 3" xfId="23775" xr:uid="{00000000-0005-0000-0000-00002C3F0000}"/>
    <cellStyle name="Normal 29 2 4 5" xfId="10149" xr:uid="{00000000-0005-0000-0000-00002D3F0000}"/>
    <cellStyle name="Normal 29 2 4 5 2" xfId="28331" xr:uid="{00000000-0005-0000-0000-00002E3F0000}"/>
    <cellStyle name="Normal 29 2 4 6" xfId="19240" xr:uid="{00000000-0005-0000-0000-00002F3F0000}"/>
    <cellStyle name="Normal 29 2 5" xfId="942" xr:uid="{00000000-0005-0000-0000-0000303F0000}"/>
    <cellStyle name="Normal 29 2 5 2" xfId="3945" xr:uid="{00000000-0005-0000-0000-0000313F0000}"/>
    <cellStyle name="Normal 29 2 5 2 2" xfId="8501" xr:uid="{00000000-0005-0000-0000-0000323F0000}"/>
    <cellStyle name="Normal 29 2 5 2 2 2" xfId="17597" xr:uid="{00000000-0005-0000-0000-0000333F0000}"/>
    <cellStyle name="Normal 29 2 5 2 2 2 2" xfId="35779" xr:uid="{00000000-0005-0000-0000-0000343F0000}"/>
    <cellStyle name="Normal 29 2 5 2 2 3" xfId="26689" xr:uid="{00000000-0005-0000-0000-0000353F0000}"/>
    <cellStyle name="Normal 29 2 5 2 3" xfId="13057" xr:uid="{00000000-0005-0000-0000-0000363F0000}"/>
    <cellStyle name="Normal 29 2 5 2 3 2" xfId="31239" xr:uid="{00000000-0005-0000-0000-0000373F0000}"/>
    <cellStyle name="Normal 29 2 5 2 4" xfId="22149" xr:uid="{00000000-0005-0000-0000-0000383F0000}"/>
    <cellStyle name="Normal 29 2 5 3" xfId="5584" xr:uid="{00000000-0005-0000-0000-0000393F0000}"/>
    <cellStyle name="Normal 29 2 5 3 2" xfId="14684" xr:uid="{00000000-0005-0000-0000-00003A3F0000}"/>
    <cellStyle name="Normal 29 2 5 3 2 2" xfId="32866" xr:uid="{00000000-0005-0000-0000-00003B3F0000}"/>
    <cellStyle name="Normal 29 2 5 3 3" xfId="23776" xr:uid="{00000000-0005-0000-0000-00003C3F0000}"/>
    <cellStyle name="Normal 29 2 5 4" xfId="10150" xr:uid="{00000000-0005-0000-0000-00003D3F0000}"/>
    <cellStyle name="Normal 29 2 5 4 2" xfId="28332" xr:uid="{00000000-0005-0000-0000-00003E3F0000}"/>
    <cellStyle name="Normal 29 2 5 5" xfId="19241" xr:uid="{00000000-0005-0000-0000-00003F3F0000}"/>
    <cellStyle name="Normal 29 2 6" xfId="2393" xr:uid="{00000000-0005-0000-0000-0000403F0000}"/>
    <cellStyle name="Normal 29 2 6 2" xfId="6979" xr:uid="{00000000-0005-0000-0000-0000413F0000}"/>
    <cellStyle name="Normal 29 2 6 2 2" xfId="16079" xr:uid="{00000000-0005-0000-0000-0000423F0000}"/>
    <cellStyle name="Normal 29 2 6 2 2 2" xfId="34261" xr:uid="{00000000-0005-0000-0000-0000433F0000}"/>
    <cellStyle name="Normal 29 2 6 2 3" xfId="25171" xr:uid="{00000000-0005-0000-0000-0000443F0000}"/>
    <cellStyle name="Normal 29 2 6 3" xfId="11543" xr:uid="{00000000-0005-0000-0000-0000453F0000}"/>
    <cellStyle name="Normal 29 2 6 3 2" xfId="29725" xr:uid="{00000000-0005-0000-0000-0000463F0000}"/>
    <cellStyle name="Normal 29 2 6 4" xfId="20635" xr:uid="{00000000-0005-0000-0000-0000473F0000}"/>
    <cellStyle name="Normal 29 2 7" xfId="3936" xr:uid="{00000000-0005-0000-0000-0000483F0000}"/>
    <cellStyle name="Normal 29 2 7 2" xfId="8492" xr:uid="{00000000-0005-0000-0000-0000493F0000}"/>
    <cellStyle name="Normal 29 2 7 2 2" xfId="17588" xr:uid="{00000000-0005-0000-0000-00004A3F0000}"/>
    <cellStyle name="Normal 29 2 7 2 2 2" xfId="35770" xr:uid="{00000000-0005-0000-0000-00004B3F0000}"/>
    <cellStyle name="Normal 29 2 7 2 3" xfId="26680" xr:uid="{00000000-0005-0000-0000-00004C3F0000}"/>
    <cellStyle name="Normal 29 2 7 3" xfId="13048" xr:uid="{00000000-0005-0000-0000-00004D3F0000}"/>
    <cellStyle name="Normal 29 2 7 3 2" xfId="31230" xr:uid="{00000000-0005-0000-0000-00004E3F0000}"/>
    <cellStyle name="Normal 29 2 7 4" xfId="22140" xr:uid="{00000000-0005-0000-0000-00004F3F0000}"/>
    <cellStyle name="Normal 29 2 8" xfId="5575" xr:uid="{00000000-0005-0000-0000-0000503F0000}"/>
    <cellStyle name="Normal 29 2 8 2" xfId="14675" xr:uid="{00000000-0005-0000-0000-0000513F0000}"/>
    <cellStyle name="Normal 29 2 8 2 2" xfId="32857" xr:uid="{00000000-0005-0000-0000-0000523F0000}"/>
    <cellStyle name="Normal 29 2 8 3" xfId="23767" xr:uid="{00000000-0005-0000-0000-0000533F0000}"/>
    <cellStyle name="Normal 29 2 9" xfId="10141" xr:uid="{00000000-0005-0000-0000-0000543F0000}"/>
    <cellStyle name="Normal 29 2 9 2" xfId="28323" xr:uid="{00000000-0005-0000-0000-0000553F0000}"/>
    <cellStyle name="Normal 29 3" xfId="943" xr:uid="{00000000-0005-0000-0000-0000563F0000}"/>
    <cellStyle name="Normal 29 3 2" xfId="944" xr:uid="{00000000-0005-0000-0000-0000573F0000}"/>
    <cellStyle name="Normal 29 3 2 2" xfId="945" xr:uid="{00000000-0005-0000-0000-0000583F0000}"/>
    <cellStyle name="Normal 29 3 2 2 2" xfId="2394" xr:uid="{00000000-0005-0000-0000-0000593F0000}"/>
    <cellStyle name="Normal 29 3 2 2 2 2" xfId="6980" xr:uid="{00000000-0005-0000-0000-00005A3F0000}"/>
    <cellStyle name="Normal 29 3 2 2 2 2 2" xfId="16080" xr:uid="{00000000-0005-0000-0000-00005B3F0000}"/>
    <cellStyle name="Normal 29 3 2 2 2 2 2 2" xfId="34262" xr:uid="{00000000-0005-0000-0000-00005C3F0000}"/>
    <cellStyle name="Normal 29 3 2 2 2 2 3" xfId="25172" xr:uid="{00000000-0005-0000-0000-00005D3F0000}"/>
    <cellStyle name="Normal 29 3 2 2 2 3" xfId="11544" xr:uid="{00000000-0005-0000-0000-00005E3F0000}"/>
    <cellStyle name="Normal 29 3 2 2 2 3 2" xfId="29726" xr:uid="{00000000-0005-0000-0000-00005F3F0000}"/>
    <cellStyle name="Normal 29 3 2 2 2 4" xfId="20636" xr:uid="{00000000-0005-0000-0000-0000603F0000}"/>
    <cellStyle name="Normal 29 3 2 2 3" xfId="3948" xr:uid="{00000000-0005-0000-0000-0000613F0000}"/>
    <cellStyle name="Normal 29 3 2 2 3 2" xfId="8504" xr:uid="{00000000-0005-0000-0000-0000623F0000}"/>
    <cellStyle name="Normal 29 3 2 2 3 2 2" xfId="17600" xr:uid="{00000000-0005-0000-0000-0000633F0000}"/>
    <cellStyle name="Normal 29 3 2 2 3 2 2 2" xfId="35782" xr:uid="{00000000-0005-0000-0000-0000643F0000}"/>
    <cellStyle name="Normal 29 3 2 2 3 2 3" xfId="26692" xr:uid="{00000000-0005-0000-0000-0000653F0000}"/>
    <cellStyle name="Normal 29 3 2 2 3 3" xfId="13060" xr:uid="{00000000-0005-0000-0000-0000663F0000}"/>
    <cellStyle name="Normal 29 3 2 2 3 3 2" xfId="31242" xr:uid="{00000000-0005-0000-0000-0000673F0000}"/>
    <cellStyle name="Normal 29 3 2 2 3 4" xfId="22152" xr:uid="{00000000-0005-0000-0000-0000683F0000}"/>
    <cellStyle name="Normal 29 3 2 2 4" xfId="5587" xr:uid="{00000000-0005-0000-0000-0000693F0000}"/>
    <cellStyle name="Normal 29 3 2 2 4 2" xfId="14687" xr:uid="{00000000-0005-0000-0000-00006A3F0000}"/>
    <cellStyle name="Normal 29 3 2 2 4 2 2" xfId="32869" xr:uid="{00000000-0005-0000-0000-00006B3F0000}"/>
    <cellStyle name="Normal 29 3 2 2 4 3" xfId="23779" xr:uid="{00000000-0005-0000-0000-00006C3F0000}"/>
    <cellStyle name="Normal 29 3 2 2 5" xfId="10153" xr:uid="{00000000-0005-0000-0000-00006D3F0000}"/>
    <cellStyle name="Normal 29 3 2 2 5 2" xfId="28335" xr:uid="{00000000-0005-0000-0000-00006E3F0000}"/>
    <cellStyle name="Normal 29 3 2 2 6" xfId="19244" xr:uid="{00000000-0005-0000-0000-00006F3F0000}"/>
    <cellStyle name="Normal 29 3 2 3" xfId="2395" xr:uid="{00000000-0005-0000-0000-0000703F0000}"/>
    <cellStyle name="Normal 29 3 2 3 2" xfId="6981" xr:uid="{00000000-0005-0000-0000-0000713F0000}"/>
    <cellStyle name="Normal 29 3 2 3 2 2" xfId="16081" xr:uid="{00000000-0005-0000-0000-0000723F0000}"/>
    <cellStyle name="Normal 29 3 2 3 2 2 2" xfId="34263" xr:uid="{00000000-0005-0000-0000-0000733F0000}"/>
    <cellStyle name="Normal 29 3 2 3 2 3" xfId="25173" xr:uid="{00000000-0005-0000-0000-0000743F0000}"/>
    <cellStyle name="Normal 29 3 2 3 3" xfId="11545" xr:uid="{00000000-0005-0000-0000-0000753F0000}"/>
    <cellStyle name="Normal 29 3 2 3 3 2" xfId="29727" xr:uid="{00000000-0005-0000-0000-0000763F0000}"/>
    <cellStyle name="Normal 29 3 2 3 4" xfId="20637" xr:uid="{00000000-0005-0000-0000-0000773F0000}"/>
    <cellStyle name="Normal 29 3 2 4" xfId="3947" xr:uid="{00000000-0005-0000-0000-0000783F0000}"/>
    <cellStyle name="Normal 29 3 2 4 2" xfId="8503" xr:uid="{00000000-0005-0000-0000-0000793F0000}"/>
    <cellStyle name="Normal 29 3 2 4 2 2" xfId="17599" xr:uid="{00000000-0005-0000-0000-00007A3F0000}"/>
    <cellStyle name="Normal 29 3 2 4 2 2 2" xfId="35781" xr:uid="{00000000-0005-0000-0000-00007B3F0000}"/>
    <cellStyle name="Normal 29 3 2 4 2 3" xfId="26691" xr:uid="{00000000-0005-0000-0000-00007C3F0000}"/>
    <cellStyle name="Normal 29 3 2 4 3" xfId="13059" xr:uid="{00000000-0005-0000-0000-00007D3F0000}"/>
    <cellStyle name="Normal 29 3 2 4 3 2" xfId="31241" xr:uid="{00000000-0005-0000-0000-00007E3F0000}"/>
    <cellStyle name="Normal 29 3 2 4 4" xfId="22151" xr:uid="{00000000-0005-0000-0000-00007F3F0000}"/>
    <cellStyle name="Normal 29 3 2 5" xfId="5586" xr:uid="{00000000-0005-0000-0000-0000803F0000}"/>
    <cellStyle name="Normal 29 3 2 5 2" xfId="14686" xr:uid="{00000000-0005-0000-0000-0000813F0000}"/>
    <cellStyle name="Normal 29 3 2 5 2 2" xfId="32868" xr:uid="{00000000-0005-0000-0000-0000823F0000}"/>
    <cellStyle name="Normal 29 3 2 5 3" xfId="23778" xr:uid="{00000000-0005-0000-0000-0000833F0000}"/>
    <cellStyle name="Normal 29 3 2 6" xfId="10152" xr:uid="{00000000-0005-0000-0000-0000843F0000}"/>
    <cellStyle name="Normal 29 3 2 6 2" xfId="28334" xr:uid="{00000000-0005-0000-0000-0000853F0000}"/>
    <cellStyle name="Normal 29 3 2 7" xfId="19243" xr:uid="{00000000-0005-0000-0000-0000863F0000}"/>
    <cellStyle name="Normal 29 3 3" xfId="946" xr:uid="{00000000-0005-0000-0000-0000873F0000}"/>
    <cellStyle name="Normal 29 3 3 2" xfId="2396" xr:uid="{00000000-0005-0000-0000-0000883F0000}"/>
    <cellStyle name="Normal 29 3 3 2 2" xfId="6982" xr:uid="{00000000-0005-0000-0000-0000893F0000}"/>
    <cellStyle name="Normal 29 3 3 2 2 2" xfId="16082" xr:uid="{00000000-0005-0000-0000-00008A3F0000}"/>
    <cellStyle name="Normal 29 3 3 2 2 2 2" xfId="34264" xr:uid="{00000000-0005-0000-0000-00008B3F0000}"/>
    <cellStyle name="Normal 29 3 3 2 2 3" xfId="25174" xr:uid="{00000000-0005-0000-0000-00008C3F0000}"/>
    <cellStyle name="Normal 29 3 3 2 3" xfId="11546" xr:uid="{00000000-0005-0000-0000-00008D3F0000}"/>
    <cellStyle name="Normal 29 3 3 2 3 2" xfId="29728" xr:uid="{00000000-0005-0000-0000-00008E3F0000}"/>
    <cellStyle name="Normal 29 3 3 2 4" xfId="20638" xr:uid="{00000000-0005-0000-0000-00008F3F0000}"/>
    <cellStyle name="Normal 29 3 3 3" xfId="3949" xr:uid="{00000000-0005-0000-0000-0000903F0000}"/>
    <cellStyle name="Normal 29 3 3 3 2" xfId="8505" xr:uid="{00000000-0005-0000-0000-0000913F0000}"/>
    <cellStyle name="Normal 29 3 3 3 2 2" xfId="17601" xr:uid="{00000000-0005-0000-0000-0000923F0000}"/>
    <cellStyle name="Normal 29 3 3 3 2 2 2" xfId="35783" xr:uid="{00000000-0005-0000-0000-0000933F0000}"/>
    <cellStyle name="Normal 29 3 3 3 2 3" xfId="26693" xr:uid="{00000000-0005-0000-0000-0000943F0000}"/>
    <cellStyle name="Normal 29 3 3 3 3" xfId="13061" xr:uid="{00000000-0005-0000-0000-0000953F0000}"/>
    <cellStyle name="Normal 29 3 3 3 3 2" xfId="31243" xr:uid="{00000000-0005-0000-0000-0000963F0000}"/>
    <cellStyle name="Normal 29 3 3 3 4" xfId="22153" xr:uid="{00000000-0005-0000-0000-0000973F0000}"/>
    <cellStyle name="Normal 29 3 3 4" xfId="5588" xr:uid="{00000000-0005-0000-0000-0000983F0000}"/>
    <cellStyle name="Normal 29 3 3 4 2" xfId="14688" xr:uid="{00000000-0005-0000-0000-0000993F0000}"/>
    <cellStyle name="Normal 29 3 3 4 2 2" xfId="32870" xr:uid="{00000000-0005-0000-0000-00009A3F0000}"/>
    <cellStyle name="Normal 29 3 3 4 3" xfId="23780" xr:uid="{00000000-0005-0000-0000-00009B3F0000}"/>
    <cellStyle name="Normal 29 3 3 5" xfId="10154" xr:uid="{00000000-0005-0000-0000-00009C3F0000}"/>
    <cellStyle name="Normal 29 3 3 5 2" xfId="28336" xr:uid="{00000000-0005-0000-0000-00009D3F0000}"/>
    <cellStyle name="Normal 29 3 3 6" xfId="19245" xr:uid="{00000000-0005-0000-0000-00009E3F0000}"/>
    <cellStyle name="Normal 29 3 4" xfId="947" xr:uid="{00000000-0005-0000-0000-00009F3F0000}"/>
    <cellStyle name="Normal 29 3 4 2" xfId="3950" xr:uid="{00000000-0005-0000-0000-0000A03F0000}"/>
    <cellStyle name="Normal 29 3 4 2 2" xfId="8506" xr:uid="{00000000-0005-0000-0000-0000A13F0000}"/>
    <cellStyle name="Normal 29 3 4 2 2 2" xfId="17602" xr:uid="{00000000-0005-0000-0000-0000A23F0000}"/>
    <cellStyle name="Normal 29 3 4 2 2 2 2" xfId="35784" xr:uid="{00000000-0005-0000-0000-0000A33F0000}"/>
    <cellStyle name="Normal 29 3 4 2 2 3" xfId="26694" xr:uid="{00000000-0005-0000-0000-0000A43F0000}"/>
    <cellStyle name="Normal 29 3 4 2 3" xfId="13062" xr:uid="{00000000-0005-0000-0000-0000A53F0000}"/>
    <cellStyle name="Normal 29 3 4 2 3 2" xfId="31244" xr:uid="{00000000-0005-0000-0000-0000A63F0000}"/>
    <cellStyle name="Normal 29 3 4 2 4" xfId="22154" xr:uid="{00000000-0005-0000-0000-0000A73F0000}"/>
    <cellStyle name="Normal 29 3 4 3" xfId="5589" xr:uid="{00000000-0005-0000-0000-0000A83F0000}"/>
    <cellStyle name="Normal 29 3 4 3 2" xfId="14689" xr:uid="{00000000-0005-0000-0000-0000A93F0000}"/>
    <cellStyle name="Normal 29 3 4 3 2 2" xfId="32871" xr:uid="{00000000-0005-0000-0000-0000AA3F0000}"/>
    <cellStyle name="Normal 29 3 4 3 3" xfId="23781" xr:uid="{00000000-0005-0000-0000-0000AB3F0000}"/>
    <cellStyle name="Normal 29 3 4 4" xfId="10155" xr:uid="{00000000-0005-0000-0000-0000AC3F0000}"/>
    <cellStyle name="Normal 29 3 4 4 2" xfId="28337" xr:uid="{00000000-0005-0000-0000-0000AD3F0000}"/>
    <cellStyle name="Normal 29 3 4 5" xfId="19246" xr:uid="{00000000-0005-0000-0000-0000AE3F0000}"/>
    <cellStyle name="Normal 29 3 5" xfId="2397" xr:uid="{00000000-0005-0000-0000-0000AF3F0000}"/>
    <cellStyle name="Normal 29 3 5 2" xfId="6983" xr:uid="{00000000-0005-0000-0000-0000B03F0000}"/>
    <cellStyle name="Normal 29 3 5 2 2" xfId="16083" xr:uid="{00000000-0005-0000-0000-0000B13F0000}"/>
    <cellStyle name="Normal 29 3 5 2 2 2" xfId="34265" xr:uid="{00000000-0005-0000-0000-0000B23F0000}"/>
    <cellStyle name="Normal 29 3 5 2 3" xfId="25175" xr:uid="{00000000-0005-0000-0000-0000B33F0000}"/>
    <cellStyle name="Normal 29 3 5 3" xfId="11547" xr:uid="{00000000-0005-0000-0000-0000B43F0000}"/>
    <cellStyle name="Normal 29 3 5 3 2" xfId="29729" xr:uid="{00000000-0005-0000-0000-0000B53F0000}"/>
    <cellStyle name="Normal 29 3 5 4" xfId="20639" xr:uid="{00000000-0005-0000-0000-0000B63F0000}"/>
    <cellStyle name="Normal 29 3 6" xfId="3946" xr:uid="{00000000-0005-0000-0000-0000B73F0000}"/>
    <cellStyle name="Normal 29 3 6 2" xfId="8502" xr:uid="{00000000-0005-0000-0000-0000B83F0000}"/>
    <cellStyle name="Normal 29 3 6 2 2" xfId="17598" xr:uid="{00000000-0005-0000-0000-0000B93F0000}"/>
    <cellStyle name="Normal 29 3 6 2 2 2" xfId="35780" xr:uid="{00000000-0005-0000-0000-0000BA3F0000}"/>
    <cellStyle name="Normal 29 3 6 2 3" xfId="26690" xr:uid="{00000000-0005-0000-0000-0000BB3F0000}"/>
    <cellStyle name="Normal 29 3 6 3" xfId="13058" xr:uid="{00000000-0005-0000-0000-0000BC3F0000}"/>
    <cellStyle name="Normal 29 3 6 3 2" xfId="31240" xr:uid="{00000000-0005-0000-0000-0000BD3F0000}"/>
    <cellStyle name="Normal 29 3 6 4" xfId="22150" xr:uid="{00000000-0005-0000-0000-0000BE3F0000}"/>
    <cellStyle name="Normal 29 3 7" xfId="5585" xr:uid="{00000000-0005-0000-0000-0000BF3F0000}"/>
    <cellStyle name="Normal 29 3 7 2" xfId="14685" xr:uid="{00000000-0005-0000-0000-0000C03F0000}"/>
    <cellStyle name="Normal 29 3 7 2 2" xfId="32867" xr:uid="{00000000-0005-0000-0000-0000C13F0000}"/>
    <cellStyle name="Normal 29 3 7 3" xfId="23777" xr:uid="{00000000-0005-0000-0000-0000C23F0000}"/>
    <cellStyle name="Normal 29 3 8" xfId="10151" xr:uid="{00000000-0005-0000-0000-0000C33F0000}"/>
    <cellStyle name="Normal 29 3 8 2" xfId="28333" xr:uid="{00000000-0005-0000-0000-0000C43F0000}"/>
    <cellStyle name="Normal 29 3 9" xfId="19242" xr:uid="{00000000-0005-0000-0000-0000C53F0000}"/>
    <cellStyle name="Normal 29 4" xfId="948" xr:uid="{00000000-0005-0000-0000-0000C63F0000}"/>
    <cellStyle name="Normal 29 4 2" xfId="949" xr:uid="{00000000-0005-0000-0000-0000C73F0000}"/>
    <cellStyle name="Normal 29 4 2 2" xfId="2398" xr:uid="{00000000-0005-0000-0000-0000C83F0000}"/>
    <cellStyle name="Normal 29 4 2 2 2" xfId="6984" xr:uid="{00000000-0005-0000-0000-0000C93F0000}"/>
    <cellStyle name="Normal 29 4 2 2 2 2" xfId="16084" xr:uid="{00000000-0005-0000-0000-0000CA3F0000}"/>
    <cellStyle name="Normal 29 4 2 2 2 2 2" xfId="34266" xr:uid="{00000000-0005-0000-0000-0000CB3F0000}"/>
    <cellStyle name="Normal 29 4 2 2 2 3" xfId="25176" xr:uid="{00000000-0005-0000-0000-0000CC3F0000}"/>
    <cellStyle name="Normal 29 4 2 2 3" xfId="11548" xr:uid="{00000000-0005-0000-0000-0000CD3F0000}"/>
    <cellStyle name="Normal 29 4 2 2 3 2" xfId="29730" xr:uid="{00000000-0005-0000-0000-0000CE3F0000}"/>
    <cellStyle name="Normal 29 4 2 2 4" xfId="20640" xr:uid="{00000000-0005-0000-0000-0000CF3F0000}"/>
    <cellStyle name="Normal 29 4 2 3" xfId="3952" xr:uid="{00000000-0005-0000-0000-0000D03F0000}"/>
    <cellStyle name="Normal 29 4 2 3 2" xfId="8508" xr:uid="{00000000-0005-0000-0000-0000D13F0000}"/>
    <cellStyle name="Normal 29 4 2 3 2 2" xfId="17604" xr:uid="{00000000-0005-0000-0000-0000D23F0000}"/>
    <cellStyle name="Normal 29 4 2 3 2 2 2" xfId="35786" xr:uid="{00000000-0005-0000-0000-0000D33F0000}"/>
    <cellStyle name="Normal 29 4 2 3 2 3" xfId="26696" xr:uid="{00000000-0005-0000-0000-0000D43F0000}"/>
    <cellStyle name="Normal 29 4 2 3 3" xfId="13064" xr:uid="{00000000-0005-0000-0000-0000D53F0000}"/>
    <cellStyle name="Normal 29 4 2 3 3 2" xfId="31246" xr:uid="{00000000-0005-0000-0000-0000D63F0000}"/>
    <cellStyle name="Normal 29 4 2 3 4" xfId="22156" xr:uid="{00000000-0005-0000-0000-0000D73F0000}"/>
    <cellStyle name="Normal 29 4 2 4" xfId="5591" xr:uid="{00000000-0005-0000-0000-0000D83F0000}"/>
    <cellStyle name="Normal 29 4 2 4 2" xfId="14691" xr:uid="{00000000-0005-0000-0000-0000D93F0000}"/>
    <cellStyle name="Normal 29 4 2 4 2 2" xfId="32873" xr:uid="{00000000-0005-0000-0000-0000DA3F0000}"/>
    <cellStyle name="Normal 29 4 2 4 3" xfId="23783" xr:uid="{00000000-0005-0000-0000-0000DB3F0000}"/>
    <cellStyle name="Normal 29 4 2 5" xfId="10157" xr:uid="{00000000-0005-0000-0000-0000DC3F0000}"/>
    <cellStyle name="Normal 29 4 2 5 2" xfId="28339" xr:uid="{00000000-0005-0000-0000-0000DD3F0000}"/>
    <cellStyle name="Normal 29 4 2 6" xfId="19248" xr:uid="{00000000-0005-0000-0000-0000DE3F0000}"/>
    <cellStyle name="Normal 29 4 3" xfId="2399" xr:uid="{00000000-0005-0000-0000-0000DF3F0000}"/>
    <cellStyle name="Normal 29 4 3 2" xfId="6985" xr:uid="{00000000-0005-0000-0000-0000E03F0000}"/>
    <cellStyle name="Normal 29 4 3 2 2" xfId="16085" xr:uid="{00000000-0005-0000-0000-0000E13F0000}"/>
    <cellStyle name="Normal 29 4 3 2 2 2" xfId="34267" xr:uid="{00000000-0005-0000-0000-0000E23F0000}"/>
    <cellStyle name="Normal 29 4 3 2 3" xfId="25177" xr:uid="{00000000-0005-0000-0000-0000E33F0000}"/>
    <cellStyle name="Normal 29 4 3 3" xfId="11549" xr:uid="{00000000-0005-0000-0000-0000E43F0000}"/>
    <cellStyle name="Normal 29 4 3 3 2" xfId="29731" xr:uid="{00000000-0005-0000-0000-0000E53F0000}"/>
    <cellStyle name="Normal 29 4 3 4" xfId="20641" xr:uid="{00000000-0005-0000-0000-0000E63F0000}"/>
    <cellStyle name="Normal 29 4 4" xfId="3951" xr:uid="{00000000-0005-0000-0000-0000E73F0000}"/>
    <cellStyle name="Normal 29 4 4 2" xfId="8507" xr:uid="{00000000-0005-0000-0000-0000E83F0000}"/>
    <cellStyle name="Normal 29 4 4 2 2" xfId="17603" xr:uid="{00000000-0005-0000-0000-0000E93F0000}"/>
    <cellStyle name="Normal 29 4 4 2 2 2" xfId="35785" xr:uid="{00000000-0005-0000-0000-0000EA3F0000}"/>
    <cellStyle name="Normal 29 4 4 2 3" xfId="26695" xr:uid="{00000000-0005-0000-0000-0000EB3F0000}"/>
    <cellStyle name="Normal 29 4 4 3" xfId="13063" xr:uid="{00000000-0005-0000-0000-0000EC3F0000}"/>
    <cellStyle name="Normal 29 4 4 3 2" xfId="31245" xr:uid="{00000000-0005-0000-0000-0000ED3F0000}"/>
    <cellStyle name="Normal 29 4 4 4" xfId="22155" xr:uid="{00000000-0005-0000-0000-0000EE3F0000}"/>
    <cellStyle name="Normal 29 4 5" xfId="5590" xr:uid="{00000000-0005-0000-0000-0000EF3F0000}"/>
    <cellStyle name="Normal 29 4 5 2" xfId="14690" xr:uid="{00000000-0005-0000-0000-0000F03F0000}"/>
    <cellStyle name="Normal 29 4 5 2 2" xfId="32872" xr:uid="{00000000-0005-0000-0000-0000F13F0000}"/>
    <cellStyle name="Normal 29 4 5 3" xfId="23782" xr:uid="{00000000-0005-0000-0000-0000F23F0000}"/>
    <cellStyle name="Normal 29 4 6" xfId="10156" xr:uid="{00000000-0005-0000-0000-0000F33F0000}"/>
    <cellStyle name="Normal 29 4 6 2" xfId="28338" xr:uid="{00000000-0005-0000-0000-0000F43F0000}"/>
    <cellStyle name="Normal 29 4 7" xfId="19247" xr:uid="{00000000-0005-0000-0000-0000F53F0000}"/>
    <cellStyle name="Normal 29 5" xfId="950" xr:uid="{00000000-0005-0000-0000-0000F63F0000}"/>
    <cellStyle name="Normal 29 5 2" xfId="2400" xr:uid="{00000000-0005-0000-0000-0000F73F0000}"/>
    <cellStyle name="Normal 29 5 2 2" xfId="6986" xr:uid="{00000000-0005-0000-0000-0000F83F0000}"/>
    <cellStyle name="Normal 29 5 2 2 2" xfId="16086" xr:uid="{00000000-0005-0000-0000-0000F93F0000}"/>
    <cellStyle name="Normal 29 5 2 2 2 2" xfId="34268" xr:uid="{00000000-0005-0000-0000-0000FA3F0000}"/>
    <cellStyle name="Normal 29 5 2 2 3" xfId="25178" xr:uid="{00000000-0005-0000-0000-0000FB3F0000}"/>
    <cellStyle name="Normal 29 5 2 3" xfId="11550" xr:uid="{00000000-0005-0000-0000-0000FC3F0000}"/>
    <cellStyle name="Normal 29 5 2 3 2" xfId="29732" xr:uid="{00000000-0005-0000-0000-0000FD3F0000}"/>
    <cellStyle name="Normal 29 5 2 4" xfId="20642" xr:uid="{00000000-0005-0000-0000-0000FE3F0000}"/>
    <cellStyle name="Normal 29 5 3" xfId="3953" xr:uid="{00000000-0005-0000-0000-0000FF3F0000}"/>
    <cellStyle name="Normal 29 5 3 2" xfId="8509" xr:uid="{00000000-0005-0000-0000-000000400000}"/>
    <cellStyle name="Normal 29 5 3 2 2" xfId="17605" xr:uid="{00000000-0005-0000-0000-000001400000}"/>
    <cellStyle name="Normal 29 5 3 2 2 2" xfId="35787" xr:uid="{00000000-0005-0000-0000-000002400000}"/>
    <cellStyle name="Normal 29 5 3 2 3" xfId="26697" xr:uid="{00000000-0005-0000-0000-000003400000}"/>
    <cellStyle name="Normal 29 5 3 3" xfId="13065" xr:uid="{00000000-0005-0000-0000-000004400000}"/>
    <cellStyle name="Normal 29 5 3 3 2" xfId="31247" xr:uid="{00000000-0005-0000-0000-000005400000}"/>
    <cellStyle name="Normal 29 5 3 4" xfId="22157" xr:uid="{00000000-0005-0000-0000-000006400000}"/>
    <cellStyle name="Normal 29 5 4" xfId="5592" xr:uid="{00000000-0005-0000-0000-000007400000}"/>
    <cellStyle name="Normal 29 5 4 2" xfId="14692" xr:uid="{00000000-0005-0000-0000-000008400000}"/>
    <cellStyle name="Normal 29 5 4 2 2" xfId="32874" xr:uid="{00000000-0005-0000-0000-000009400000}"/>
    <cellStyle name="Normal 29 5 4 3" xfId="23784" xr:uid="{00000000-0005-0000-0000-00000A400000}"/>
    <cellStyle name="Normal 29 5 5" xfId="10158" xr:uid="{00000000-0005-0000-0000-00000B400000}"/>
    <cellStyle name="Normal 29 5 5 2" xfId="28340" xr:uid="{00000000-0005-0000-0000-00000C400000}"/>
    <cellStyle name="Normal 29 5 6" xfId="19249" xr:uid="{00000000-0005-0000-0000-00000D400000}"/>
    <cellStyle name="Normal 29 6" xfId="951" xr:uid="{00000000-0005-0000-0000-00000E400000}"/>
    <cellStyle name="Normal 29 6 2" xfId="3954" xr:uid="{00000000-0005-0000-0000-00000F400000}"/>
    <cellStyle name="Normal 29 6 2 2" xfId="8510" xr:uid="{00000000-0005-0000-0000-000010400000}"/>
    <cellStyle name="Normal 29 6 2 2 2" xfId="17606" xr:uid="{00000000-0005-0000-0000-000011400000}"/>
    <cellStyle name="Normal 29 6 2 2 2 2" xfId="35788" xr:uid="{00000000-0005-0000-0000-000012400000}"/>
    <cellStyle name="Normal 29 6 2 2 3" xfId="26698" xr:uid="{00000000-0005-0000-0000-000013400000}"/>
    <cellStyle name="Normal 29 6 2 3" xfId="13066" xr:uid="{00000000-0005-0000-0000-000014400000}"/>
    <cellStyle name="Normal 29 6 2 3 2" xfId="31248" xr:uid="{00000000-0005-0000-0000-000015400000}"/>
    <cellStyle name="Normal 29 6 2 4" xfId="22158" xr:uid="{00000000-0005-0000-0000-000016400000}"/>
    <cellStyle name="Normal 29 6 3" xfId="5593" xr:uid="{00000000-0005-0000-0000-000017400000}"/>
    <cellStyle name="Normal 29 6 3 2" xfId="14693" xr:uid="{00000000-0005-0000-0000-000018400000}"/>
    <cellStyle name="Normal 29 6 3 2 2" xfId="32875" xr:uid="{00000000-0005-0000-0000-000019400000}"/>
    <cellStyle name="Normal 29 6 3 3" xfId="23785" xr:uid="{00000000-0005-0000-0000-00001A400000}"/>
    <cellStyle name="Normal 29 6 4" xfId="10159" xr:uid="{00000000-0005-0000-0000-00001B400000}"/>
    <cellStyle name="Normal 29 6 4 2" xfId="28341" xr:uid="{00000000-0005-0000-0000-00001C400000}"/>
    <cellStyle name="Normal 29 6 5" xfId="19250" xr:uid="{00000000-0005-0000-0000-00001D400000}"/>
    <cellStyle name="Normal 29 7" xfId="2401" xr:uid="{00000000-0005-0000-0000-00001E400000}"/>
    <cellStyle name="Normal 29 7 2" xfId="6987" xr:uid="{00000000-0005-0000-0000-00001F400000}"/>
    <cellStyle name="Normal 29 7 2 2" xfId="16087" xr:uid="{00000000-0005-0000-0000-000020400000}"/>
    <cellStyle name="Normal 29 7 2 2 2" xfId="34269" xr:uid="{00000000-0005-0000-0000-000021400000}"/>
    <cellStyle name="Normal 29 7 2 3" xfId="25179" xr:uid="{00000000-0005-0000-0000-000022400000}"/>
    <cellStyle name="Normal 29 7 3" xfId="11551" xr:uid="{00000000-0005-0000-0000-000023400000}"/>
    <cellStyle name="Normal 29 7 3 2" xfId="29733" xr:uid="{00000000-0005-0000-0000-000024400000}"/>
    <cellStyle name="Normal 29 7 4" xfId="20643" xr:uid="{00000000-0005-0000-0000-000025400000}"/>
    <cellStyle name="Normal 29 8" xfId="3239" xr:uid="{00000000-0005-0000-0000-000026400000}"/>
    <cellStyle name="Normal 29 8 2" xfId="7799" xr:uid="{00000000-0005-0000-0000-000027400000}"/>
    <cellStyle name="Normal 29 8 2 2" xfId="16895" xr:uid="{00000000-0005-0000-0000-000028400000}"/>
    <cellStyle name="Normal 29 8 2 2 2" xfId="35077" xr:uid="{00000000-0005-0000-0000-000029400000}"/>
    <cellStyle name="Normal 29 8 2 3" xfId="25987" xr:uid="{00000000-0005-0000-0000-00002A400000}"/>
    <cellStyle name="Normal 29 8 3" xfId="12355" xr:uid="{00000000-0005-0000-0000-00002B400000}"/>
    <cellStyle name="Normal 29 8 3 2" xfId="30537" xr:uid="{00000000-0005-0000-0000-00002C400000}"/>
    <cellStyle name="Normal 29 8 4" xfId="21447" xr:uid="{00000000-0005-0000-0000-00002D400000}"/>
    <cellStyle name="Normal 29 9" xfId="4886" xr:uid="{00000000-0005-0000-0000-00002E400000}"/>
    <cellStyle name="Normal 29 9 2" xfId="13986" xr:uid="{00000000-0005-0000-0000-00002F400000}"/>
    <cellStyle name="Normal 29 9 2 2" xfId="32168" xr:uid="{00000000-0005-0000-0000-000030400000}"/>
    <cellStyle name="Normal 29 9 3" xfId="23078" xr:uid="{00000000-0005-0000-0000-000031400000}"/>
    <cellStyle name="Normal 3" xfId="7" xr:uid="{00000000-0005-0000-0000-000032400000}"/>
    <cellStyle name="Normal 3 10" xfId="952" xr:uid="{00000000-0005-0000-0000-000033400000}"/>
    <cellStyle name="Normal 3 10 2" xfId="953" xr:uid="{00000000-0005-0000-0000-000034400000}"/>
    <cellStyle name="Normal 3 10 2 2" xfId="954" xr:uid="{00000000-0005-0000-0000-000035400000}"/>
    <cellStyle name="Normal 3 10 2 2 2" xfId="2402" xr:uid="{00000000-0005-0000-0000-000036400000}"/>
    <cellStyle name="Normal 3 10 2 2 2 2" xfId="6988" xr:uid="{00000000-0005-0000-0000-000037400000}"/>
    <cellStyle name="Normal 3 10 2 2 2 2 2" xfId="16088" xr:uid="{00000000-0005-0000-0000-000038400000}"/>
    <cellStyle name="Normal 3 10 2 2 2 2 2 2" xfId="34270" xr:uid="{00000000-0005-0000-0000-000039400000}"/>
    <cellStyle name="Normal 3 10 2 2 2 2 3" xfId="25180" xr:uid="{00000000-0005-0000-0000-00003A400000}"/>
    <cellStyle name="Normal 3 10 2 2 2 3" xfId="11552" xr:uid="{00000000-0005-0000-0000-00003B400000}"/>
    <cellStyle name="Normal 3 10 2 2 2 3 2" xfId="29734" xr:uid="{00000000-0005-0000-0000-00003C400000}"/>
    <cellStyle name="Normal 3 10 2 2 2 4" xfId="20644" xr:uid="{00000000-0005-0000-0000-00003D400000}"/>
    <cellStyle name="Normal 3 10 2 2 3" xfId="3957" xr:uid="{00000000-0005-0000-0000-00003E400000}"/>
    <cellStyle name="Normal 3 10 2 2 3 2" xfId="8513" xr:uid="{00000000-0005-0000-0000-00003F400000}"/>
    <cellStyle name="Normal 3 10 2 2 3 2 2" xfId="17609" xr:uid="{00000000-0005-0000-0000-000040400000}"/>
    <cellStyle name="Normal 3 10 2 2 3 2 2 2" xfId="35791" xr:uid="{00000000-0005-0000-0000-000041400000}"/>
    <cellStyle name="Normal 3 10 2 2 3 2 3" xfId="26701" xr:uid="{00000000-0005-0000-0000-000042400000}"/>
    <cellStyle name="Normal 3 10 2 2 3 3" xfId="13069" xr:uid="{00000000-0005-0000-0000-000043400000}"/>
    <cellStyle name="Normal 3 10 2 2 3 3 2" xfId="31251" xr:uid="{00000000-0005-0000-0000-000044400000}"/>
    <cellStyle name="Normal 3 10 2 2 3 4" xfId="22161" xr:uid="{00000000-0005-0000-0000-000045400000}"/>
    <cellStyle name="Normal 3 10 2 2 4" xfId="5596" xr:uid="{00000000-0005-0000-0000-000046400000}"/>
    <cellStyle name="Normal 3 10 2 2 4 2" xfId="14696" xr:uid="{00000000-0005-0000-0000-000047400000}"/>
    <cellStyle name="Normal 3 10 2 2 4 2 2" xfId="32878" xr:uid="{00000000-0005-0000-0000-000048400000}"/>
    <cellStyle name="Normal 3 10 2 2 4 3" xfId="23788" xr:uid="{00000000-0005-0000-0000-000049400000}"/>
    <cellStyle name="Normal 3 10 2 2 5" xfId="10162" xr:uid="{00000000-0005-0000-0000-00004A400000}"/>
    <cellStyle name="Normal 3 10 2 2 5 2" xfId="28344" xr:uid="{00000000-0005-0000-0000-00004B400000}"/>
    <cellStyle name="Normal 3 10 2 2 6" xfId="19253" xr:uid="{00000000-0005-0000-0000-00004C400000}"/>
    <cellStyle name="Normal 3 10 2 3" xfId="2403" xr:uid="{00000000-0005-0000-0000-00004D400000}"/>
    <cellStyle name="Normal 3 10 2 3 2" xfId="6989" xr:uid="{00000000-0005-0000-0000-00004E400000}"/>
    <cellStyle name="Normal 3 10 2 3 2 2" xfId="16089" xr:uid="{00000000-0005-0000-0000-00004F400000}"/>
    <cellStyle name="Normal 3 10 2 3 2 2 2" xfId="34271" xr:uid="{00000000-0005-0000-0000-000050400000}"/>
    <cellStyle name="Normal 3 10 2 3 2 3" xfId="25181" xr:uid="{00000000-0005-0000-0000-000051400000}"/>
    <cellStyle name="Normal 3 10 2 3 3" xfId="11553" xr:uid="{00000000-0005-0000-0000-000052400000}"/>
    <cellStyle name="Normal 3 10 2 3 3 2" xfId="29735" xr:uid="{00000000-0005-0000-0000-000053400000}"/>
    <cellStyle name="Normal 3 10 2 3 4" xfId="20645" xr:uid="{00000000-0005-0000-0000-000054400000}"/>
    <cellStyle name="Normal 3 10 2 4" xfId="3956" xr:uid="{00000000-0005-0000-0000-000055400000}"/>
    <cellStyle name="Normal 3 10 2 4 2" xfId="8512" xr:uid="{00000000-0005-0000-0000-000056400000}"/>
    <cellStyle name="Normal 3 10 2 4 2 2" xfId="17608" xr:uid="{00000000-0005-0000-0000-000057400000}"/>
    <cellStyle name="Normal 3 10 2 4 2 2 2" xfId="35790" xr:uid="{00000000-0005-0000-0000-000058400000}"/>
    <cellStyle name="Normal 3 10 2 4 2 3" xfId="26700" xr:uid="{00000000-0005-0000-0000-000059400000}"/>
    <cellStyle name="Normal 3 10 2 4 3" xfId="13068" xr:uid="{00000000-0005-0000-0000-00005A400000}"/>
    <cellStyle name="Normal 3 10 2 4 3 2" xfId="31250" xr:uid="{00000000-0005-0000-0000-00005B400000}"/>
    <cellStyle name="Normal 3 10 2 4 4" xfId="22160" xr:uid="{00000000-0005-0000-0000-00005C400000}"/>
    <cellStyle name="Normal 3 10 2 5" xfId="5595" xr:uid="{00000000-0005-0000-0000-00005D400000}"/>
    <cellStyle name="Normal 3 10 2 5 2" xfId="14695" xr:uid="{00000000-0005-0000-0000-00005E400000}"/>
    <cellStyle name="Normal 3 10 2 5 2 2" xfId="32877" xr:uid="{00000000-0005-0000-0000-00005F400000}"/>
    <cellStyle name="Normal 3 10 2 5 3" xfId="23787" xr:uid="{00000000-0005-0000-0000-000060400000}"/>
    <cellStyle name="Normal 3 10 2 6" xfId="10161" xr:uid="{00000000-0005-0000-0000-000061400000}"/>
    <cellStyle name="Normal 3 10 2 6 2" xfId="28343" xr:uid="{00000000-0005-0000-0000-000062400000}"/>
    <cellStyle name="Normal 3 10 2 7" xfId="19252" xr:uid="{00000000-0005-0000-0000-000063400000}"/>
    <cellStyle name="Normal 3 10 3" xfId="955" xr:uid="{00000000-0005-0000-0000-000064400000}"/>
    <cellStyle name="Normal 3 10 3 2" xfId="2404" xr:uid="{00000000-0005-0000-0000-000065400000}"/>
    <cellStyle name="Normal 3 10 3 2 2" xfId="6990" xr:uid="{00000000-0005-0000-0000-000066400000}"/>
    <cellStyle name="Normal 3 10 3 2 2 2" xfId="16090" xr:uid="{00000000-0005-0000-0000-000067400000}"/>
    <cellStyle name="Normal 3 10 3 2 2 2 2" xfId="34272" xr:uid="{00000000-0005-0000-0000-000068400000}"/>
    <cellStyle name="Normal 3 10 3 2 2 3" xfId="25182" xr:uid="{00000000-0005-0000-0000-000069400000}"/>
    <cellStyle name="Normal 3 10 3 2 3" xfId="11554" xr:uid="{00000000-0005-0000-0000-00006A400000}"/>
    <cellStyle name="Normal 3 10 3 2 3 2" xfId="29736" xr:uid="{00000000-0005-0000-0000-00006B400000}"/>
    <cellStyle name="Normal 3 10 3 2 4" xfId="20646" xr:uid="{00000000-0005-0000-0000-00006C400000}"/>
    <cellStyle name="Normal 3 10 3 3" xfId="3958" xr:uid="{00000000-0005-0000-0000-00006D400000}"/>
    <cellStyle name="Normal 3 10 3 3 2" xfId="8514" xr:uid="{00000000-0005-0000-0000-00006E400000}"/>
    <cellStyle name="Normal 3 10 3 3 2 2" xfId="17610" xr:uid="{00000000-0005-0000-0000-00006F400000}"/>
    <cellStyle name="Normal 3 10 3 3 2 2 2" xfId="35792" xr:uid="{00000000-0005-0000-0000-000070400000}"/>
    <cellStyle name="Normal 3 10 3 3 2 3" xfId="26702" xr:uid="{00000000-0005-0000-0000-000071400000}"/>
    <cellStyle name="Normal 3 10 3 3 3" xfId="13070" xr:uid="{00000000-0005-0000-0000-000072400000}"/>
    <cellStyle name="Normal 3 10 3 3 3 2" xfId="31252" xr:uid="{00000000-0005-0000-0000-000073400000}"/>
    <cellStyle name="Normal 3 10 3 3 4" xfId="22162" xr:uid="{00000000-0005-0000-0000-000074400000}"/>
    <cellStyle name="Normal 3 10 3 4" xfId="5597" xr:uid="{00000000-0005-0000-0000-000075400000}"/>
    <cellStyle name="Normal 3 10 3 4 2" xfId="14697" xr:uid="{00000000-0005-0000-0000-000076400000}"/>
    <cellStyle name="Normal 3 10 3 4 2 2" xfId="32879" xr:uid="{00000000-0005-0000-0000-000077400000}"/>
    <cellStyle name="Normal 3 10 3 4 3" xfId="23789" xr:uid="{00000000-0005-0000-0000-000078400000}"/>
    <cellStyle name="Normal 3 10 3 5" xfId="10163" xr:uid="{00000000-0005-0000-0000-000079400000}"/>
    <cellStyle name="Normal 3 10 3 5 2" xfId="28345" xr:uid="{00000000-0005-0000-0000-00007A400000}"/>
    <cellStyle name="Normal 3 10 3 6" xfId="19254" xr:uid="{00000000-0005-0000-0000-00007B400000}"/>
    <cellStyle name="Normal 3 10 4" xfId="2405" xr:uid="{00000000-0005-0000-0000-00007C400000}"/>
    <cellStyle name="Normal 3 10 4 2" xfId="6991" xr:uid="{00000000-0005-0000-0000-00007D400000}"/>
    <cellStyle name="Normal 3 10 4 2 2" xfId="16091" xr:uid="{00000000-0005-0000-0000-00007E400000}"/>
    <cellStyle name="Normal 3 10 4 2 2 2" xfId="34273" xr:uid="{00000000-0005-0000-0000-00007F400000}"/>
    <cellStyle name="Normal 3 10 4 2 3" xfId="25183" xr:uid="{00000000-0005-0000-0000-000080400000}"/>
    <cellStyle name="Normal 3 10 4 3" xfId="11555" xr:uid="{00000000-0005-0000-0000-000081400000}"/>
    <cellStyle name="Normal 3 10 4 3 2" xfId="29737" xr:uid="{00000000-0005-0000-0000-000082400000}"/>
    <cellStyle name="Normal 3 10 4 4" xfId="20647" xr:uid="{00000000-0005-0000-0000-000083400000}"/>
    <cellStyle name="Normal 3 10 5" xfId="2406" xr:uid="{00000000-0005-0000-0000-000084400000}"/>
    <cellStyle name="Normal 3 10 5 2" xfId="6992" xr:uid="{00000000-0005-0000-0000-000085400000}"/>
    <cellStyle name="Normal 3 10 5 2 2" xfId="16092" xr:uid="{00000000-0005-0000-0000-000086400000}"/>
    <cellStyle name="Normal 3 10 5 2 2 2" xfId="34274" xr:uid="{00000000-0005-0000-0000-000087400000}"/>
    <cellStyle name="Normal 3 10 5 2 3" xfId="25184" xr:uid="{00000000-0005-0000-0000-000088400000}"/>
    <cellStyle name="Normal 3 10 5 3" xfId="11556" xr:uid="{00000000-0005-0000-0000-000089400000}"/>
    <cellStyle name="Normal 3 10 5 3 2" xfId="29738" xr:uid="{00000000-0005-0000-0000-00008A400000}"/>
    <cellStyle name="Normal 3 10 5 4" xfId="20648" xr:uid="{00000000-0005-0000-0000-00008B400000}"/>
    <cellStyle name="Normal 3 10 6" xfId="3955" xr:uid="{00000000-0005-0000-0000-00008C400000}"/>
    <cellStyle name="Normal 3 10 6 2" xfId="8511" xr:uid="{00000000-0005-0000-0000-00008D400000}"/>
    <cellStyle name="Normal 3 10 6 2 2" xfId="17607" xr:uid="{00000000-0005-0000-0000-00008E400000}"/>
    <cellStyle name="Normal 3 10 6 2 2 2" xfId="35789" xr:uid="{00000000-0005-0000-0000-00008F400000}"/>
    <cellStyle name="Normal 3 10 6 2 3" xfId="26699" xr:uid="{00000000-0005-0000-0000-000090400000}"/>
    <cellStyle name="Normal 3 10 6 3" xfId="13067" xr:uid="{00000000-0005-0000-0000-000091400000}"/>
    <cellStyle name="Normal 3 10 6 3 2" xfId="31249" xr:uid="{00000000-0005-0000-0000-000092400000}"/>
    <cellStyle name="Normal 3 10 6 4" xfId="22159" xr:uid="{00000000-0005-0000-0000-000093400000}"/>
    <cellStyle name="Normal 3 10 7" xfId="5594" xr:uid="{00000000-0005-0000-0000-000094400000}"/>
    <cellStyle name="Normal 3 10 7 2" xfId="14694" xr:uid="{00000000-0005-0000-0000-000095400000}"/>
    <cellStyle name="Normal 3 10 7 2 2" xfId="32876" xr:uid="{00000000-0005-0000-0000-000096400000}"/>
    <cellStyle name="Normal 3 10 7 3" xfId="23786" xr:uid="{00000000-0005-0000-0000-000097400000}"/>
    <cellStyle name="Normal 3 10 8" xfId="10160" xr:uid="{00000000-0005-0000-0000-000098400000}"/>
    <cellStyle name="Normal 3 10 8 2" xfId="28342" xr:uid="{00000000-0005-0000-0000-000099400000}"/>
    <cellStyle name="Normal 3 10 9" xfId="19251" xr:uid="{00000000-0005-0000-0000-00009A400000}"/>
    <cellStyle name="Normal 3 11" xfId="956" xr:uid="{00000000-0005-0000-0000-00009B400000}"/>
    <cellStyle name="Normal 3 12" xfId="957" xr:uid="{00000000-0005-0000-0000-00009C400000}"/>
    <cellStyle name="Normal 3 12 2" xfId="958" xr:uid="{00000000-0005-0000-0000-00009D400000}"/>
    <cellStyle name="Normal 3 12 2 2" xfId="2407" xr:uid="{00000000-0005-0000-0000-00009E400000}"/>
    <cellStyle name="Normal 3 12 2 2 2" xfId="6993" xr:uid="{00000000-0005-0000-0000-00009F400000}"/>
    <cellStyle name="Normal 3 12 2 2 2 2" xfId="16093" xr:uid="{00000000-0005-0000-0000-0000A0400000}"/>
    <cellStyle name="Normal 3 12 2 2 2 2 2" xfId="34275" xr:uid="{00000000-0005-0000-0000-0000A1400000}"/>
    <cellStyle name="Normal 3 12 2 2 2 3" xfId="25185" xr:uid="{00000000-0005-0000-0000-0000A2400000}"/>
    <cellStyle name="Normal 3 12 2 2 3" xfId="11557" xr:uid="{00000000-0005-0000-0000-0000A3400000}"/>
    <cellStyle name="Normal 3 12 2 2 3 2" xfId="29739" xr:uid="{00000000-0005-0000-0000-0000A4400000}"/>
    <cellStyle name="Normal 3 12 2 2 4" xfId="20649" xr:uid="{00000000-0005-0000-0000-0000A5400000}"/>
    <cellStyle name="Normal 3 12 2 3" xfId="3960" xr:uid="{00000000-0005-0000-0000-0000A6400000}"/>
    <cellStyle name="Normal 3 12 2 3 2" xfId="8516" xr:uid="{00000000-0005-0000-0000-0000A7400000}"/>
    <cellStyle name="Normal 3 12 2 3 2 2" xfId="17612" xr:uid="{00000000-0005-0000-0000-0000A8400000}"/>
    <cellStyle name="Normal 3 12 2 3 2 2 2" xfId="35794" xr:uid="{00000000-0005-0000-0000-0000A9400000}"/>
    <cellStyle name="Normal 3 12 2 3 2 3" xfId="26704" xr:uid="{00000000-0005-0000-0000-0000AA400000}"/>
    <cellStyle name="Normal 3 12 2 3 3" xfId="13072" xr:uid="{00000000-0005-0000-0000-0000AB400000}"/>
    <cellStyle name="Normal 3 12 2 3 3 2" xfId="31254" xr:uid="{00000000-0005-0000-0000-0000AC400000}"/>
    <cellStyle name="Normal 3 12 2 3 4" xfId="22164" xr:uid="{00000000-0005-0000-0000-0000AD400000}"/>
    <cellStyle name="Normal 3 12 2 4" xfId="5599" xr:uid="{00000000-0005-0000-0000-0000AE400000}"/>
    <cellStyle name="Normal 3 12 2 4 2" xfId="14699" xr:uid="{00000000-0005-0000-0000-0000AF400000}"/>
    <cellStyle name="Normal 3 12 2 4 2 2" xfId="32881" xr:uid="{00000000-0005-0000-0000-0000B0400000}"/>
    <cellStyle name="Normal 3 12 2 4 3" xfId="23791" xr:uid="{00000000-0005-0000-0000-0000B1400000}"/>
    <cellStyle name="Normal 3 12 2 5" xfId="10165" xr:uid="{00000000-0005-0000-0000-0000B2400000}"/>
    <cellStyle name="Normal 3 12 2 5 2" xfId="28347" xr:uid="{00000000-0005-0000-0000-0000B3400000}"/>
    <cellStyle name="Normal 3 12 2 6" xfId="19256" xr:uid="{00000000-0005-0000-0000-0000B4400000}"/>
    <cellStyle name="Normal 3 12 3" xfId="2408" xr:uid="{00000000-0005-0000-0000-0000B5400000}"/>
    <cellStyle name="Normal 3 12 3 2" xfId="6994" xr:uid="{00000000-0005-0000-0000-0000B6400000}"/>
    <cellStyle name="Normal 3 12 3 2 2" xfId="16094" xr:uid="{00000000-0005-0000-0000-0000B7400000}"/>
    <cellStyle name="Normal 3 12 3 2 2 2" xfId="34276" xr:uid="{00000000-0005-0000-0000-0000B8400000}"/>
    <cellStyle name="Normal 3 12 3 2 3" xfId="25186" xr:uid="{00000000-0005-0000-0000-0000B9400000}"/>
    <cellStyle name="Normal 3 12 3 3" xfId="11558" xr:uid="{00000000-0005-0000-0000-0000BA400000}"/>
    <cellStyle name="Normal 3 12 3 3 2" xfId="29740" xr:uid="{00000000-0005-0000-0000-0000BB400000}"/>
    <cellStyle name="Normal 3 12 3 4" xfId="20650" xr:uid="{00000000-0005-0000-0000-0000BC400000}"/>
    <cellStyle name="Normal 3 12 4" xfId="3959" xr:uid="{00000000-0005-0000-0000-0000BD400000}"/>
    <cellStyle name="Normal 3 12 4 2" xfId="8515" xr:uid="{00000000-0005-0000-0000-0000BE400000}"/>
    <cellStyle name="Normal 3 12 4 2 2" xfId="17611" xr:uid="{00000000-0005-0000-0000-0000BF400000}"/>
    <cellStyle name="Normal 3 12 4 2 2 2" xfId="35793" xr:uid="{00000000-0005-0000-0000-0000C0400000}"/>
    <cellStyle name="Normal 3 12 4 2 3" xfId="26703" xr:uid="{00000000-0005-0000-0000-0000C1400000}"/>
    <cellStyle name="Normal 3 12 4 3" xfId="13071" xr:uid="{00000000-0005-0000-0000-0000C2400000}"/>
    <cellStyle name="Normal 3 12 4 3 2" xfId="31253" xr:uid="{00000000-0005-0000-0000-0000C3400000}"/>
    <cellStyle name="Normal 3 12 4 4" xfId="22163" xr:uid="{00000000-0005-0000-0000-0000C4400000}"/>
    <cellStyle name="Normal 3 12 5" xfId="5598" xr:uid="{00000000-0005-0000-0000-0000C5400000}"/>
    <cellStyle name="Normal 3 12 5 2" xfId="14698" xr:uid="{00000000-0005-0000-0000-0000C6400000}"/>
    <cellStyle name="Normal 3 12 5 2 2" xfId="32880" xr:uid="{00000000-0005-0000-0000-0000C7400000}"/>
    <cellStyle name="Normal 3 12 5 3" xfId="23790" xr:uid="{00000000-0005-0000-0000-0000C8400000}"/>
    <cellStyle name="Normal 3 12 6" xfId="10164" xr:uid="{00000000-0005-0000-0000-0000C9400000}"/>
    <cellStyle name="Normal 3 12 6 2" xfId="28346" xr:uid="{00000000-0005-0000-0000-0000CA400000}"/>
    <cellStyle name="Normal 3 12 7" xfId="19255" xr:uid="{00000000-0005-0000-0000-0000CB400000}"/>
    <cellStyle name="Normal 3 13" xfId="959" xr:uid="{00000000-0005-0000-0000-0000CC400000}"/>
    <cellStyle name="Normal 3 13 2" xfId="2409" xr:uid="{00000000-0005-0000-0000-0000CD400000}"/>
    <cellStyle name="Normal 3 13 2 2" xfId="6995" xr:uid="{00000000-0005-0000-0000-0000CE400000}"/>
    <cellStyle name="Normal 3 13 2 2 2" xfId="16095" xr:uid="{00000000-0005-0000-0000-0000CF400000}"/>
    <cellStyle name="Normal 3 13 2 2 2 2" xfId="34277" xr:uid="{00000000-0005-0000-0000-0000D0400000}"/>
    <cellStyle name="Normal 3 13 2 2 3" xfId="25187" xr:uid="{00000000-0005-0000-0000-0000D1400000}"/>
    <cellStyle name="Normal 3 13 2 3" xfId="11559" xr:uid="{00000000-0005-0000-0000-0000D2400000}"/>
    <cellStyle name="Normal 3 13 2 3 2" xfId="29741" xr:uid="{00000000-0005-0000-0000-0000D3400000}"/>
    <cellStyle name="Normal 3 13 2 4" xfId="20651" xr:uid="{00000000-0005-0000-0000-0000D4400000}"/>
    <cellStyle name="Normal 3 13 3" xfId="3961" xr:uid="{00000000-0005-0000-0000-0000D5400000}"/>
    <cellStyle name="Normal 3 13 3 2" xfId="8517" xr:uid="{00000000-0005-0000-0000-0000D6400000}"/>
    <cellStyle name="Normal 3 13 3 2 2" xfId="17613" xr:uid="{00000000-0005-0000-0000-0000D7400000}"/>
    <cellStyle name="Normal 3 13 3 2 2 2" xfId="35795" xr:uid="{00000000-0005-0000-0000-0000D8400000}"/>
    <cellStyle name="Normal 3 13 3 2 3" xfId="26705" xr:uid="{00000000-0005-0000-0000-0000D9400000}"/>
    <cellStyle name="Normal 3 13 3 3" xfId="13073" xr:uid="{00000000-0005-0000-0000-0000DA400000}"/>
    <cellStyle name="Normal 3 13 3 3 2" xfId="31255" xr:uid="{00000000-0005-0000-0000-0000DB400000}"/>
    <cellStyle name="Normal 3 13 3 4" xfId="22165" xr:uid="{00000000-0005-0000-0000-0000DC400000}"/>
    <cellStyle name="Normal 3 13 4" xfId="5600" xr:uid="{00000000-0005-0000-0000-0000DD400000}"/>
    <cellStyle name="Normal 3 13 4 2" xfId="14700" xr:uid="{00000000-0005-0000-0000-0000DE400000}"/>
    <cellStyle name="Normal 3 13 4 2 2" xfId="32882" xr:uid="{00000000-0005-0000-0000-0000DF400000}"/>
    <cellStyle name="Normal 3 13 4 3" xfId="23792" xr:uid="{00000000-0005-0000-0000-0000E0400000}"/>
    <cellStyle name="Normal 3 13 5" xfId="10166" xr:uid="{00000000-0005-0000-0000-0000E1400000}"/>
    <cellStyle name="Normal 3 13 5 2" xfId="28348" xr:uid="{00000000-0005-0000-0000-0000E2400000}"/>
    <cellStyle name="Normal 3 13 6" xfId="19257" xr:uid="{00000000-0005-0000-0000-0000E3400000}"/>
    <cellStyle name="Normal 3 14" xfId="960" xr:uid="{00000000-0005-0000-0000-0000E4400000}"/>
    <cellStyle name="Normal 3 14 2" xfId="3962" xr:uid="{00000000-0005-0000-0000-0000E5400000}"/>
    <cellStyle name="Normal 3 14 2 2" xfId="8518" xr:uid="{00000000-0005-0000-0000-0000E6400000}"/>
    <cellStyle name="Normal 3 14 2 2 2" xfId="17614" xr:uid="{00000000-0005-0000-0000-0000E7400000}"/>
    <cellStyle name="Normal 3 14 2 2 2 2" xfId="35796" xr:uid="{00000000-0005-0000-0000-0000E8400000}"/>
    <cellStyle name="Normal 3 14 2 2 3" xfId="26706" xr:uid="{00000000-0005-0000-0000-0000E9400000}"/>
    <cellStyle name="Normal 3 14 2 3" xfId="13074" xr:uid="{00000000-0005-0000-0000-0000EA400000}"/>
    <cellStyle name="Normal 3 14 2 3 2" xfId="31256" xr:uid="{00000000-0005-0000-0000-0000EB400000}"/>
    <cellStyle name="Normal 3 14 2 4" xfId="22166" xr:uid="{00000000-0005-0000-0000-0000EC400000}"/>
    <cellStyle name="Normal 3 14 3" xfId="5601" xr:uid="{00000000-0005-0000-0000-0000ED400000}"/>
    <cellStyle name="Normal 3 14 3 2" xfId="14701" xr:uid="{00000000-0005-0000-0000-0000EE400000}"/>
    <cellStyle name="Normal 3 14 3 2 2" xfId="32883" xr:uid="{00000000-0005-0000-0000-0000EF400000}"/>
    <cellStyle name="Normal 3 14 3 3" xfId="23793" xr:uid="{00000000-0005-0000-0000-0000F0400000}"/>
    <cellStyle name="Normal 3 14 4" xfId="10167" xr:uid="{00000000-0005-0000-0000-0000F1400000}"/>
    <cellStyle name="Normal 3 14 4 2" xfId="28349" xr:uid="{00000000-0005-0000-0000-0000F2400000}"/>
    <cellStyle name="Normal 3 14 5" xfId="19258" xr:uid="{00000000-0005-0000-0000-0000F3400000}"/>
    <cellStyle name="Normal 3 15" xfId="2410" xr:uid="{00000000-0005-0000-0000-0000F4400000}"/>
    <cellStyle name="Normal 3 15 2" xfId="6996" xr:uid="{00000000-0005-0000-0000-0000F5400000}"/>
    <cellStyle name="Normal 3 15 2 2" xfId="16096" xr:uid="{00000000-0005-0000-0000-0000F6400000}"/>
    <cellStyle name="Normal 3 15 2 2 2" xfId="34278" xr:uid="{00000000-0005-0000-0000-0000F7400000}"/>
    <cellStyle name="Normal 3 15 2 3" xfId="25188" xr:uid="{00000000-0005-0000-0000-0000F8400000}"/>
    <cellStyle name="Normal 3 15 3" xfId="11560" xr:uid="{00000000-0005-0000-0000-0000F9400000}"/>
    <cellStyle name="Normal 3 15 3 2" xfId="29742" xr:uid="{00000000-0005-0000-0000-0000FA400000}"/>
    <cellStyle name="Normal 3 15 4" xfId="20652" xr:uid="{00000000-0005-0000-0000-0000FB400000}"/>
    <cellStyle name="Normal 3 16" xfId="3157" xr:uid="{00000000-0005-0000-0000-0000FC400000}"/>
    <cellStyle name="Normal 3 16 2" xfId="7717" xr:uid="{00000000-0005-0000-0000-0000FD400000}"/>
    <cellStyle name="Normal 3 16 2 2" xfId="16813" xr:uid="{00000000-0005-0000-0000-0000FE400000}"/>
    <cellStyle name="Normal 3 16 2 2 2" xfId="34995" xr:uid="{00000000-0005-0000-0000-0000FF400000}"/>
    <cellStyle name="Normal 3 16 2 3" xfId="25905" xr:uid="{00000000-0005-0000-0000-000000410000}"/>
    <cellStyle name="Normal 3 16 3" xfId="12273" xr:uid="{00000000-0005-0000-0000-000001410000}"/>
    <cellStyle name="Normal 3 16 3 2" xfId="30455" xr:uid="{00000000-0005-0000-0000-000002410000}"/>
    <cellStyle name="Normal 3 16 4" xfId="21365" xr:uid="{00000000-0005-0000-0000-000003410000}"/>
    <cellStyle name="Normal 3 17" xfId="4812" xr:uid="{00000000-0005-0000-0000-000004410000}"/>
    <cellStyle name="Normal 3 17 2" xfId="13912" xr:uid="{00000000-0005-0000-0000-000005410000}"/>
    <cellStyle name="Normal 3 17 2 2" xfId="32094" xr:uid="{00000000-0005-0000-0000-000006410000}"/>
    <cellStyle name="Normal 3 17 3" xfId="23004" xr:uid="{00000000-0005-0000-0000-000007410000}"/>
    <cellStyle name="Normal 3 18" xfId="9378" xr:uid="{00000000-0005-0000-0000-000008410000}"/>
    <cellStyle name="Normal 3 18 2" xfId="27560" xr:uid="{00000000-0005-0000-0000-000009410000}"/>
    <cellStyle name="Normal 3 19" xfId="18469" xr:uid="{00000000-0005-0000-0000-00000A410000}"/>
    <cellStyle name="Normal 3 2" xfId="8" xr:uid="{00000000-0005-0000-0000-00000B410000}"/>
    <cellStyle name="Normal 3 2 10" xfId="3158" xr:uid="{00000000-0005-0000-0000-00000C410000}"/>
    <cellStyle name="Normal 3 2 10 2" xfId="7718" xr:uid="{00000000-0005-0000-0000-00000D410000}"/>
    <cellStyle name="Normal 3 2 10 2 2" xfId="16814" xr:uid="{00000000-0005-0000-0000-00000E410000}"/>
    <cellStyle name="Normal 3 2 10 2 2 2" xfId="34996" xr:uid="{00000000-0005-0000-0000-00000F410000}"/>
    <cellStyle name="Normal 3 2 10 2 3" xfId="25906" xr:uid="{00000000-0005-0000-0000-000010410000}"/>
    <cellStyle name="Normal 3 2 10 3" xfId="12274" xr:uid="{00000000-0005-0000-0000-000011410000}"/>
    <cellStyle name="Normal 3 2 10 3 2" xfId="30456" xr:uid="{00000000-0005-0000-0000-000012410000}"/>
    <cellStyle name="Normal 3 2 10 4" xfId="21366" xr:uid="{00000000-0005-0000-0000-000013410000}"/>
    <cellStyle name="Normal 3 2 11" xfId="4813" xr:uid="{00000000-0005-0000-0000-000014410000}"/>
    <cellStyle name="Normal 3 2 11 2" xfId="13913" xr:uid="{00000000-0005-0000-0000-000015410000}"/>
    <cellStyle name="Normal 3 2 11 2 2" xfId="32095" xr:uid="{00000000-0005-0000-0000-000016410000}"/>
    <cellStyle name="Normal 3 2 11 3" xfId="23005" xr:uid="{00000000-0005-0000-0000-000017410000}"/>
    <cellStyle name="Normal 3 2 12" xfId="9379" xr:uid="{00000000-0005-0000-0000-000018410000}"/>
    <cellStyle name="Normal 3 2 12 2" xfId="27561" xr:uid="{00000000-0005-0000-0000-000019410000}"/>
    <cellStyle name="Normal 3 2 13" xfId="18470" xr:uid="{00000000-0005-0000-0000-00001A410000}"/>
    <cellStyle name="Normal 3 2 2" xfId="9" xr:uid="{00000000-0005-0000-0000-00001B410000}"/>
    <cellStyle name="Normal 3 2 2 10" xfId="4814" xr:uid="{00000000-0005-0000-0000-00001C410000}"/>
    <cellStyle name="Normal 3 2 2 10 2" xfId="13914" xr:uid="{00000000-0005-0000-0000-00001D410000}"/>
    <cellStyle name="Normal 3 2 2 10 2 2" xfId="32096" xr:uid="{00000000-0005-0000-0000-00001E410000}"/>
    <cellStyle name="Normal 3 2 2 10 3" xfId="23006" xr:uid="{00000000-0005-0000-0000-00001F410000}"/>
    <cellStyle name="Normal 3 2 2 11" xfId="9380" xr:uid="{00000000-0005-0000-0000-000020410000}"/>
    <cellStyle name="Normal 3 2 2 11 2" xfId="27562" xr:uid="{00000000-0005-0000-0000-000021410000}"/>
    <cellStyle name="Normal 3 2 2 12" xfId="18471" xr:uid="{00000000-0005-0000-0000-000022410000}"/>
    <cellStyle name="Normal 3 2 2 2" xfId="79" xr:uid="{00000000-0005-0000-0000-000023410000}"/>
    <cellStyle name="Normal 3 2 2 2 10" xfId="9408" xr:uid="{00000000-0005-0000-0000-000024410000}"/>
    <cellStyle name="Normal 3 2 2 2 10 2" xfId="27590" xr:uid="{00000000-0005-0000-0000-000025410000}"/>
    <cellStyle name="Normal 3 2 2 2 11" xfId="18499" xr:uid="{00000000-0005-0000-0000-000026410000}"/>
    <cellStyle name="Normal 3 2 2 2 2" xfId="961" xr:uid="{00000000-0005-0000-0000-000027410000}"/>
    <cellStyle name="Normal 3 2 2 2 2 10" xfId="19259" xr:uid="{00000000-0005-0000-0000-000028410000}"/>
    <cellStyle name="Normal 3 2 2 2 2 2" xfId="962" xr:uid="{00000000-0005-0000-0000-000029410000}"/>
    <cellStyle name="Normal 3 2 2 2 2 2 2" xfId="963" xr:uid="{00000000-0005-0000-0000-00002A410000}"/>
    <cellStyle name="Normal 3 2 2 2 2 2 2 2" xfId="964" xr:uid="{00000000-0005-0000-0000-00002B410000}"/>
    <cellStyle name="Normal 3 2 2 2 2 2 2 2 2" xfId="2411" xr:uid="{00000000-0005-0000-0000-00002C410000}"/>
    <cellStyle name="Normal 3 2 2 2 2 2 2 2 2 2" xfId="6997" xr:uid="{00000000-0005-0000-0000-00002D410000}"/>
    <cellStyle name="Normal 3 2 2 2 2 2 2 2 2 2 2" xfId="16097" xr:uid="{00000000-0005-0000-0000-00002E410000}"/>
    <cellStyle name="Normal 3 2 2 2 2 2 2 2 2 2 2 2" xfId="34279" xr:uid="{00000000-0005-0000-0000-00002F410000}"/>
    <cellStyle name="Normal 3 2 2 2 2 2 2 2 2 2 3" xfId="25189" xr:uid="{00000000-0005-0000-0000-000030410000}"/>
    <cellStyle name="Normal 3 2 2 2 2 2 2 2 2 3" xfId="11561" xr:uid="{00000000-0005-0000-0000-000031410000}"/>
    <cellStyle name="Normal 3 2 2 2 2 2 2 2 2 3 2" xfId="29743" xr:uid="{00000000-0005-0000-0000-000032410000}"/>
    <cellStyle name="Normal 3 2 2 2 2 2 2 2 2 4" xfId="20653" xr:uid="{00000000-0005-0000-0000-000033410000}"/>
    <cellStyle name="Normal 3 2 2 2 2 2 2 2 3" xfId="3966" xr:uid="{00000000-0005-0000-0000-000034410000}"/>
    <cellStyle name="Normal 3 2 2 2 2 2 2 2 3 2" xfId="8522" xr:uid="{00000000-0005-0000-0000-000035410000}"/>
    <cellStyle name="Normal 3 2 2 2 2 2 2 2 3 2 2" xfId="17618" xr:uid="{00000000-0005-0000-0000-000036410000}"/>
    <cellStyle name="Normal 3 2 2 2 2 2 2 2 3 2 2 2" xfId="35800" xr:uid="{00000000-0005-0000-0000-000037410000}"/>
    <cellStyle name="Normal 3 2 2 2 2 2 2 2 3 2 3" xfId="26710" xr:uid="{00000000-0005-0000-0000-000038410000}"/>
    <cellStyle name="Normal 3 2 2 2 2 2 2 2 3 3" xfId="13078" xr:uid="{00000000-0005-0000-0000-000039410000}"/>
    <cellStyle name="Normal 3 2 2 2 2 2 2 2 3 3 2" xfId="31260" xr:uid="{00000000-0005-0000-0000-00003A410000}"/>
    <cellStyle name="Normal 3 2 2 2 2 2 2 2 3 4" xfId="22170" xr:uid="{00000000-0005-0000-0000-00003B410000}"/>
    <cellStyle name="Normal 3 2 2 2 2 2 2 2 4" xfId="5605" xr:uid="{00000000-0005-0000-0000-00003C410000}"/>
    <cellStyle name="Normal 3 2 2 2 2 2 2 2 4 2" xfId="14705" xr:uid="{00000000-0005-0000-0000-00003D410000}"/>
    <cellStyle name="Normal 3 2 2 2 2 2 2 2 4 2 2" xfId="32887" xr:uid="{00000000-0005-0000-0000-00003E410000}"/>
    <cellStyle name="Normal 3 2 2 2 2 2 2 2 4 3" xfId="23797" xr:uid="{00000000-0005-0000-0000-00003F410000}"/>
    <cellStyle name="Normal 3 2 2 2 2 2 2 2 5" xfId="10171" xr:uid="{00000000-0005-0000-0000-000040410000}"/>
    <cellStyle name="Normal 3 2 2 2 2 2 2 2 5 2" xfId="28353" xr:uid="{00000000-0005-0000-0000-000041410000}"/>
    <cellStyle name="Normal 3 2 2 2 2 2 2 2 6" xfId="19262" xr:uid="{00000000-0005-0000-0000-000042410000}"/>
    <cellStyle name="Normal 3 2 2 2 2 2 2 3" xfId="2412" xr:uid="{00000000-0005-0000-0000-000043410000}"/>
    <cellStyle name="Normal 3 2 2 2 2 2 2 3 2" xfId="6998" xr:uid="{00000000-0005-0000-0000-000044410000}"/>
    <cellStyle name="Normal 3 2 2 2 2 2 2 3 2 2" xfId="16098" xr:uid="{00000000-0005-0000-0000-000045410000}"/>
    <cellStyle name="Normal 3 2 2 2 2 2 2 3 2 2 2" xfId="34280" xr:uid="{00000000-0005-0000-0000-000046410000}"/>
    <cellStyle name="Normal 3 2 2 2 2 2 2 3 2 3" xfId="25190" xr:uid="{00000000-0005-0000-0000-000047410000}"/>
    <cellStyle name="Normal 3 2 2 2 2 2 2 3 3" xfId="11562" xr:uid="{00000000-0005-0000-0000-000048410000}"/>
    <cellStyle name="Normal 3 2 2 2 2 2 2 3 3 2" xfId="29744" xr:uid="{00000000-0005-0000-0000-000049410000}"/>
    <cellStyle name="Normal 3 2 2 2 2 2 2 3 4" xfId="20654" xr:uid="{00000000-0005-0000-0000-00004A410000}"/>
    <cellStyle name="Normal 3 2 2 2 2 2 2 4" xfId="3965" xr:uid="{00000000-0005-0000-0000-00004B410000}"/>
    <cellStyle name="Normal 3 2 2 2 2 2 2 4 2" xfId="8521" xr:uid="{00000000-0005-0000-0000-00004C410000}"/>
    <cellStyle name="Normal 3 2 2 2 2 2 2 4 2 2" xfId="17617" xr:uid="{00000000-0005-0000-0000-00004D410000}"/>
    <cellStyle name="Normal 3 2 2 2 2 2 2 4 2 2 2" xfId="35799" xr:uid="{00000000-0005-0000-0000-00004E410000}"/>
    <cellStyle name="Normal 3 2 2 2 2 2 2 4 2 3" xfId="26709" xr:uid="{00000000-0005-0000-0000-00004F410000}"/>
    <cellStyle name="Normal 3 2 2 2 2 2 2 4 3" xfId="13077" xr:uid="{00000000-0005-0000-0000-000050410000}"/>
    <cellStyle name="Normal 3 2 2 2 2 2 2 4 3 2" xfId="31259" xr:uid="{00000000-0005-0000-0000-000051410000}"/>
    <cellStyle name="Normal 3 2 2 2 2 2 2 4 4" xfId="22169" xr:uid="{00000000-0005-0000-0000-000052410000}"/>
    <cellStyle name="Normal 3 2 2 2 2 2 2 5" xfId="5604" xr:uid="{00000000-0005-0000-0000-000053410000}"/>
    <cellStyle name="Normal 3 2 2 2 2 2 2 5 2" xfId="14704" xr:uid="{00000000-0005-0000-0000-000054410000}"/>
    <cellStyle name="Normal 3 2 2 2 2 2 2 5 2 2" xfId="32886" xr:uid="{00000000-0005-0000-0000-000055410000}"/>
    <cellStyle name="Normal 3 2 2 2 2 2 2 5 3" xfId="23796" xr:uid="{00000000-0005-0000-0000-000056410000}"/>
    <cellStyle name="Normal 3 2 2 2 2 2 2 6" xfId="10170" xr:uid="{00000000-0005-0000-0000-000057410000}"/>
    <cellStyle name="Normal 3 2 2 2 2 2 2 6 2" xfId="28352" xr:uid="{00000000-0005-0000-0000-000058410000}"/>
    <cellStyle name="Normal 3 2 2 2 2 2 2 7" xfId="19261" xr:uid="{00000000-0005-0000-0000-000059410000}"/>
    <cellStyle name="Normal 3 2 2 2 2 2 3" xfId="965" xr:uid="{00000000-0005-0000-0000-00005A410000}"/>
    <cellStyle name="Normal 3 2 2 2 2 2 3 2" xfId="2413" xr:uid="{00000000-0005-0000-0000-00005B410000}"/>
    <cellStyle name="Normal 3 2 2 2 2 2 3 2 2" xfId="6999" xr:uid="{00000000-0005-0000-0000-00005C410000}"/>
    <cellStyle name="Normal 3 2 2 2 2 2 3 2 2 2" xfId="16099" xr:uid="{00000000-0005-0000-0000-00005D410000}"/>
    <cellStyle name="Normal 3 2 2 2 2 2 3 2 2 2 2" xfId="34281" xr:uid="{00000000-0005-0000-0000-00005E410000}"/>
    <cellStyle name="Normal 3 2 2 2 2 2 3 2 2 3" xfId="25191" xr:uid="{00000000-0005-0000-0000-00005F410000}"/>
    <cellStyle name="Normal 3 2 2 2 2 2 3 2 3" xfId="11563" xr:uid="{00000000-0005-0000-0000-000060410000}"/>
    <cellStyle name="Normal 3 2 2 2 2 2 3 2 3 2" xfId="29745" xr:uid="{00000000-0005-0000-0000-000061410000}"/>
    <cellStyle name="Normal 3 2 2 2 2 2 3 2 4" xfId="20655" xr:uid="{00000000-0005-0000-0000-000062410000}"/>
    <cellStyle name="Normal 3 2 2 2 2 2 3 3" xfId="3967" xr:uid="{00000000-0005-0000-0000-000063410000}"/>
    <cellStyle name="Normal 3 2 2 2 2 2 3 3 2" xfId="8523" xr:uid="{00000000-0005-0000-0000-000064410000}"/>
    <cellStyle name="Normal 3 2 2 2 2 2 3 3 2 2" xfId="17619" xr:uid="{00000000-0005-0000-0000-000065410000}"/>
    <cellStyle name="Normal 3 2 2 2 2 2 3 3 2 2 2" xfId="35801" xr:uid="{00000000-0005-0000-0000-000066410000}"/>
    <cellStyle name="Normal 3 2 2 2 2 2 3 3 2 3" xfId="26711" xr:uid="{00000000-0005-0000-0000-000067410000}"/>
    <cellStyle name="Normal 3 2 2 2 2 2 3 3 3" xfId="13079" xr:uid="{00000000-0005-0000-0000-000068410000}"/>
    <cellStyle name="Normal 3 2 2 2 2 2 3 3 3 2" xfId="31261" xr:uid="{00000000-0005-0000-0000-000069410000}"/>
    <cellStyle name="Normal 3 2 2 2 2 2 3 3 4" xfId="22171" xr:uid="{00000000-0005-0000-0000-00006A410000}"/>
    <cellStyle name="Normal 3 2 2 2 2 2 3 4" xfId="5606" xr:uid="{00000000-0005-0000-0000-00006B410000}"/>
    <cellStyle name="Normal 3 2 2 2 2 2 3 4 2" xfId="14706" xr:uid="{00000000-0005-0000-0000-00006C410000}"/>
    <cellStyle name="Normal 3 2 2 2 2 2 3 4 2 2" xfId="32888" xr:uid="{00000000-0005-0000-0000-00006D410000}"/>
    <cellStyle name="Normal 3 2 2 2 2 2 3 4 3" xfId="23798" xr:uid="{00000000-0005-0000-0000-00006E410000}"/>
    <cellStyle name="Normal 3 2 2 2 2 2 3 5" xfId="10172" xr:uid="{00000000-0005-0000-0000-00006F410000}"/>
    <cellStyle name="Normal 3 2 2 2 2 2 3 5 2" xfId="28354" xr:uid="{00000000-0005-0000-0000-000070410000}"/>
    <cellStyle name="Normal 3 2 2 2 2 2 3 6" xfId="19263" xr:uid="{00000000-0005-0000-0000-000071410000}"/>
    <cellStyle name="Normal 3 2 2 2 2 2 4" xfId="966" xr:uid="{00000000-0005-0000-0000-000072410000}"/>
    <cellStyle name="Normal 3 2 2 2 2 2 4 2" xfId="3968" xr:uid="{00000000-0005-0000-0000-000073410000}"/>
    <cellStyle name="Normal 3 2 2 2 2 2 4 2 2" xfId="8524" xr:uid="{00000000-0005-0000-0000-000074410000}"/>
    <cellStyle name="Normal 3 2 2 2 2 2 4 2 2 2" xfId="17620" xr:uid="{00000000-0005-0000-0000-000075410000}"/>
    <cellStyle name="Normal 3 2 2 2 2 2 4 2 2 2 2" xfId="35802" xr:uid="{00000000-0005-0000-0000-000076410000}"/>
    <cellStyle name="Normal 3 2 2 2 2 2 4 2 2 3" xfId="26712" xr:uid="{00000000-0005-0000-0000-000077410000}"/>
    <cellStyle name="Normal 3 2 2 2 2 2 4 2 3" xfId="13080" xr:uid="{00000000-0005-0000-0000-000078410000}"/>
    <cellStyle name="Normal 3 2 2 2 2 2 4 2 3 2" xfId="31262" xr:uid="{00000000-0005-0000-0000-000079410000}"/>
    <cellStyle name="Normal 3 2 2 2 2 2 4 2 4" xfId="22172" xr:uid="{00000000-0005-0000-0000-00007A410000}"/>
    <cellStyle name="Normal 3 2 2 2 2 2 4 3" xfId="5607" xr:uid="{00000000-0005-0000-0000-00007B410000}"/>
    <cellStyle name="Normal 3 2 2 2 2 2 4 3 2" xfId="14707" xr:uid="{00000000-0005-0000-0000-00007C410000}"/>
    <cellStyle name="Normal 3 2 2 2 2 2 4 3 2 2" xfId="32889" xr:uid="{00000000-0005-0000-0000-00007D410000}"/>
    <cellStyle name="Normal 3 2 2 2 2 2 4 3 3" xfId="23799" xr:uid="{00000000-0005-0000-0000-00007E410000}"/>
    <cellStyle name="Normal 3 2 2 2 2 2 4 4" xfId="10173" xr:uid="{00000000-0005-0000-0000-00007F410000}"/>
    <cellStyle name="Normal 3 2 2 2 2 2 4 4 2" xfId="28355" xr:uid="{00000000-0005-0000-0000-000080410000}"/>
    <cellStyle name="Normal 3 2 2 2 2 2 4 5" xfId="19264" xr:uid="{00000000-0005-0000-0000-000081410000}"/>
    <cellStyle name="Normal 3 2 2 2 2 2 5" xfId="2414" xr:uid="{00000000-0005-0000-0000-000082410000}"/>
    <cellStyle name="Normal 3 2 2 2 2 2 5 2" xfId="7000" xr:uid="{00000000-0005-0000-0000-000083410000}"/>
    <cellStyle name="Normal 3 2 2 2 2 2 5 2 2" xfId="16100" xr:uid="{00000000-0005-0000-0000-000084410000}"/>
    <cellStyle name="Normal 3 2 2 2 2 2 5 2 2 2" xfId="34282" xr:uid="{00000000-0005-0000-0000-000085410000}"/>
    <cellStyle name="Normal 3 2 2 2 2 2 5 2 3" xfId="25192" xr:uid="{00000000-0005-0000-0000-000086410000}"/>
    <cellStyle name="Normal 3 2 2 2 2 2 5 3" xfId="11564" xr:uid="{00000000-0005-0000-0000-000087410000}"/>
    <cellStyle name="Normal 3 2 2 2 2 2 5 3 2" xfId="29746" xr:uid="{00000000-0005-0000-0000-000088410000}"/>
    <cellStyle name="Normal 3 2 2 2 2 2 5 4" xfId="20656" xr:uid="{00000000-0005-0000-0000-000089410000}"/>
    <cellStyle name="Normal 3 2 2 2 2 2 6" xfId="3964" xr:uid="{00000000-0005-0000-0000-00008A410000}"/>
    <cellStyle name="Normal 3 2 2 2 2 2 6 2" xfId="8520" xr:uid="{00000000-0005-0000-0000-00008B410000}"/>
    <cellStyle name="Normal 3 2 2 2 2 2 6 2 2" xfId="17616" xr:uid="{00000000-0005-0000-0000-00008C410000}"/>
    <cellStyle name="Normal 3 2 2 2 2 2 6 2 2 2" xfId="35798" xr:uid="{00000000-0005-0000-0000-00008D410000}"/>
    <cellStyle name="Normal 3 2 2 2 2 2 6 2 3" xfId="26708" xr:uid="{00000000-0005-0000-0000-00008E410000}"/>
    <cellStyle name="Normal 3 2 2 2 2 2 6 3" xfId="13076" xr:uid="{00000000-0005-0000-0000-00008F410000}"/>
    <cellStyle name="Normal 3 2 2 2 2 2 6 3 2" xfId="31258" xr:uid="{00000000-0005-0000-0000-000090410000}"/>
    <cellStyle name="Normal 3 2 2 2 2 2 6 4" xfId="22168" xr:uid="{00000000-0005-0000-0000-000091410000}"/>
    <cellStyle name="Normal 3 2 2 2 2 2 7" xfId="5603" xr:uid="{00000000-0005-0000-0000-000092410000}"/>
    <cellStyle name="Normal 3 2 2 2 2 2 7 2" xfId="14703" xr:uid="{00000000-0005-0000-0000-000093410000}"/>
    <cellStyle name="Normal 3 2 2 2 2 2 7 2 2" xfId="32885" xr:uid="{00000000-0005-0000-0000-000094410000}"/>
    <cellStyle name="Normal 3 2 2 2 2 2 7 3" xfId="23795" xr:uid="{00000000-0005-0000-0000-000095410000}"/>
    <cellStyle name="Normal 3 2 2 2 2 2 8" xfId="10169" xr:uid="{00000000-0005-0000-0000-000096410000}"/>
    <cellStyle name="Normal 3 2 2 2 2 2 8 2" xfId="28351" xr:uid="{00000000-0005-0000-0000-000097410000}"/>
    <cellStyle name="Normal 3 2 2 2 2 2 9" xfId="19260" xr:uid="{00000000-0005-0000-0000-000098410000}"/>
    <cellStyle name="Normal 3 2 2 2 2 3" xfId="967" xr:uid="{00000000-0005-0000-0000-000099410000}"/>
    <cellStyle name="Normal 3 2 2 2 2 3 2" xfId="968" xr:uid="{00000000-0005-0000-0000-00009A410000}"/>
    <cellStyle name="Normal 3 2 2 2 2 3 2 2" xfId="2415" xr:uid="{00000000-0005-0000-0000-00009B410000}"/>
    <cellStyle name="Normal 3 2 2 2 2 3 2 2 2" xfId="7001" xr:uid="{00000000-0005-0000-0000-00009C410000}"/>
    <cellStyle name="Normal 3 2 2 2 2 3 2 2 2 2" xfId="16101" xr:uid="{00000000-0005-0000-0000-00009D410000}"/>
    <cellStyle name="Normal 3 2 2 2 2 3 2 2 2 2 2" xfId="34283" xr:uid="{00000000-0005-0000-0000-00009E410000}"/>
    <cellStyle name="Normal 3 2 2 2 2 3 2 2 2 3" xfId="25193" xr:uid="{00000000-0005-0000-0000-00009F410000}"/>
    <cellStyle name="Normal 3 2 2 2 2 3 2 2 3" xfId="11565" xr:uid="{00000000-0005-0000-0000-0000A0410000}"/>
    <cellStyle name="Normal 3 2 2 2 2 3 2 2 3 2" xfId="29747" xr:uid="{00000000-0005-0000-0000-0000A1410000}"/>
    <cellStyle name="Normal 3 2 2 2 2 3 2 2 4" xfId="20657" xr:uid="{00000000-0005-0000-0000-0000A2410000}"/>
    <cellStyle name="Normal 3 2 2 2 2 3 2 3" xfId="3970" xr:uid="{00000000-0005-0000-0000-0000A3410000}"/>
    <cellStyle name="Normal 3 2 2 2 2 3 2 3 2" xfId="8526" xr:uid="{00000000-0005-0000-0000-0000A4410000}"/>
    <cellStyle name="Normal 3 2 2 2 2 3 2 3 2 2" xfId="17622" xr:uid="{00000000-0005-0000-0000-0000A5410000}"/>
    <cellStyle name="Normal 3 2 2 2 2 3 2 3 2 2 2" xfId="35804" xr:uid="{00000000-0005-0000-0000-0000A6410000}"/>
    <cellStyle name="Normal 3 2 2 2 2 3 2 3 2 3" xfId="26714" xr:uid="{00000000-0005-0000-0000-0000A7410000}"/>
    <cellStyle name="Normal 3 2 2 2 2 3 2 3 3" xfId="13082" xr:uid="{00000000-0005-0000-0000-0000A8410000}"/>
    <cellStyle name="Normal 3 2 2 2 2 3 2 3 3 2" xfId="31264" xr:uid="{00000000-0005-0000-0000-0000A9410000}"/>
    <cellStyle name="Normal 3 2 2 2 2 3 2 3 4" xfId="22174" xr:uid="{00000000-0005-0000-0000-0000AA410000}"/>
    <cellStyle name="Normal 3 2 2 2 2 3 2 4" xfId="5609" xr:uid="{00000000-0005-0000-0000-0000AB410000}"/>
    <cellStyle name="Normal 3 2 2 2 2 3 2 4 2" xfId="14709" xr:uid="{00000000-0005-0000-0000-0000AC410000}"/>
    <cellStyle name="Normal 3 2 2 2 2 3 2 4 2 2" xfId="32891" xr:uid="{00000000-0005-0000-0000-0000AD410000}"/>
    <cellStyle name="Normal 3 2 2 2 2 3 2 4 3" xfId="23801" xr:uid="{00000000-0005-0000-0000-0000AE410000}"/>
    <cellStyle name="Normal 3 2 2 2 2 3 2 5" xfId="10175" xr:uid="{00000000-0005-0000-0000-0000AF410000}"/>
    <cellStyle name="Normal 3 2 2 2 2 3 2 5 2" xfId="28357" xr:uid="{00000000-0005-0000-0000-0000B0410000}"/>
    <cellStyle name="Normal 3 2 2 2 2 3 2 6" xfId="19266" xr:uid="{00000000-0005-0000-0000-0000B1410000}"/>
    <cellStyle name="Normal 3 2 2 2 2 3 3" xfId="2416" xr:uid="{00000000-0005-0000-0000-0000B2410000}"/>
    <cellStyle name="Normal 3 2 2 2 2 3 3 2" xfId="7002" xr:uid="{00000000-0005-0000-0000-0000B3410000}"/>
    <cellStyle name="Normal 3 2 2 2 2 3 3 2 2" xfId="16102" xr:uid="{00000000-0005-0000-0000-0000B4410000}"/>
    <cellStyle name="Normal 3 2 2 2 2 3 3 2 2 2" xfId="34284" xr:uid="{00000000-0005-0000-0000-0000B5410000}"/>
    <cellStyle name="Normal 3 2 2 2 2 3 3 2 3" xfId="25194" xr:uid="{00000000-0005-0000-0000-0000B6410000}"/>
    <cellStyle name="Normal 3 2 2 2 2 3 3 3" xfId="11566" xr:uid="{00000000-0005-0000-0000-0000B7410000}"/>
    <cellStyle name="Normal 3 2 2 2 2 3 3 3 2" xfId="29748" xr:uid="{00000000-0005-0000-0000-0000B8410000}"/>
    <cellStyle name="Normal 3 2 2 2 2 3 3 4" xfId="20658" xr:uid="{00000000-0005-0000-0000-0000B9410000}"/>
    <cellStyle name="Normal 3 2 2 2 2 3 4" xfId="3969" xr:uid="{00000000-0005-0000-0000-0000BA410000}"/>
    <cellStyle name="Normal 3 2 2 2 2 3 4 2" xfId="8525" xr:uid="{00000000-0005-0000-0000-0000BB410000}"/>
    <cellStyle name="Normal 3 2 2 2 2 3 4 2 2" xfId="17621" xr:uid="{00000000-0005-0000-0000-0000BC410000}"/>
    <cellStyle name="Normal 3 2 2 2 2 3 4 2 2 2" xfId="35803" xr:uid="{00000000-0005-0000-0000-0000BD410000}"/>
    <cellStyle name="Normal 3 2 2 2 2 3 4 2 3" xfId="26713" xr:uid="{00000000-0005-0000-0000-0000BE410000}"/>
    <cellStyle name="Normal 3 2 2 2 2 3 4 3" xfId="13081" xr:uid="{00000000-0005-0000-0000-0000BF410000}"/>
    <cellStyle name="Normal 3 2 2 2 2 3 4 3 2" xfId="31263" xr:uid="{00000000-0005-0000-0000-0000C0410000}"/>
    <cellStyle name="Normal 3 2 2 2 2 3 4 4" xfId="22173" xr:uid="{00000000-0005-0000-0000-0000C1410000}"/>
    <cellStyle name="Normal 3 2 2 2 2 3 5" xfId="5608" xr:uid="{00000000-0005-0000-0000-0000C2410000}"/>
    <cellStyle name="Normal 3 2 2 2 2 3 5 2" xfId="14708" xr:uid="{00000000-0005-0000-0000-0000C3410000}"/>
    <cellStyle name="Normal 3 2 2 2 2 3 5 2 2" xfId="32890" xr:uid="{00000000-0005-0000-0000-0000C4410000}"/>
    <cellStyle name="Normal 3 2 2 2 2 3 5 3" xfId="23800" xr:uid="{00000000-0005-0000-0000-0000C5410000}"/>
    <cellStyle name="Normal 3 2 2 2 2 3 6" xfId="10174" xr:uid="{00000000-0005-0000-0000-0000C6410000}"/>
    <cellStyle name="Normal 3 2 2 2 2 3 6 2" xfId="28356" xr:uid="{00000000-0005-0000-0000-0000C7410000}"/>
    <cellStyle name="Normal 3 2 2 2 2 3 7" xfId="19265" xr:uid="{00000000-0005-0000-0000-0000C8410000}"/>
    <cellStyle name="Normal 3 2 2 2 2 4" xfId="969" xr:uid="{00000000-0005-0000-0000-0000C9410000}"/>
    <cellStyle name="Normal 3 2 2 2 2 4 2" xfId="2417" xr:uid="{00000000-0005-0000-0000-0000CA410000}"/>
    <cellStyle name="Normal 3 2 2 2 2 4 2 2" xfId="7003" xr:uid="{00000000-0005-0000-0000-0000CB410000}"/>
    <cellStyle name="Normal 3 2 2 2 2 4 2 2 2" xfId="16103" xr:uid="{00000000-0005-0000-0000-0000CC410000}"/>
    <cellStyle name="Normal 3 2 2 2 2 4 2 2 2 2" xfId="34285" xr:uid="{00000000-0005-0000-0000-0000CD410000}"/>
    <cellStyle name="Normal 3 2 2 2 2 4 2 2 3" xfId="25195" xr:uid="{00000000-0005-0000-0000-0000CE410000}"/>
    <cellStyle name="Normal 3 2 2 2 2 4 2 3" xfId="11567" xr:uid="{00000000-0005-0000-0000-0000CF410000}"/>
    <cellStyle name="Normal 3 2 2 2 2 4 2 3 2" xfId="29749" xr:uid="{00000000-0005-0000-0000-0000D0410000}"/>
    <cellStyle name="Normal 3 2 2 2 2 4 2 4" xfId="20659" xr:uid="{00000000-0005-0000-0000-0000D1410000}"/>
    <cellStyle name="Normal 3 2 2 2 2 4 3" xfId="3971" xr:uid="{00000000-0005-0000-0000-0000D2410000}"/>
    <cellStyle name="Normal 3 2 2 2 2 4 3 2" xfId="8527" xr:uid="{00000000-0005-0000-0000-0000D3410000}"/>
    <cellStyle name="Normal 3 2 2 2 2 4 3 2 2" xfId="17623" xr:uid="{00000000-0005-0000-0000-0000D4410000}"/>
    <cellStyle name="Normal 3 2 2 2 2 4 3 2 2 2" xfId="35805" xr:uid="{00000000-0005-0000-0000-0000D5410000}"/>
    <cellStyle name="Normal 3 2 2 2 2 4 3 2 3" xfId="26715" xr:uid="{00000000-0005-0000-0000-0000D6410000}"/>
    <cellStyle name="Normal 3 2 2 2 2 4 3 3" xfId="13083" xr:uid="{00000000-0005-0000-0000-0000D7410000}"/>
    <cellStyle name="Normal 3 2 2 2 2 4 3 3 2" xfId="31265" xr:uid="{00000000-0005-0000-0000-0000D8410000}"/>
    <cellStyle name="Normal 3 2 2 2 2 4 3 4" xfId="22175" xr:uid="{00000000-0005-0000-0000-0000D9410000}"/>
    <cellStyle name="Normal 3 2 2 2 2 4 4" xfId="5610" xr:uid="{00000000-0005-0000-0000-0000DA410000}"/>
    <cellStyle name="Normal 3 2 2 2 2 4 4 2" xfId="14710" xr:uid="{00000000-0005-0000-0000-0000DB410000}"/>
    <cellStyle name="Normal 3 2 2 2 2 4 4 2 2" xfId="32892" xr:uid="{00000000-0005-0000-0000-0000DC410000}"/>
    <cellStyle name="Normal 3 2 2 2 2 4 4 3" xfId="23802" xr:uid="{00000000-0005-0000-0000-0000DD410000}"/>
    <cellStyle name="Normal 3 2 2 2 2 4 5" xfId="10176" xr:uid="{00000000-0005-0000-0000-0000DE410000}"/>
    <cellStyle name="Normal 3 2 2 2 2 4 5 2" xfId="28358" xr:uid="{00000000-0005-0000-0000-0000DF410000}"/>
    <cellStyle name="Normal 3 2 2 2 2 4 6" xfId="19267" xr:uid="{00000000-0005-0000-0000-0000E0410000}"/>
    <cellStyle name="Normal 3 2 2 2 2 5" xfId="970" xr:uid="{00000000-0005-0000-0000-0000E1410000}"/>
    <cellStyle name="Normal 3 2 2 2 2 5 2" xfId="3972" xr:uid="{00000000-0005-0000-0000-0000E2410000}"/>
    <cellStyle name="Normal 3 2 2 2 2 5 2 2" xfId="8528" xr:uid="{00000000-0005-0000-0000-0000E3410000}"/>
    <cellStyle name="Normal 3 2 2 2 2 5 2 2 2" xfId="17624" xr:uid="{00000000-0005-0000-0000-0000E4410000}"/>
    <cellStyle name="Normal 3 2 2 2 2 5 2 2 2 2" xfId="35806" xr:uid="{00000000-0005-0000-0000-0000E5410000}"/>
    <cellStyle name="Normal 3 2 2 2 2 5 2 2 3" xfId="26716" xr:uid="{00000000-0005-0000-0000-0000E6410000}"/>
    <cellStyle name="Normal 3 2 2 2 2 5 2 3" xfId="13084" xr:uid="{00000000-0005-0000-0000-0000E7410000}"/>
    <cellStyle name="Normal 3 2 2 2 2 5 2 3 2" xfId="31266" xr:uid="{00000000-0005-0000-0000-0000E8410000}"/>
    <cellStyle name="Normal 3 2 2 2 2 5 2 4" xfId="22176" xr:uid="{00000000-0005-0000-0000-0000E9410000}"/>
    <cellStyle name="Normal 3 2 2 2 2 5 3" xfId="5611" xr:uid="{00000000-0005-0000-0000-0000EA410000}"/>
    <cellStyle name="Normal 3 2 2 2 2 5 3 2" xfId="14711" xr:uid="{00000000-0005-0000-0000-0000EB410000}"/>
    <cellStyle name="Normal 3 2 2 2 2 5 3 2 2" xfId="32893" xr:uid="{00000000-0005-0000-0000-0000EC410000}"/>
    <cellStyle name="Normal 3 2 2 2 2 5 3 3" xfId="23803" xr:uid="{00000000-0005-0000-0000-0000ED410000}"/>
    <cellStyle name="Normal 3 2 2 2 2 5 4" xfId="10177" xr:uid="{00000000-0005-0000-0000-0000EE410000}"/>
    <cellStyle name="Normal 3 2 2 2 2 5 4 2" xfId="28359" xr:uid="{00000000-0005-0000-0000-0000EF410000}"/>
    <cellStyle name="Normal 3 2 2 2 2 5 5" xfId="19268" xr:uid="{00000000-0005-0000-0000-0000F0410000}"/>
    <cellStyle name="Normal 3 2 2 2 2 6" xfId="2418" xr:uid="{00000000-0005-0000-0000-0000F1410000}"/>
    <cellStyle name="Normal 3 2 2 2 2 6 2" xfId="7004" xr:uid="{00000000-0005-0000-0000-0000F2410000}"/>
    <cellStyle name="Normal 3 2 2 2 2 6 2 2" xfId="16104" xr:uid="{00000000-0005-0000-0000-0000F3410000}"/>
    <cellStyle name="Normal 3 2 2 2 2 6 2 2 2" xfId="34286" xr:uid="{00000000-0005-0000-0000-0000F4410000}"/>
    <cellStyle name="Normal 3 2 2 2 2 6 2 3" xfId="25196" xr:uid="{00000000-0005-0000-0000-0000F5410000}"/>
    <cellStyle name="Normal 3 2 2 2 2 6 3" xfId="11568" xr:uid="{00000000-0005-0000-0000-0000F6410000}"/>
    <cellStyle name="Normal 3 2 2 2 2 6 3 2" xfId="29750" xr:uid="{00000000-0005-0000-0000-0000F7410000}"/>
    <cellStyle name="Normal 3 2 2 2 2 6 4" xfId="20660" xr:uid="{00000000-0005-0000-0000-0000F8410000}"/>
    <cellStyle name="Normal 3 2 2 2 2 7" xfId="3963" xr:uid="{00000000-0005-0000-0000-0000F9410000}"/>
    <cellStyle name="Normal 3 2 2 2 2 7 2" xfId="8519" xr:uid="{00000000-0005-0000-0000-0000FA410000}"/>
    <cellStyle name="Normal 3 2 2 2 2 7 2 2" xfId="17615" xr:uid="{00000000-0005-0000-0000-0000FB410000}"/>
    <cellStyle name="Normal 3 2 2 2 2 7 2 2 2" xfId="35797" xr:uid="{00000000-0005-0000-0000-0000FC410000}"/>
    <cellStyle name="Normal 3 2 2 2 2 7 2 3" xfId="26707" xr:uid="{00000000-0005-0000-0000-0000FD410000}"/>
    <cellStyle name="Normal 3 2 2 2 2 7 3" xfId="13075" xr:uid="{00000000-0005-0000-0000-0000FE410000}"/>
    <cellStyle name="Normal 3 2 2 2 2 7 3 2" xfId="31257" xr:uid="{00000000-0005-0000-0000-0000FF410000}"/>
    <cellStyle name="Normal 3 2 2 2 2 7 4" xfId="22167" xr:uid="{00000000-0005-0000-0000-000000420000}"/>
    <cellStyle name="Normal 3 2 2 2 2 8" xfId="5602" xr:uid="{00000000-0005-0000-0000-000001420000}"/>
    <cellStyle name="Normal 3 2 2 2 2 8 2" xfId="14702" xr:uid="{00000000-0005-0000-0000-000002420000}"/>
    <cellStyle name="Normal 3 2 2 2 2 8 2 2" xfId="32884" xr:uid="{00000000-0005-0000-0000-000003420000}"/>
    <cellStyle name="Normal 3 2 2 2 2 8 3" xfId="23794" xr:uid="{00000000-0005-0000-0000-000004420000}"/>
    <cellStyle name="Normal 3 2 2 2 2 9" xfId="10168" xr:uid="{00000000-0005-0000-0000-000005420000}"/>
    <cellStyle name="Normal 3 2 2 2 2 9 2" xfId="28350" xr:uid="{00000000-0005-0000-0000-000006420000}"/>
    <cellStyle name="Normal 3 2 2 2 3" xfId="971" xr:uid="{00000000-0005-0000-0000-000007420000}"/>
    <cellStyle name="Normal 3 2 2 2 3 2" xfId="972" xr:uid="{00000000-0005-0000-0000-000008420000}"/>
    <cellStyle name="Normal 3 2 2 2 3 2 2" xfId="973" xr:uid="{00000000-0005-0000-0000-000009420000}"/>
    <cellStyle name="Normal 3 2 2 2 3 2 2 2" xfId="2419" xr:uid="{00000000-0005-0000-0000-00000A420000}"/>
    <cellStyle name="Normal 3 2 2 2 3 2 2 2 2" xfId="7005" xr:uid="{00000000-0005-0000-0000-00000B420000}"/>
    <cellStyle name="Normal 3 2 2 2 3 2 2 2 2 2" xfId="16105" xr:uid="{00000000-0005-0000-0000-00000C420000}"/>
    <cellStyle name="Normal 3 2 2 2 3 2 2 2 2 2 2" xfId="34287" xr:uid="{00000000-0005-0000-0000-00000D420000}"/>
    <cellStyle name="Normal 3 2 2 2 3 2 2 2 2 3" xfId="25197" xr:uid="{00000000-0005-0000-0000-00000E420000}"/>
    <cellStyle name="Normal 3 2 2 2 3 2 2 2 3" xfId="11569" xr:uid="{00000000-0005-0000-0000-00000F420000}"/>
    <cellStyle name="Normal 3 2 2 2 3 2 2 2 3 2" xfId="29751" xr:uid="{00000000-0005-0000-0000-000010420000}"/>
    <cellStyle name="Normal 3 2 2 2 3 2 2 2 4" xfId="20661" xr:uid="{00000000-0005-0000-0000-000011420000}"/>
    <cellStyle name="Normal 3 2 2 2 3 2 2 3" xfId="3975" xr:uid="{00000000-0005-0000-0000-000012420000}"/>
    <cellStyle name="Normal 3 2 2 2 3 2 2 3 2" xfId="8531" xr:uid="{00000000-0005-0000-0000-000013420000}"/>
    <cellStyle name="Normal 3 2 2 2 3 2 2 3 2 2" xfId="17627" xr:uid="{00000000-0005-0000-0000-000014420000}"/>
    <cellStyle name="Normal 3 2 2 2 3 2 2 3 2 2 2" xfId="35809" xr:uid="{00000000-0005-0000-0000-000015420000}"/>
    <cellStyle name="Normal 3 2 2 2 3 2 2 3 2 3" xfId="26719" xr:uid="{00000000-0005-0000-0000-000016420000}"/>
    <cellStyle name="Normal 3 2 2 2 3 2 2 3 3" xfId="13087" xr:uid="{00000000-0005-0000-0000-000017420000}"/>
    <cellStyle name="Normal 3 2 2 2 3 2 2 3 3 2" xfId="31269" xr:uid="{00000000-0005-0000-0000-000018420000}"/>
    <cellStyle name="Normal 3 2 2 2 3 2 2 3 4" xfId="22179" xr:uid="{00000000-0005-0000-0000-000019420000}"/>
    <cellStyle name="Normal 3 2 2 2 3 2 2 4" xfId="5614" xr:uid="{00000000-0005-0000-0000-00001A420000}"/>
    <cellStyle name="Normal 3 2 2 2 3 2 2 4 2" xfId="14714" xr:uid="{00000000-0005-0000-0000-00001B420000}"/>
    <cellStyle name="Normal 3 2 2 2 3 2 2 4 2 2" xfId="32896" xr:uid="{00000000-0005-0000-0000-00001C420000}"/>
    <cellStyle name="Normal 3 2 2 2 3 2 2 4 3" xfId="23806" xr:uid="{00000000-0005-0000-0000-00001D420000}"/>
    <cellStyle name="Normal 3 2 2 2 3 2 2 5" xfId="10180" xr:uid="{00000000-0005-0000-0000-00001E420000}"/>
    <cellStyle name="Normal 3 2 2 2 3 2 2 5 2" xfId="28362" xr:uid="{00000000-0005-0000-0000-00001F420000}"/>
    <cellStyle name="Normal 3 2 2 2 3 2 2 6" xfId="19271" xr:uid="{00000000-0005-0000-0000-000020420000}"/>
    <cellStyle name="Normal 3 2 2 2 3 2 3" xfId="2420" xr:uid="{00000000-0005-0000-0000-000021420000}"/>
    <cellStyle name="Normal 3 2 2 2 3 2 3 2" xfId="7006" xr:uid="{00000000-0005-0000-0000-000022420000}"/>
    <cellStyle name="Normal 3 2 2 2 3 2 3 2 2" xfId="16106" xr:uid="{00000000-0005-0000-0000-000023420000}"/>
    <cellStyle name="Normal 3 2 2 2 3 2 3 2 2 2" xfId="34288" xr:uid="{00000000-0005-0000-0000-000024420000}"/>
    <cellStyle name="Normal 3 2 2 2 3 2 3 2 3" xfId="25198" xr:uid="{00000000-0005-0000-0000-000025420000}"/>
    <cellStyle name="Normal 3 2 2 2 3 2 3 3" xfId="11570" xr:uid="{00000000-0005-0000-0000-000026420000}"/>
    <cellStyle name="Normal 3 2 2 2 3 2 3 3 2" xfId="29752" xr:uid="{00000000-0005-0000-0000-000027420000}"/>
    <cellStyle name="Normal 3 2 2 2 3 2 3 4" xfId="20662" xr:uid="{00000000-0005-0000-0000-000028420000}"/>
    <cellStyle name="Normal 3 2 2 2 3 2 4" xfId="3974" xr:uid="{00000000-0005-0000-0000-000029420000}"/>
    <cellStyle name="Normal 3 2 2 2 3 2 4 2" xfId="8530" xr:uid="{00000000-0005-0000-0000-00002A420000}"/>
    <cellStyle name="Normal 3 2 2 2 3 2 4 2 2" xfId="17626" xr:uid="{00000000-0005-0000-0000-00002B420000}"/>
    <cellStyle name="Normal 3 2 2 2 3 2 4 2 2 2" xfId="35808" xr:uid="{00000000-0005-0000-0000-00002C420000}"/>
    <cellStyle name="Normal 3 2 2 2 3 2 4 2 3" xfId="26718" xr:uid="{00000000-0005-0000-0000-00002D420000}"/>
    <cellStyle name="Normal 3 2 2 2 3 2 4 3" xfId="13086" xr:uid="{00000000-0005-0000-0000-00002E420000}"/>
    <cellStyle name="Normal 3 2 2 2 3 2 4 3 2" xfId="31268" xr:uid="{00000000-0005-0000-0000-00002F420000}"/>
    <cellStyle name="Normal 3 2 2 2 3 2 4 4" xfId="22178" xr:uid="{00000000-0005-0000-0000-000030420000}"/>
    <cellStyle name="Normal 3 2 2 2 3 2 5" xfId="5613" xr:uid="{00000000-0005-0000-0000-000031420000}"/>
    <cellStyle name="Normal 3 2 2 2 3 2 5 2" xfId="14713" xr:uid="{00000000-0005-0000-0000-000032420000}"/>
    <cellStyle name="Normal 3 2 2 2 3 2 5 2 2" xfId="32895" xr:uid="{00000000-0005-0000-0000-000033420000}"/>
    <cellStyle name="Normal 3 2 2 2 3 2 5 3" xfId="23805" xr:uid="{00000000-0005-0000-0000-000034420000}"/>
    <cellStyle name="Normal 3 2 2 2 3 2 6" xfId="10179" xr:uid="{00000000-0005-0000-0000-000035420000}"/>
    <cellStyle name="Normal 3 2 2 2 3 2 6 2" xfId="28361" xr:uid="{00000000-0005-0000-0000-000036420000}"/>
    <cellStyle name="Normal 3 2 2 2 3 2 7" xfId="19270" xr:uid="{00000000-0005-0000-0000-000037420000}"/>
    <cellStyle name="Normal 3 2 2 2 3 3" xfId="974" xr:uid="{00000000-0005-0000-0000-000038420000}"/>
    <cellStyle name="Normal 3 2 2 2 3 3 2" xfId="2421" xr:uid="{00000000-0005-0000-0000-000039420000}"/>
    <cellStyle name="Normal 3 2 2 2 3 3 2 2" xfId="7007" xr:uid="{00000000-0005-0000-0000-00003A420000}"/>
    <cellStyle name="Normal 3 2 2 2 3 3 2 2 2" xfId="16107" xr:uid="{00000000-0005-0000-0000-00003B420000}"/>
    <cellStyle name="Normal 3 2 2 2 3 3 2 2 2 2" xfId="34289" xr:uid="{00000000-0005-0000-0000-00003C420000}"/>
    <cellStyle name="Normal 3 2 2 2 3 3 2 2 3" xfId="25199" xr:uid="{00000000-0005-0000-0000-00003D420000}"/>
    <cellStyle name="Normal 3 2 2 2 3 3 2 3" xfId="11571" xr:uid="{00000000-0005-0000-0000-00003E420000}"/>
    <cellStyle name="Normal 3 2 2 2 3 3 2 3 2" xfId="29753" xr:uid="{00000000-0005-0000-0000-00003F420000}"/>
    <cellStyle name="Normal 3 2 2 2 3 3 2 4" xfId="20663" xr:uid="{00000000-0005-0000-0000-000040420000}"/>
    <cellStyle name="Normal 3 2 2 2 3 3 3" xfId="3976" xr:uid="{00000000-0005-0000-0000-000041420000}"/>
    <cellStyle name="Normal 3 2 2 2 3 3 3 2" xfId="8532" xr:uid="{00000000-0005-0000-0000-000042420000}"/>
    <cellStyle name="Normal 3 2 2 2 3 3 3 2 2" xfId="17628" xr:uid="{00000000-0005-0000-0000-000043420000}"/>
    <cellStyle name="Normal 3 2 2 2 3 3 3 2 2 2" xfId="35810" xr:uid="{00000000-0005-0000-0000-000044420000}"/>
    <cellStyle name="Normal 3 2 2 2 3 3 3 2 3" xfId="26720" xr:uid="{00000000-0005-0000-0000-000045420000}"/>
    <cellStyle name="Normal 3 2 2 2 3 3 3 3" xfId="13088" xr:uid="{00000000-0005-0000-0000-000046420000}"/>
    <cellStyle name="Normal 3 2 2 2 3 3 3 3 2" xfId="31270" xr:uid="{00000000-0005-0000-0000-000047420000}"/>
    <cellStyle name="Normal 3 2 2 2 3 3 3 4" xfId="22180" xr:uid="{00000000-0005-0000-0000-000048420000}"/>
    <cellStyle name="Normal 3 2 2 2 3 3 4" xfId="5615" xr:uid="{00000000-0005-0000-0000-000049420000}"/>
    <cellStyle name="Normal 3 2 2 2 3 3 4 2" xfId="14715" xr:uid="{00000000-0005-0000-0000-00004A420000}"/>
    <cellStyle name="Normal 3 2 2 2 3 3 4 2 2" xfId="32897" xr:uid="{00000000-0005-0000-0000-00004B420000}"/>
    <cellStyle name="Normal 3 2 2 2 3 3 4 3" xfId="23807" xr:uid="{00000000-0005-0000-0000-00004C420000}"/>
    <cellStyle name="Normal 3 2 2 2 3 3 5" xfId="10181" xr:uid="{00000000-0005-0000-0000-00004D420000}"/>
    <cellStyle name="Normal 3 2 2 2 3 3 5 2" xfId="28363" xr:uid="{00000000-0005-0000-0000-00004E420000}"/>
    <cellStyle name="Normal 3 2 2 2 3 3 6" xfId="19272" xr:uid="{00000000-0005-0000-0000-00004F420000}"/>
    <cellStyle name="Normal 3 2 2 2 3 4" xfId="975" xr:uid="{00000000-0005-0000-0000-000050420000}"/>
    <cellStyle name="Normal 3 2 2 2 3 4 2" xfId="3977" xr:uid="{00000000-0005-0000-0000-000051420000}"/>
    <cellStyle name="Normal 3 2 2 2 3 4 2 2" xfId="8533" xr:uid="{00000000-0005-0000-0000-000052420000}"/>
    <cellStyle name="Normal 3 2 2 2 3 4 2 2 2" xfId="17629" xr:uid="{00000000-0005-0000-0000-000053420000}"/>
    <cellStyle name="Normal 3 2 2 2 3 4 2 2 2 2" xfId="35811" xr:uid="{00000000-0005-0000-0000-000054420000}"/>
    <cellStyle name="Normal 3 2 2 2 3 4 2 2 3" xfId="26721" xr:uid="{00000000-0005-0000-0000-000055420000}"/>
    <cellStyle name="Normal 3 2 2 2 3 4 2 3" xfId="13089" xr:uid="{00000000-0005-0000-0000-000056420000}"/>
    <cellStyle name="Normal 3 2 2 2 3 4 2 3 2" xfId="31271" xr:uid="{00000000-0005-0000-0000-000057420000}"/>
    <cellStyle name="Normal 3 2 2 2 3 4 2 4" xfId="22181" xr:uid="{00000000-0005-0000-0000-000058420000}"/>
    <cellStyle name="Normal 3 2 2 2 3 4 3" xfId="5616" xr:uid="{00000000-0005-0000-0000-000059420000}"/>
    <cellStyle name="Normal 3 2 2 2 3 4 3 2" xfId="14716" xr:uid="{00000000-0005-0000-0000-00005A420000}"/>
    <cellStyle name="Normal 3 2 2 2 3 4 3 2 2" xfId="32898" xr:uid="{00000000-0005-0000-0000-00005B420000}"/>
    <cellStyle name="Normal 3 2 2 2 3 4 3 3" xfId="23808" xr:uid="{00000000-0005-0000-0000-00005C420000}"/>
    <cellStyle name="Normal 3 2 2 2 3 4 4" xfId="10182" xr:uid="{00000000-0005-0000-0000-00005D420000}"/>
    <cellStyle name="Normal 3 2 2 2 3 4 4 2" xfId="28364" xr:uid="{00000000-0005-0000-0000-00005E420000}"/>
    <cellStyle name="Normal 3 2 2 2 3 4 5" xfId="19273" xr:uid="{00000000-0005-0000-0000-00005F420000}"/>
    <cellStyle name="Normal 3 2 2 2 3 5" xfId="2422" xr:uid="{00000000-0005-0000-0000-000060420000}"/>
    <cellStyle name="Normal 3 2 2 2 3 5 2" xfId="7008" xr:uid="{00000000-0005-0000-0000-000061420000}"/>
    <cellStyle name="Normal 3 2 2 2 3 5 2 2" xfId="16108" xr:uid="{00000000-0005-0000-0000-000062420000}"/>
    <cellStyle name="Normal 3 2 2 2 3 5 2 2 2" xfId="34290" xr:uid="{00000000-0005-0000-0000-000063420000}"/>
    <cellStyle name="Normal 3 2 2 2 3 5 2 3" xfId="25200" xr:uid="{00000000-0005-0000-0000-000064420000}"/>
    <cellStyle name="Normal 3 2 2 2 3 5 3" xfId="11572" xr:uid="{00000000-0005-0000-0000-000065420000}"/>
    <cellStyle name="Normal 3 2 2 2 3 5 3 2" xfId="29754" xr:uid="{00000000-0005-0000-0000-000066420000}"/>
    <cellStyle name="Normal 3 2 2 2 3 5 4" xfId="20664" xr:uid="{00000000-0005-0000-0000-000067420000}"/>
    <cellStyle name="Normal 3 2 2 2 3 6" xfId="3973" xr:uid="{00000000-0005-0000-0000-000068420000}"/>
    <cellStyle name="Normal 3 2 2 2 3 6 2" xfId="8529" xr:uid="{00000000-0005-0000-0000-000069420000}"/>
    <cellStyle name="Normal 3 2 2 2 3 6 2 2" xfId="17625" xr:uid="{00000000-0005-0000-0000-00006A420000}"/>
    <cellStyle name="Normal 3 2 2 2 3 6 2 2 2" xfId="35807" xr:uid="{00000000-0005-0000-0000-00006B420000}"/>
    <cellStyle name="Normal 3 2 2 2 3 6 2 3" xfId="26717" xr:uid="{00000000-0005-0000-0000-00006C420000}"/>
    <cellStyle name="Normal 3 2 2 2 3 6 3" xfId="13085" xr:uid="{00000000-0005-0000-0000-00006D420000}"/>
    <cellStyle name="Normal 3 2 2 2 3 6 3 2" xfId="31267" xr:uid="{00000000-0005-0000-0000-00006E420000}"/>
    <cellStyle name="Normal 3 2 2 2 3 6 4" xfId="22177" xr:uid="{00000000-0005-0000-0000-00006F420000}"/>
    <cellStyle name="Normal 3 2 2 2 3 7" xfId="5612" xr:uid="{00000000-0005-0000-0000-000070420000}"/>
    <cellStyle name="Normal 3 2 2 2 3 7 2" xfId="14712" xr:uid="{00000000-0005-0000-0000-000071420000}"/>
    <cellStyle name="Normal 3 2 2 2 3 7 2 2" xfId="32894" xr:uid="{00000000-0005-0000-0000-000072420000}"/>
    <cellStyle name="Normal 3 2 2 2 3 7 3" xfId="23804" xr:uid="{00000000-0005-0000-0000-000073420000}"/>
    <cellStyle name="Normal 3 2 2 2 3 8" xfId="10178" xr:uid="{00000000-0005-0000-0000-000074420000}"/>
    <cellStyle name="Normal 3 2 2 2 3 8 2" xfId="28360" xr:uid="{00000000-0005-0000-0000-000075420000}"/>
    <cellStyle name="Normal 3 2 2 2 3 9" xfId="19269" xr:uid="{00000000-0005-0000-0000-000076420000}"/>
    <cellStyle name="Normal 3 2 2 2 4" xfId="976" xr:uid="{00000000-0005-0000-0000-000077420000}"/>
    <cellStyle name="Normal 3 2 2 2 4 2" xfId="977" xr:uid="{00000000-0005-0000-0000-000078420000}"/>
    <cellStyle name="Normal 3 2 2 2 4 2 2" xfId="2423" xr:uid="{00000000-0005-0000-0000-000079420000}"/>
    <cellStyle name="Normal 3 2 2 2 4 2 2 2" xfId="7009" xr:uid="{00000000-0005-0000-0000-00007A420000}"/>
    <cellStyle name="Normal 3 2 2 2 4 2 2 2 2" xfId="16109" xr:uid="{00000000-0005-0000-0000-00007B420000}"/>
    <cellStyle name="Normal 3 2 2 2 4 2 2 2 2 2" xfId="34291" xr:uid="{00000000-0005-0000-0000-00007C420000}"/>
    <cellStyle name="Normal 3 2 2 2 4 2 2 2 3" xfId="25201" xr:uid="{00000000-0005-0000-0000-00007D420000}"/>
    <cellStyle name="Normal 3 2 2 2 4 2 2 3" xfId="11573" xr:uid="{00000000-0005-0000-0000-00007E420000}"/>
    <cellStyle name="Normal 3 2 2 2 4 2 2 3 2" xfId="29755" xr:uid="{00000000-0005-0000-0000-00007F420000}"/>
    <cellStyle name="Normal 3 2 2 2 4 2 2 4" xfId="20665" xr:uid="{00000000-0005-0000-0000-000080420000}"/>
    <cellStyle name="Normal 3 2 2 2 4 2 3" xfId="3979" xr:uid="{00000000-0005-0000-0000-000081420000}"/>
    <cellStyle name="Normal 3 2 2 2 4 2 3 2" xfId="8535" xr:uid="{00000000-0005-0000-0000-000082420000}"/>
    <cellStyle name="Normal 3 2 2 2 4 2 3 2 2" xfId="17631" xr:uid="{00000000-0005-0000-0000-000083420000}"/>
    <cellStyle name="Normal 3 2 2 2 4 2 3 2 2 2" xfId="35813" xr:uid="{00000000-0005-0000-0000-000084420000}"/>
    <cellStyle name="Normal 3 2 2 2 4 2 3 2 3" xfId="26723" xr:uid="{00000000-0005-0000-0000-000085420000}"/>
    <cellStyle name="Normal 3 2 2 2 4 2 3 3" xfId="13091" xr:uid="{00000000-0005-0000-0000-000086420000}"/>
    <cellStyle name="Normal 3 2 2 2 4 2 3 3 2" xfId="31273" xr:uid="{00000000-0005-0000-0000-000087420000}"/>
    <cellStyle name="Normal 3 2 2 2 4 2 3 4" xfId="22183" xr:uid="{00000000-0005-0000-0000-000088420000}"/>
    <cellStyle name="Normal 3 2 2 2 4 2 4" xfId="5618" xr:uid="{00000000-0005-0000-0000-000089420000}"/>
    <cellStyle name="Normal 3 2 2 2 4 2 4 2" xfId="14718" xr:uid="{00000000-0005-0000-0000-00008A420000}"/>
    <cellStyle name="Normal 3 2 2 2 4 2 4 2 2" xfId="32900" xr:uid="{00000000-0005-0000-0000-00008B420000}"/>
    <cellStyle name="Normal 3 2 2 2 4 2 4 3" xfId="23810" xr:uid="{00000000-0005-0000-0000-00008C420000}"/>
    <cellStyle name="Normal 3 2 2 2 4 2 5" xfId="10184" xr:uid="{00000000-0005-0000-0000-00008D420000}"/>
    <cellStyle name="Normal 3 2 2 2 4 2 5 2" xfId="28366" xr:uid="{00000000-0005-0000-0000-00008E420000}"/>
    <cellStyle name="Normal 3 2 2 2 4 2 6" xfId="19275" xr:uid="{00000000-0005-0000-0000-00008F420000}"/>
    <cellStyle name="Normal 3 2 2 2 4 3" xfId="2424" xr:uid="{00000000-0005-0000-0000-000090420000}"/>
    <cellStyle name="Normal 3 2 2 2 4 3 2" xfId="7010" xr:uid="{00000000-0005-0000-0000-000091420000}"/>
    <cellStyle name="Normal 3 2 2 2 4 3 2 2" xfId="16110" xr:uid="{00000000-0005-0000-0000-000092420000}"/>
    <cellStyle name="Normal 3 2 2 2 4 3 2 2 2" xfId="34292" xr:uid="{00000000-0005-0000-0000-000093420000}"/>
    <cellStyle name="Normal 3 2 2 2 4 3 2 3" xfId="25202" xr:uid="{00000000-0005-0000-0000-000094420000}"/>
    <cellStyle name="Normal 3 2 2 2 4 3 3" xfId="11574" xr:uid="{00000000-0005-0000-0000-000095420000}"/>
    <cellStyle name="Normal 3 2 2 2 4 3 3 2" xfId="29756" xr:uid="{00000000-0005-0000-0000-000096420000}"/>
    <cellStyle name="Normal 3 2 2 2 4 3 4" xfId="20666" xr:uid="{00000000-0005-0000-0000-000097420000}"/>
    <cellStyle name="Normal 3 2 2 2 4 4" xfId="3978" xr:uid="{00000000-0005-0000-0000-000098420000}"/>
    <cellStyle name="Normal 3 2 2 2 4 4 2" xfId="8534" xr:uid="{00000000-0005-0000-0000-000099420000}"/>
    <cellStyle name="Normal 3 2 2 2 4 4 2 2" xfId="17630" xr:uid="{00000000-0005-0000-0000-00009A420000}"/>
    <cellStyle name="Normal 3 2 2 2 4 4 2 2 2" xfId="35812" xr:uid="{00000000-0005-0000-0000-00009B420000}"/>
    <cellStyle name="Normal 3 2 2 2 4 4 2 3" xfId="26722" xr:uid="{00000000-0005-0000-0000-00009C420000}"/>
    <cellStyle name="Normal 3 2 2 2 4 4 3" xfId="13090" xr:uid="{00000000-0005-0000-0000-00009D420000}"/>
    <cellStyle name="Normal 3 2 2 2 4 4 3 2" xfId="31272" xr:uid="{00000000-0005-0000-0000-00009E420000}"/>
    <cellStyle name="Normal 3 2 2 2 4 4 4" xfId="22182" xr:uid="{00000000-0005-0000-0000-00009F420000}"/>
    <cellStyle name="Normal 3 2 2 2 4 5" xfId="5617" xr:uid="{00000000-0005-0000-0000-0000A0420000}"/>
    <cellStyle name="Normal 3 2 2 2 4 5 2" xfId="14717" xr:uid="{00000000-0005-0000-0000-0000A1420000}"/>
    <cellStyle name="Normal 3 2 2 2 4 5 2 2" xfId="32899" xr:uid="{00000000-0005-0000-0000-0000A2420000}"/>
    <cellStyle name="Normal 3 2 2 2 4 5 3" xfId="23809" xr:uid="{00000000-0005-0000-0000-0000A3420000}"/>
    <cellStyle name="Normal 3 2 2 2 4 6" xfId="10183" xr:uid="{00000000-0005-0000-0000-0000A4420000}"/>
    <cellStyle name="Normal 3 2 2 2 4 6 2" xfId="28365" xr:uid="{00000000-0005-0000-0000-0000A5420000}"/>
    <cellStyle name="Normal 3 2 2 2 4 7" xfId="19274" xr:uid="{00000000-0005-0000-0000-0000A6420000}"/>
    <cellStyle name="Normal 3 2 2 2 5" xfId="978" xr:uid="{00000000-0005-0000-0000-0000A7420000}"/>
    <cellStyle name="Normal 3 2 2 2 5 2" xfId="2425" xr:uid="{00000000-0005-0000-0000-0000A8420000}"/>
    <cellStyle name="Normal 3 2 2 2 5 2 2" xfId="7011" xr:uid="{00000000-0005-0000-0000-0000A9420000}"/>
    <cellStyle name="Normal 3 2 2 2 5 2 2 2" xfId="16111" xr:uid="{00000000-0005-0000-0000-0000AA420000}"/>
    <cellStyle name="Normal 3 2 2 2 5 2 2 2 2" xfId="34293" xr:uid="{00000000-0005-0000-0000-0000AB420000}"/>
    <cellStyle name="Normal 3 2 2 2 5 2 2 3" xfId="25203" xr:uid="{00000000-0005-0000-0000-0000AC420000}"/>
    <cellStyle name="Normal 3 2 2 2 5 2 3" xfId="11575" xr:uid="{00000000-0005-0000-0000-0000AD420000}"/>
    <cellStyle name="Normal 3 2 2 2 5 2 3 2" xfId="29757" xr:uid="{00000000-0005-0000-0000-0000AE420000}"/>
    <cellStyle name="Normal 3 2 2 2 5 2 4" xfId="20667" xr:uid="{00000000-0005-0000-0000-0000AF420000}"/>
    <cellStyle name="Normal 3 2 2 2 5 3" xfId="3980" xr:uid="{00000000-0005-0000-0000-0000B0420000}"/>
    <cellStyle name="Normal 3 2 2 2 5 3 2" xfId="8536" xr:uid="{00000000-0005-0000-0000-0000B1420000}"/>
    <cellStyle name="Normal 3 2 2 2 5 3 2 2" xfId="17632" xr:uid="{00000000-0005-0000-0000-0000B2420000}"/>
    <cellStyle name="Normal 3 2 2 2 5 3 2 2 2" xfId="35814" xr:uid="{00000000-0005-0000-0000-0000B3420000}"/>
    <cellStyle name="Normal 3 2 2 2 5 3 2 3" xfId="26724" xr:uid="{00000000-0005-0000-0000-0000B4420000}"/>
    <cellStyle name="Normal 3 2 2 2 5 3 3" xfId="13092" xr:uid="{00000000-0005-0000-0000-0000B5420000}"/>
    <cellStyle name="Normal 3 2 2 2 5 3 3 2" xfId="31274" xr:uid="{00000000-0005-0000-0000-0000B6420000}"/>
    <cellStyle name="Normal 3 2 2 2 5 3 4" xfId="22184" xr:uid="{00000000-0005-0000-0000-0000B7420000}"/>
    <cellStyle name="Normal 3 2 2 2 5 4" xfId="5619" xr:uid="{00000000-0005-0000-0000-0000B8420000}"/>
    <cellStyle name="Normal 3 2 2 2 5 4 2" xfId="14719" xr:uid="{00000000-0005-0000-0000-0000B9420000}"/>
    <cellStyle name="Normal 3 2 2 2 5 4 2 2" xfId="32901" xr:uid="{00000000-0005-0000-0000-0000BA420000}"/>
    <cellStyle name="Normal 3 2 2 2 5 4 3" xfId="23811" xr:uid="{00000000-0005-0000-0000-0000BB420000}"/>
    <cellStyle name="Normal 3 2 2 2 5 5" xfId="10185" xr:uid="{00000000-0005-0000-0000-0000BC420000}"/>
    <cellStyle name="Normal 3 2 2 2 5 5 2" xfId="28367" xr:uid="{00000000-0005-0000-0000-0000BD420000}"/>
    <cellStyle name="Normal 3 2 2 2 5 6" xfId="19276" xr:uid="{00000000-0005-0000-0000-0000BE420000}"/>
    <cellStyle name="Normal 3 2 2 2 6" xfId="979" xr:uid="{00000000-0005-0000-0000-0000BF420000}"/>
    <cellStyle name="Normal 3 2 2 2 6 2" xfId="3981" xr:uid="{00000000-0005-0000-0000-0000C0420000}"/>
    <cellStyle name="Normal 3 2 2 2 6 2 2" xfId="8537" xr:uid="{00000000-0005-0000-0000-0000C1420000}"/>
    <cellStyle name="Normal 3 2 2 2 6 2 2 2" xfId="17633" xr:uid="{00000000-0005-0000-0000-0000C2420000}"/>
    <cellStyle name="Normal 3 2 2 2 6 2 2 2 2" xfId="35815" xr:uid="{00000000-0005-0000-0000-0000C3420000}"/>
    <cellStyle name="Normal 3 2 2 2 6 2 2 3" xfId="26725" xr:uid="{00000000-0005-0000-0000-0000C4420000}"/>
    <cellStyle name="Normal 3 2 2 2 6 2 3" xfId="13093" xr:uid="{00000000-0005-0000-0000-0000C5420000}"/>
    <cellStyle name="Normal 3 2 2 2 6 2 3 2" xfId="31275" xr:uid="{00000000-0005-0000-0000-0000C6420000}"/>
    <cellStyle name="Normal 3 2 2 2 6 2 4" xfId="22185" xr:uid="{00000000-0005-0000-0000-0000C7420000}"/>
    <cellStyle name="Normal 3 2 2 2 6 3" xfId="5620" xr:uid="{00000000-0005-0000-0000-0000C8420000}"/>
    <cellStyle name="Normal 3 2 2 2 6 3 2" xfId="14720" xr:uid="{00000000-0005-0000-0000-0000C9420000}"/>
    <cellStyle name="Normal 3 2 2 2 6 3 2 2" xfId="32902" xr:uid="{00000000-0005-0000-0000-0000CA420000}"/>
    <cellStyle name="Normal 3 2 2 2 6 3 3" xfId="23812" xr:uid="{00000000-0005-0000-0000-0000CB420000}"/>
    <cellStyle name="Normal 3 2 2 2 6 4" xfId="10186" xr:uid="{00000000-0005-0000-0000-0000CC420000}"/>
    <cellStyle name="Normal 3 2 2 2 6 4 2" xfId="28368" xr:uid="{00000000-0005-0000-0000-0000CD420000}"/>
    <cellStyle name="Normal 3 2 2 2 6 5" xfId="19277" xr:uid="{00000000-0005-0000-0000-0000CE420000}"/>
    <cellStyle name="Normal 3 2 2 2 7" xfId="2426" xr:uid="{00000000-0005-0000-0000-0000CF420000}"/>
    <cellStyle name="Normal 3 2 2 2 7 2" xfId="7012" xr:uid="{00000000-0005-0000-0000-0000D0420000}"/>
    <cellStyle name="Normal 3 2 2 2 7 2 2" xfId="16112" xr:uid="{00000000-0005-0000-0000-0000D1420000}"/>
    <cellStyle name="Normal 3 2 2 2 7 2 2 2" xfId="34294" xr:uid="{00000000-0005-0000-0000-0000D2420000}"/>
    <cellStyle name="Normal 3 2 2 2 7 2 3" xfId="25204" xr:uid="{00000000-0005-0000-0000-0000D3420000}"/>
    <cellStyle name="Normal 3 2 2 2 7 3" xfId="11576" xr:uid="{00000000-0005-0000-0000-0000D4420000}"/>
    <cellStyle name="Normal 3 2 2 2 7 3 2" xfId="29758" xr:uid="{00000000-0005-0000-0000-0000D5420000}"/>
    <cellStyle name="Normal 3 2 2 2 7 4" xfId="20668" xr:uid="{00000000-0005-0000-0000-0000D6420000}"/>
    <cellStyle name="Normal 3 2 2 2 8" xfId="3192" xr:uid="{00000000-0005-0000-0000-0000D7420000}"/>
    <cellStyle name="Normal 3 2 2 2 8 2" xfId="7752" xr:uid="{00000000-0005-0000-0000-0000D8420000}"/>
    <cellStyle name="Normal 3 2 2 2 8 2 2" xfId="16848" xr:uid="{00000000-0005-0000-0000-0000D9420000}"/>
    <cellStyle name="Normal 3 2 2 2 8 2 2 2" xfId="35030" xr:uid="{00000000-0005-0000-0000-0000DA420000}"/>
    <cellStyle name="Normal 3 2 2 2 8 2 3" xfId="25940" xr:uid="{00000000-0005-0000-0000-0000DB420000}"/>
    <cellStyle name="Normal 3 2 2 2 8 3" xfId="12308" xr:uid="{00000000-0005-0000-0000-0000DC420000}"/>
    <cellStyle name="Normal 3 2 2 2 8 3 2" xfId="30490" xr:uid="{00000000-0005-0000-0000-0000DD420000}"/>
    <cellStyle name="Normal 3 2 2 2 8 4" xfId="21400" xr:uid="{00000000-0005-0000-0000-0000DE420000}"/>
    <cellStyle name="Normal 3 2 2 2 9" xfId="4842" xr:uid="{00000000-0005-0000-0000-0000DF420000}"/>
    <cellStyle name="Normal 3 2 2 2 9 2" xfId="13942" xr:uid="{00000000-0005-0000-0000-0000E0420000}"/>
    <cellStyle name="Normal 3 2 2 2 9 2 2" xfId="32124" xr:uid="{00000000-0005-0000-0000-0000E1420000}"/>
    <cellStyle name="Normal 3 2 2 2 9 3" xfId="23034" xr:uid="{00000000-0005-0000-0000-0000E2420000}"/>
    <cellStyle name="Normal 3 2 2 3" xfId="980" xr:uid="{00000000-0005-0000-0000-0000E3420000}"/>
    <cellStyle name="Normal 3 2 2 3 10" xfId="19278" xr:uid="{00000000-0005-0000-0000-0000E4420000}"/>
    <cellStyle name="Normal 3 2 2 3 2" xfId="981" xr:uid="{00000000-0005-0000-0000-0000E5420000}"/>
    <cellStyle name="Normal 3 2 2 3 2 2" xfId="982" xr:uid="{00000000-0005-0000-0000-0000E6420000}"/>
    <cellStyle name="Normal 3 2 2 3 2 2 2" xfId="983" xr:uid="{00000000-0005-0000-0000-0000E7420000}"/>
    <cellStyle name="Normal 3 2 2 3 2 2 2 2" xfId="2427" xr:uid="{00000000-0005-0000-0000-0000E8420000}"/>
    <cellStyle name="Normal 3 2 2 3 2 2 2 2 2" xfId="7013" xr:uid="{00000000-0005-0000-0000-0000E9420000}"/>
    <cellStyle name="Normal 3 2 2 3 2 2 2 2 2 2" xfId="16113" xr:uid="{00000000-0005-0000-0000-0000EA420000}"/>
    <cellStyle name="Normal 3 2 2 3 2 2 2 2 2 2 2" xfId="34295" xr:uid="{00000000-0005-0000-0000-0000EB420000}"/>
    <cellStyle name="Normal 3 2 2 3 2 2 2 2 2 3" xfId="25205" xr:uid="{00000000-0005-0000-0000-0000EC420000}"/>
    <cellStyle name="Normal 3 2 2 3 2 2 2 2 3" xfId="11577" xr:uid="{00000000-0005-0000-0000-0000ED420000}"/>
    <cellStyle name="Normal 3 2 2 3 2 2 2 2 3 2" xfId="29759" xr:uid="{00000000-0005-0000-0000-0000EE420000}"/>
    <cellStyle name="Normal 3 2 2 3 2 2 2 2 4" xfId="20669" xr:uid="{00000000-0005-0000-0000-0000EF420000}"/>
    <cellStyle name="Normal 3 2 2 3 2 2 2 3" xfId="3985" xr:uid="{00000000-0005-0000-0000-0000F0420000}"/>
    <cellStyle name="Normal 3 2 2 3 2 2 2 3 2" xfId="8541" xr:uid="{00000000-0005-0000-0000-0000F1420000}"/>
    <cellStyle name="Normal 3 2 2 3 2 2 2 3 2 2" xfId="17637" xr:uid="{00000000-0005-0000-0000-0000F2420000}"/>
    <cellStyle name="Normal 3 2 2 3 2 2 2 3 2 2 2" xfId="35819" xr:uid="{00000000-0005-0000-0000-0000F3420000}"/>
    <cellStyle name="Normal 3 2 2 3 2 2 2 3 2 3" xfId="26729" xr:uid="{00000000-0005-0000-0000-0000F4420000}"/>
    <cellStyle name="Normal 3 2 2 3 2 2 2 3 3" xfId="13097" xr:uid="{00000000-0005-0000-0000-0000F5420000}"/>
    <cellStyle name="Normal 3 2 2 3 2 2 2 3 3 2" xfId="31279" xr:uid="{00000000-0005-0000-0000-0000F6420000}"/>
    <cellStyle name="Normal 3 2 2 3 2 2 2 3 4" xfId="22189" xr:uid="{00000000-0005-0000-0000-0000F7420000}"/>
    <cellStyle name="Normal 3 2 2 3 2 2 2 4" xfId="5624" xr:uid="{00000000-0005-0000-0000-0000F8420000}"/>
    <cellStyle name="Normal 3 2 2 3 2 2 2 4 2" xfId="14724" xr:uid="{00000000-0005-0000-0000-0000F9420000}"/>
    <cellStyle name="Normal 3 2 2 3 2 2 2 4 2 2" xfId="32906" xr:uid="{00000000-0005-0000-0000-0000FA420000}"/>
    <cellStyle name="Normal 3 2 2 3 2 2 2 4 3" xfId="23816" xr:uid="{00000000-0005-0000-0000-0000FB420000}"/>
    <cellStyle name="Normal 3 2 2 3 2 2 2 5" xfId="10190" xr:uid="{00000000-0005-0000-0000-0000FC420000}"/>
    <cellStyle name="Normal 3 2 2 3 2 2 2 5 2" xfId="28372" xr:uid="{00000000-0005-0000-0000-0000FD420000}"/>
    <cellStyle name="Normal 3 2 2 3 2 2 2 6" xfId="19281" xr:uid="{00000000-0005-0000-0000-0000FE420000}"/>
    <cellStyle name="Normal 3 2 2 3 2 2 3" xfId="2428" xr:uid="{00000000-0005-0000-0000-0000FF420000}"/>
    <cellStyle name="Normal 3 2 2 3 2 2 3 2" xfId="7014" xr:uid="{00000000-0005-0000-0000-000000430000}"/>
    <cellStyle name="Normal 3 2 2 3 2 2 3 2 2" xfId="16114" xr:uid="{00000000-0005-0000-0000-000001430000}"/>
    <cellStyle name="Normal 3 2 2 3 2 2 3 2 2 2" xfId="34296" xr:uid="{00000000-0005-0000-0000-000002430000}"/>
    <cellStyle name="Normal 3 2 2 3 2 2 3 2 3" xfId="25206" xr:uid="{00000000-0005-0000-0000-000003430000}"/>
    <cellStyle name="Normal 3 2 2 3 2 2 3 3" xfId="11578" xr:uid="{00000000-0005-0000-0000-000004430000}"/>
    <cellStyle name="Normal 3 2 2 3 2 2 3 3 2" xfId="29760" xr:uid="{00000000-0005-0000-0000-000005430000}"/>
    <cellStyle name="Normal 3 2 2 3 2 2 3 4" xfId="20670" xr:uid="{00000000-0005-0000-0000-000006430000}"/>
    <cellStyle name="Normal 3 2 2 3 2 2 4" xfId="3984" xr:uid="{00000000-0005-0000-0000-000007430000}"/>
    <cellStyle name="Normal 3 2 2 3 2 2 4 2" xfId="8540" xr:uid="{00000000-0005-0000-0000-000008430000}"/>
    <cellStyle name="Normal 3 2 2 3 2 2 4 2 2" xfId="17636" xr:uid="{00000000-0005-0000-0000-000009430000}"/>
    <cellStyle name="Normal 3 2 2 3 2 2 4 2 2 2" xfId="35818" xr:uid="{00000000-0005-0000-0000-00000A430000}"/>
    <cellStyle name="Normal 3 2 2 3 2 2 4 2 3" xfId="26728" xr:uid="{00000000-0005-0000-0000-00000B430000}"/>
    <cellStyle name="Normal 3 2 2 3 2 2 4 3" xfId="13096" xr:uid="{00000000-0005-0000-0000-00000C430000}"/>
    <cellStyle name="Normal 3 2 2 3 2 2 4 3 2" xfId="31278" xr:uid="{00000000-0005-0000-0000-00000D430000}"/>
    <cellStyle name="Normal 3 2 2 3 2 2 4 4" xfId="22188" xr:uid="{00000000-0005-0000-0000-00000E430000}"/>
    <cellStyle name="Normal 3 2 2 3 2 2 5" xfId="5623" xr:uid="{00000000-0005-0000-0000-00000F430000}"/>
    <cellStyle name="Normal 3 2 2 3 2 2 5 2" xfId="14723" xr:uid="{00000000-0005-0000-0000-000010430000}"/>
    <cellStyle name="Normal 3 2 2 3 2 2 5 2 2" xfId="32905" xr:uid="{00000000-0005-0000-0000-000011430000}"/>
    <cellStyle name="Normal 3 2 2 3 2 2 5 3" xfId="23815" xr:uid="{00000000-0005-0000-0000-000012430000}"/>
    <cellStyle name="Normal 3 2 2 3 2 2 6" xfId="10189" xr:uid="{00000000-0005-0000-0000-000013430000}"/>
    <cellStyle name="Normal 3 2 2 3 2 2 6 2" xfId="28371" xr:uid="{00000000-0005-0000-0000-000014430000}"/>
    <cellStyle name="Normal 3 2 2 3 2 2 7" xfId="19280" xr:uid="{00000000-0005-0000-0000-000015430000}"/>
    <cellStyle name="Normal 3 2 2 3 2 3" xfId="984" xr:uid="{00000000-0005-0000-0000-000016430000}"/>
    <cellStyle name="Normal 3 2 2 3 2 3 2" xfId="2429" xr:uid="{00000000-0005-0000-0000-000017430000}"/>
    <cellStyle name="Normal 3 2 2 3 2 3 2 2" xfId="7015" xr:uid="{00000000-0005-0000-0000-000018430000}"/>
    <cellStyle name="Normal 3 2 2 3 2 3 2 2 2" xfId="16115" xr:uid="{00000000-0005-0000-0000-000019430000}"/>
    <cellStyle name="Normal 3 2 2 3 2 3 2 2 2 2" xfId="34297" xr:uid="{00000000-0005-0000-0000-00001A430000}"/>
    <cellStyle name="Normal 3 2 2 3 2 3 2 2 3" xfId="25207" xr:uid="{00000000-0005-0000-0000-00001B430000}"/>
    <cellStyle name="Normal 3 2 2 3 2 3 2 3" xfId="11579" xr:uid="{00000000-0005-0000-0000-00001C430000}"/>
    <cellStyle name="Normal 3 2 2 3 2 3 2 3 2" xfId="29761" xr:uid="{00000000-0005-0000-0000-00001D430000}"/>
    <cellStyle name="Normal 3 2 2 3 2 3 2 4" xfId="20671" xr:uid="{00000000-0005-0000-0000-00001E430000}"/>
    <cellStyle name="Normal 3 2 2 3 2 3 3" xfId="3986" xr:uid="{00000000-0005-0000-0000-00001F430000}"/>
    <cellStyle name="Normal 3 2 2 3 2 3 3 2" xfId="8542" xr:uid="{00000000-0005-0000-0000-000020430000}"/>
    <cellStyle name="Normal 3 2 2 3 2 3 3 2 2" xfId="17638" xr:uid="{00000000-0005-0000-0000-000021430000}"/>
    <cellStyle name="Normal 3 2 2 3 2 3 3 2 2 2" xfId="35820" xr:uid="{00000000-0005-0000-0000-000022430000}"/>
    <cellStyle name="Normal 3 2 2 3 2 3 3 2 3" xfId="26730" xr:uid="{00000000-0005-0000-0000-000023430000}"/>
    <cellStyle name="Normal 3 2 2 3 2 3 3 3" xfId="13098" xr:uid="{00000000-0005-0000-0000-000024430000}"/>
    <cellStyle name="Normal 3 2 2 3 2 3 3 3 2" xfId="31280" xr:uid="{00000000-0005-0000-0000-000025430000}"/>
    <cellStyle name="Normal 3 2 2 3 2 3 3 4" xfId="22190" xr:uid="{00000000-0005-0000-0000-000026430000}"/>
    <cellStyle name="Normal 3 2 2 3 2 3 4" xfId="5625" xr:uid="{00000000-0005-0000-0000-000027430000}"/>
    <cellStyle name="Normal 3 2 2 3 2 3 4 2" xfId="14725" xr:uid="{00000000-0005-0000-0000-000028430000}"/>
    <cellStyle name="Normal 3 2 2 3 2 3 4 2 2" xfId="32907" xr:uid="{00000000-0005-0000-0000-000029430000}"/>
    <cellStyle name="Normal 3 2 2 3 2 3 4 3" xfId="23817" xr:uid="{00000000-0005-0000-0000-00002A430000}"/>
    <cellStyle name="Normal 3 2 2 3 2 3 5" xfId="10191" xr:uid="{00000000-0005-0000-0000-00002B430000}"/>
    <cellStyle name="Normal 3 2 2 3 2 3 5 2" xfId="28373" xr:uid="{00000000-0005-0000-0000-00002C430000}"/>
    <cellStyle name="Normal 3 2 2 3 2 3 6" xfId="19282" xr:uid="{00000000-0005-0000-0000-00002D430000}"/>
    <cellStyle name="Normal 3 2 2 3 2 4" xfId="985" xr:uid="{00000000-0005-0000-0000-00002E430000}"/>
    <cellStyle name="Normal 3 2 2 3 2 4 2" xfId="3987" xr:uid="{00000000-0005-0000-0000-00002F430000}"/>
    <cellStyle name="Normal 3 2 2 3 2 4 2 2" xfId="8543" xr:uid="{00000000-0005-0000-0000-000030430000}"/>
    <cellStyle name="Normal 3 2 2 3 2 4 2 2 2" xfId="17639" xr:uid="{00000000-0005-0000-0000-000031430000}"/>
    <cellStyle name="Normal 3 2 2 3 2 4 2 2 2 2" xfId="35821" xr:uid="{00000000-0005-0000-0000-000032430000}"/>
    <cellStyle name="Normal 3 2 2 3 2 4 2 2 3" xfId="26731" xr:uid="{00000000-0005-0000-0000-000033430000}"/>
    <cellStyle name="Normal 3 2 2 3 2 4 2 3" xfId="13099" xr:uid="{00000000-0005-0000-0000-000034430000}"/>
    <cellStyle name="Normal 3 2 2 3 2 4 2 3 2" xfId="31281" xr:uid="{00000000-0005-0000-0000-000035430000}"/>
    <cellStyle name="Normal 3 2 2 3 2 4 2 4" xfId="22191" xr:uid="{00000000-0005-0000-0000-000036430000}"/>
    <cellStyle name="Normal 3 2 2 3 2 4 3" xfId="5626" xr:uid="{00000000-0005-0000-0000-000037430000}"/>
    <cellStyle name="Normal 3 2 2 3 2 4 3 2" xfId="14726" xr:uid="{00000000-0005-0000-0000-000038430000}"/>
    <cellStyle name="Normal 3 2 2 3 2 4 3 2 2" xfId="32908" xr:uid="{00000000-0005-0000-0000-000039430000}"/>
    <cellStyle name="Normal 3 2 2 3 2 4 3 3" xfId="23818" xr:uid="{00000000-0005-0000-0000-00003A430000}"/>
    <cellStyle name="Normal 3 2 2 3 2 4 4" xfId="10192" xr:uid="{00000000-0005-0000-0000-00003B430000}"/>
    <cellStyle name="Normal 3 2 2 3 2 4 4 2" xfId="28374" xr:uid="{00000000-0005-0000-0000-00003C430000}"/>
    <cellStyle name="Normal 3 2 2 3 2 4 5" xfId="19283" xr:uid="{00000000-0005-0000-0000-00003D430000}"/>
    <cellStyle name="Normal 3 2 2 3 2 5" xfId="2430" xr:uid="{00000000-0005-0000-0000-00003E430000}"/>
    <cellStyle name="Normal 3 2 2 3 2 5 2" xfId="7016" xr:uid="{00000000-0005-0000-0000-00003F430000}"/>
    <cellStyle name="Normal 3 2 2 3 2 5 2 2" xfId="16116" xr:uid="{00000000-0005-0000-0000-000040430000}"/>
    <cellStyle name="Normal 3 2 2 3 2 5 2 2 2" xfId="34298" xr:uid="{00000000-0005-0000-0000-000041430000}"/>
    <cellStyle name="Normal 3 2 2 3 2 5 2 3" xfId="25208" xr:uid="{00000000-0005-0000-0000-000042430000}"/>
    <cellStyle name="Normal 3 2 2 3 2 5 3" xfId="11580" xr:uid="{00000000-0005-0000-0000-000043430000}"/>
    <cellStyle name="Normal 3 2 2 3 2 5 3 2" xfId="29762" xr:uid="{00000000-0005-0000-0000-000044430000}"/>
    <cellStyle name="Normal 3 2 2 3 2 5 4" xfId="20672" xr:uid="{00000000-0005-0000-0000-000045430000}"/>
    <cellStyle name="Normal 3 2 2 3 2 6" xfId="3983" xr:uid="{00000000-0005-0000-0000-000046430000}"/>
    <cellStyle name="Normal 3 2 2 3 2 6 2" xfId="8539" xr:uid="{00000000-0005-0000-0000-000047430000}"/>
    <cellStyle name="Normal 3 2 2 3 2 6 2 2" xfId="17635" xr:uid="{00000000-0005-0000-0000-000048430000}"/>
    <cellStyle name="Normal 3 2 2 3 2 6 2 2 2" xfId="35817" xr:uid="{00000000-0005-0000-0000-000049430000}"/>
    <cellStyle name="Normal 3 2 2 3 2 6 2 3" xfId="26727" xr:uid="{00000000-0005-0000-0000-00004A430000}"/>
    <cellStyle name="Normal 3 2 2 3 2 6 3" xfId="13095" xr:uid="{00000000-0005-0000-0000-00004B430000}"/>
    <cellStyle name="Normal 3 2 2 3 2 6 3 2" xfId="31277" xr:uid="{00000000-0005-0000-0000-00004C430000}"/>
    <cellStyle name="Normal 3 2 2 3 2 6 4" xfId="22187" xr:uid="{00000000-0005-0000-0000-00004D430000}"/>
    <cellStyle name="Normal 3 2 2 3 2 7" xfId="5622" xr:uid="{00000000-0005-0000-0000-00004E430000}"/>
    <cellStyle name="Normal 3 2 2 3 2 7 2" xfId="14722" xr:uid="{00000000-0005-0000-0000-00004F430000}"/>
    <cellStyle name="Normal 3 2 2 3 2 7 2 2" xfId="32904" xr:uid="{00000000-0005-0000-0000-000050430000}"/>
    <cellStyle name="Normal 3 2 2 3 2 7 3" xfId="23814" xr:uid="{00000000-0005-0000-0000-000051430000}"/>
    <cellStyle name="Normal 3 2 2 3 2 8" xfId="10188" xr:uid="{00000000-0005-0000-0000-000052430000}"/>
    <cellStyle name="Normal 3 2 2 3 2 8 2" xfId="28370" xr:uid="{00000000-0005-0000-0000-000053430000}"/>
    <cellStyle name="Normal 3 2 2 3 2 9" xfId="19279" xr:uid="{00000000-0005-0000-0000-000054430000}"/>
    <cellStyle name="Normal 3 2 2 3 3" xfId="986" xr:uid="{00000000-0005-0000-0000-000055430000}"/>
    <cellStyle name="Normal 3 2 2 3 3 2" xfId="987" xr:uid="{00000000-0005-0000-0000-000056430000}"/>
    <cellStyle name="Normal 3 2 2 3 3 2 2" xfId="2431" xr:uid="{00000000-0005-0000-0000-000057430000}"/>
    <cellStyle name="Normal 3 2 2 3 3 2 2 2" xfId="7017" xr:uid="{00000000-0005-0000-0000-000058430000}"/>
    <cellStyle name="Normal 3 2 2 3 3 2 2 2 2" xfId="16117" xr:uid="{00000000-0005-0000-0000-000059430000}"/>
    <cellStyle name="Normal 3 2 2 3 3 2 2 2 2 2" xfId="34299" xr:uid="{00000000-0005-0000-0000-00005A430000}"/>
    <cellStyle name="Normal 3 2 2 3 3 2 2 2 3" xfId="25209" xr:uid="{00000000-0005-0000-0000-00005B430000}"/>
    <cellStyle name="Normal 3 2 2 3 3 2 2 3" xfId="11581" xr:uid="{00000000-0005-0000-0000-00005C430000}"/>
    <cellStyle name="Normal 3 2 2 3 3 2 2 3 2" xfId="29763" xr:uid="{00000000-0005-0000-0000-00005D430000}"/>
    <cellStyle name="Normal 3 2 2 3 3 2 2 4" xfId="20673" xr:uid="{00000000-0005-0000-0000-00005E430000}"/>
    <cellStyle name="Normal 3 2 2 3 3 2 3" xfId="3989" xr:uid="{00000000-0005-0000-0000-00005F430000}"/>
    <cellStyle name="Normal 3 2 2 3 3 2 3 2" xfId="8545" xr:uid="{00000000-0005-0000-0000-000060430000}"/>
    <cellStyle name="Normal 3 2 2 3 3 2 3 2 2" xfId="17641" xr:uid="{00000000-0005-0000-0000-000061430000}"/>
    <cellStyle name="Normal 3 2 2 3 3 2 3 2 2 2" xfId="35823" xr:uid="{00000000-0005-0000-0000-000062430000}"/>
    <cellStyle name="Normal 3 2 2 3 3 2 3 2 3" xfId="26733" xr:uid="{00000000-0005-0000-0000-000063430000}"/>
    <cellStyle name="Normal 3 2 2 3 3 2 3 3" xfId="13101" xr:uid="{00000000-0005-0000-0000-000064430000}"/>
    <cellStyle name="Normal 3 2 2 3 3 2 3 3 2" xfId="31283" xr:uid="{00000000-0005-0000-0000-000065430000}"/>
    <cellStyle name="Normal 3 2 2 3 3 2 3 4" xfId="22193" xr:uid="{00000000-0005-0000-0000-000066430000}"/>
    <cellStyle name="Normal 3 2 2 3 3 2 4" xfId="5628" xr:uid="{00000000-0005-0000-0000-000067430000}"/>
    <cellStyle name="Normal 3 2 2 3 3 2 4 2" xfId="14728" xr:uid="{00000000-0005-0000-0000-000068430000}"/>
    <cellStyle name="Normal 3 2 2 3 3 2 4 2 2" xfId="32910" xr:uid="{00000000-0005-0000-0000-000069430000}"/>
    <cellStyle name="Normal 3 2 2 3 3 2 4 3" xfId="23820" xr:uid="{00000000-0005-0000-0000-00006A430000}"/>
    <cellStyle name="Normal 3 2 2 3 3 2 5" xfId="10194" xr:uid="{00000000-0005-0000-0000-00006B430000}"/>
    <cellStyle name="Normal 3 2 2 3 3 2 5 2" xfId="28376" xr:uid="{00000000-0005-0000-0000-00006C430000}"/>
    <cellStyle name="Normal 3 2 2 3 3 2 6" xfId="19285" xr:uid="{00000000-0005-0000-0000-00006D430000}"/>
    <cellStyle name="Normal 3 2 2 3 3 3" xfId="2432" xr:uid="{00000000-0005-0000-0000-00006E430000}"/>
    <cellStyle name="Normal 3 2 2 3 3 3 2" xfId="7018" xr:uid="{00000000-0005-0000-0000-00006F430000}"/>
    <cellStyle name="Normal 3 2 2 3 3 3 2 2" xfId="16118" xr:uid="{00000000-0005-0000-0000-000070430000}"/>
    <cellStyle name="Normal 3 2 2 3 3 3 2 2 2" xfId="34300" xr:uid="{00000000-0005-0000-0000-000071430000}"/>
    <cellStyle name="Normal 3 2 2 3 3 3 2 3" xfId="25210" xr:uid="{00000000-0005-0000-0000-000072430000}"/>
    <cellStyle name="Normal 3 2 2 3 3 3 3" xfId="11582" xr:uid="{00000000-0005-0000-0000-000073430000}"/>
    <cellStyle name="Normal 3 2 2 3 3 3 3 2" xfId="29764" xr:uid="{00000000-0005-0000-0000-000074430000}"/>
    <cellStyle name="Normal 3 2 2 3 3 3 4" xfId="20674" xr:uid="{00000000-0005-0000-0000-000075430000}"/>
    <cellStyle name="Normal 3 2 2 3 3 4" xfId="3988" xr:uid="{00000000-0005-0000-0000-000076430000}"/>
    <cellStyle name="Normal 3 2 2 3 3 4 2" xfId="8544" xr:uid="{00000000-0005-0000-0000-000077430000}"/>
    <cellStyle name="Normal 3 2 2 3 3 4 2 2" xfId="17640" xr:uid="{00000000-0005-0000-0000-000078430000}"/>
    <cellStyle name="Normal 3 2 2 3 3 4 2 2 2" xfId="35822" xr:uid="{00000000-0005-0000-0000-000079430000}"/>
    <cellStyle name="Normal 3 2 2 3 3 4 2 3" xfId="26732" xr:uid="{00000000-0005-0000-0000-00007A430000}"/>
    <cellStyle name="Normal 3 2 2 3 3 4 3" xfId="13100" xr:uid="{00000000-0005-0000-0000-00007B430000}"/>
    <cellStyle name="Normal 3 2 2 3 3 4 3 2" xfId="31282" xr:uid="{00000000-0005-0000-0000-00007C430000}"/>
    <cellStyle name="Normal 3 2 2 3 3 4 4" xfId="22192" xr:uid="{00000000-0005-0000-0000-00007D430000}"/>
    <cellStyle name="Normal 3 2 2 3 3 5" xfId="5627" xr:uid="{00000000-0005-0000-0000-00007E430000}"/>
    <cellStyle name="Normal 3 2 2 3 3 5 2" xfId="14727" xr:uid="{00000000-0005-0000-0000-00007F430000}"/>
    <cellStyle name="Normal 3 2 2 3 3 5 2 2" xfId="32909" xr:uid="{00000000-0005-0000-0000-000080430000}"/>
    <cellStyle name="Normal 3 2 2 3 3 5 3" xfId="23819" xr:uid="{00000000-0005-0000-0000-000081430000}"/>
    <cellStyle name="Normal 3 2 2 3 3 6" xfId="10193" xr:uid="{00000000-0005-0000-0000-000082430000}"/>
    <cellStyle name="Normal 3 2 2 3 3 6 2" xfId="28375" xr:uid="{00000000-0005-0000-0000-000083430000}"/>
    <cellStyle name="Normal 3 2 2 3 3 7" xfId="19284" xr:uid="{00000000-0005-0000-0000-000084430000}"/>
    <cellStyle name="Normal 3 2 2 3 4" xfId="988" xr:uid="{00000000-0005-0000-0000-000085430000}"/>
    <cellStyle name="Normal 3 2 2 3 4 2" xfId="2433" xr:uid="{00000000-0005-0000-0000-000086430000}"/>
    <cellStyle name="Normal 3 2 2 3 4 2 2" xfId="7019" xr:uid="{00000000-0005-0000-0000-000087430000}"/>
    <cellStyle name="Normal 3 2 2 3 4 2 2 2" xfId="16119" xr:uid="{00000000-0005-0000-0000-000088430000}"/>
    <cellStyle name="Normal 3 2 2 3 4 2 2 2 2" xfId="34301" xr:uid="{00000000-0005-0000-0000-000089430000}"/>
    <cellStyle name="Normal 3 2 2 3 4 2 2 3" xfId="25211" xr:uid="{00000000-0005-0000-0000-00008A430000}"/>
    <cellStyle name="Normal 3 2 2 3 4 2 3" xfId="11583" xr:uid="{00000000-0005-0000-0000-00008B430000}"/>
    <cellStyle name="Normal 3 2 2 3 4 2 3 2" xfId="29765" xr:uid="{00000000-0005-0000-0000-00008C430000}"/>
    <cellStyle name="Normal 3 2 2 3 4 2 4" xfId="20675" xr:uid="{00000000-0005-0000-0000-00008D430000}"/>
    <cellStyle name="Normal 3 2 2 3 4 3" xfId="3990" xr:uid="{00000000-0005-0000-0000-00008E430000}"/>
    <cellStyle name="Normal 3 2 2 3 4 3 2" xfId="8546" xr:uid="{00000000-0005-0000-0000-00008F430000}"/>
    <cellStyle name="Normal 3 2 2 3 4 3 2 2" xfId="17642" xr:uid="{00000000-0005-0000-0000-000090430000}"/>
    <cellStyle name="Normal 3 2 2 3 4 3 2 2 2" xfId="35824" xr:uid="{00000000-0005-0000-0000-000091430000}"/>
    <cellStyle name="Normal 3 2 2 3 4 3 2 3" xfId="26734" xr:uid="{00000000-0005-0000-0000-000092430000}"/>
    <cellStyle name="Normal 3 2 2 3 4 3 3" xfId="13102" xr:uid="{00000000-0005-0000-0000-000093430000}"/>
    <cellStyle name="Normal 3 2 2 3 4 3 3 2" xfId="31284" xr:uid="{00000000-0005-0000-0000-000094430000}"/>
    <cellStyle name="Normal 3 2 2 3 4 3 4" xfId="22194" xr:uid="{00000000-0005-0000-0000-000095430000}"/>
    <cellStyle name="Normal 3 2 2 3 4 4" xfId="5629" xr:uid="{00000000-0005-0000-0000-000096430000}"/>
    <cellStyle name="Normal 3 2 2 3 4 4 2" xfId="14729" xr:uid="{00000000-0005-0000-0000-000097430000}"/>
    <cellStyle name="Normal 3 2 2 3 4 4 2 2" xfId="32911" xr:uid="{00000000-0005-0000-0000-000098430000}"/>
    <cellStyle name="Normal 3 2 2 3 4 4 3" xfId="23821" xr:uid="{00000000-0005-0000-0000-000099430000}"/>
    <cellStyle name="Normal 3 2 2 3 4 5" xfId="10195" xr:uid="{00000000-0005-0000-0000-00009A430000}"/>
    <cellStyle name="Normal 3 2 2 3 4 5 2" xfId="28377" xr:uid="{00000000-0005-0000-0000-00009B430000}"/>
    <cellStyle name="Normal 3 2 2 3 4 6" xfId="19286" xr:uid="{00000000-0005-0000-0000-00009C430000}"/>
    <cellStyle name="Normal 3 2 2 3 5" xfId="989" xr:uid="{00000000-0005-0000-0000-00009D430000}"/>
    <cellStyle name="Normal 3 2 2 3 5 2" xfId="3991" xr:uid="{00000000-0005-0000-0000-00009E430000}"/>
    <cellStyle name="Normal 3 2 2 3 5 2 2" xfId="8547" xr:uid="{00000000-0005-0000-0000-00009F430000}"/>
    <cellStyle name="Normal 3 2 2 3 5 2 2 2" xfId="17643" xr:uid="{00000000-0005-0000-0000-0000A0430000}"/>
    <cellStyle name="Normal 3 2 2 3 5 2 2 2 2" xfId="35825" xr:uid="{00000000-0005-0000-0000-0000A1430000}"/>
    <cellStyle name="Normal 3 2 2 3 5 2 2 3" xfId="26735" xr:uid="{00000000-0005-0000-0000-0000A2430000}"/>
    <cellStyle name="Normal 3 2 2 3 5 2 3" xfId="13103" xr:uid="{00000000-0005-0000-0000-0000A3430000}"/>
    <cellStyle name="Normal 3 2 2 3 5 2 3 2" xfId="31285" xr:uid="{00000000-0005-0000-0000-0000A4430000}"/>
    <cellStyle name="Normal 3 2 2 3 5 2 4" xfId="22195" xr:uid="{00000000-0005-0000-0000-0000A5430000}"/>
    <cellStyle name="Normal 3 2 2 3 5 3" xfId="5630" xr:uid="{00000000-0005-0000-0000-0000A6430000}"/>
    <cellStyle name="Normal 3 2 2 3 5 3 2" xfId="14730" xr:uid="{00000000-0005-0000-0000-0000A7430000}"/>
    <cellStyle name="Normal 3 2 2 3 5 3 2 2" xfId="32912" xr:uid="{00000000-0005-0000-0000-0000A8430000}"/>
    <cellStyle name="Normal 3 2 2 3 5 3 3" xfId="23822" xr:uid="{00000000-0005-0000-0000-0000A9430000}"/>
    <cellStyle name="Normal 3 2 2 3 5 4" xfId="10196" xr:uid="{00000000-0005-0000-0000-0000AA430000}"/>
    <cellStyle name="Normal 3 2 2 3 5 4 2" xfId="28378" xr:uid="{00000000-0005-0000-0000-0000AB430000}"/>
    <cellStyle name="Normal 3 2 2 3 5 5" xfId="19287" xr:uid="{00000000-0005-0000-0000-0000AC430000}"/>
    <cellStyle name="Normal 3 2 2 3 6" xfId="2434" xr:uid="{00000000-0005-0000-0000-0000AD430000}"/>
    <cellStyle name="Normal 3 2 2 3 6 2" xfId="7020" xr:uid="{00000000-0005-0000-0000-0000AE430000}"/>
    <cellStyle name="Normal 3 2 2 3 6 2 2" xfId="16120" xr:uid="{00000000-0005-0000-0000-0000AF430000}"/>
    <cellStyle name="Normal 3 2 2 3 6 2 2 2" xfId="34302" xr:uid="{00000000-0005-0000-0000-0000B0430000}"/>
    <cellStyle name="Normal 3 2 2 3 6 2 3" xfId="25212" xr:uid="{00000000-0005-0000-0000-0000B1430000}"/>
    <cellStyle name="Normal 3 2 2 3 6 3" xfId="11584" xr:uid="{00000000-0005-0000-0000-0000B2430000}"/>
    <cellStyle name="Normal 3 2 2 3 6 3 2" xfId="29766" xr:uid="{00000000-0005-0000-0000-0000B3430000}"/>
    <cellStyle name="Normal 3 2 2 3 6 4" xfId="20676" xr:uid="{00000000-0005-0000-0000-0000B4430000}"/>
    <cellStyle name="Normal 3 2 2 3 7" xfId="3982" xr:uid="{00000000-0005-0000-0000-0000B5430000}"/>
    <cellStyle name="Normal 3 2 2 3 7 2" xfId="8538" xr:uid="{00000000-0005-0000-0000-0000B6430000}"/>
    <cellStyle name="Normal 3 2 2 3 7 2 2" xfId="17634" xr:uid="{00000000-0005-0000-0000-0000B7430000}"/>
    <cellStyle name="Normal 3 2 2 3 7 2 2 2" xfId="35816" xr:uid="{00000000-0005-0000-0000-0000B8430000}"/>
    <cellStyle name="Normal 3 2 2 3 7 2 3" xfId="26726" xr:uid="{00000000-0005-0000-0000-0000B9430000}"/>
    <cellStyle name="Normal 3 2 2 3 7 3" xfId="13094" xr:uid="{00000000-0005-0000-0000-0000BA430000}"/>
    <cellStyle name="Normal 3 2 2 3 7 3 2" xfId="31276" xr:uid="{00000000-0005-0000-0000-0000BB430000}"/>
    <cellStyle name="Normal 3 2 2 3 7 4" xfId="22186" xr:uid="{00000000-0005-0000-0000-0000BC430000}"/>
    <cellStyle name="Normal 3 2 2 3 8" xfId="5621" xr:uid="{00000000-0005-0000-0000-0000BD430000}"/>
    <cellStyle name="Normal 3 2 2 3 8 2" xfId="14721" xr:uid="{00000000-0005-0000-0000-0000BE430000}"/>
    <cellStyle name="Normal 3 2 2 3 8 2 2" xfId="32903" xr:uid="{00000000-0005-0000-0000-0000BF430000}"/>
    <cellStyle name="Normal 3 2 2 3 8 3" xfId="23813" xr:uid="{00000000-0005-0000-0000-0000C0430000}"/>
    <cellStyle name="Normal 3 2 2 3 9" xfId="10187" xr:uid="{00000000-0005-0000-0000-0000C1430000}"/>
    <cellStyle name="Normal 3 2 2 3 9 2" xfId="28369" xr:uid="{00000000-0005-0000-0000-0000C2430000}"/>
    <cellStyle name="Normal 3 2 2 4" xfId="990" xr:uid="{00000000-0005-0000-0000-0000C3430000}"/>
    <cellStyle name="Normal 3 2 2 4 2" xfId="991" xr:uid="{00000000-0005-0000-0000-0000C4430000}"/>
    <cellStyle name="Normal 3 2 2 4 2 2" xfId="992" xr:uid="{00000000-0005-0000-0000-0000C5430000}"/>
    <cellStyle name="Normal 3 2 2 4 2 2 2" xfId="2435" xr:uid="{00000000-0005-0000-0000-0000C6430000}"/>
    <cellStyle name="Normal 3 2 2 4 2 2 2 2" xfId="7021" xr:uid="{00000000-0005-0000-0000-0000C7430000}"/>
    <cellStyle name="Normal 3 2 2 4 2 2 2 2 2" xfId="16121" xr:uid="{00000000-0005-0000-0000-0000C8430000}"/>
    <cellStyle name="Normal 3 2 2 4 2 2 2 2 2 2" xfId="34303" xr:uid="{00000000-0005-0000-0000-0000C9430000}"/>
    <cellStyle name="Normal 3 2 2 4 2 2 2 2 3" xfId="25213" xr:uid="{00000000-0005-0000-0000-0000CA430000}"/>
    <cellStyle name="Normal 3 2 2 4 2 2 2 3" xfId="11585" xr:uid="{00000000-0005-0000-0000-0000CB430000}"/>
    <cellStyle name="Normal 3 2 2 4 2 2 2 3 2" xfId="29767" xr:uid="{00000000-0005-0000-0000-0000CC430000}"/>
    <cellStyle name="Normal 3 2 2 4 2 2 2 4" xfId="20677" xr:uid="{00000000-0005-0000-0000-0000CD430000}"/>
    <cellStyle name="Normal 3 2 2 4 2 2 3" xfId="3994" xr:uid="{00000000-0005-0000-0000-0000CE430000}"/>
    <cellStyle name="Normal 3 2 2 4 2 2 3 2" xfId="8550" xr:uid="{00000000-0005-0000-0000-0000CF430000}"/>
    <cellStyle name="Normal 3 2 2 4 2 2 3 2 2" xfId="17646" xr:uid="{00000000-0005-0000-0000-0000D0430000}"/>
    <cellStyle name="Normal 3 2 2 4 2 2 3 2 2 2" xfId="35828" xr:uid="{00000000-0005-0000-0000-0000D1430000}"/>
    <cellStyle name="Normal 3 2 2 4 2 2 3 2 3" xfId="26738" xr:uid="{00000000-0005-0000-0000-0000D2430000}"/>
    <cellStyle name="Normal 3 2 2 4 2 2 3 3" xfId="13106" xr:uid="{00000000-0005-0000-0000-0000D3430000}"/>
    <cellStyle name="Normal 3 2 2 4 2 2 3 3 2" xfId="31288" xr:uid="{00000000-0005-0000-0000-0000D4430000}"/>
    <cellStyle name="Normal 3 2 2 4 2 2 3 4" xfId="22198" xr:uid="{00000000-0005-0000-0000-0000D5430000}"/>
    <cellStyle name="Normal 3 2 2 4 2 2 4" xfId="5633" xr:uid="{00000000-0005-0000-0000-0000D6430000}"/>
    <cellStyle name="Normal 3 2 2 4 2 2 4 2" xfId="14733" xr:uid="{00000000-0005-0000-0000-0000D7430000}"/>
    <cellStyle name="Normal 3 2 2 4 2 2 4 2 2" xfId="32915" xr:uid="{00000000-0005-0000-0000-0000D8430000}"/>
    <cellStyle name="Normal 3 2 2 4 2 2 4 3" xfId="23825" xr:uid="{00000000-0005-0000-0000-0000D9430000}"/>
    <cellStyle name="Normal 3 2 2 4 2 2 5" xfId="10199" xr:uid="{00000000-0005-0000-0000-0000DA430000}"/>
    <cellStyle name="Normal 3 2 2 4 2 2 5 2" xfId="28381" xr:uid="{00000000-0005-0000-0000-0000DB430000}"/>
    <cellStyle name="Normal 3 2 2 4 2 2 6" xfId="19290" xr:uid="{00000000-0005-0000-0000-0000DC430000}"/>
    <cellStyle name="Normal 3 2 2 4 2 3" xfId="2436" xr:uid="{00000000-0005-0000-0000-0000DD430000}"/>
    <cellStyle name="Normal 3 2 2 4 2 3 2" xfId="7022" xr:uid="{00000000-0005-0000-0000-0000DE430000}"/>
    <cellStyle name="Normal 3 2 2 4 2 3 2 2" xfId="16122" xr:uid="{00000000-0005-0000-0000-0000DF430000}"/>
    <cellStyle name="Normal 3 2 2 4 2 3 2 2 2" xfId="34304" xr:uid="{00000000-0005-0000-0000-0000E0430000}"/>
    <cellStyle name="Normal 3 2 2 4 2 3 2 3" xfId="25214" xr:uid="{00000000-0005-0000-0000-0000E1430000}"/>
    <cellStyle name="Normal 3 2 2 4 2 3 3" xfId="11586" xr:uid="{00000000-0005-0000-0000-0000E2430000}"/>
    <cellStyle name="Normal 3 2 2 4 2 3 3 2" xfId="29768" xr:uid="{00000000-0005-0000-0000-0000E3430000}"/>
    <cellStyle name="Normal 3 2 2 4 2 3 4" xfId="20678" xr:uid="{00000000-0005-0000-0000-0000E4430000}"/>
    <cellStyle name="Normal 3 2 2 4 2 4" xfId="3993" xr:uid="{00000000-0005-0000-0000-0000E5430000}"/>
    <cellStyle name="Normal 3 2 2 4 2 4 2" xfId="8549" xr:uid="{00000000-0005-0000-0000-0000E6430000}"/>
    <cellStyle name="Normal 3 2 2 4 2 4 2 2" xfId="17645" xr:uid="{00000000-0005-0000-0000-0000E7430000}"/>
    <cellStyle name="Normal 3 2 2 4 2 4 2 2 2" xfId="35827" xr:uid="{00000000-0005-0000-0000-0000E8430000}"/>
    <cellStyle name="Normal 3 2 2 4 2 4 2 3" xfId="26737" xr:uid="{00000000-0005-0000-0000-0000E9430000}"/>
    <cellStyle name="Normal 3 2 2 4 2 4 3" xfId="13105" xr:uid="{00000000-0005-0000-0000-0000EA430000}"/>
    <cellStyle name="Normal 3 2 2 4 2 4 3 2" xfId="31287" xr:uid="{00000000-0005-0000-0000-0000EB430000}"/>
    <cellStyle name="Normal 3 2 2 4 2 4 4" xfId="22197" xr:uid="{00000000-0005-0000-0000-0000EC430000}"/>
    <cellStyle name="Normal 3 2 2 4 2 5" xfId="5632" xr:uid="{00000000-0005-0000-0000-0000ED430000}"/>
    <cellStyle name="Normal 3 2 2 4 2 5 2" xfId="14732" xr:uid="{00000000-0005-0000-0000-0000EE430000}"/>
    <cellStyle name="Normal 3 2 2 4 2 5 2 2" xfId="32914" xr:uid="{00000000-0005-0000-0000-0000EF430000}"/>
    <cellStyle name="Normal 3 2 2 4 2 5 3" xfId="23824" xr:uid="{00000000-0005-0000-0000-0000F0430000}"/>
    <cellStyle name="Normal 3 2 2 4 2 6" xfId="10198" xr:uid="{00000000-0005-0000-0000-0000F1430000}"/>
    <cellStyle name="Normal 3 2 2 4 2 6 2" xfId="28380" xr:uid="{00000000-0005-0000-0000-0000F2430000}"/>
    <cellStyle name="Normal 3 2 2 4 2 7" xfId="19289" xr:uid="{00000000-0005-0000-0000-0000F3430000}"/>
    <cellStyle name="Normal 3 2 2 4 3" xfId="993" xr:uid="{00000000-0005-0000-0000-0000F4430000}"/>
    <cellStyle name="Normal 3 2 2 4 3 2" xfId="2437" xr:uid="{00000000-0005-0000-0000-0000F5430000}"/>
    <cellStyle name="Normal 3 2 2 4 3 2 2" xfId="7023" xr:uid="{00000000-0005-0000-0000-0000F6430000}"/>
    <cellStyle name="Normal 3 2 2 4 3 2 2 2" xfId="16123" xr:uid="{00000000-0005-0000-0000-0000F7430000}"/>
    <cellStyle name="Normal 3 2 2 4 3 2 2 2 2" xfId="34305" xr:uid="{00000000-0005-0000-0000-0000F8430000}"/>
    <cellStyle name="Normal 3 2 2 4 3 2 2 3" xfId="25215" xr:uid="{00000000-0005-0000-0000-0000F9430000}"/>
    <cellStyle name="Normal 3 2 2 4 3 2 3" xfId="11587" xr:uid="{00000000-0005-0000-0000-0000FA430000}"/>
    <cellStyle name="Normal 3 2 2 4 3 2 3 2" xfId="29769" xr:uid="{00000000-0005-0000-0000-0000FB430000}"/>
    <cellStyle name="Normal 3 2 2 4 3 2 4" xfId="20679" xr:uid="{00000000-0005-0000-0000-0000FC430000}"/>
    <cellStyle name="Normal 3 2 2 4 3 3" xfId="3995" xr:uid="{00000000-0005-0000-0000-0000FD430000}"/>
    <cellStyle name="Normal 3 2 2 4 3 3 2" xfId="8551" xr:uid="{00000000-0005-0000-0000-0000FE430000}"/>
    <cellStyle name="Normal 3 2 2 4 3 3 2 2" xfId="17647" xr:uid="{00000000-0005-0000-0000-0000FF430000}"/>
    <cellStyle name="Normal 3 2 2 4 3 3 2 2 2" xfId="35829" xr:uid="{00000000-0005-0000-0000-000000440000}"/>
    <cellStyle name="Normal 3 2 2 4 3 3 2 3" xfId="26739" xr:uid="{00000000-0005-0000-0000-000001440000}"/>
    <cellStyle name="Normal 3 2 2 4 3 3 3" xfId="13107" xr:uid="{00000000-0005-0000-0000-000002440000}"/>
    <cellStyle name="Normal 3 2 2 4 3 3 3 2" xfId="31289" xr:uid="{00000000-0005-0000-0000-000003440000}"/>
    <cellStyle name="Normal 3 2 2 4 3 3 4" xfId="22199" xr:uid="{00000000-0005-0000-0000-000004440000}"/>
    <cellStyle name="Normal 3 2 2 4 3 4" xfId="5634" xr:uid="{00000000-0005-0000-0000-000005440000}"/>
    <cellStyle name="Normal 3 2 2 4 3 4 2" xfId="14734" xr:uid="{00000000-0005-0000-0000-000006440000}"/>
    <cellStyle name="Normal 3 2 2 4 3 4 2 2" xfId="32916" xr:uid="{00000000-0005-0000-0000-000007440000}"/>
    <cellStyle name="Normal 3 2 2 4 3 4 3" xfId="23826" xr:uid="{00000000-0005-0000-0000-000008440000}"/>
    <cellStyle name="Normal 3 2 2 4 3 5" xfId="10200" xr:uid="{00000000-0005-0000-0000-000009440000}"/>
    <cellStyle name="Normal 3 2 2 4 3 5 2" xfId="28382" xr:uid="{00000000-0005-0000-0000-00000A440000}"/>
    <cellStyle name="Normal 3 2 2 4 3 6" xfId="19291" xr:uid="{00000000-0005-0000-0000-00000B440000}"/>
    <cellStyle name="Normal 3 2 2 4 4" xfId="994" xr:uid="{00000000-0005-0000-0000-00000C440000}"/>
    <cellStyle name="Normal 3 2 2 4 4 2" xfId="3996" xr:uid="{00000000-0005-0000-0000-00000D440000}"/>
    <cellStyle name="Normal 3 2 2 4 4 2 2" xfId="8552" xr:uid="{00000000-0005-0000-0000-00000E440000}"/>
    <cellStyle name="Normal 3 2 2 4 4 2 2 2" xfId="17648" xr:uid="{00000000-0005-0000-0000-00000F440000}"/>
    <cellStyle name="Normal 3 2 2 4 4 2 2 2 2" xfId="35830" xr:uid="{00000000-0005-0000-0000-000010440000}"/>
    <cellStyle name="Normal 3 2 2 4 4 2 2 3" xfId="26740" xr:uid="{00000000-0005-0000-0000-000011440000}"/>
    <cellStyle name="Normal 3 2 2 4 4 2 3" xfId="13108" xr:uid="{00000000-0005-0000-0000-000012440000}"/>
    <cellStyle name="Normal 3 2 2 4 4 2 3 2" xfId="31290" xr:uid="{00000000-0005-0000-0000-000013440000}"/>
    <cellStyle name="Normal 3 2 2 4 4 2 4" xfId="22200" xr:uid="{00000000-0005-0000-0000-000014440000}"/>
    <cellStyle name="Normal 3 2 2 4 4 3" xfId="5635" xr:uid="{00000000-0005-0000-0000-000015440000}"/>
    <cellStyle name="Normal 3 2 2 4 4 3 2" xfId="14735" xr:uid="{00000000-0005-0000-0000-000016440000}"/>
    <cellStyle name="Normal 3 2 2 4 4 3 2 2" xfId="32917" xr:uid="{00000000-0005-0000-0000-000017440000}"/>
    <cellStyle name="Normal 3 2 2 4 4 3 3" xfId="23827" xr:uid="{00000000-0005-0000-0000-000018440000}"/>
    <cellStyle name="Normal 3 2 2 4 4 4" xfId="10201" xr:uid="{00000000-0005-0000-0000-000019440000}"/>
    <cellStyle name="Normal 3 2 2 4 4 4 2" xfId="28383" xr:uid="{00000000-0005-0000-0000-00001A440000}"/>
    <cellStyle name="Normal 3 2 2 4 4 5" xfId="19292" xr:uid="{00000000-0005-0000-0000-00001B440000}"/>
    <cellStyle name="Normal 3 2 2 4 5" xfId="2438" xr:uid="{00000000-0005-0000-0000-00001C440000}"/>
    <cellStyle name="Normal 3 2 2 4 5 2" xfId="7024" xr:uid="{00000000-0005-0000-0000-00001D440000}"/>
    <cellStyle name="Normal 3 2 2 4 5 2 2" xfId="16124" xr:uid="{00000000-0005-0000-0000-00001E440000}"/>
    <cellStyle name="Normal 3 2 2 4 5 2 2 2" xfId="34306" xr:uid="{00000000-0005-0000-0000-00001F440000}"/>
    <cellStyle name="Normal 3 2 2 4 5 2 3" xfId="25216" xr:uid="{00000000-0005-0000-0000-000020440000}"/>
    <cellStyle name="Normal 3 2 2 4 5 3" xfId="11588" xr:uid="{00000000-0005-0000-0000-000021440000}"/>
    <cellStyle name="Normal 3 2 2 4 5 3 2" xfId="29770" xr:uid="{00000000-0005-0000-0000-000022440000}"/>
    <cellStyle name="Normal 3 2 2 4 5 4" xfId="20680" xr:uid="{00000000-0005-0000-0000-000023440000}"/>
    <cellStyle name="Normal 3 2 2 4 6" xfId="3992" xr:uid="{00000000-0005-0000-0000-000024440000}"/>
    <cellStyle name="Normal 3 2 2 4 6 2" xfId="8548" xr:uid="{00000000-0005-0000-0000-000025440000}"/>
    <cellStyle name="Normal 3 2 2 4 6 2 2" xfId="17644" xr:uid="{00000000-0005-0000-0000-000026440000}"/>
    <cellStyle name="Normal 3 2 2 4 6 2 2 2" xfId="35826" xr:uid="{00000000-0005-0000-0000-000027440000}"/>
    <cellStyle name="Normal 3 2 2 4 6 2 3" xfId="26736" xr:uid="{00000000-0005-0000-0000-000028440000}"/>
    <cellStyle name="Normal 3 2 2 4 6 3" xfId="13104" xr:uid="{00000000-0005-0000-0000-000029440000}"/>
    <cellStyle name="Normal 3 2 2 4 6 3 2" xfId="31286" xr:uid="{00000000-0005-0000-0000-00002A440000}"/>
    <cellStyle name="Normal 3 2 2 4 6 4" xfId="22196" xr:uid="{00000000-0005-0000-0000-00002B440000}"/>
    <cellStyle name="Normal 3 2 2 4 7" xfId="5631" xr:uid="{00000000-0005-0000-0000-00002C440000}"/>
    <cellStyle name="Normal 3 2 2 4 7 2" xfId="14731" xr:uid="{00000000-0005-0000-0000-00002D440000}"/>
    <cellStyle name="Normal 3 2 2 4 7 2 2" xfId="32913" xr:uid="{00000000-0005-0000-0000-00002E440000}"/>
    <cellStyle name="Normal 3 2 2 4 7 3" xfId="23823" xr:uid="{00000000-0005-0000-0000-00002F440000}"/>
    <cellStyle name="Normal 3 2 2 4 8" xfId="10197" xr:uid="{00000000-0005-0000-0000-000030440000}"/>
    <cellStyle name="Normal 3 2 2 4 8 2" xfId="28379" xr:uid="{00000000-0005-0000-0000-000031440000}"/>
    <cellStyle name="Normal 3 2 2 4 9" xfId="19288" xr:uid="{00000000-0005-0000-0000-000032440000}"/>
    <cellStyle name="Normal 3 2 2 5" xfId="995" xr:uid="{00000000-0005-0000-0000-000033440000}"/>
    <cellStyle name="Normal 3 2 2 5 2" xfId="996" xr:uid="{00000000-0005-0000-0000-000034440000}"/>
    <cellStyle name="Normal 3 2 2 5 2 2" xfId="2439" xr:uid="{00000000-0005-0000-0000-000035440000}"/>
    <cellStyle name="Normal 3 2 2 5 2 2 2" xfId="7025" xr:uid="{00000000-0005-0000-0000-000036440000}"/>
    <cellStyle name="Normal 3 2 2 5 2 2 2 2" xfId="16125" xr:uid="{00000000-0005-0000-0000-000037440000}"/>
    <cellStyle name="Normal 3 2 2 5 2 2 2 2 2" xfId="34307" xr:uid="{00000000-0005-0000-0000-000038440000}"/>
    <cellStyle name="Normal 3 2 2 5 2 2 2 3" xfId="25217" xr:uid="{00000000-0005-0000-0000-000039440000}"/>
    <cellStyle name="Normal 3 2 2 5 2 2 3" xfId="11589" xr:uid="{00000000-0005-0000-0000-00003A440000}"/>
    <cellStyle name="Normal 3 2 2 5 2 2 3 2" xfId="29771" xr:uid="{00000000-0005-0000-0000-00003B440000}"/>
    <cellStyle name="Normal 3 2 2 5 2 2 4" xfId="20681" xr:uid="{00000000-0005-0000-0000-00003C440000}"/>
    <cellStyle name="Normal 3 2 2 5 2 3" xfId="3998" xr:uid="{00000000-0005-0000-0000-00003D440000}"/>
    <cellStyle name="Normal 3 2 2 5 2 3 2" xfId="8554" xr:uid="{00000000-0005-0000-0000-00003E440000}"/>
    <cellStyle name="Normal 3 2 2 5 2 3 2 2" xfId="17650" xr:uid="{00000000-0005-0000-0000-00003F440000}"/>
    <cellStyle name="Normal 3 2 2 5 2 3 2 2 2" xfId="35832" xr:uid="{00000000-0005-0000-0000-000040440000}"/>
    <cellStyle name="Normal 3 2 2 5 2 3 2 3" xfId="26742" xr:uid="{00000000-0005-0000-0000-000041440000}"/>
    <cellStyle name="Normal 3 2 2 5 2 3 3" xfId="13110" xr:uid="{00000000-0005-0000-0000-000042440000}"/>
    <cellStyle name="Normal 3 2 2 5 2 3 3 2" xfId="31292" xr:uid="{00000000-0005-0000-0000-000043440000}"/>
    <cellStyle name="Normal 3 2 2 5 2 3 4" xfId="22202" xr:uid="{00000000-0005-0000-0000-000044440000}"/>
    <cellStyle name="Normal 3 2 2 5 2 4" xfId="5637" xr:uid="{00000000-0005-0000-0000-000045440000}"/>
    <cellStyle name="Normal 3 2 2 5 2 4 2" xfId="14737" xr:uid="{00000000-0005-0000-0000-000046440000}"/>
    <cellStyle name="Normal 3 2 2 5 2 4 2 2" xfId="32919" xr:uid="{00000000-0005-0000-0000-000047440000}"/>
    <cellStyle name="Normal 3 2 2 5 2 4 3" xfId="23829" xr:uid="{00000000-0005-0000-0000-000048440000}"/>
    <cellStyle name="Normal 3 2 2 5 2 5" xfId="10203" xr:uid="{00000000-0005-0000-0000-000049440000}"/>
    <cellStyle name="Normal 3 2 2 5 2 5 2" xfId="28385" xr:uid="{00000000-0005-0000-0000-00004A440000}"/>
    <cellStyle name="Normal 3 2 2 5 2 6" xfId="19294" xr:uid="{00000000-0005-0000-0000-00004B440000}"/>
    <cellStyle name="Normal 3 2 2 5 3" xfId="2440" xr:uid="{00000000-0005-0000-0000-00004C440000}"/>
    <cellStyle name="Normal 3 2 2 5 3 2" xfId="7026" xr:uid="{00000000-0005-0000-0000-00004D440000}"/>
    <cellStyle name="Normal 3 2 2 5 3 2 2" xfId="16126" xr:uid="{00000000-0005-0000-0000-00004E440000}"/>
    <cellStyle name="Normal 3 2 2 5 3 2 2 2" xfId="34308" xr:uid="{00000000-0005-0000-0000-00004F440000}"/>
    <cellStyle name="Normal 3 2 2 5 3 2 3" xfId="25218" xr:uid="{00000000-0005-0000-0000-000050440000}"/>
    <cellStyle name="Normal 3 2 2 5 3 3" xfId="11590" xr:uid="{00000000-0005-0000-0000-000051440000}"/>
    <cellStyle name="Normal 3 2 2 5 3 3 2" xfId="29772" xr:uid="{00000000-0005-0000-0000-000052440000}"/>
    <cellStyle name="Normal 3 2 2 5 3 4" xfId="20682" xr:uid="{00000000-0005-0000-0000-000053440000}"/>
    <cellStyle name="Normal 3 2 2 5 4" xfId="3997" xr:uid="{00000000-0005-0000-0000-000054440000}"/>
    <cellStyle name="Normal 3 2 2 5 4 2" xfId="8553" xr:uid="{00000000-0005-0000-0000-000055440000}"/>
    <cellStyle name="Normal 3 2 2 5 4 2 2" xfId="17649" xr:uid="{00000000-0005-0000-0000-000056440000}"/>
    <cellStyle name="Normal 3 2 2 5 4 2 2 2" xfId="35831" xr:uid="{00000000-0005-0000-0000-000057440000}"/>
    <cellStyle name="Normal 3 2 2 5 4 2 3" xfId="26741" xr:uid="{00000000-0005-0000-0000-000058440000}"/>
    <cellStyle name="Normal 3 2 2 5 4 3" xfId="13109" xr:uid="{00000000-0005-0000-0000-000059440000}"/>
    <cellStyle name="Normal 3 2 2 5 4 3 2" xfId="31291" xr:uid="{00000000-0005-0000-0000-00005A440000}"/>
    <cellStyle name="Normal 3 2 2 5 4 4" xfId="22201" xr:uid="{00000000-0005-0000-0000-00005B440000}"/>
    <cellStyle name="Normal 3 2 2 5 5" xfId="5636" xr:uid="{00000000-0005-0000-0000-00005C440000}"/>
    <cellStyle name="Normal 3 2 2 5 5 2" xfId="14736" xr:uid="{00000000-0005-0000-0000-00005D440000}"/>
    <cellStyle name="Normal 3 2 2 5 5 2 2" xfId="32918" xr:uid="{00000000-0005-0000-0000-00005E440000}"/>
    <cellStyle name="Normal 3 2 2 5 5 3" xfId="23828" xr:uid="{00000000-0005-0000-0000-00005F440000}"/>
    <cellStyle name="Normal 3 2 2 5 6" xfId="10202" xr:uid="{00000000-0005-0000-0000-000060440000}"/>
    <cellStyle name="Normal 3 2 2 5 6 2" xfId="28384" xr:uid="{00000000-0005-0000-0000-000061440000}"/>
    <cellStyle name="Normal 3 2 2 5 7" xfId="19293" xr:uid="{00000000-0005-0000-0000-000062440000}"/>
    <cellStyle name="Normal 3 2 2 6" xfId="997" xr:uid="{00000000-0005-0000-0000-000063440000}"/>
    <cellStyle name="Normal 3 2 2 6 2" xfId="2441" xr:uid="{00000000-0005-0000-0000-000064440000}"/>
    <cellStyle name="Normal 3 2 2 6 2 2" xfId="7027" xr:uid="{00000000-0005-0000-0000-000065440000}"/>
    <cellStyle name="Normal 3 2 2 6 2 2 2" xfId="16127" xr:uid="{00000000-0005-0000-0000-000066440000}"/>
    <cellStyle name="Normal 3 2 2 6 2 2 2 2" xfId="34309" xr:uid="{00000000-0005-0000-0000-000067440000}"/>
    <cellStyle name="Normal 3 2 2 6 2 2 3" xfId="25219" xr:uid="{00000000-0005-0000-0000-000068440000}"/>
    <cellStyle name="Normal 3 2 2 6 2 3" xfId="11591" xr:uid="{00000000-0005-0000-0000-000069440000}"/>
    <cellStyle name="Normal 3 2 2 6 2 3 2" xfId="29773" xr:uid="{00000000-0005-0000-0000-00006A440000}"/>
    <cellStyle name="Normal 3 2 2 6 2 4" xfId="20683" xr:uid="{00000000-0005-0000-0000-00006B440000}"/>
    <cellStyle name="Normal 3 2 2 6 3" xfId="3999" xr:uid="{00000000-0005-0000-0000-00006C440000}"/>
    <cellStyle name="Normal 3 2 2 6 3 2" xfId="8555" xr:uid="{00000000-0005-0000-0000-00006D440000}"/>
    <cellStyle name="Normal 3 2 2 6 3 2 2" xfId="17651" xr:uid="{00000000-0005-0000-0000-00006E440000}"/>
    <cellStyle name="Normal 3 2 2 6 3 2 2 2" xfId="35833" xr:uid="{00000000-0005-0000-0000-00006F440000}"/>
    <cellStyle name="Normal 3 2 2 6 3 2 3" xfId="26743" xr:uid="{00000000-0005-0000-0000-000070440000}"/>
    <cellStyle name="Normal 3 2 2 6 3 3" xfId="13111" xr:uid="{00000000-0005-0000-0000-000071440000}"/>
    <cellStyle name="Normal 3 2 2 6 3 3 2" xfId="31293" xr:uid="{00000000-0005-0000-0000-000072440000}"/>
    <cellStyle name="Normal 3 2 2 6 3 4" xfId="22203" xr:uid="{00000000-0005-0000-0000-000073440000}"/>
    <cellStyle name="Normal 3 2 2 6 4" xfId="5638" xr:uid="{00000000-0005-0000-0000-000074440000}"/>
    <cellStyle name="Normal 3 2 2 6 4 2" xfId="14738" xr:uid="{00000000-0005-0000-0000-000075440000}"/>
    <cellStyle name="Normal 3 2 2 6 4 2 2" xfId="32920" xr:uid="{00000000-0005-0000-0000-000076440000}"/>
    <cellStyle name="Normal 3 2 2 6 4 3" xfId="23830" xr:uid="{00000000-0005-0000-0000-000077440000}"/>
    <cellStyle name="Normal 3 2 2 6 5" xfId="10204" xr:uid="{00000000-0005-0000-0000-000078440000}"/>
    <cellStyle name="Normal 3 2 2 6 5 2" xfId="28386" xr:uid="{00000000-0005-0000-0000-000079440000}"/>
    <cellStyle name="Normal 3 2 2 6 6" xfId="19295" xr:uid="{00000000-0005-0000-0000-00007A440000}"/>
    <cellStyle name="Normal 3 2 2 7" xfId="998" xr:uid="{00000000-0005-0000-0000-00007B440000}"/>
    <cellStyle name="Normal 3 2 2 7 2" xfId="4000" xr:uid="{00000000-0005-0000-0000-00007C440000}"/>
    <cellStyle name="Normal 3 2 2 7 2 2" xfId="8556" xr:uid="{00000000-0005-0000-0000-00007D440000}"/>
    <cellStyle name="Normal 3 2 2 7 2 2 2" xfId="17652" xr:uid="{00000000-0005-0000-0000-00007E440000}"/>
    <cellStyle name="Normal 3 2 2 7 2 2 2 2" xfId="35834" xr:uid="{00000000-0005-0000-0000-00007F440000}"/>
    <cellStyle name="Normal 3 2 2 7 2 2 3" xfId="26744" xr:uid="{00000000-0005-0000-0000-000080440000}"/>
    <cellStyle name="Normal 3 2 2 7 2 3" xfId="13112" xr:uid="{00000000-0005-0000-0000-000081440000}"/>
    <cellStyle name="Normal 3 2 2 7 2 3 2" xfId="31294" xr:uid="{00000000-0005-0000-0000-000082440000}"/>
    <cellStyle name="Normal 3 2 2 7 2 4" xfId="22204" xr:uid="{00000000-0005-0000-0000-000083440000}"/>
    <cellStyle name="Normal 3 2 2 7 3" xfId="5639" xr:uid="{00000000-0005-0000-0000-000084440000}"/>
    <cellStyle name="Normal 3 2 2 7 3 2" xfId="14739" xr:uid="{00000000-0005-0000-0000-000085440000}"/>
    <cellStyle name="Normal 3 2 2 7 3 2 2" xfId="32921" xr:uid="{00000000-0005-0000-0000-000086440000}"/>
    <cellStyle name="Normal 3 2 2 7 3 3" xfId="23831" xr:uid="{00000000-0005-0000-0000-000087440000}"/>
    <cellStyle name="Normal 3 2 2 7 4" xfId="10205" xr:uid="{00000000-0005-0000-0000-000088440000}"/>
    <cellStyle name="Normal 3 2 2 7 4 2" xfId="28387" xr:uid="{00000000-0005-0000-0000-000089440000}"/>
    <cellStyle name="Normal 3 2 2 7 5" xfId="19296" xr:uid="{00000000-0005-0000-0000-00008A440000}"/>
    <cellStyle name="Normal 3 2 2 8" xfId="2442" xr:uid="{00000000-0005-0000-0000-00008B440000}"/>
    <cellStyle name="Normal 3 2 2 8 2" xfId="7028" xr:uid="{00000000-0005-0000-0000-00008C440000}"/>
    <cellStyle name="Normal 3 2 2 8 2 2" xfId="16128" xr:uid="{00000000-0005-0000-0000-00008D440000}"/>
    <cellStyle name="Normal 3 2 2 8 2 2 2" xfId="34310" xr:uid="{00000000-0005-0000-0000-00008E440000}"/>
    <cellStyle name="Normal 3 2 2 8 2 3" xfId="25220" xr:uid="{00000000-0005-0000-0000-00008F440000}"/>
    <cellStyle name="Normal 3 2 2 8 3" xfId="11592" xr:uid="{00000000-0005-0000-0000-000090440000}"/>
    <cellStyle name="Normal 3 2 2 8 3 2" xfId="29774" xr:uid="{00000000-0005-0000-0000-000091440000}"/>
    <cellStyle name="Normal 3 2 2 8 4" xfId="20684" xr:uid="{00000000-0005-0000-0000-000092440000}"/>
    <cellStyle name="Normal 3 2 2 9" xfId="3159" xr:uid="{00000000-0005-0000-0000-000093440000}"/>
    <cellStyle name="Normal 3 2 2 9 2" xfId="7719" xr:uid="{00000000-0005-0000-0000-000094440000}"/>
    <cellStyle name="Normal 3 2 2 9 2 2" xfId="16815" xr:uid="{00000000-0005-0000-0000-000095440000}"/>
    <cellStyle name="Normal 3 2 2 9 2 2 2" xfId="34997" xr:uid="{00000000-0005-0000-0000-000096440000}"/>
    <cellStyle name="Normal 3 2 2 9 2 3" xfId="25907" xr:uid="{00000000-0005-0000-0000-000097440000}"/>
    <cellStyle name="Normal 3 2 2 9 3" xfId="12275" xr:uid="{00000000-0005-0000-0000-000098440000}"/>
    <cellStyle name="Normal 3 2 2 9 3 2" xfId="30457" xr:uid="{00000000-0005-0000-0000-000099440000}"/>
    <cellStyle name="Normal 3 2 2 9 4" xfId="21367" xr:uid="{00000000-0005-0000-0000-00009A440000}"/>
    <cellStyle name="Normal 3 2 3" xfId="78" xr:uid="{00000000-0005-0000-0000-00009B440000}"/>
    <cellStyle name="Normal 3 2 3 10" xfId="9407" xr:uid="{00000000-0005-0000-0000-00009C440000}"/>
    <cellStyle name="Normal 3 2 3 10 2" xfId="27589" xr:uid="{00000000-0005-0000-0000-00009D440000}"/>
    <cellStyle name="Normal 3 2 3 11" xfId="18498" xr:uid="{00000000-0005-0000-0000-00009E440000}"/>
    <cellStyle name="Normal 3 2 3 2" xfId="999" xr:uid="{00000000-0005-0000-0000-00009F440000}"/>
    <cellStyle name="Normal 3 2 3 2 10" xfId="19297" xr:uid="{00000000-0005-0000-0000-0000A0440000}"/>
    <cellStyle name="Normal 3 2 3 2 2" xfId="1000" xr:uid="{00000000-0005-0000-0000-0000A1440000}"/>
    <cellStyle name="Normal 3 2 3 2 2 2" xfId="1001" xr:uid="{00000000-0005-0000-0000-0000A2440000}"/>
    <cellStyle name="Normal 3 2 3 2 2 2 2" xfId="1002" xr:uid="{00000000-0005-0000-0000-0000A3440000}"/>
    <cellStyle name="Normal 3 2 3 2 2 2 2 2" xfId="2443" xr:uid="{00000000-0005-0000-0000-0000A4440000}"/>
    <cellStyle name="Normal 3 2 3 2 2 2 2 2 2" xfId="7029" xr:uid="{00000000-0005-0000-0000-0000A5440000}"/>
    <cellStyle name="Normal 3 2 3 2 2 2 2 2 2 2" xfId="16129" xr:uid="{00000000-0005-0000-0000-0000A6440000}"/>
    <cellStyle name="Normal 3 2 3 2 2 2 2 2 2 2 2" xfId="34311" xr:uid="{00000000-0005-0000-0000-0000A7440000}"/>
    <cellStyle name="Normal 3 2 3 2 2 2 2 2 2 3" xfId="25221" xr:uid="{00000000-0005-0000-0000-0000A8440000}"/>
    <cellStyle name="Normal 3 2 3 2 2 2 2 2 3" xfId="11593" xr:uid="{00000000-0005-0000-0000-0000A9440000}"/>
    <cellStyle name="Normal 3 2 3 2 2 2 2 2 3 2" xfId="29775" xr:uid="{00000000-0005-0000-0000-0000AA440000}"/>
    <cellStyle name="Normal 3 2 3 2 2 2 2 2 4" xfId="20685" xr:uid="{00000000-0005-0000-0000-0000AB440000}"/>
    <cellStyle name="Normal 3 2 3 2 2 2 2 3" xfId="4004" xr:uid="{00000000-0005-0000-0000-0000AC440000}"/>
    <cellStyle name="Normal 3 2 3 2 2 2 2 3 2" xfId="8560" xr:uid="{00000000-0005-0000-0000-0000AD440000}"/>
    <cellStyle name="Normal 3 2 3 2 2 2 2 3 2 2" xfId="17656" xr:uid="{00000000-0005-0000-0000-0000AE440000}"/>
    <cellStyle name="Normal 3 2 3 2 2 2 2 3 2 2 2" xfId="35838" xr:uid="{00000000-0005-0000-0000-0000AF440000}"/>
    <cellStyle name="Normal 3 2 3 2 2 2 2 3 2 3" xfId="26748" xr:uid="{00000000-0005-0000-0000-0000B0440000}"/>
    <cellStyle name="Normal 3 2 3 2 2 2 2 3 3" xfId="13116" xr:uid="{00000000-0005-0000-0000-0000B1440000}"/>
    <cellStyle name="Normal 3 2 3 2 2 2 2 3 3 2" xfId="31298" xr:uid="{00000000-0005-0000-0000-0000B2440000}"/>
    <cellStyle name="Normal 3 2 3 2 2 2 2 3 4" xfId="22208" xr:uid="{00000000-0005-0000-0000-0000B3440000}"/>
    <cellStyle name="Normal 3 2 3 2 2 2 2 4" xfId="5643" xr:uid="{00000000-0005-0000-0000-0000B4440000}"/>
    <cellStyle name="Normal 3 2 3 2 2 2 2 4 2" xfId="14743" xr:uid="{00000000-0005-0000-0000-0000B5440000}"/>
    <cellStyle name="Normal 3 2 3 2 2 2 2 4 2 2" xfId="32925" xr:uid="{00000000-0005-0000-0000-0000B6440000}"/>
    <cellStyle name="Normal 3 2 3 2 2 2 2 4 3" xfId="23835" xr:uid="{00000000-0005-0000-0000-0000B7440000}"/>
    <cellStyle name="Normal 3 2 3 2 2 2 2 5" xfId="10209" xr:uid="{00000000-0005-0000-0000-0000B8440000}"/>
    <cellStyle name="Normal 3 2 3 2 2 2 2 5 2" xfId="28391" xr:uid="{00000000-0005-0000-0000-0000B9440000}"/>
    <cellStyle name="Normal 3 2 3 2 2 2 2 6" xfId="19300" xr:uid="{00000000-0005-0000-0000-0000BA440000}"/>
    <cellStyle name="Normal 3 2 3 2 2 2 3" xfId="2444" xr:uid="{00000000-0005-0000-0000-0000BB440000}"/>
    <cellStyle name="Normal 3 2 3 2 2 2 3 2" xfId="7030" xr:uid="{00000000-0005-0000-0000-0000BC440000}"/>
    <cellStyle name="Normal 3 2 3 2 2 2 3 2 2" xfId="16130" xr:uid="{00000000-0005-0000-0000-0000BD440000}"/>
    <cellStyle name="Normal 3 2 3 2 2 2 3 2 2 2" xfId="34312" xr:uid="{00000000-0005-0000-0000-0000BE440000}"/>
    <cellStyle name="Normal 3 2 3 2 2 2 3 2 3" xfId="25222" xr:uid="{00000000-0005-0000-0000-0000BF440000}"/>
    <cellStyle name="Normal 3 2 3 2 2 2 3 3" xfId="11594" xr:uid="{00000000-0005-0000-0000-0000C0440000}"/>
    <cellStyle name="Normal 3 2 3 2 2 2 3 3 2" xfId="29776" xr:uid="{00000000-0005-0000-0000-0000C1440000}"/>
    <cellStyle name="Normal 3 2 3 2 2 2 3 4" xfId="20686" xr:uid="{00000000-0005-0000-0000-0000C2440000}"/>
    <cellStyle name="Normal 3 2 3 2 2 2 4" xfId="4003" xr:uid="{00000000-0005-0000-0000-0000C3440000}"/>
    <cellStyle name="Normal 3 2 3 2 2 2 4 2" xfId="8559" xr:uid="{00000000-0005-0000-0000-0000C4440000}"/>
    <cellStyle name="Normal 3 2 3 2 2 2 4 2 2" xfId="17655" xr:uid="{00000000-0005-0000-0000-0000C5440000}"/>
    <cellStyle name="Normal 3 2 3 2 2 2 4 2 2 2" xfId="35837" xr:uid="{00000000-0005-0000-0000-0000C6440000}"/>
    <cellStyle name="Normal 3 2 3 2 2 2 4 2 3" xfId="26747" xr:uid="{00000000-0005-0000-0000-0000C7440000}"/>
    <cellStyle name="Normal 3 2 3 2 2 2 4 3" xfId="13115" xr:uid="{00000000-0005-0000-0000-0000C8440000}"/>
    <cellStyle name="Normal 3 2 3 2 2 2 4 3 2" xfId="31297" xr:uid="{00000000-0005-0000-0000-0000C9440000}"/>
    <cellStyle name="Normal 3 2 3 2 2 2 4 4" xfId="22207" xr:uid="{00000000-0005-0000-0000-0000CA440000}"/>
    <cellStyle name="Normal 3 2 3 2 2 2 5" xfId="5642" xr:uid="{00000000-0005-0000-0000-0000CB440000}"/>
    <cellStyle name="Normal 3 2 3 2 2 2 5 2" xfId="14742" xr:uid="{00000000-0005-0000-0000-0000CC440000}"/>
    <cellStyle name="Normal 3 2 3 2 2 2 5 2 2" xfId="32924" xr:uid="{00000000-0005-0000-0000-0000CD440000}"/>
    <cellStyle name="Normal 3 2 3 2 2 2 5 3" xfId="23834" xr:uid="{00000000-0005-0000-0000-0000CE440000}"/>
    <cellStyle name="Normal 3 2 3 2 2 2 6" xfId="10208" xr:uid="{00000000-0005-0000-0000-0000CF440000}"/>
    <cellStyle name="Normal 3 2 3 2 2 2 6 2" xfId="28390" xr:uid="{00000000-0005-0000-0000-0000D0440000}"/>
    <cellStyle name="Normal 3 2 3 2 2 2 7" xfId="19299" xr:uid="{00000000-0005-0000-0000-0000D1440000}"/>
    <cellStyle name="Normal 3 2 3 2 2 3" xfId="1003" xr:uid="{00000000-0005-0000-0000-0000D2440000}"/>
    <cellStyle name="Normal 3 2 3 2 2 3 2" xfId="2445" xr:uid="{00000000-0005-0000-0000-0000D3440000}"/>
    <cellStyle name="Normal 3 2 3 2 2 3 2 2" xfId="7031" xr:uid="{00000000-0005-0000-0000-0000D4440000}"/>
    <cellStyle name="Normal 3 2 3 2 2 3 2 2 2" xfId="16131" xr:uid="{00000000-0005-0000-0000-0000D5440000}"/>
    <cellStyle name="Normal 3 2 3 2 2 3 2 2 2 2" xfId="34313" xr:uid="{00000000-0005-0000-0000-0000D6440000}"/>
    <cellStyle name="Normal 3 2 3 2 2 3 2 2 3" xfId="25223" xr:uid="{00000000-0005-0000-0000-0000D7440000}"/>
    <cellStyle name="Normal 3 2 3 2 2 3 2 3" xfId="11595" xr:uid="{00000000-0005-0000-0000-0000D8440000}"/>
    <cellStyle name="Normal 3 2 3 2 2 3 2 3 2" xfId="29777" xr:uid="{00000000-0005-0000-0000-0000D9440000}"/>
    <cellStyle name="Normal 3 2 3 2 2 3 2 4" xfId="20687" xr:uid="{00000000-0005-0000-0000-0000DA440000}"/>
    <cellStyle name="Normal 3 2 3 2 2 3 3" xfId="4005" xr:uid="{00000000-0005-0000-0000-0000DB440000}"/>
    <cellStyle name="Normal 3 2 3 2 2 3 3 2" xfId="8561" xr:uid="{00000000-0005-0000-0000-0000DC440000}"/>
    <cellStyle name="Normal 3 2 3 2 2 3 3 2 2" xfId="17657" xr:uid="{00000000-0005-0000-0000-0000DD440000}"/>
    <cellStyle name="Normal 3 2 3 2 2 3 3 2 2 2" xfId="35839" xr:uid="{00000000-0005-0000-0000-0000DE440000}"/>
    <cellStyle name="Normal 3 2 3 2 2 3 3 2 3" xfId="26749" xr:uid="{00000000-0005-0000-0000-0000DF440000}"/>
    <cellStyle name="Normal 3 2 3 2 2 3 3 3" xfId="13117" xr:uid="{00000000-0005-0000-0000-0000E0440000}"/>
    <cellStyle name="Normal 3 2 3 2 2 3 3 3 2" xfId="31299" xr:uid="{00000000-0005-0000-0000-0000E1440000}"/>
    <cellStyle name="Normal 3 2 3 2 2 3 3 4" xfId="22209" xr:uid="{00000000-0005-0000-0000-0000E2440000}"/>
    <cellStyle name="Normal 3 2 3 2 2 3 4" xfId="5644" xr:uid="{00000000-0005-0000-0000-0000E3440000}"/>
    <cellStyle name="Normal 3 2 3 2 2 3 4 2" xfId="14744" xr:uid="{00000000-0005-0000-0000-0000E4440000}"/>
    <cellStyle name="Normal 3 2 3 2 2 3 4 2 2" xfId="32926" xr:uid="{00000000-0005-0000-0000-0000E5440000}"/>
    <cellStyle name="Normal 3 2 3 2 2 3 4 3" xfId="23836" xr:uid="{00000000-0005-0000-0000-0000E6440000}"/>
    <cellStyle name="Normal 3 2 3 2 2 3 5" xfId="10210" xr:uid="{00000000-0005-0000-0000-0000E7440000}"/>
    <cellStyle name="Normal 3 2 3 2 2 3 5 2" xfId="28392" xr:uid="{00000000-0005-0000-0000-0000E8440000}"/>
    <cellStyle name="Normal 3 2 3 2 2 3 6" xfId="19301" xr:uid="{00000000-0005-0000-0000-0000E9440000}"/>
    <cellStyle name="Normal 3 2 3 2 2 4" xfId="1004" xr:uid="{00000000-0005-0000-0000-0000EA440000}"/>
    <cellStyle name="Normal 3 2 3 2 2 4 2" xfId="4006" xr:uid="{00000000-0005-0000-0000-0000EB440000}"/>
    <cellStyle name="Normal 3 2 3 2 2 4 2 2" xfId="8562" xr:uid="{00000000-0005-0000-0000-0000EC440000}"/>
    <cellStyle name="Normal 3 2 3 2 2 4 2 2 2" xfId="17658" xr:uid="{00000000-0005-0000-0000-0000ED440000}"/>
    <cellStyle name="Normal 3 2 3 2 2 4 2 2 2 2" xfId="35840" xr:uid="{00000000-0005-0000-0000-0000EE440000}"/>
    <cellStyle name="Normal 3 2 3 2 2 4 2 2 3" xfId="26750" xr:uid="{00000000-0005-0000-0000-0000EF440000}"/>
    <cellStyle name="Normal 3 2 3 2 2 4 2 3" xfId="13118" xr:uid="{00000000-0005-0000-0000-0000F0440000}"/>
    <cellStyle name="Normal 3 2 3 2 2 4 2 3 2" xfId="31300" xr:uid="{00000000-0005-0000-0000-0000F1440000}"/>
    <cellStyle name="Normal 3 2 3 2 2 4 2 4" xfId="22210" xr:uid="{00000000-0005-0000-0000-0000F2440000}"/>
    <cellStyle name="Normal 3 2 3 2 2 4 3" xfId="5645" xr:uid="{00000000-0005-0000-0000-0000F3440000}"/>
    <cellStyle name="Normal 3 2 3 2 2 4 3 2" xfId="14745" xr:uid="{00000000-0005-0000-0000-0000F4440000}"/>
    <cellStyle name="Normal 3 2 3 2 2 4 3 2 2" xfId="32927" xr:uid="{00000000-0005-0000-0000-0000F5440000}"/>
    <cellStyle name="Normal 3 2 3 2 2 4 3 3" xfId="23837" xr:uid="{00000000-0005-0000-0000-0000F6440000}"/>
    <cellStyle name="Normal 3 2 3 2 2 4 4" xfId="10211" xr:uid="{00000000-0005-0000-0000-0000F7440000}"/>
    <cellStyle name="Normal 3 2 3 2 2 4 4 2" xfId="28393" xr:uid="{00000000-0005-0000-0000-0000F8440000}"/>
    <cellStyle name="Normal 3 2 3 2 2 4 5" xfId="19302" xr:uid="{00000000-0005-0000-0000-0000F9440000}"/>
    <cellStyle name="Normal 3 2 3 2 2 5" xfId="2446" xr:uid="{00000000-0005-0000-0000-0000FA440000}"/>
    <cellStyle name="Normal 3 2 3 2 2 5 2" xfId="7032" xr:uid="{00000000-0005-0000-0000-0000FB440000}"/>
    <cellStyle name="Normal 3 2 3 2 2 5 2 2" xfId="16132" xr:uid="{00000000-0005-0000-0000-0000FC440000}"/>
    <cellStyle name="Normal 3 2 3 2 2 5 2 2 2" xfId="34314" xr:uid="{00000000-0005-0000-0000-0000FD440000}"/>
    <cellStyle name="Normal 3 2 3 2 2 5 2 3" xfId="25224" xr:uid="{00000000-0005-0000-0000-0000FE440000}"/>
    <cellStyle name="Normal 3 2 3 2 2 5 3" xfId="11596" xr:uid="{00000000-0005-0000-0000-0000FF440000}"/>
    <cellStyle name="Normal 3 2 3 2 2 5 3 2" xfId="29778" xr:uid="{00000000-0005-0000-0000-000000450000}"/>
    <cellStyle name="Normal 3 2 3 2 2 5 4" xfId="20688" xr:uid="{00000000-0005-0000-0000-000001450000}"/>
    <cellStyle name="Normal 3 2 3 2 2 6" xfId="4002" xr:uid="{00000000-0005-0000-0000-000002450000}"/>
    <cellStyle name="Normal 3 2 3 2 2 6 2" xfId="8558" xr:uid="{00000000-0005-0000-0000-000003450000}"/>
    <cellStyle name="Normal 3 2 3 2 2 6 2 2" xfId="17654" xr:uid="{00000000-0005-0000-0000-000004450000}"/>
    <cellStyle name="Normal 3 2 3 2 2 6 2 2 2" xfId="35836" xr:uid="{00000000-0005-0000-0000-000005450000}"/>
    <cellStyle name="Normal 3 2 3 2 2 6 2 3" xfId="26746" xr:uid="{00000000-0005-0000-0000-000006450000}"/>
    <cellStyle name="Normal 3 2 3 2 2 6 3" xfId="13114" xr:uid="{00000000-0005-0000-0000-000007450000}"/>
    <cellStyle name="Normal 3 2 3 2 2 6 3 2" xfId="31296" xr:uid="{00000000-0005-0000-0000-000008450000}"/>
    <cellStyle name="Normal 3 2 3 2 2 6 4" xfId="22206" xr:uid="{00000000-0005-0000-0000-000009450000}"/>
    <cellStyle name="Normal 3 2 3 2 2 7" xfId="5641" xr:uid="{00000000-0005-0000-0000-00000A450000}"/>
    <cellStyle name="Normal 3 2 3 2 2 7 2" xfId="14741" xr:uid="{00000000-0005-0000-0000-00000B450000}"/>
    <cellStyle name="Normal 3 2 3 2 2 7 2 2" xfId="32923" xr:uid="{00000000-0005-0000-0000-00000C450000}"/>
    <cellStyle name="Normal 3 2 3 2 2 7 3" xfId="23833" xr:uid="{00000000-0005-0000-0000-00000D450000}"/>
    <cellStyle name="Normal 3 2 3 2 2 8" xfId="10207" xr:uid="{00000000-0005-0000-0000-00000E450000}"/>
    <cellStyle name="Normal 3 2 3 2 2 8 2" xfId="28389" xr:uid="{00000000-0005-0000-0000-00000F450000}"/>
    <cellStyle name="Normal 3 2 3 2 2 9" xfId="19298" xr:uid="{00000000-0005-0000-0000-000010450000}"/>
    <cellStyle name="Normal 3 2 3 2 3" xfId="1005" xr:uid="{00000000-0005-0000-0000-000011450000}"/>
    <cellStyle name="Normal 3 2 3 2 3 2" xfId="1006" xr:uid="{00000000-0005-0000-0000-000012450000}"/>
    <cellStyle name="Normal 3 2 3 2 3 2 2" xfId="2447" xr:uid="{00000000-0005-0000-0000-000013450000}"/>
    <cellStyle name="Normal 3 2 3 2 3 2 2 2" xfId="7033" xr:uid="{00000000-0005-0000-0000-000014450000}"/>
    <cellStyle name="Normal 3 2 3 2 3 2 2 2 2" xfId="16133" xr:uid="{00000000-0005-0000-0000-000015450000}"/>
    <cellStyle name="Normal 3 2 3 2 3 2 2 2 2 2" xfId="34315" xr:uid="{00000000-0005-0000-0000-000016450000}"/>
    <cellStyle name="Normal 3 2 3 2 3 2 2 2 3" xfId="25225" xr:uid="{00000000-0005-0000-0000-000017450000}"/>
    <cellStyle name="Normal 3 2 3 2 3 2 2 3" xfId="11597" xr:uid="{00000000-0005-0000-0000-000018450000}"/>
    <cellStyle name="Normal 3 2 3 2 3 2 2 3 2" xfId="29779" xr:uid="{00000000-0005-0000-0000-000019450000}"/>
    <cellStyle name="Normal 3 2 3 2 3 2 2 4" xfId="20689" xr:uid="{00000000-0005-0000-0000-00001A450000}"/>
    <cellStyle name="Normal 3 2 3 2 3 2 3" xfId="4008" xr:uid="{00000000-0005-0000-0000-00001B450000}"/>
    <cellStyle name="Normal 3 2 3 2 3 2 3 2" xfId="8564" xr:uid="{00000000-0005-0000-0000-00001C450000}"/>
    <cellStyle name="Normal 3 2 3 2 3 2 3 2 2" xfId="17660" xr:uid="{00000000-0005-0000-0000-00001D450000}"/>
    <cellStyle name="Normal 3 2 3 2 3 2 3 2 2 2" xfId="35842" xr:uid="{00000000-0005-0000-0000-00001E450000}"/>
    <cellStyle name="Normal 3 2 3 2 3 2 3 2 3" xfId="26752" xr:uid="{00000000-0005-0000-0000-00001F450000}"/>
    <cellStyle name="Normal 3 2 3 2 3 2 3 3" xfId="13120" xr:uid="{00000000-0005-0000-0000-000020450000}"/>
    <cellStyle name="Normal 3 2 3 2 3 2 3 3 2" xfId="31302" xr:uid="{00000000-0005-0000-0000-000021450000}"/>
    <cellStyle name="Normal 3 2 3 2 3 2 3 4" xfId="22212" xr:uid="{00000000-0005-0000-0000-000022450000}"/>
    <cellStyle name="Normal 3 2 3 2 3 2 4" xfId="5647" xr:uid="{00000000-0005-0000-0000-000023450000}"/>
    <cellStyle name="Normal 3 2 3 2 3 2 4 2" xfId="14747" xr:uid="{00000000-0005-0000-0000-000024450000}"/>
    <cellStyle name="Normal 3 2 3 2 3 2 4 2 2" xfId="32929" xr:uid="{00000000-0005-0000-0000-000025450000}"/>
    <cellStyle name="Normal 3 2 3 2 3 2 4 3" xfId="23839" xr:uid="{00000000-0005-0000-0000-000026450000}"/>
    <cellStyle name="Normal 3 2 3 2 3 2 5" xfId="10213" xr:uid="{00000000-0005-0000-0000-000027450000}"/>
    <cellStyle name="Normal 3 2 3 2 3 2 5 2" xfId="28395" xr:uid="{00000000-0005-0000-0000-000028450000}"/>
    <cellStyle name="Normal 3 2 3 2 3 2 6" xfId="19304" xr:uid="{00000000-0005-0000-0000-000029450000}"/>
    <cellStyle name="Normal 3 2 3 2 3 3" xfId="2448" xr:uid="{00000000-0005-0000-0000-00002A450000}"/>
    <cellStyle name="Normal 3 2 3 2 3 3 2" xfId="7034" xr:uid="{00000000-0005-0000-0000-00002B450000}"/>
    <cellStyle name="Normal 3 2 3 2 3 3 2 2" xfId="16134" xr:uid="{00000000-0005-0000-0000-00002C450000}"/>
    <cellStyle name="Normal 3 2 3 2 3 3 2 2 2" xfId="34316" xr:uid="{00000000-0005-0000-0000-00002D450000}"/>
    <cellStyle name="Normal 3 2 3 2 3 3 2 3" xfId="25226" xr:uid="{00000000-0005-0000-0000-00002E450000}"/>
    <cellStyle name="Normal 3 2 3 2 3 3 3" xfId="11598" xr:uid="{00000000-0005-0000-0000-00002F450000}"/>
    <cellStyle name="Normal 3 2 3 2 3 3 3 2" xfId="29780" xr:uid="{00000000-0005-0000-0000-000030450000}"/>
    <cellStyle name="Normal 3 2 3 2 3 3 4" xfId="20690" xr:uid="{00000000-0005-0000-0000-000031450000}"/>
    <cellStyle name="Normal 3 2 3 2 3 4" xfId="4007" xr:uid="{00000000-0005-0000-0000-000032450000}"/>
    <cellStyle name="Normal 3 2 3 2 3 4 2" xfId="8563" xr:uid="{00000000-0005-0000-0000-000033450000}"/>
    <cellStyle name="Normal 3 2 3 2 3 4 2 2" xfId="17659" xr:uid="{00000000-0005-0000-0000-000034450000}"/>
    <cellStyle name="Normal 3 2 3 2 3 4 2 2 2" xfId="35841" xr:uid="{00000000-0005-0000-0000-000035450000}"/>
    <cellStyle name="Normal 3 2 3 2 3 4 2 3" xfId="26751" xr:uid="{00000000-0005-0000-0000-000036450000}"/>
    <cellStyle name="Normal 3 2 3 2 3 4 3" xfId="13119" xr:uid="{00000000-0005-0000-0000-000037450000}"/>
    <cellStyle name="Normal 3 2 3 2 3 4 3 2" xfId="31301" xr:uid="{00000000-0005-0000-0000-000038450000}"/>
    <cellStyle name="Normal 3 2 3 2 3 4 4" xfId="22211" xr:uid="{00000000-0005-0000-0000-000039450000}"/>
    <cellStyle name="Normal 3 2 3 2 3 5" xfId="5646" xr:uid="{00000000-0005-0000-0000-00003A450000}"/>
    <cellStyle name="Normal 3 2 3 2 3 5 2" xfId="14746" xr:uid="{00000000-0005-0000-0000-00003B450000}"/>
    <cellStyle name="Normal 3 2 3 2 3 5 2 2" xfId="32928" xr:uid="{00000000-0005-0000-0000-00003C450000}"/>
    <cellStyle name="Normal 3 2 3 2 3 5 3" xfId="23838" xr:uid="{00000000-0005-0000-0000-00003D450000}"/>
    <cellStyle name="Normal 3 2 3 2 3 6" xfId="10212" xr:uid="{00000000-0005-0000-0000-00003E450000}"/>
    <cellStyle name="Normal 3 2 3 2 3 6 2" xfId="28394" xr:uid="{00000000-0005-0000-0000-00003F450000}"/>
    <cellStyle name="Normal 3 2 3 2 3 7" xfId="19303" xr:uid="{00000000-0005-0000-0000-000040450000}"/>
    <cellStyle name="Normal 3 2 3 2 4" xfId="1007" xr:uid="{00000000-0005-0000-0000-000041450000}"/>
    <cellStyle name="Normal 3 2 3 2 4 2" xfId="2449" xr:uid="{00000000-0005-0000-0000-000042450000}"/>
    <cellStyle name="Normal 3 2 3 2 4 2 2" xfId="7035" xr:uid="{00000000-0005-0000-0000-000043450000}"/>
    <cellStyle name="Normal 3 2 3 2 4 2 2 2" xfId="16135" xr:uid="{00000000-0005-0000-0000-000044450000}"/>
    <cellStyle name="Normal 3 2 3 2 4 2 2 2 2" xfId="34317" xr:uid="{00000000-0005-0000-0000-000045450000}"/>
    <cellStyle name="Normal 3 2 3 2 4 2 2 3" xfId="25227" xr:uid="{00000000-0005-0000-0000-000046450000}"/>
    <cellStyle name="Normal 3 2 3 2 4 2 3" xfId="11599" xr:uid="{00000000-0005-0000-0000-000047450000}"/>
    <cellStyle name="Normal 3 2 3 2 4 2 3 2" xfId="29781" xr:uid="{00000000-0005-0000-0000-000048450000}"/>
    <cellStyle name="Normal 3 2 3 2 4 2 4" xfId="20691" xr:uid="{00000000-0005-0000-0000-000049450000}"/>
    <cellStyle name="Normal 3 2 3 2 4 3" xfId="4009" xr:uid="{00000000-0005-0000-0000-00004A450000}"/>
    <cellStyle name="Normal 3 2 3 2 4 3 2" xfId="8565" xr:uid="{00000000-0005-0000-0000-00004B450000}"/>
    <cellStyle name="Normal 3 2 3 2 4 3 2 2" xfId="17661" xr:uid="{00000000-0005-0000-0000-00004C450000}"/>
    <cellStyle name="Normal 3 2 3 2 4 3 2 2 2" xfId="35843" xr:uid="{00000000-0005-0000-0000-00004D450000}"/>
    <cellStyle name="Normal 3 2 3 2 4 3 2 3" xfId="26753" xr:uid="{00000000-0005-0000-0000-00004E450000}"/>
    <cellStyle name="Normal 3 2 3 2 4 3 3" xfId="13121" xr:uid="{00000000-0005-0000-0000-00004F450000}"/>
    <cellStyle name="Normal 3 2 3 2 4 3 3 2" xfId="31303" xr:uid="{00000000-0005-0000-0000-000050450000}"/>
    <cellStyle name="Normal 3 2 3 2 4 3 4" xfId="22213" xr:uid="{00000000-0005-0000-0000-000051450000}"/>
    <cellStyle name="Normal 3 2 3 2 4 4" xfId="5648" xr:uid="{00000000-0005-0000-0000-000052450000}"/>
    <cellStyle name="Normal 3 2 3 2 4 4 2" xfId="14748" xr:uid="{00000000-0005-0000-0000-000053450000}"/>
    <cellStyle name="Normal 3 2 3 2 4 4 2 2" xfId="32930" xr:uid="{00000000-0005-0000-0000-000054450000}"/>
    <cellStyle name="Normal 3 2 3 2 4 4 3" xfId="23840" xr:uid="{00000000-0005-0000-0000-000055450000}"/>
    <cellStyle name="Normal 3 2 3 2 4 5" xfId="10214" xr:uid="{00000000-0005-0000-0000-000056450000}"/>
    <cellStyle name="Normal 3 2 3 2 4 5 2" xfId="28396" xr:uid="{00000000-0005-0000-0000-000057450000}"/>
    <cellStyle name="Normal 3 2 3 2 4 6" xfId="19305" xr:uid="{00000000-0005-0000-0000-000058450000}"/>
    <cellStyle name="Normal 3 2 3 2 5" xfId="1008" xr:uid="{00000000-0005-0000-0000-000059450000}"/>
    <cellStyle name="Normal 3 2 3 2 5 2" xfId="4010" xr:uid="{00000000-0005-0000-0000-00005A450000}"/>
    <cellStyle name="Normal 3 2 3 2 5 2 2" xfId="8566" xr:uid="{00000000-0005-0000-0000-00005B450000}"/>
    <cellStyle name="Normal 3 2 3 2 5 2 2 2" xfId="17662" xr:uid="{00000000-0005-0000-0000-00005C450000}"/>
    <cellStyle name="Normal 3 2 3 2 5 2 2 2 2" xfId="35844" xr:uid="{00000000-0005-0000-0000-00005D450000}"/>
    <cellStyle name="Normal 3 2 3 2 5 2 2 3" xfId="26754" xr:uid="{00000000-0005-0000-0000-00005E450000}"/>
    <cellStyle name="Normal 3 2 3 2 5 2 3" xfId="13122" xr:uid="{00000000-0005-0000-0000-00005F450000}"/>
    <cellStyle name="Normal 3 2 3 2 5 2 3 2" xfId="31304" xr:uid="{00000000-0005-0000-0000-000060450000}"/>
    <cellStyle name="Normal 3 2 3 2 5 2 4" xfId="22214" xr:uid="{00000000-0005-0000-0000-000061450000}"/>
    <cellStyle name="Normal 3 2 3 2 5 3" xfId="5649" xr:uid="{00000000-0005-0000-0000-000062450000}"/>
    <cellStyle name="Normal 3 2 3 2 5 3 2" xfId="14749" xr:uid="{00000000-0005-0000-0000-000063450000}"/>
    <cellStyle name="Normal 3 2 3 2 5 3 2 2" xfId="32931" xr:uid="{00000000-0005-0000-0000-000064450000}"/>
    <cellStyle name="Normal 3 2 3 2 5 3 3" xfId="23841" xr:uid="{00000000-0005-0000-0000-000065450000}"/>
    <cellStyle name="Normal 3 2 3 2 5 4" xfId="10215" xr:uid="{00000000-0005-0000-0000-000066450000}"/>
    <cellStyle name="Normal 3 2 3 2 5 4 2" xfId="28397" xr:uid="{00000000-0005-0000-0000-000067450000}"/>
    <cellStyle name="Normal 3 2 3 2 5 5" xfId="19306" xr:uid="{00000000-0005-0000-0000-000068450000}"/>
    <cellStyle name="Normal 3 2 3 2 6" xfId="2450" xr:uid="{00000000-0005-0000-0000-000069450000}"/>
    <cellStyle name="Normal 3 2 3 2 6 2" xfId="7036" xr:uid="{00000000-0005-0000-0000-00006A450000}"/>
    <cellStyle name="Normal 3 2 3 2 6 2 2" xfId="16136" xr:uid="{00000000-0005-0000-0000-00006B450000}"/>
    <cellStyle name="Normal 3 2 3 2 6 2 2 2" xfId="34318" xr:uid="{00000000-0005-0000-0000-00006C450000}"/>
    <cellStyle name="Normal 3 2 3 2 6 2 3" xfId="25228" xr:uid="{00000000-0005-0000-0000-00006D450000}"/>
    <cellStyle name="Normal 3 2 3 2 6 3" xfId="11600" xr:uid="{00000000-0005-0000-0000-00006E450000}"/>
    <cellStyle name="Normal 3 2 3 2 6 3 2" xfId="29782" xr:uid="{00000000-0005-0000-0000-00006F450000}"/>
    <cellStyle name="Normal 3 2 3 2 6 4" xfId="20692" xr:uid="{00000000-0005-0000-0000-000070450000}"/>
    <cellStyle name="Normal 3 2 3 2 7" xfId="4001" xr:uid="{00000000-0005-0000-0000-000071450000}"/>
    <cellStyle name="Normal 3 2 3 2 7 2" xfId="8557" xr:uid="{00000000-0005-0000-0000-000072450000}"/>
    <cellStyle name="Normal 3 2 3 2 7 2 2" xfId="17653" xr:uid="{00000000-0005-0000-0000-000073450000}"/>
    <cellStyle name="Normal 3 2 3 2 7 2 2 2" xfId="35835" xr:uid="{00000000-0005-0000-0000-000074450000}"/>
    <cellStyle name="Normal 3 2 3 2 7 2 3" xfId="26745" xr:uid="{00000000-0005-0000-0000-000075450000}"/>
    <cellStyle name="Normal 3 2 3 2 7 3" xfId="13113" xr:uid="{00000000-0005-0000-0000-000076450000}"/>
    <cellStyle name="Normal 3 2 3 2 7 3 2" xfId="31295" xr:uid="{00000000-0005-0000-0000-000077450000}"/>
    <cellStyle name="Normal 3 2 3 2 7 4" xfId="22205" xr:uid="{00000000-0005-0000-0000-000078450000}"/>
    <cellStyle name="Normal 3 2 3 2 8" xfId="5640" xr:uid="{00000000-0005-0000-0000-000079450000}"/>
    <cellStyle name="Normal 3 2 3 2 8 2" xfId="14740" xr:uid="{00000000-0005-0000-0000-00007A450000}"/>
    <cellStyle name="Normal 3 2 3 2 8 2 2" xfId="32922" xr:uid="{00000000-0005-0000-0000-00007B450000}"/>
    <cellStyle name="Normal 3 2 3 2 8 3" xfId="23832" xr:uid="{00000000-0005-0000-0000-00007C450000}"/>
    <cellStyle name="Normal 3 2 3 2 9" xfId="10206" xr:uid="{00000000-0005-0000-0000-00007D450000}"/>
    <cellStyle name="Normal 3 2 3 2 9 2" xfId="28388" xr:uid="{00000000-0005-0000-0000-00007E450000}"/>
    <cellStyle name="Normal 3 2 3 3" xfId="1009" xr:uid="{00000000-0005-0000-0000-00007F450000}"/>
    <cellStyle name="Normal 3 2 3 3 2" xfId="1010" xr:uid="{00000000-0005-0000-0000-000080450000}"/>
    <cellStyle name="Normal 3 2 3 3 2 2" xfId="1011" xr:uid="{00000000-0005-0000-0000-000081450000}"/>
    <cellStyle name="Normal 3 2 3 3 2 2 2" xfId="2451" xr:uid="{00000000-0005-0000-0000-000082450000}"/>
    <cellStyle name="Normal 3 2 3 3 2 2 2 2" xfId="7037" xr:uid="{00000000-0005-0000-0000-000083450000}"/>
    <cellStyle name="Normal 3 2 3 3 2 2 2 2 2" xfId="16137" xr:uid="{00000000-0005-0000-0000-000084450000}"/>
    <cellStyle name="Normal 3 2 3 3 2 2 2 2 2 2" xfId="34319" xr:uid="{00000000-0005-0000-0000-000085450000}"/>
    <cellStyle name="Normal 3 2 3 3 2 2 2 2 3" xfId="25229" xr:uid="{00000000-0005-0000-0000-000086450000}"/>
    <cellStyle name="Normal 3 2 3 3 2 2 2 3" xfId="11601" xr:uid="{00000000-0005-0000-0000-000087450000}"/>
    <cellStyle name="Normal 3 2 3 3 2 2 2 3 2" xfId="29783" xr:uid="{00000000-0005-0000-0000-000088450000}"/>
    <cellStyle name="Normal 3 2 3 3 2 2 2 4" xfId="20693" xr:uid="{00000000-0005-0000-0000-000089450000}"/>
    <cellStyle name="Normal 3 2 3 3 2 2 3" xfId="4013" xr:uid="{00000000-0005-0000-0000-00008A450000}"/>
    <cellStyle name="Normal 3 2 3 3 2 2 3 2" xfId="8569" xr:uid="{00000000-0005-0000-0000-00008B450000}"/>
    <cellStyle name="Normal 3 2 3 3 2 2 3 2 2" xfId="17665" xr:uid="{00000000-0005-0000-0000-00008C450000}"/>
    <cellStyle name="Normal 3 2 3 3 2 2 3 2 2 2" xfId="35847" xr:uid="{00000000-0005-0000-0000-00008D450000}"/>
    <cellStyle name="Normal 3 2 3 3 2 2 3 2 3" xfId="26757" xr:uid="{00000000-0005-0000-0000-00008E450000}"/>
    <cellStyle name="Normal 3 2 3 3 2 2 3 3" xfId="13125" xr:uid="{00000000-0005-0000-0000-00008F450000}"/>
    <cellStyle name="Normal 3 2 3 3 2 2 3 3 2" xfId="31307" xr:uid="{00000000-0005-0000-0000-000090450000}"/>
    <cellStyle name="Normal 3 2 3 3 2 2 3 4" xfId="22217" xr:uid="{00000000-0005-0000-0000-000091450000}"/>
    <cellStyle name="Normal 3 2 3 3 2 2 4" xfId="5652" xr:uid="{00000000-0005-0000-0000-000092450000}"/>
    <cellStyle name="Normal 3 2 3 3 2 2 4 2" xfId="14752" xr:uid="{00000000-0005-0000-0000-000093450000}"/>
    <cellStyle name="Normal 3 2 3 3 2 2 4 2 2" xfId="32934" xr:uid="{00000000-0005-0000-0000-000094450000}"/>
    <cellStyle name="Normal 3 2 3 3 2 2 4 3" xfId="23844" xr:uid="{00000000-0005-0000-0000-000095450000}"/>
    <cellStyle name="Normal 3 2 3 3 2 2 5" xfId="10218" xr:uid="{00000000-0005-0000-0000-000096450000}"/>
    <cellStyle name="Normal 3 2 3 3 2 2 5 2" xfId="28400" xr:uid="{00000000-0005-0000-0000-000097450000}"/>
    <cellStyle name="Normal 3 2 3 3 2 2 6" xfId="19309" xr:uid="{00000000-0005-0000-0000-000098450000}"/>
    <cellStyle name="Normal 3 2 3 3 2 3" xfId="2452" xr:uid="{00000000-0005-0000-0000-000099450000}"/>
    <cellStyle name="Normal 3 2 3 3 2 3 2" xfId="7038" xr:uid="{00000000-0005-0000-0000-00009A450000}"/>
    <cellStyle name="Normal 3 2 3 3 2 3 2 2" xfId="16138" xr:uid="{00000000-0005-0000-0000-00009B450000}"/>
    <cellStyle name="Normal 3 2 3 3 2 3 2 2 2" xfId="34320" xr:uid="{00000000-0005-0000-0000-00009C450000}"/>
    <cellStyle name="Normal 3 2 3 3 2 3 2 3" xfId="25230" xr:uid="{00000000-0005-0000-0000-00009D450000}"/>
    <cellStyle name="Normal 3 2 3 3 2 3 3" xfId="11602" xr:uid="{00000000-0005-0000-0000-00009E450000}"/>
    <cellStyle name="Normal 3 2 3 3 2 3 3 2" xfId="29784" xr:uid="{00000000-0005-0000-0000-00009F450000}"/>
    <cellStyle name="Normal 3 2 3 3 2 3 4" xfId="20694" xr:uid="{00000000-0005-0000-0000-0000A0450000}"/>
    <cellStyle name="Normal 3 2 3 3 2 4" xfId="4012" xr:uid="{00000000-0005-0000-0000-0000A1450000}"/>
    <cellStyle name="Normal 3 2 3 3 2 4 2" xfId="8568" xr:uid="{00000000-0005-0000-0000-0000A2450000}"/>
    <cellStyle name="Normal 3 2 3 3 2 4 2 2" xfId="17664" xr:uid="{00000000-0005-0000-0000-0000A3450000}"/>
    <cellStyle name="Normal 3 2 3 3 2 4 2 2 2" xfId="35846" xr:uid="{00000000-0005-0000-0000-0000A4450000}"/>
    <cellStyle name="Normal 3 2 3 3 2 4 2 3" xfId="26756" xr:uid="{00000000-0005-0000-0000-0000A5450000}"/>
    <cellStyle name="Normal 3 2 3 3 2 4 3" xfId="13124" xr:uid="{00000000-0005-0000-0000-0000A6450000}"/>
    <cellStyle name="Normal 3 2 3 3 2 4 3 2" xfId="31306" xr:uid="{00000000-0005-0000-0000-0000A7450000}"/>
    <cellStyle name="Normal 3 2 3 3 2 4 4" xfId="22216" xr:uid="{00000000-0005-0000-0000-0000A8450000}"/>
    <cellStyle name="Normal 3 2 3 3 2 5" xfId="5651" xr:uid="{00000000-0005-0000-0000-0000A9450000}"/>
    <cellStyle name="Normal 3 2 3 3 2 5 2" xfId="14751" xr:uid="{00000000-0005-0000-0000-0000AA450000}"/>
    <cellStyle name="Normal 3 2 3 3 2 5 2 2" xfId="32933" xr:uid="{00000000-0005-0000-0000-0000AB450000}"/>
    <cellStyle name="Normal 3 2 3 3 2 5 3" xfId="23843" xr:uid="{00000000-0005-0000-0000-0000AC450000}"/>
    <cellStyle name="Normal 3 2 3 3 2 6" xfId="10217" xr:uid="{00000000-0005-0000-0000-0000AD450000}"/>
    <cellStyle name="Normal 3 2 3 3 2 6 2" xfId="28399" xr:uid="{00000000-0005-0000-0000-0000AE450000}"/>
    <cellStyle name="Normal 3 2 3 3 2 7" xfId="19308" xr:uid="{00000000-0005-0000-0000-0000AF450000}"/>
    <cellStyle name="Normal 3 2 3 3 3" xfId="1012" xr:uid="{00000000-0005-0000-0000-0000B0450000}"/>
    <cellStyle name="Normal 3 2 3 3 3 2" xfId="2453" xr:uid="{00000000-0005-0000-0000-0000B1450000}"/>
    <cellStyle name="Normal 3 2 3 3 3 2 2" xfId="7039" xr:uid="{00000000-0005-0000-0000-0000B2450000}"/>
    <cellStyle name="Normal 3 2 3 3 3 2 2 2" xfId="16139" xr:uid="{00000000-0005-0000-0000-0000B3450000}"/>
    <cellStyle name="Normal 3 2 3 3 3 2 2 2 2" xfId="34321" xr:uid="{00000000-0005-0000-0000-0000B4450000}"/>
    <cellStyle name="Normal 3 2 3 3 3 2 2 3" xfId="25231" xr:uid="{00000000-0005-0000-0000-0000B5450000}"/>
    <cellStyle name="Normal 3 2 3 3 3 2 3" xfId="11603" xr:uid="{00000000-0005-0000-0000-0000B6450000}"/>
    <cellStyle name="Normal 3 2 3 3 3 2 3 2" xfId="29785" xr:uid="{00000000-0005-0000-0000-0000B7450000}"/>
    <cellStyle name="Normal 3 2 3 3 3 2 4" xfId="20695" xr:uid="{00000000-0005-0000-0000-0000B8450000}"/>
    <cellStyle name="Normal 3 2 3 3 3 3" xfId="4014" xr:uid="{00000000-0005-0000-0000-0000B9450000}"/>
    <cellStyle name="Normal 3 2 3 3 3 3 2" xfId="8570" xr:uid="{00000000-0005-0000-0000-0000BA450000}"/>
    <cellStyle name="Normal 3 2 3 3 3 3 2 2" xfId="17666" xr:uid="{00000000-0005-0000-0000-0000BB450000}"/>
    <cellStyle name="Normal 3 2 3 3 3 3 2 2 2" xfId="35848" xr:uid="{00000000-0005-0000-0000-0000BC450000}"/>
    <cellStyle name="Normal 3 2 3 3 3 3 2 3" xfId="26758" xr:uid="{00000000-0005-0000-0000-0000BD450000}"/>
    <cellStyle name="Normal 3 2 3 3 3 3 3" xfId="13126" xr:uid="{00000000-0005-0000-0000-0000BE450000}"/>
    <cellStyle name="Normal 3 2 3 3 3 3 3 2" xfId="31308" xr:uid="{00000000-0005-0000-0000-0000BF450000}"/>
    <cellStyle name="Normal 3 2 3 3 3 3 4" xfId="22218" xr:uid="{00000000-0005-0000-0000-0000C0450000}"/>
    <cellStyle name="Normal 3 2 3 3 3 4" xfId="5653" xr:uid="{00000000-0005-0000-0000-0000C1450000}"/>
    <cellStyle name="Normal 3 2 3 3 3 4 2" xfId="14753" xr:uid="{00000000-0005-0000-0000-0000C2450000}"/>
    <cellStyle name="Normal 3 2 3 3 3 4 2 2" xfId="32935" xr:uid="{00000000-0005-0000-0000-0000C3450000}"/>
    <cellStyle name="Normal 3 2 3 3 3 4 3" xfId="23845" xr:uid="{00000000-0005-0000-0000-0000C4450000}"/>
    <cellStyle name="Normal 3 2 3 3 3 5" xfId="10219" xr:uid="{00000000-0005-0000-0000-0000C5450000}"/>
    <cellStyle name="Normal 3 2 3 3 3 5 2" xfId="28401" xr:uid="{00000000-0005-0000-0000-0000C6450000}"/>
    <cellStyle name="Normal 3 2 3 3 3 6" xfId="19310" xr:uid="{00000000-0005-0000-0000-0000C7450000}"/>
    <cellStyle name="Normal 3 2 3 3 4" xfId="1013" xr:uid="{00000000-0005-0000-0000-0000C8450000}"/>
    <cellStyle name="Normal 3 2 3 3 4 2" xfId="4015" xr:uid="{00000000-0005-0000-0000-0000C9450000}"/>
    <cellStyle name="Normal 3 2 3 3 4 2 2" xfId="8571" xr:uid="{00000000-0005-0000-0000-0000CA450000}"/>
    <cellStyle name="Normal 3 2 3 3 4 2 2 2" xfId="17667" xr:uid="{00000000-0005-0000-0000-0000CB450000}"/>
    <cellStyle name="Normal 3 2 3 3 4 2 2 2 2" xfId="35849" xr:uid="{00000000-0005-0000-0000-0000CC450000}"/>
    <cellStyle name="Normal 3 2 3 3 4 2 2 3" xfId="26759" xr:uid="{00000000-0005-0000-0000-0000CD450000}"/>
    <cellStyle name="Normal 3 2 3 3 4 2 3" xfId="13127" xr:uid="{00000000-0005-0000-0000-0000CE450000}"/>
    <cellStyle name="Normal 3 2 3 3 4 2 3 2" xfId="31309" xr:uid="{00000000-0005-0000-0000-0000CF450000}"/>
    <cellStyle name="Normal 3 2 3 3 4 2 4" xfId="22219" xr:uid="{00000000-0005-0000-0000-0000D0450000}"/>
    <cellStyle name="Normal 3 2 3 3 4 3" xfId="5654" xr:uid="{00000000-0005-0000-0000-0000D1450000}"/>
    <cellStyle name="Normal 3 2 3 3 4 3 2" xfId="14754" xr:uid="{00000000-0005-0000-0000-0000D2450000}"/>
    <cellStyle name="Normal 3 2 3 3 4 3 2 2" xfId="32936" xr:uid="{00000000-0005-0000-0000-0000D3450000}"/>
    <cellStyle name="Normal 3 2 3 3 4 3 3" xfId="23846" xr:uid="{00000000-0005-0000-0000-0000D4450000}"/>
    <cellStyle name="Normal 3 2 3 3 4 4" xfId="10220" xr:uid="{00000000-0005-0000-0000-0000D5450000}"/>
    <cellStyle name="Normal 3 2 3 3 4 4 2" xfId="28402" xr:uid="{00000000-0005-0000-0000-0000D6450000}"/>
    <cellStyle name="Normal 3 2 3 3 4 5" xfId="19311" xr:uid="{00000000-0005-0000-0000-0000D7450000}"/>
    <cellStyle name="Normal 3 2 3 3 5" xfId="2454" xr:uid="{00000000-0005-0000-0000-0000D8450000}"/>
    <cellStyle name="Normal 3 2 3 3 5 2" xfId="7040" xr:uid="{00000000-0005-0000-0000-0000D9450000}"/>
    <cellStyle name="Normal 3 2 3 3 5 2 2" xfId="16140" xr:uid="{00000000-0005-0000-0000-0000DA450000}"/>
    <cellStyle name="Normal 3 2 3 3 5 2 2 2" xfId="34322" xr:uid="{00000000-0005-0000-0000-0000DB450000}"/>
    <cellStyle name="Normal 3 2 3 3 5 2 3" xfId="25232" xr:uid="{00000000-0005-0000-0000-0000DC450000}"/>
    <cellStyle name="Normal 3 2 3 3 5 3" xfId="11604" xr:uid="{00000000-0005-0000-0000-0000DD450000}"/>
    <cellStyle name="Normal 3 2 3 3 5 3 2" xfId="29786" xr:uid="{00000000-0005-0000-0000-0000DE450000}"/>
    <cellStyle name="Normal 3 2 3 3 5 4" xfId="20696" xr:uid="{00000000-0005-0000-0000-0000DF450000}"/>
    <cellStyle name="Normal 3 2 3 3 6" xfId="4011" xr:uid="{00000000-0005-0000-0000-0000E0450000}"/>
    <cellStyle name="Normal 3 2 3 3 6 2" xfId="8567" xr:uid="{00000000-0005-0000-0000-0000E1450000}"/>
    <cellStyle name="Normal 3 2 3 3 6 2 2" xfId="17663" xr:uid="{00000000-0005-0000-0000-0000E2450000}"/>
    <cellStyle name="Normal 3 2 3 3 6 2 2 2" xfId="35845" xr:uid="{00000000-0005-0000-0000-0000E3450000}"/>
    <cellStyle name="Normal 3 2 3 3 6 2 3" xfId="26755" xr:uid="{00000000-0005-0000-0000-0000E4450000}"/>
    <cellStyle name="Normal 3 2 3 3 6 3" xfId="13123" xr:uid="{00000000-0005-0000-0000-0000E5450000}"/>
    <cellStyle name="Normal 3 2 3 3 6 3 2" xfId="31305" xr:uid="{00000000-0005-0000-0000-0000E6450000}"/>
    <cellStyle name="Normal 3 2 3 3 6 4" xfId="22215" xr:uid="{00000000-0005-0000-0000-0000E7450000}"/>
    <cellStyle name="Normal 3 2 3 3 7" xfId="5650" xr:uid="{00000000-0005-0000-0000-0000E8450000}"/>
    <cellStyle name="Normal 3 2 3 3 7 2" xfId="14750" xr:uid="{00000000-0005-0000-0000-0000E9450000}"/>
    <cellStyle name="Normal 3 2 3 3 7 2 2" xfId="32932" xr:uid="{00000000-0005-0000-0000-0000EA450000}"/>
    <cellStyle name="Normal 3 2 3 3 7 3" xfId="23842" xr:uid="{00000000-0005-0000-0000-0000EB450000}"/>
    <cellStyle name="Normal 3 2 3 3 8" xfId="10216" xr:uid="{00000000-0005-0000-0000-0000EC450000}"/>
    <cellStyle name="Normal 3 2 3 3 8 2" xfId="28398" xr:uid="{00000000-0005-0000-0000-0000ED450000}"/>
    <cellStyle name="Normal 3 2 3 3 9" xfId="19307" xr:uid="{00000000-0005-0000-0000-0000EE450000}"/>
    <cellStyle name="Normal 3 2 3 4" xfId="1014" xr:uid="{00000000-0005-0000-0000-0000EF450000}"/>
    <cellStyle name="Normal 3 2 3 4 2" xfId="1015" xr:uid="{00000000-0005-0000-0000-0000F0450000}"/>
    <cellStyle name="Normal 3 2 3 4 2 2" xfId="2455" xr:uid="{00000000-0005-0000-0000-0000F1450000}"/>
    <cellStyle name="Normal 3 2 3 4 2 2 2" xfId="7041" xr:uid="{00000000-0005-0000-0000-0000F2450000}"/>
    <cellStyle name="Normal 3 2 3 4 2 2 2 2" xfId="16141" xr:uid="{00000000-0005-0000-0000-0000F3450000}"/>
    <cellStyle name="Normal 3 2 3 4 2 2 2 2 2" xfId="34323" xr:uid="{00000000-0005-0000-0000-0000F4450000}"/>
    <cellStyle name="Normal 3 2 3 4 2 2 2 3" xfId="25233" xr:uid="{00000000-0005-0000-0000-0000F5450000}"/>
    <cellStyle name="Normal 3 2 3 4 2 2 3" xfId="11605" xr:uid="{00000000-0005-0000-0000-0000F6450000}"/>
    <cellStyle name="Normal 3 2 3 4 2 2 3 2" xfId="29787" xr:uid="{00000000-0005-0000-0000-0000F7450000}"/>
    <cellStyle name="Normal 3 2 3 4 2 2 4" xfId="20697" xr:uid="{00000000-0005-0000-0000-0000F8450000}"/>
    <cellStyle name="Normal 3 2 3 4 2 3" xfId="4017" xr:uid="{00000000-0005-0000-0000-0000F9450000}"/>
    <cellStyle name="Normal 3 2 3 4 2 3 2" xfId="8573" xr:uid="{00000000-0005-0000-0000-0000FA450000}"/>
    <cellStyle name="Normal 3 2 3 4 2 3 2 2" xfId="17669" xr:uid="{00000000-0005-0000-0000-0000FB450000}"/>
    <cellStyle name="Normal 3 2 3 4 2 3 2 2 2" xfId="35851" xr:uid="{00000000-0005-0000-0000-0000FC450000}"/>
    <cellStyle name="Normal 3 2 3 4 2 3 2 3" xfId="26761" xr:uid="{00000000-0005-0000-0000-0000FD450000}"/>
    <cellStyle name="Normal 3 2 3 4 2 3 3" xfId="13129" xr:uid="{00000000-0005-0000-0000-0000FE450000}"/>
    <cellStyle name="Normal 3 2 3 4 2 3 3 2" xfId="31311" xr:uid="{00000000-0005-0000-0000-0000FF450000}"/>
    <cellStyle name="Normal 3 2 3 4 2 3 4" xfId="22221" xr:uid="{00000000-0005-0000-0000-000000460000}"/>
    <cellStyle name="Normal 3 2 3 4 2 4" xfId="5656" xr:uid="{00000000-0005-0000-0000-000001460000}"/>
    <cellStyle name="Normal 3 2 3 4 2 4 2" xfId="14756" xr:uid="{00000000-0005-0000-0000-000002460000}"/>
    <cellStyle name="Normal 3 2 3 4 2 4 2 2" xfId="32938" xr:uid="{00000000-0005-0000-0000-000003460000}"/>
    <cellStyle name="Normal 3 2 3 4 2 4 3" xfId="23848" xr:uid="{00000000-0005-0000-0000-000004460000}"/>
    <cellStyle name="Normal 3 2 3 4 2 5" xfId="10222" xr:uid="{00000000-0005-0000-0000-000005460000}"/>
    <cellStyle name="Normal 3 2 3 4 2 5 2" xfId="28404" xr:uid="{00000000-0005-0000-0000-000006460000}"/>
    <cellStyle name="Normal 3 2 3 4 2 6" xfId="19313" xr:uid="{00000000-0005-0000-0000-000007460000}"/>
    <cellStyle name="Normal 3 2 3 4 3" xfId="2456" xr:uid="{00000000-0005-0000-0000-000008460000}"/>
    <cellStyle name="Normal 3 2 3 4 3 2" xfId="7042" xr:uid="{00000000-0005-0000-0000-000009460000}"/>
    <cellStyle name="Normal 3 2 3 4 3 2 2" xfId="16142" xr:uid="{00000000-0005-0000-0000-00000A460000}"/>
    <cellStyle name="Normal 3 2 3 4 3 2 2 2" xfId="34324" xr:uid="{00000000-0005-0000-0000-00000B460000}"/>
    <cellStyle name="Normal 3 2 3 4 3 2 3" xfId="25234" xr:uid="{00000000-0005-0000-0000-00000C460000}"/>
    <cellStyle name="Normal 3 2 3 4 3 3" xfId="11606" xr:uid="{00000000-0005-0000-0000-00000D460000}"/>
    <cellStyle name="Normal 3 2 3 4 3 3 2" xfId="29788" xr:uid="{00000000-0005-0000-0000-00000E460000}"/>
    <cellStyle name="Normal 3 2 3 4 3 4" xfId="20698" xr:uid="{00000000-0005-0000-0000-00000F460000}"/>
    <cellStyle name="Normal 3 2 3 4 4" xfId="4016" xr:uid="{00000000-0005-0000-0000-000010460000}"/>
    <cellStyle name="Normal 3 2 3 4 4 2" xfId="8572" xr:uid="{00000000-0005-0000-0000-000011460000}"/>
    <cellStyle name="Normal 3 2 3 4 4 2 2" xfId="17668" xr:uid="{00000000-0005-0000-0000-000012460000}"/>
    <cellStyle name="Normal 3 2 3 4 4 2 2 2" xfId="35850" xr:uid="{00000000-0005-0000-0000-000013460000}"/>
    <cellStyle name="Normal 3 2 3 4 4 2 3" xfId="26760" xr:uid="{00000000-0005-0000-0000-000014460000}"/>
    <cellStyle name="Normal 3 2 3 4 4 3" xfId="13128" xr:uid="{00000000-0005-0000-0000-000015460000}"/>
    <cellStyle name="Normal 3 2 3 4 4 3 2" xfId="31310" xr:uid="{00000000-0005-0000-0000-000016460000}"/>
    <cellStyle name="Normal 3 2 3 4 4 4" xfId="22220" xr:uid="{00000000-0005-0000-0000-000017460000}"/>
    <cellStyle name="Normal 3 2 3 4 5" xfId="5655" xr:uid="{00000000-0005-0000-0000-000018460000}"/>
    <cellStyle name="Normal 3 2 3 4 5 2" xfId="14755" xr:uid="{00000000-0005-0000-0000-000019460000}"/>
    <cellStyle name="Normal 3 2 3 4 5 2 2" xfId="32937" xr:uid="{00000000-0005-0000-0000-00001A460000}"/>
    <cellStyle name="Normal 3 2 3 4 5 3" xfId="23847" xr:uid="{00000000-0005-0000-0000-00001B460000}"/>
    <cellStyle name="Normal 3 2 3 4 6" xfId="10221" xr:uid="{00000000-0005-0000-0000-00001C460000}"/>
    <cellStyle name="Normal 3 2 3 4 6 2" xfId="28403" xr:uid="{00000000-0005-0000-0000-00001D460000}"/>
    <cellStyle name="Normal 3 2 3 4 7" xfId="19312" xr:uid="{00000000-0005-0000-0000-00001E460000}"/>
    <cellStyle name="Normal 3 2 3 5" xfId="1016" xr:uid="{00000000-0005-0000-0000-00001F460000}"/>
    <cellStyle name="Normal 3 2 3 5 2" xfId="2457" xr:uid="{00000000-0005-0000-0000-000020460000}"/>
    <cellStyle name="Normal 3 2 3 5 2 2" xfId="7043" xr:uid="{00000000-0005-0000-0000-000021460000}"/>
    <cellStyle name="Normal 3 2 3 5 2 2 2" xfId="16143" xr:uid="{00000000-0005-0000-0000-000022460000}"/>
    <cellStyle name="Normal 3 2 3 5 2 2 2 2" xfId="34325" xr:uid="{00000000-0005-0000-0000-000023460000}"/>
    <cellStyle name="Normal 3 2 3 5 2 2 3" xfId="25235" xr:uid="{00000000-0005-0000-0000-000024460000}"/>
    <cellStyle name="Normal 3 2 3 5 2 3" xfId="11607" xr:uid="{00000000-0005-0000-0000-000025460000}"/>
    <cellStyle name="Normal 3 2 3 5 2 3 2" xfId="29789" xr:uid="{00000000-0005-0000-0000-000026460000}"/>
    <cellStyle name="Normal 3 2 3 5 2 4" xfId="20699" xr:uid="{00000000-0005-0000-0000-000027460000}"/>
    <cellStyle name="Normal 3 2 3 5 3" xfId="4018" xr:uid="{00000000-0005-0000-0000-000028460000}"/>
    <cellStyle name="Normal 3 2 3 5 3 2" xfId="8574" xr:uid="{00000000-0005-0000-0000-000029460000}"/>
    <cellStyle name="Normal 3 2 3 5 3 2 2" xfId="17670" xr:uid="{00000000-0005-0000-0000-00002A460000}"/>
    <cellStyle name="Normal 3 2 3 5 3 2 2 2" xfId="35852" xr:uid="{00000000-0005-0000-0000-00002B460000}"/>
    <cellStyle name="Normal 3 2 3 5 3 2 3" xfId="26762" xr:uid="{00000000-0005-0000-0000-00002C460000}"/>
    <cellStyle name="Normal 3 2 3 5 3 3" xfId="13130" xr:uid="{00000000-0005-0000-0000-00002D460000}"/>
    <cellStyle name="Normal 3 2 3 5 3 3 2" xfId="31312" xr:uid="{00000000-0005-0000-0000-00002E460000}"/>
    <cellStyle name="Normal 3 2 3 5 3 4" xfId="22222" xr:uid="{00000000-0005-0000-0000-00002F460000}"/>
    <cellStyle name="Normal 3 2 3 5 4" xfId="5657" xr:uid="{00000000-0005-0000-0000-000030460000}"/>
    <cellStyle name="Normal 3 2 3 5 4 2" xfId="14757" xr:uid="{00000000-0005-0000-0000-000031460000}"/>
    <cellStyle name="Normal 3 2 3 5 4 2 2" xfId="32939" xr:uid="{00000000-0005-0000-0000-000032460000}"/>
    <cellStyle name="Normal 3 2 3 5 4 3" xfId="23849" xr:uid="{00000000-0005-0000-0000-000033460000}"/>
    <cellStyle name="Normal 3 2 3 5 5" xfId="10223" xr:uid="{00000000-0005-0000-0000-000034460000}"/>
    <cellStyle name="Normal 3 2 3 5 5 2" xfId="28405" xr:uid="{00000000-0005-0000-0000-000035460000}"/>
    <cellStyle name="Normal 3 2 3 5 6" xfId="19314" xr:uid="{00000000-0005-0000-0000-000036460000}"/>
    <cellStyle name="Normal 3 2 3 6" xfId="1017" xr:uid="{00000000-0005-0000-0000-000037460000}"/>
    <cellStyle name="Normal 3 2 3 6 2" xfId="4019" xr:uid="{00000000-0005-0000-0000-000038460000}"/>
    <cellStyle name="Normal 3 2 3 6 2 2" xfId="8575" xr:uid="{00000000-0005-0000-0000-000039460000}"/>
    <cellStyle name="Normal 3 2 3 6 2 2 2" xfId="17671" xr:uid="{00000000-0005-0000-0000-00003A460000}"/>
    <cellStyle name="Normal 3 2 3 6 2 2 2 2" xfId="35853" xr:uid="{00000000-0005-0000-0000-00003B460000}"/>
    <cellStyle name="Normal 3 2 3 6 2 2 3" xfId="26763" xr:uid="{00000000-0005-0000-0000-00003C460000}"/>
    <cellStyle name="Normal 3 2 3 6 2 3" xfId="13131" xr:uid="{00000000-0005-0000-0000-00003D460000}"/>
    <cellStyle name="Normal 3 2 3 6 2 3 2" xfId="31313" xr:uid="{00000000-0005-0000-0000-00003E460000}"/>
    <cellStyle name="Normal 3 2 3 6 2 4" xfId="22223" xr:uid="{00000000-0005-0000-0000-00003F460000}"/>
    <cellStyle name="Normal 3 2 3 6 3" xfId="5658" xr:uid="{00000000-0005-0000-0000-000040460000}"/>
    <cellStyle name="Normal 3 2 3 6 3 2" xfId="14758" xr:uid="{00000000-0005-0000-0000-000041460000}"/>
    <cellStyle name="Normal 3 2 3 6 3 2 2" xfId="32940" xr:uid="{00000000-0005-0000-0000-000042460000}"/>
    <cellStyle name="Normal 3 2 3 6 3 3" xfId="23850" xr:uid="{00000000-0005-0000-0000-000043460000}"/>
    <cellStyle name="Normal 3 2 3 6 4" xfId="10224" xr:uid="{00000000-0005-0000-0000-000044460000}"/>
    <cellStyle name="Normal 3 2 3 6 4 2" xfId="28406" xr:uid="{00000000-0005-0000-0000-000045460000}"/>
    <cellStyle name="Normal 3 2 3 6 5" xfId="19315" xr:uid="{00000000-0005-0000-0000-000046460000}"/>
    <cellStyle name="Normal 3 2 3 7" xfId="2458" xr:uid="{00000000-0005-0000-0000-000047460000}"/>
    <cellStyle name="Normal 3 2 3 7 2" xfId="7044" xr:uid="{00000000-0005-0000-0000-000048460000}"/>
    <cellStyle name="Normal 3 2 3 7 2 2" xfId="16144" xr:uid="{00000000-0005-0000-0000-000049460000}"/>
    <cellStyle name="Normal 3 2 3 7 2 2 2" xfId="34326" xr:uid="{00000000-0005-0000-0000-00004A460000}"/>
    <cellStyle name="Normal 3 2 3 7 2 3" xfId="25236" xr:uid="{00000000-0005-0000-0000-00004B460000}"/>
    <cellStyle name="Normal 3 2 3 7 3" xfId="11608" xr:uid="{00000000-0005-0000-0000-00004C460000}"/>
    <cellStyle name="Normal 3 2 3 7 3 2" xfId="29790" xr:uid="{00000000-0005-0000-0000-00004D460000}"/>
    <cellStyle name="Normal 3 2 3 7 4" xfId="20700" xr:uid="{00000000-0005-0000-0000-00004E460000}"/>
    <cellStyle name="Normal 3 2 3 8" xfId="3191" xr:uid="{00000000-0005-0000-0000-00004F460000}"/>
    <cellStyle name="Normal 3 2 3 8 2" xfId="7751" xr:uid="{00000000-0005-0000-0000-000050460000}"/>
    <cellStyle name="Normal 3 2 3 8 2 2" xfId="16847" xr:uid="{00000000-0005-0000-0000-000051460000}"/>
    <cellStyle name="Normal 3 2 3 8 2 2 2" xfId="35029" xr:uid="{00000000-0005-0000-0000-000052460000}"/>
    <cellStyle name="Normal 3 2 3 8 2 3" xfId="25939" xr:uid="{00000000-0005-0000-0000-000053460000}"/>
    <cellStyle name="Normal 3 2 3 8 3" xfId="12307" xr:uid="{00000000-0005-0000-0000-000054460000}"/>
    <cellStyle name="Normal 3 2 3 8 3 2" xfId="30489" xr:uid="{00000000-0005-0000-0000-000055460000}"/>
    <cellStyle name="Normal 3 2 3 8 4" xfId="21399" xr:uid="{00000000-0005-0000-0000-000056460000}"/>
    <cellStyle name="Normal 3 2 3 9" xfId="4841" xr:uid="{00000000-0005-0000-0000-000057460000}"/>
    <cellStyle name="Normal 3 2 3 9 2" xfId="13941" xr:uid="{00000000-0005-0000-0000-000058460000}"/>
    <cellStyle name="Normal 3 2 3 9 2 2" xfId="32123" xr:uid="{00000000-0005-0000-0000-000059460000}"/>
    <cellStyle name="Normal 3 2 3 9 3" xfId="23033" xr:uid="{00000000-0005-0000-0000-00005A460000}"/>
    <cellStyle name="Normal 3 2 4" xfId="1018" xr:uid="{00000000-0005-0000-0000-00005B460000}"/>
    <cellStyle name="Normal 3 2 4 10" xfId="19316" xr:uid="{00000000-0005-0000-0000-00005C460000}"/>
    <cellStyle name="Normal 3 2 4 2" xfId="1019" xr:uid="{00000000-0005-0000-0000-00005D460000}"/>
    <cellStyle name="Normal 3 2 4 2 2" xfId="1020" xr:uid="{00000000-0005-0000-0000-00005E460000}"/>
    <cellStyle name="Normal 3 2 4 2 2 2" xfId="1021" xr:uid="{00000000-0005-0000-0000-00005F460000}"/>
    <cellStyle name="Normal 3 2 4 2 2 2 2" xfId="2459" xr:uid="{00000000-0005-0000-0000-000060460000}"/>
    <cellStyle name="Normal 3 2 4 2 2 2 2 2" xfId="7045" xr:uid="{00000000-0005-0000-0000-000061460000}"/>
    <cellStyle name="Normal 3 2 4 2 2 2 2 2 2" xfId="16145" xr:uid="{00000000-0005-0000-0000-000062460000}"/>
    <cellStyle name="Normal 3 2 4 2 2 2 2 2 2 2" xfId="34327" xr:uid="{00000000-0005-0000-0000-000063460000}"/>
    <cellStyle name="Normal 3 2 4 2 2 2 2 2 3" xfId="25237" xr:uid="{00000000-0005-0000-0000-000064460000}"/>
    <cellStyle name="Normal 3 2 4 2 2 2 2 3" xfId="11609" xr:uid="{00000000-0005-0000-0000-000065460000}"/>
    <cellStyle name="Normal 3 2 4 2 2 2 2 3 2" xfId="29791" xr:uid="{00000000-0005-0000-0000-000066460000}"/>
    <cellStyle name="Normal 3 2 4 2 2 2 2 4" xfId="20701" xr:uid="{00000000-0005-0000-0000-000067460000}"/>
    <cellStyle name="Normal 3 2 4 2 2 2 3" xfId="4023" xr:uid="{00000000-0005-0000-0000-000068460000}"/>
    <cellStyle name="Normal 3 2 4 2 2 2 3 2" xfId="8579" xr:uid="{00000000-0005-0000-0000-000069460000}"/>
    <cellStyle name="Normal 3 2 4 2 2 2 3 2 2" xfId="17675" xr:uid="{00000000-0005-0000-0000-00006A460000}"/>
    <cellStyle name="Normal 3 2 4 2 2 2 3 2 2 2" xfId="35857" xr:uid="{00000000-0005-0000-0000-00006B460000}"/>
    <cellStyle name="Normal 3 2 4 2 2 2 3 2 3" xfId="26767" xr:uid="{00000000-0005-0000-0000-00006C460000}"/>
    <cellStyle name="Normal 3 2 4 2 2 2 3 3" xfId="13135" xr:uid="{00000000-0005-0000-0000-00006D460000}"/>
    <cellStyle name="Normal 3 2 4 2 2 2 3 3 2" xfId="31317" xr:uid="{00000000-0005-0000-0000-00006E460000}"/>
    <cellStyle name="Normal 3 2 4 2 2 2 3 4" xfId="22227" xr:uid="{00000000-0005-0000-0000-00006F460000}"/>
    <cellStyle name="Normal 3 2 4 2 2 2 4" xfId="5662" xr:uid="{00000000-0005-0000-0000-000070460000}"/>
    <cellStyle name="Normal 3 2 4 2 2 2 4 2" xfId="14762" xr:uid="{00000000-0005-0000-0000-000071460000}"/>
    <cellStyle name="Normal 3 2 4 2 2 2 4 2 2" xfId="32944" xr:uid="{00000000-0005-0000-0000-000072460000}"/>
    <cellStyle name="Normal 3 2 4 2 2 2 4 3" xfId="23854" xr:uid="{00000000-0005-0000-0000-000073460000}"/>
    <cellStyle name="Normal 3 2 4 2 2 2 5" xfId="10228" xr:uid="{00000000-0005-0000-0000-000074460000}"/>
    <cellStyle name="Normal 3 2 4 2 2 2 5 2" xfId="28410" xr:uid="{00000000-0005-0000-0000-000075460000}"/>
    <cellStyle name="Normal 3 2 4 2 2 2 6" xfId="19319" xr:uid="{00000000-0005-0000-0000-000076460000}"/>
    <cellStyle name="Normal 3 2 4 2 2 3" xfId="2460" xr:uid="{00000000-0005-0000-0000-000077460000}"/>
    <cellStyle name="Normal 3 2 4 2 2 3 2" xfId="7046" xr:uid="{00000000-0005-0000-0000-000078460000}"/>
    <cellStyle name="Normal 3 2 4 2 2 3 2 2" xfId="16146" xr:uid="{00000000-0005-0000-0000-000079460000}"/>
    <cellStyle name="Normal 3 2 4 2 2 3 2 2 2" xfId="34328" xr:uid="{00000000-0005-0000-0000-00007A460000}"/>
    <cellStyle name="Normal 3 2 4 2 2 3 2 3" xfId="25238" xr:uid="{00000000-0005-0000-0000-00007B460000}"/>
    <cellStyle name="Normal 3 2 4 2 2 3 3" xfId="11610" xr:uid="{00000000-0005-0000-0000-00007C460000}"/>
    <cellStyle name="Normal 3 2 4 2 2 3 3 2" xfId="29792" xr:uid="{00000000-0005-0000-0000-00007D460000}"/>
    <cellStyle name="Normal 3 2 4 2 2 3 4" xfId="20702" xr:uid="{00000000-0005-0000-0000-00007E460000}"/>
    <cellStyle name="Normal 3 2 4 2 2 4" xfId="4022" xr:uid="{00000000-0005-0000-0000-00007F460000}"/>
    <cellStyle name="Normal 3 2 4 2 2 4 2" xfId="8578" xr:uid="{00000000-0005-0000-0000-000080460000}"/>
    <cellStyle name="Normal 3 2 4 2 2 4 2 2" xfId="17674" xr:uid="{00000000-0005-0000-0000-000081460000}"/>
    <cellStyle name="Normal 3 2 4 2 2 4 2 2 2" xfId="35856" xr:uid="{00000000-0005-0000-0000-000082460000}"/>
    <cellStyle name="Normal 3 2 4 2 2 4 2 3" xfId="26766" xr:uid="{00000000-0005-0000-0000-000083460000}"/>
    <cellStyle name="Normal 3 2 4 2 2 4 3" xfId="13134" xr:uid="{00000000-0005-0000-0000-000084460000}"/>
    <cellStyle name="Normal 3 2 4 2 2 4 3 2" xfId="31316" xr:uid="{00000000-0005-0000-0000-000085460000}"/>
    <cellStyle name="Normal 3 2 4 2 2 4 4" xfId="22226" xr:uid="{00000000-0005-0000-0000-000086460000}"/>
    <cellStyle name="Normal 3 2 4 2 2 5" xfId="5661" xr:uid="{00000000-0005-0000-0000-000087460000}"/>
    <cellStyle name="Normal 3 2 4 2 2 5 2" xfId="14761" xr:uid="{00000000-0005-0000-0000-000088460000}"/>
    <cellStyle name="Normal 3 2 4 2 2 5 2 2" xfId="32943" xr:uid="{00000000-0005-0000-0000-000089460000}"/>
    <cellStyle name="Normal 3 2 4 2 2 5 3" xfId="23853" xr:uid="{00000000-0005-0000-0000-00008A460000}"/>
    <cellStyle name="Normal 3 2 4 2 2 6" xfId="10227" xr:uid="{00000000-0005-0000-0000-00008B460000}"/>
    <cellStyle name="Normal 3 2 4 2 2 6 2" xfId="28409" xr:uid="{00000000-0005-0000-0000-00008C460000}"/>
    <cellStyle name="Normal 3 2 4 2 2 7" xfId="19318" xr:uid="{00000000-0005-0000-0000-00008D460000}"/>
    <cellStyle name="Normal 3 2 4 2 3" xfId="1022" xr:uid="{00000000-0005-0000-0000-00008E460000}"/>
    <cellStyle name="Normal 3 2 4 2 3 2" xfId="2461" xr:uid="{00000000-0005-0000-0000-00008F460000}"/>
    <cellStyle name="Normal 3 2 4 2 3 2 2" xfId="7047" xr:uid="{00000000-0005-0000-0000-000090460000}"/>
    <cellStyle name="Normal 3 2 4 2 3 2 2 2" xfId="16147" xr:uid="{00000000-0005-0000-0000-000091460000}"/>
    <cellStyle name="Normal 3 2 4 2 3 2 2 2 2" xfId="34329" xr:uid="{00000000-0005-0000-0000-000092460000}"/>
    <cellStyle name="Normal 3 2 4 2 3 2 2 3" xfId="25239" xr:uid="{00000000-0005-0000-0000-000093460000}"/>
    <cellStyle name="Normal 3 2 4 2 3 2 3" xfId="11611" xr:uid="{00000000-0005-0000-0000-000094460000}"/>
    <cellStyle name="Normal 3 2 4 2 3 2 3 2" xfId="29793" xr:uid="{00000000-0005-0000-0000-000095460000}"/>
    <cellStyle name="Normal 3 2 4 2 3 2 4" xfId="20703" xr:uid="{00000000-0005-0000-0000-000096460000}"/>
    <cellStyle name="Normal 3 2 4 2 3 3" xfId="4024" xr:uid="{00000000-0005-0000-0000-000097460000}"/>
    <cellStyle name="Normal 3 2 4 2 3 3 2" xfId="8580" xr:uid="{00000000-0005-0000-0000-000098460000}"/>
    <cellStyle name="Normal 3 2 4 2 3 3 2 2" xfId="17676" xr:uid="{00000000-0005-0000-0000-000099460000}"/>
    <cellStyle name="Normal 3 2 4 2 3 3 2 2 2" xfId="35858" xr:uid="{00000000-0005-0000-0000-00009A460000}"/>
    <cellStyle name="Normal 3 2 4 2 3 3 2 3" xfId="26768" xr:uid="{00000000-0005-0000-0000-00009B460000}"/>
    <cellStyle name="Normal 3 2 4 2 3 3 3" xfId="13136" xr:uid="{00000000-0005-0000-0000-00009C460000}"/>
    <cellStyle name="Normal 3 2 4 2 3 3 3 2" xfId="31318" xr:uid="{00000000-0005-0000-0000-00009D460000}"/>
    <cellStyle name="Normal 3 2 4 2 3 3 4" xfId="22228" xr:uid="{00000000-0005-0000-0000-00009E460000}"/>
    <cellStyle name="Normal 3 2 4 2 3 4" xfId="5663" xr:uid="{00000000-0005-0000-0000-00009F460000}"/>
    <cellStyle name="Normal 3 2 4 2 3 4 2" xfId="14763" xr:uid="{00000000-0005-0000-0000-0000A0460000}"/>
    <cellStyle name="Normal 3 2 4 2 3 4 2 2" xfId="32945" xr:uid="{00000000-0005-0000-0000-0000A1460000}"/>
    <cellStyle name="Normal 3 2 4 2 3 4 3" xfId="23855" xr:uid="{00000000-0005-0000-0000-0000A2460000}"/>
    <cellStyle name="Normal 3 2 4 2 3 5" xfId="10229" xr:uid="{00000000-0005-0000-0000-0000A3460000}"/>
    <cellStyle name="Normal 3 2 4 2 3 5 2" xfId="28411" xr:uid="{00000000-0005-0000-0000-0000A4460000}"/>
    <cellStyle name="Normal 3 2 4 2 3 6" xfId="19320" xr:uid="{00000000-0005-0000-0000-0000A5460000}"/>
    <cellStyle name="Normal 3 2 4 2 4" xfId="1023" xr:uid="{00000000-0005-0000-0000-0000A6460000}"/>
    <cellStyle name="Normal 3 2 4 2 4 2" xfId="4025" xr:uid="{00000000-0005-0000-0000-0000A7460000}"/>
    <cellStyle name="Normal 3 2 4 2 4 2 2" xfId="8581" xr:uid="{00000000-0005-0000-0000-0000A8460000}"/>
    <cellStyle name="Normal 3 2 4 2 4 2 2 2" xfId="17677" xr:uid="{00000000-0005-0000-0000-0000A9460000}"/>
    <cellStyle name="Normal 3 2 4 2 4 2 2 2 2" xfId="35859" xr:uid="{00000000-0005-0000-0000-0000AA460000}"/>
    <cellStyle name="Normal 3 2 4 2 4 2 2 3" xfId="26769" xr:uid="{00000000-0005-0000-0000-0000AB460000}"/>
    <cellStyle name="Normal 3 2 4 2 4 2 3" xfId="13137" xr:uid="{00000000-0005-0000-0000-0000AC460000}"/>
    <cellStyle name="Normal 3 2 4 2 4 2 3 2" xfId="31319" xr:uid="{00000000-0005-0000-0000-0000AD460000}"/>
    <cellStyle name="Normal 3 2 4 2 4 2 4" xfId="22229" xr:uid="{00000000-0005-0000-0000-0000AE460000}"/>
    <cellStyle name="Normal 3 2 4 2 4 3" xfId="5664" xr:uid="{00000000-0005-0000-0000-0000AF460000}"/>
    <cellStyle name="Normal 3 2 4 2 4 3 2" xfId="14764" xr:uid="{00000000-0005-0000-0000-0000B0460000}"/>
    <cellStyle name="Normal 3 2 4 2 4 3 2 2" xfId="32946" xr:uid="{00000000-0005-0000-0000-0000B1460000}"/>
    <cellStyle name="Normal 3 2 4 2 4 3 3" xfId="23856" xr:uid="{00000000-0005-0000-0000-0000B2460000}"/>
    <cellStyle name="Normal 3 2 4 2 4 4" xfId="10230" xr:uid="{00000000-0005-0000-0000-0000B3460000}"/>
    <cellStyle name="Normal 3 2 4 2 4 4 2" xfId="28412" xr:uid="{00000000-0005-0000-0000-0000B4460000}"/>
    <cellStyle name="Normal 3 2 4 2 4 5" xfId="19321" xr:uid="{00000000-0005-0000-0000-0000B5460000}"/>
    <cellStyle name="Normal 3 2 4 2 5" xfId="2462" xr:uid="{00000000-0005-0000-0000-0000B6460000}"/>
    <cellStyle name="Normal 3 2 4 2 5 2" xfId="7048" xr:uid="{00000000-0005-0000-0000-0000B7460000}"/>
    <cellStyle name="Normal 3 2 4 2 5 2 2" xfId="16148" xr:uid="{00000000-0005-0000-0000-0000B8460000}"/>
    <cellStyle name="Normal 3 2 4 2 5 2 2 2" xfId="34330" xr:uid="{00000000-0005-0000-0000-0000B9460000}"/>
    <cellStyle name="Normal 3 2 4 2 5 2 3" xfId="25240" xr:uid="{00000000-0005-0000-0000-0000BA460000}"/>
    <cellStyle name="Normal 3 2 4 2 5 3" xfId="11612" xr:uid="{00000000-0005-0000-0000-0000BB460000}"/>
    <cellStyle name="Normal 3 2 4 2 5 3 2" xfId="29794" xr:uid="{00000000-0005-0000-0000-0000BC460000}"/>
    <cellStyle name="Normal 3 2 4 2 5 4" xfId="20704" xr:uid="{00000000-0005-0000-0000-0000BD460000}"/>
    <cellStyle name="Normal 3 2 4 2 6" xfId="4021" xr:uid="{00000000-0005-0000-0000-0000BE460000}"/>
    <cellStyle name="Normal 3 2 4 2 6 2" xfId="8577" xr:uid="{00000000-0005-0000-0000-0000BF460000}"/>
    <cellStyle name="Normal 3 2 4 2 6 2 2" xfId="17673" xr:uid="{00000000-0005-0000-0000-0000C0460000}"/>
    <cellStyle name="Normal 3 2 4 2 6 2 2 2" xfId="35855" xr:uid="{00000000-0005-0000-0000-0000C1460000}"/>
    <cellStyle name="Normal 3 2 4 2 6 2 3" xfId="26765" xr:uid="{00000000-0005-0000-0000-0000C2460000}"/>
    <cellStyle name="Normal 3 2 4 2 6 3" xfId="13133" xr:uid="{00000000-0005-0000-0000-0000C3460000}"/>
    <cellStyle name="Normal 3 2 4 2 6 3 2" xfId="31315" xr:uid="{00000000-0005-0000-0000-0000C4460000}"/>
    <cellStyle name="Normal 3 2 4 2 6 4" xfId="22225" xr:uid="{00000000-0005-0000-0000-0000C5460000}"/>
    <cellStyle name="Normal 3 2 4 2 7" xfId="5660" xr:uid="{00000000-0005-0000-0000-0000C6460000}"/>
    <cellStyle name="Normal 3 2 4 2 7 2" xfId="14760" xr:uid="{00000000-0005-0000-0000-0000C7460000}"/>
    <cellStyle name="Normal 3 2 4 2 7 2 2" xfId="32942" xr:uid="{00000000-0005-0000-0000-0000C8460000}"/>
    <cellStyle name="Normal 3 2 4 2 7 3" xfId="23852" xr:uid="{00000000-0005-0000-0000-0000C9460000}"/>
    <cellStyle name="Normal 3 2 4 2 8" xfId="10226" xr:uid="{00000000-0005-0000-0000-0000CA460000}"/>
    <cellStyle name="Normal 3 2 4 2 8 2" xfId="28408" xr:uid="{00000000-0005-0000-0000-0000CB460000}"/>
    <cellStyle name="Normal 3 2 4 2 9" xfId="19317" xr:uid="{00000000-0005-0000-0000-0000CC460000}"/>
    <cellStyle name="Normal 3 2 4 3" xfId="1024" xr:uid="{00000000-0005-0000-0000-0000CD460000}"/>
    <cellStyle name="Normal 3 2 4 3 2" xfId="1025" xr:uid="{00000000-0005-0000-0000-0000CE460000}"/>
    <cellStyle name="Normal 3 2 4 3 2 2" xfId="2463" xr:uid="{00000000-0005-0000-0000-0000CF460000}"/>
    <cellStyle name="Normal 3 2 4 3 2 2 2" xfId="7049" xr:uid="{00000000-0005-0000-0000-0000D0460000}"/>
    <cellStyle name="Normal 3 2 4 3 2 2 2 2" xfId="16149" xr:uid="{00000000-0005-0000-0000-0000D1460000}"/>
    <cellStyle name="Normal 3 2 4 3 2 2 2 2 2" xfId="34331" xr:uid="{00000000-0005-0000-0000-0000D2460000}"/>
    <cellStyle name="Normal 3 2 4 3 2 2 2 3" xfId="25241" xr:uid="{00000000-0005-0000-0000-0000D3460000}"/>
    <cellStyle name="Normal 3 2 4 3 2 2 3" xfId="11613" xr:uid="{00000000-0005-0000-0000-0000D4460000}"/>
    <cellStyle name="Normal 3 2 4 3 2 2 3 2" xfId="29795" xr:uid="{00000000-0005-0000-0000-0000D5460000}"/>
    <cellStyle name="Normal 3 2 4 3 2 2 4" xfId="20705" xr:uid="{00000000-0005-0000-0000-0000D6460000}"/>
    <cellStyle name="Normal 3 2 4 3 2 3" xfId="4027" xr:uid="{00000000-0005-0000-0000-0000D7460000}"/>
    <cellStyle name="Normal 3 2 4 3 2 3 2" xfId="8583" xr:uid="{00000000-0005-0000-0000-0000D8460000}"/>
    <cellStyle name="Normal 3 2 4 3 2 3 2 2" xfId="17679" xr:uid="{00000000-0005-0000-0000-0000D9460000}"/>
    <cellStyle name="Normal 3 2 4 3 2 3 2 2 2" xfId="35861" xr:uid="{00000000-0005-0000-0000-0000DA460000}"/>
    <cellStyle name="Normal 3 2 4 3 2 3 2 3" xfId="26771" xr:uid="{00000000-0005-0000-0000-0000DB460000}"/>
    <cellStyle name="Normal 3 2 4 3 2 3 3" xfId="13139" xr:uid="{00000000-0005-0000-0000-0000DC460000}"/>
    <cellStyle name="Normal 3 2 4 3 2 3 3 2" xfId="31321" xr:uid="{00000000-0005-0000-0000-0000DD460000}"/>
    <cellStyle name="Normal 3 2 4 3 2 3 4" xfId="22231" xr:uid="{00000000-0005-0000-0000-0000DE460000}"/>
    <cellStyle name="Normal 3 2 4 3 2 4" xfId="5666" xr:uid="{00000000-0005-0000-0000-0000DF460000}"/>
    <cellStyle name="Normal 3 2 4 3 2 4 2" xfId="14766" xr:uid="{00000000-0005-0000-0000-0000E0460000}"/>
    <cellStyle name="Normal 3 2 4 3 2 4 2 2" xfId="32948" xr:uid="{00000000-0005-0000-0000-0000E1460000}"/>
    <cellStyle name="Normal 3 2 4 3 2 4 3" xfId="23858" xr:uid="{00000000-0005-0000-0000-0000E2460000}"/>
    <cellStyle name="Normal 3 2 4 3 2 5" xfId="10232" xr:uid="{00000000-0005-0000-0000-0000E3460000}"/>
    <cellStyle name="Normal 3 2 4 3 2 5 2" xfId="28414" xr:uid="{00000000-0005-0000-0000-0000E4460000}"/>
    <cellStyle name="Normal 3 2 4 3 2 6" xfId="19323" xr:uid="{00000000-0005-0000-0000-0000E5460000}"/>
    <cellStyle name="Normal 3 2 4 3 3" xfId="2464" xr:uid="{00000000-0005-0000-0000-0000E6460000}"/>
    <cellStyle name="Normal 3 2 4 3 3 2" xfId="7050" xr:uid="{00000000-0005-0000-0000-0000E7460000}"/>
    <cellStyle name="Normal 3 2 4 3 3 2 2" xfId="16150" xr:uid="{00000000-0005-0000-0000-0000E8460000}"/>
    <cellStyle name="Normal 3 2 4 3 3 2 2 2" xfId="34332" xr:uid="{00000000-0005-0000-0000-0000E9460000}"/>
    <cellStyle name="Normal 3 2 4 3 3 2 3" xfId="25242" xr:uid="{00000000-0005-0000-0000-0000EA460000}"/>
    <cellStyle name="Normal 3 2 4 3 3 3" xfId="11614" xr:uid="{00000000-0005-0000-0000-0000EB460000}"/>
    <cellStyle name="Normal 3 2 4 3 3 3 2" xfId="29796" xr:uid="{00000000-0005-0000-0000-0000EC460000}"/>
    <cellStyle name="Normal 3 2 4 3 3 4" xfId="20706" xr:uid="{00000000-0005-0000-0000-0000ED460000}"/>
    <cellStyle name="Normal 3 2 4 3 4" xfId="4026" xr:uid="{00000000-0005-0000-0000-0000EE460000}"/>
    <cellStyle name="Normal 3 2 4 3 4 2" xfId="8582" xr:uid="{00000000-0005-0000-0000-0000EF460000}"/>
    <cellStyle name="Normal 3 2 4 3 4 2 2" xfId="17678" xr:uid="{00000000-0005-0000-0000-0000F0460000}"/>
    <cellStyle name="Normal 3 2 4 3 4 2 2 2" xfId="35860" xr:uid="{00000000-0005-0000-0000-0000F1460000}"/>
    <cellStyle name="Normal 3 2 4 3 4 2 3" xfId="26770" xr:uid="{00000000-0005-0000-0000-0000F2460000}"/>
    <cellStyle name="Normal 3 2 4 3 4 3" xfId="13138" xr:uid="{00000000-0005-0000-0000-0000F3460000}"/>
    <cellStyle name="Normal 3 2 4 3 4 3 2" xfId="31320" xr:uid="{00000000-0005-0000-0000-0000F4460000}"/>
    <cellStyle name="Normal 3 2 4 3 4 4" xfId="22230" xr:uid="{00000000-0005-0000-0000-0000F5460000}"/>
    <cellStyle name="Normal 3 2 4 3 5" xfId="5665" xr:uid="{00000000-0005-0000-0000-0000F6460000}"/>
    <cellStyle name="Normal 3 2 4 3 5 2" xfId="14765" xr:uid="{00000000-0005-0000-0000-0000F7460000}"/>
    <cellStyle name="Normal 3 2 4 3 5 2 2" xfId="32947" xr:uid="{00000000-0005-0000-0000-0000F8460000}"/>
    <cellStyle name="Normal 3 2 4 3 5 3" xfId="23857" xr:uid="{00000000-0005-0000-0000-0000F9460000}"/>
    <cellStyle name="Normal 3 2 4 3 6" xfId="10231" xr:uid="{00000000-0005-0000-0000-0000FA460000}"/>
    <cellStyle name="Normal 3 2 4 3 6 2" xfId="28413" xr:uid="{00000000-0005-0000-0000-0000FB460000}"/>
    <cellStyle name="Normal 3 2 4 3 7" xfId="19322" xr:uid="{00000000-0005-0000-0000-0000FC460000}"/>
    <cellStyle name="Normal 3 2 4 4" xfId="1026" xr:uid="{00000000-0005-0000-0000-0000FD460000}"/>
    <cellStyle name="Normal 3 2 4 4 2" xfId="2465" xr:uid="{00000000-0005-0000-0000-0000FE460000}"/>
    <cellStyle name="Normal 3 2 4 4 2 2" xfId="7051" xr:uid="{00000000-0005-0000-0000-0000FF460000}"/>
    <cellStyle name="Normal 3 2 4 4 2 2 2" xfId="16151" xr:uid="{00000000-0005-0000-0000-000000470000}"/>
    <cellStyle name="Normal 3 2 4 4 2 2 2 2" xfId="34333" xr:uid="{00000000-0005-0000-0000-000001470000}"/>
    <cellStyle name="Normal 3 2 4 4 2 2 3" xfId="25243" xr:uid="{00000000-0005-0000-0000-000002470000}"/>
    <cellStyle name="Normal 3 2 4 4 2 3" xfId="11615" xr:uid="{00000000-0005-0000-0000-000003470000}"/>
    <cellStyle name="Normal 3 2 4 4 2 3 2" xfId="29797" xr:uid="{00000000-0005-0000-0000-000004470000}"/>
    <cellStyle name="Normal 3 2 4 4 2 4" xfId="20707" xr:uid="{00000000-0005-0000-0000-000005470000}"/>
    <cellStyle name="Normal 3 2 4 4 3" xfId="4028" xr:uid="{00000000-0005-0000-0000-000006470000}"/>
    <cellStyle name="Normal 3 2 4 4 3 2" xfId="8584" xr:uid="{00000000-0005-0000-0000-000007470000}"/>
    <cellStyle name="Normal 3 2 4 4 3 2 2" xfId="17680" xr:uid="{00000000-0005-0000-0000-000008470000}"/>
    <cellStyle name="Normal 3 2 4 4 3 2 2 2" xfId="35862" xr:uid="{00000000-0005-0000-0000-000009470000}"/>
    <cellStyle name="Normal 3 2 4 4 3 2 3" xfId="26772" xr:uid="{00000000-0005-0000-0000-00000A470000}"/>
    <cellStyle name="Normal 3 2 4 4 3 3" xfId="13140" xr:uid="{00000000-0005-0000-0000-00000B470000}"/>
    <cellStyle name="Normal 3 2 4 4 3 3 2" xfId="31322" xr:uid="{00000000-0005-0000-0000-00000C470000}"/>
    <cellStyle name="Normal 3 2 4 4 3 4" xfId="22232" xr:uid="{00000000-0005-0000-0000-00000D470000}"/>
    <cellStyle name="Normal 3 2 4 4 4" xfId="5667" xr:uid="{00000000-0005-0000-0000-00000E470000}"/>
    <cellStyle name="Normal 3 2 4 4 4 2" xfId="14767" xr:uid="{00000000-0005-0000-0000-00000F470000}"/>
    <cellStyle name="Normal 3 2 4 4 4 2 2" xfId="32949" xr:uid="{00000000-0005-0000-0000-000010470000}"/>
    <cellStyle name="Normal 3 2 4 4 4 3" xfId="23859" xr:uid="{00000000-0005-0000-0000-000011470000}"/>
    <cellStyle name="Normal 3 2 4 4 5" xfId="10233" xr:uid="{00000000-0005-0000-0000-000012470000}"/>
    <cellStyle name="Normal 3 2 4 4 5 2" xfId="28415" xr:uid="{00000000-0005-0000-0000-000013470000}"/>
    <cellStyle name="Normal 3 2 4 4 6" xfId="19324" xr:uid="{00000000-0005-0000-0000-000014470000}"/>
    <cellStyle name="Normal 3 2 4 5" xfId="1027" xr:uid="{00000000-0005-0000-0000-000015470000}"/>
    <cellStyle name="Normal 3 2 4 5 2" xfId="4029" xr:uid="{00000000-0005-0000-0000-000016470000}"/>
    <cellStyle name="Normal 3 2 4 5 2 2" xfId="8585" xr:uid="{00000000-0005-0000-0000-000017470000}"/>
    <cellStyle name="Normal 3 2 4 5 2 2 2" xfId="17681" xr:uid="{00000000-0005-0000-0000-000018470000}"/>
    <cellStyle name="Normal 3 2 4 5 2 2 2 2" xfId="35863" xr:uid="{00000000-0005-0000-0000-000019470000}"/>
    <cellStyle name="Normal 3 2 4 5 2 2 3" xfId="26773" xr:uid="{00000000-0005-0000-0000-00001A470000}"/>
    <cellStyle name="Normal 3 2 4 5 2 3" xfId="13141" xr:uid="{00000000-0005-0000-0000-00001B470000}"/>
    <cellStyle name="Normal 3 2 4 5 2 3 2" xfId="31323" xr:uid="{00000000-0005-0000-0000-00001C470000}"/>
    <cellStyle name="Normal 3 2 4 5 2 4" xfId="22233" xr:uid="{00000000-0005-0000-0000-00001D470000}"/>
    <cellStyle name="Normal 3 2 4 5 3" xfId="5668" xr:uid="{00000000-0005-0000-0000-00001E470000}"/>
    <cellStyle name="Normal 3 2 4 5 3 2" xfId="14768" xr:uid="{00000000-0005-0000-0000-00001F470000}"/>
    <cellStyle name="Normal 3 2 4 5 3 2 2" xfId="32950" xr:uid="{00000000-0005-0000-0000-000020470000}"/>
    <cellStyle name="Normal 3 2 4 5 3 3" xfId="23860" xr:uid="{00000000-0005-0000-0000-000021470000}"/>
    <cellStyle name="Normal 3 2 4 5 4" xfId="10234" xr:uid="{00000000-0005-0000-0000-000022470000}"/>
    <cellStyle name="Normal 3 2 4 5 4 2" xfId="28416" xr:uid="{00000000-0005-0000-0000-000023470000}"/>
    <cellStyle name="Normal 3 2 4 5 5" xfId="19325" xr:uid="{00000000-0005-0000-0000-000024470000}"/>
    <cellStyle name="Normal 3 2 4 6" xfId="2466" xr:uid="{00000000-0005-0000-0000-000025470000}"/>
    <cellStyle name="Normal 3 2 4 6 2" xfId="7052" xr:uid="{00000000-0005-0000-0000-000026470000}"/>
    <cellStyle name="Normal 3 2 4 6 2 2" xfId="16152" xr:uid="{00000000-0005-0000-0000-000027470000}"/>
    <cellStyle name="Normal 3 2 4 6 2 2 2" xfId="34334" xr:uid="{00000000-0005-0000-0000-000028470000}"/>
    <cellStyle name="Normal 3 2 4 6 2 3" xfId="25244" xr:uid="{00000000-0005-0000-0000-000029470000}"/>
    <cellStyle name="Normal 3 2 4 6 3" xfId="11616" xr:uid="{00000000-0005-0000-0000-00002A470000}"/>
    <cellStyle name="Normal 3 2 4 6 3 2" xfId="29798" xr:uid="{00000000-0005-0000-0000-00002B470000}"/>
    <cellStyle name="Normal 3 2 4 6 4" xfId="20708" xr:uid="{00000000-0005-0000-0000-00002C470000}"/>
    <cellStyle name="Normal 3 2 4 7" xfId="4020" xr:uid="{00000000-0005-0000-0000-00002D470000}"/>
    <cellStyle name="Normal 3 2 4 7 2" xfId="8576" xr:uid="{00000000-0005-0000-0000-00002E470000}"/>
    <cellStyle name="Normal 3 2 4 7 2 2" xfId="17672" xr:uid="{00000000-0005-0000-0000-00002F470000}"/>
    <cellStyle name="Normal 3 2 4 7 2 2 2" xfId="35854" xr:uid="{00000000-0005-0000-0000-000030470000}"/>
    <cellStyle name="Normal 3 2 4 7 2 3" xfId="26764" xr:uid="{00000000-0005-0000-0000-000031470000}"/>
    <cellStyle name="Normal 3 2 4 7 3" xfId="13132" xr:uid="{00000000-0005-0000-0000-000032470000}"/>
    <cellStyle name="Normal 3 2 4 7 3 2" xfId="31314" xr:uid="{00000000-0005-0000-0000-000033470000}"/>
    <cellStyle name="Normal 3 2 4 7 4" xfId="22224" xr:uid="{00000000-0005-0000-0000-000034470000}"/>
    <cellStyle name="Normal 3 2 4 8" xfId="5659" xr:uid="{00000000-0005-0000-0000-000035470000}"/>
    <cellStyle name="Normal 3 2 4 8 2" xfId="14759" xr:uid="{00000000-0005-0000-0000-000036470000}"/>
    <cellStyle name="Normal 3 2 4 8 2 2" xfId="32941" xr:uid="{00000000-0005-0000-0000-000037470000}"/>
    <cellStyle name="Normal 3 2 4 8 3" xfId="23851" xr:uid="{00000000-0005-0000-0000-000038470000}"/>
    <cellStyle name="Normal 3 2 4 9" xfId="10225" xr:uid="{00000000-0005-0000-0000-000039470000}"/>
    <cellStyle name="Normal 3 2 4 9 2" xfId="28407" xr:uid="{00000000-0005-0000-0000-00003A470000}"/>
    <cellStyle name="Normal 3 2 5" xfId="1028" xr:uid="{00000000-0005-0000-0000-00003B470000}"/>
    <cellStyle name="Normal 3 2 5 2" xfId="1029" xr:uid="{00000000-0005-0000-0000-00003C470000}"/>
    <cellStyle name="Normal 3 2 5 2 2" xfId="1030" xr:uid="{00000000-0005-0000-0000-00003D470000}"/>
    <cellStyle name="Normal 3 2 5 2 2 2" xfId="2467" xr:uid="{00000000-0005-0000-0000-00003E470000}"/>
    <cellStyle name="Normal 3 2 5 2 2 2 2" xfId="7053" xr:uid="{00000000-0005-0000-0000-00003F470000}"/>
    <cellStyle name="Normal 3 2 5 2 2 2 2 2" xfId="16153" xr:uid="{00000000-0005-0000-0000-000040470000}"/>
    <cellStyle name="Normal 3 2 5 2 2 2 2 2 2" xfId="34335" xr:uid="{00000000-0005-0000-0000-000041470000}"/>
    <cellStyle name="Normal 3 2 5 2 2 2 2 3" xfId="25245" xr:uid="{00000000-0005-0000-0000-000042470000}"/>
    <cellStyle name="Normal 3 2 5 2 2 2 3" xfId="11617" xr:uid="{00000000-0005-0000-0000-000043470000}"/>
    <cellStyle name="Normal 3 2 5 2 2 2 3 2" xfId="29799" xr:uid="{00000000-0005-0000-0000-000044470000}"/>
    <cellStyle name="Normal 3 2 5 2 2 2 4" xfId="20709" xr:uid="{00000000-0005-0000-0000-000045470000}"/>
    <cellStyle name="Normal 3 2 5 2 2 3" xfId="4032" xr:uid="{00000000-0005-0000-0000-000046470000}"/>
    <cellStyle name="Normal 3 2 5 2 2 3 2" xfId="8588" xr:uid="{00000000-0005-0000-0000-000047470000}"/>
    <cellStyle name="Normal 3 2 5 2 2 3 2 2" xfId="17684" xr:uid="{00000000-0005-0000-0000-000048470000}"/>
    <cellStyle name="Normal 3 2 5 2 2 3 2 2 2" xfId="35866" xr:uid="{00000000-0005-0000-0000-000049470000}"/>
    <cellStyle name="Normal 3 2 5 2 2 3 2 3" xfId="26776" xr:uid="{00000000-0005-0000-0000-00004A470000}"/>
    <cellStyle name="Normal 3 2 5 2 2 3 3" xfId="13144" xr:uid="{00000000-0005-0000-0000-00004B470000}"/>
    <cellStyle name="Normal 3 2 5 2 2 3 3 2" xfId="31326" xr:uid="{00000000-0005-0000-0000-00004C470000}"/>
    <cellStyle name="Normal 3 2 5 2 2 3 4" xfId="22236" xr:uid="{00000000-0005-0000-0000-00004D470000}"/>
    <cellStyle name="Normal 3 2 5 2 2 4" xfId="5671" xr:uid="{00000000-0005-0000-0000-00004E470000}"/>
    <cellStyle name="Normal 3 2 5 2 2 4 2" xfId="14771" xr:uid="{00000000-0005-0000-0000-00004F470000}"/>
    <cellStyle name="Normal 3 2 5 2 2 4 2 2" xfId="32953" xr:uid="{00000000-0005-0000-0000-000050470000}"/>
    <cellStyle name="Normal 3 2 5 2 2 4 3" xfId="23863" xr:uid="{00000000-0005-0000-0000-000051470000}"/>
    <cellStyle name="Normal 3 2 5 2 2 5" xfId="10237" xr:uid="{00000000-0005-0000-0000-000052470000}"/>
    <cellStyle name="Normal 3 2 5 2 2 5 2" xfId="28419" xr:uid="{00000000-0005-0000-0000-000053470000}"/>
    <cellStyle name="Normal 3 2 5 2 2 6" xfId="19328" xr:uid="{00000000-0005-0000-0000-000054470000}"/>
    <cellStyle name="Normal 3 2 5 2 3" xfId="2468" xr:uid="{00000000-0005-0000-0000-000055470000}"/>
    <cellStyle name="Normal 3 2 5 2 3 2" xfId="7054" xr:uid="{00000000-0005-0000-0000-000056470000}"/>
    <cellStyle name="Normal 3 2 5 2 3 2 2" xfId="16154" xr:uid="{00000000-0005-0000-0000-000057470000}"/>
    <cellStyle name="Normal 3 2 5 2 3 2 2 2" xfId="34336" xr:uid="{00000000-0005-0000-0000-000058470000}"/>
    <cellStyle name="Normal 3 2 5 2 3 2 3" xfId="25246" xr:uid="{00000000-0005-0000-0000-000059470000}"/>
    <cellStyle name="Normal 3 2 5 2 3 3" xfId="11618" xr:uid="{00000000-0005-0000-0000-00005A470000}"/>
    <cellStyle name="Normal 3 2 5 2 3 3 2" xfId="29800" xr:uid="{00000000-0005-0000-0000-00005B470000}"/>
    <cellStyle name="Normal 3 2 5 2 3 4" xfId="20710" xr:uid="{00000000-0005-0000-0000-00005C470000}"/>
    <cellStyle name="Normal 3 2 5 2 4" xfId="4031" xr:uid="{00000000-0005-0000-0000-00005D470000}"/>
    <cellStyle name="Normal 3 2 5 2 4 2" xfId="8587" xr:uid="{00000000-0005-0000-0000-00005E470000}"/>
    <cellStyle name="Normal 3 2 5 2 4 2 2" xfId="17683" xr:uid="{00000000-0005-0000-0000-00005F470000}"/>
    <cellStyle name="Normal 3 2 5 2 4 2 2 2" xfId="35865" xr:uid="{00000000-0005-0000-0000-000060470000}"/>
    <cellStyle name="Normal 3 2 5 2 4 2 3" xfId="26775" xr:uid="{00000000-0005-0000-0000-000061470000}"/>
    <cellStyle name="Normal 3 2 5 2 4 3" xfId="13143" xr:uid="{00000000-0005-0000-0000-000062470000}"/>
    <cellStyle name="Normal 3 2 5 2 4 3 2" xfId="31325" xr:uid="{00000000-0005-0000-0000-000063470000}"/>
    <cellStyle name="Normal 3 2 5 2 4 4" xfId="22235" xr:uid="{00000000-0005-0000-0000-000064470000}"/>
    <cellStyle name="Normal 3 2 5 2 5" xfId="5670" xr:uid="{00000000-0005-0000-0000-000065470000}"/>
    <cellStyle name="Normal 3 2 5 2 5 2" xfId="14770" xr:uid="{00000000-0005-0000-0000-000066470000}"/>
    <cellStyle name="Normal 3 2 5 2 5 2 2" xfId="32952" xr:uid="{00000000-0005-0000-0000-000067470000}"/>
    <cellStyle name="Normal 3 2 5 2 5 3" xfId="23862" xr:uid="{00000000-0005-0000-0000-000068470000}"/>
    <cellStyle name="Normal 3 2 5 2 6" xfId="10236" xr:uid="{00000000-0005-0000-0000-000069470000}"/>
    <cellStyle name="Normal 3 2 5 2 6 2" xfId="28418" xr:uid="{00000000-0005-0000-0000-00006A470000}"/>
    <cellStyle name="Normal 3 2 5 2 7" xfId="19327" xr:uid="{00000000-0005-0000-0000-00006B470000}"/>
    <cellStyle name="Normal 3 2 5 3" xfId="1031" xr:uid="{00000000-0005-0000-0000-00006C470000}"/>
    <cellStyle name="Normal 3 2 5 3 2" xfId="2469" xr:uid="{00000000-0005-0000-0000-00006D470000}"/>
    <cellStyle name="Normal 3 2 5 3 2 2" xfId="7055" xr:uid="{00000000-0005-0000-0000-00006E470000}"/>
    <cellStyle name="Normal 3 2 5 3 2 2 2" xfId="16155" xr:uid="{00000000-0005-0000-0000-00006F470000}"/>
    <cellStyle name="Normal 3 2 5 3 2 2 2 2" xfId="34337" xr:uid="{00000000-0005-0000-0000-000070470000}"/>
    <cellStyle name="Normal 3 2 5 3 2 2 3" xfId="25247" xr:uid="{00000000-0005-0000-0000-000071470000}"/>
    <cellStyle name="Normal 3 2 5 3 2 3" xfId="11619" xr:uid="{00000000-0005-0000-0000-000072470000}"/>
    <cellStyle name="Normal 3 2 5 3 2 3 2" xfId="29801" xr:uid="{00000000-0005-0000-0000-000073470000}"/>
    <cellStyle name="Normal 3 2 5 3 2 4" xfId="20711" xr:uid="{00000000-0005-0000-0000-000074470000}"/>
    <cellStyle name="Normal 3 2 5 3 3" xfId="4033" xr:uid="{00000000-0005-0000-0000-000075470000}"/>
    <cellStyle name="Normal 3 2 5 3 3 2" xfId="8589" xr:uid="{00000000-0005-0000-0000-000076470000}"/>
    <cellStyle name="Normal 3 2 5 3 3 2 2" xfId="17685" xr:uid="{00000000-0005-0000-0000-000077470000}"/>
    <cellStyle name="Normal 3 2 5 3 3 2 2 2" xfId="35867" xr:uid="{00000000-0005-0000-0000-000078470000}"/>
    <cellStyle name="Normal 3 2 5 3 3 2 3" xfId="26777" xr:uid="{00000000-0005-0000-0000-000079470000}"/>
    <cellStyle name="Normal 3 2 5 3 3 3" xfId="13145" xr:uid="{00000000-0005-0000-0000-00007A470000}"/>
    <cellStyle name="Normal 3 2 5 3 3 3 2" xfId="31327" xr:uid="{00000000-0005-0000-0000-00007B470000}"/>
    <cellStyle name="Normal 3 2 5 3 3 4" xfId="22237" xr:uid="{00000000-0005-0000-0000-00007C470000}"/>
    <cellStyle name="Normal 3 2 5 3 4" xfId="5672" xr:uid="{00000000-0005-0000-0000-00007D470000}"/>
    <cellStyle name="Normal 3 2 5 3 4 2" xfId="14772" xr:uid="{00000000-0005-0000-0000-00007E470000}"/>
    <cellStyle name="Normal 3 2 5 3 4 2 2" xfId="32954" xr:uid="{00000000-0005-0000-0000-00007F470000}"/>
    <cellStyle name="Normal 3 2 5 3 4 3" xfId="23864" xr:uid="{00000000-0005-0000-0000-000080470000}"/>
    <cellStyle name="Normal 3 2 5 3 5" xfId="10238" xr:uid="{00000000-0005-0000-0000-000081470000}"/>
    <cellStyle name="Normal 3 2 5 3 5 2" xfId="28420" xr:uid="{00000000-0005-0000-0000-000082470000}"/>
    <cellStyle name="Normal 3 2 5 3 6" xfId="19329" xr:uid="{00000000-0005-0000-0000-000083470000}"/>
    <cellStyle name="Normal 3 2 5 4" xfId="1032" xr:uid="{00000000-0005-0000-0000-000084470000}"/>
    <cellStyle name="Normal 3 2 5 4 2" xfId="4034" xr:uid="{00000000-0005-0000-0000-000085470000}"/>
    <cellStyle name="Normal 3 2 5 4 2 2" xfId="8590" xr:uid="{00000000-0005-0000-0000-000086470000}"/>
    <cellStyle name="Normal 3 2 5 4 2 2 2" xfId="17686" xr:uid="{00000000-0005-0000-0000-000087470000}"/>
    <cellStyle name="Normal 3 2 5 4 2 2 2 2" xfId="35868" xr:uid="{00000000-0005-0000-0000-000088470000}"/>
    <cellStyle name="Normal 3 2 5 4 2 2 3" xfId="26778" xr:uid="{00000000-0005-0000-0000-000089470000}"/>
    <cellStyle name="Normal 3 2 5 4 2 3" xfId="13146" xr:uid="{00000000-0005-0000-0000-00008A470000}"/>
    <cellStyle name="Normal 3 2 5 4 2 3 2" xfId="31328" xr:uid="{00000000-0005-0000-0000-00008B470000}"/>
    <cellStyle name="Normal 3 2 5 4 2 4" xfId="22238" xr:uid="{00000000-0005-0000-0000-00008C470000}"/>
    <cellStyle name="Normal 3 2 5 4 3" xfId="5673" xr:uid="{00000000-0005-0000-0000-00008D470000}"/>
    <cellStyle name="Normal 3 2 5 4 3 2" xfId="14773" xr:uid="{00000000-0005-0000-0000-00008E470000}"/>
    <cellStyle name="Normal 3 2 5 4 3 2 2" xfId="32955" xr:uid="{00000000-0005-0000-0000-00008F470000}"/>
    <cellStyle name="Normal 3 2 5 4 3 3" xfId="23865" xr:uid="{00000000-0005-0000-0000-000090470000}"/>
    <cellStyle name="Normal 3 2 5 4 4" xfId="10239" xr:uid="{00000000-0005-0000-0000-000091470000}"/>
    <cellStyle name="Normal 3 2 5 4 4 2" xfId="28421" xr:uid="{00000000-0005-0000-0000-000092470000}"/>
    <cellStyle name="Normal 3 2 5 4 5" xfId="19330" xr:uid="{00000000-0005-0000-0000-000093470000}"/>
    <cellStyle name="Normal 3 2 5 5" xfId="2470" xr:uid="{00000000-0005-0000-0000-000094470000}"/>
    <cellStyle name="Normal 3 2 5 5 2" xfId="7056" xr:uid="{00000000-0005-0000-0000-000095470000}"/>
    <cellStyle name="Normal 3 2 5 5 2 2" xfId="16156" xr:uid="{00000000-0005-0000-0000-000096470000}"/>
    <cellStyle name="Normal 3 2 5 5 2 2 2" xfId="34338" xr:uid="{00000000-0005-0000-0000-000097470000}"/>
    <cellStyle name="Normal 3 2 5 5 2 3" xfId="25248" xr:uid="{00000000-0005-0000-0000-000098470000}"/>
    <cellStyle name="Normal 3 2 5 5 3" xfId="11620" xr:uid="{00000000-0005-0000-0000-000099470000}"/>
    <cellStyle name="Normal 3 2 5 5 3 2" xfId="29802" xr:uid="{00000000-0005-0000-0000-00009A470000}"/>
    <cellStyle name="Normal 3 2 5 5 4" xfId="20712" xr:uid="{00000000-0005-0000-0000-00009B470000}"/>
    <cellStyle name="Normal 3 2 5 6" xfId="4030" xr:uid="{00000000-0005-0000-0000-00009C470000}"/>
    <cellStyle name="Normal 3 2 5 6 2" xfId="8586" xr:uid="{00000000-0005-0000-0000-00009D470000}"/>
    <cellStyle name="Normal 3 2 5 6 2 2" xfId="17682" xr:uid="{00000000-0005-0000-0000-00009E470000}"/>
    <cellStyle name="Normal 3 2 5 6 2 2 2" xfId="35864" xr:uid="{00000000-0005-0000-0000-00009F470000}"/>
    <cellStyle name="Normal 3 2 5 6 2 3" xfId="26774" xr:uid="{00000000-0005-0000-0000-0000A0470000}"/>
    <cellStyle name="Normal 3 2 5 6 3" xfId="13142" xr:uid="{00000000-0005-0000-0000-0000A1470000}"/>
    <cellStyle name="Normal 3 2 5 6 3 2" xfId="31324" xr:uid="{00000000-0005-0000-0000-0000A2470000}"/>
    <cellStyle name="Normal 3 2 5 6 4" xfId="22234" xr:uid="{00000000-0005-0000-0000-0000A3470000}"/>
    <cellStyle name="Normal 3 2 5 7" xfId="5669" xr:uid="{00000000-0005-0000-0000-0000A4470000}"/>
    <cellStyle name="Normal 3 2 5 7 2" xfId="14769" xr:uid="{00000000-0005-0000-0000-0000A5470000}"/>
    <cellStyle name="Normal 3 2 5 7 2 2" xfId="32951" xr:uid="{00000000-0005-0000-0000-0000A6470000}"/>
    <cellStyle name="Normal 3 2 5 7 3" xfId="23861" xr:uid="{00000000-0005-0000-0000-0000A7470000}"/>
    <cellStyle name="Normal 3 2 5 8" xfId="10235" xr:uid="{00000000-0005-0000-0000-0000A8470000}"/>
    <cellStyle name="Normal 3 2 5 8 2" xfId="28417" xr:uid="{00000000-0005-0000-0000-0000A9470000}"/>
    <cellStyle name="Normal 3 2 5 9" xfId="19326" xr:uid="{00000000-0005-0000-0000-0000AA470000}"/>
    <cellStyle name="Normal 3 2 6" xfId="1033" xr:uid="{00000000-0005-0000-0000-0000AB470000}"/>
    <cellStyle name="Normal 3 2 6 2" xfId="1034" xr:uid="{00000000-0005-0000-0000-0000AC470000}"/>
    <cellStyle name="Normal 3 2 6 2 2" xfId="2471" xr:uid="{00000000-0005-0000-0000-0000AD470000}"/>
    <cellStyle name="Normal 3 2 6 2 2 2" xfId="7057" xr:uid="{00000000-0005-0000-0000-0000AE470000}"/>
    <cellStyle name="Normal 3 2 6 2 2 2 2" xfId="16157" xr:uid="{00000000-0005-0000-0000-0000AF470000}"/>
    <cellStyle name="Normal 3 2 6 2 2 2 2 2" xfId="34339" xr:uid="{00000000-0005-0000-0000-0000B0470000}"/>
    <cellStyle name="Normal 3 2 6 2 2 2 3" xfId="25249" xr:uid="{00000000-0005-0000-0000-0000B1470000}"/>
    <cellStyle name="Normal 3 2 6 2 2 3" xfId="11621" xr:uid="{00000000-0005-0000-0000-0000B2470000}"/>
    <cellStyle name="Normal 3 2 6 2 2 3 2" xfId="29803" xr:uid="{00000000-0005-0000-0000-0000B3470000}"/>
    <cellStyle name="Normal 3 2 6 2 2 4" xfId="20713" xr:uid="{00000000-0005-0000-0000-0000B4470000}"/>
    <cellStyle name="Normal 3 2 6 2 3" xfId="4036" xr:uid="{00000000-0005-0000-0000-0000B5470000}"/>
    <cellStyle name="Normal 3 2 6 2 3 2" xfId="8592" xr:uid="{00000000-0005-0000-0000-0000B6470000}"/>
    <cellStyle name="Normal 3 2 6 2 3 2 2" xfId="17688" xr:uid="{00000000-0005-0000-0000-0000B7470000}"/>
    <cellStyle name="Normal 3 2 6 2 3 2 2 2" xfId="35870" xr:uid="{00000000-0005-0000-0000-0000B8470000}"/>
    <cellStyle name="Normal 3 2 6 2 3 2 3" xfId="26780" xr:uid="{00000000-0005-0000-0000-0000B9470000}"/>
    <cellStyle name="Normal 3 2 6 2 3 3" xfId="13148" xr:uid="{00000000-0005-0000-0000-0000BA470000}"/>
    <cellStyle name="Normal 3 2 6 2 3 3 2" xfId="31330" xr:uid="{00000000-0005-0000-0000-0000BB470000}"/>
    <cellStyle name="Normal 3 2 6 2 3 4" xfId="22240" xr:uid="{00000000-0005-0000-0000-0000BC470000}"/>
    <cellStyle name="Normal 3 2 6 2 4" xfId="5675" xr:uid="{00000000-0005-0000-0000-0000BD470000}"/>
    <cellStyle name="Normal 3 2 6 2 4 2" xfId="14775" xr:uid="{00000000-0005-0000-0000-0000BE470000}"/>
    <cellStyle name="Normal 3 2 6 2 4 2 2" xfId="32957" xr:uid="{00000000-0005-0000-0000-0000BF470000}"/>
    <cellStyle name="Normal 3 2 6 2 4 3" xfId="23867" xr:uid="{00000000-0005-0000-0000-0000C0470000}"/>
    <cellStyle name="Normal 3 2 6 2 5" xfId="10241" xr:uid="{00000000-0005-0000-0000-0000C1470000}"/>
    <cellStyle name="Normal 3 2 6 2 5 2" xfId="28423" xr:uid="{00000000-0005-0000-0000-0000C2470000}"/>
    <cellStyle name="Normal 3 2 6 2 6" xfId="19332" xr:uid="{00000000-0005-0000-0000-0000C3470000}"/>
    <cellStyle name="Normal 3 2 6 3" xfId="2472" xr:uid="{00000000-0005-0000-0000-0000C4470000}"/>
    <cellStyle name="Normal 3 2 6 3 2" xfId="7058" xr:uid="{00000000-0005-0000-0000-0000C5470000}"/>
    <cellStyle name="Normal 3 2 6 3 2 2" xfId="16158" xr:uid="{00000000-0005-0000-0000-0000C6470000}"/>
    <cellStyle name="Normal 3 2 6 3 2 2 2" xfId="34340" xr:uid="{00000000-0005-0000-0000-0000C7470000}"/>
    <cellStyle name="Normal 3 2 6 3 2 3" xfId="25250" xr:uid="{00000000-0005-0000-0000-0000C8470000}"/>
    <cellStyle name="Normal 3 2 6 3 3" xfId="11622" xr:uid="{00000000-0005-0000-0000-0000C9470000}"/>
    <cellStyle name="Normal 3 2 6 3 3 2" xfId="29804" xr:uid="{00000000-0005-0000-0000-0000CA470000}"/>
    <cellStyle name="Normal 3 2 6 3 4" xfId="20714" xr:uid="{00000000-0005-0000-0000-0000CB470000}"/>
    <cellStyle name="Normal 3 2 6 4" xfId="4035" xr:uid="{00000000-0005-0000-0000-0000CC470000}"/>
    <cellStyle name="Normal 3 2 6 4 2" xfId="8591" xr:uid="{00000000-0005-0000-0000-0000CD470000}"/>
    <cellStyle name="Normal 3 2 6 4 2 2" xfId="17687" xr:uid="{00000000-0005-0000-0000-0000CE470000}"/>
    <cellStyle name="Normal 3 2 6 4 2 2 2" xfId="35869" xr:uid="{00000000-0005-0000-0000-0000CF470000}"/>
    <cellStyle name="Normal 3 2 6 4 2 3" xfId="26779" xr:uid="{00000000-0005-0000-0000-0000D0470000}"/>
    <cellStyle name="Normal 3 2 6 4 3" xfId="13147" xr:uid="{00000000-0005-0000-0000-0000D1470000}"/>
    <cellStyle name="Normal 3 2 6 4 3 2" xfId="31329" xr:uid="{00000000-0005-0000-0000-0000D2470000}"/>
    <cellStyle name="Normal 3 2 6 4 4" xfId="22239" xr:uid="{00000000-0005-0000-0000-0000D3470000}"/>
    <cellStyle name="Normal 3 2 6 5" xfId="5674" xr:uid="{00000000-0005-0000-0000-0000D4470000}"/>
    <cellStyle name="Normal 3 2 6 5 2" xfId="14774" xr:uid="{00000000-0005-0000-0000-0000D5470000}"/>
    <cellStyle name="Normal 3 2 6 5 2 2" xfId="32956" xr:uid="{00000000-0005-0000-0000-0000D6470000}"/>
    <cellStyle name="Normal 3 2 6 5 3" xfId="23866" xr:uid="{00000000-0005-0000-0000-0000D7470000}"/>
    <cellStyle name="Normal 3 2 6 6" xfId="10240" xr:uid="{00000000-0005-0000-0000-0000D8470000}"/>
    <cellStyle name="Normal 3 2 6 6 2" xfId="28422" xr:uid="{00000000-0005-0000-0000-0000D9470000}"/>
    <cellStyle name="Normal 3 2 6 7" xfId="19331" xr:uid="{00000000-0005-0000-0000-0000DA470000}"/>
    <cellStyle name="Normal 3 2 7" xfId="1035" xr:uid="{00000000-0005-0000-0000-0000DB470000}"/>
    <cellStyle name="Normal 3 2 7 2" xfId="2473" xr:uid="{00000000-0005-0000-0000-0000DC470000}"/>
    <cellStyle name="Normal 3 2 7 2 2" xfId="7059" xr:uid="{00000000-0005-0000-0000-0000DD470000}"/>
    <cellStyle name="Normal 3 2 7 2 2 2" xfId="16159" xr:uid="{00000000-0005-0000-0000-0000DE470000}"/>
    <cellStyle name="Normal 3 2 7 2 2 2 2" xfId="34341" xr:uid="{00000000-0005-0000-0000-0000DF470000}"/>
    <cellStyle name="Normal 3 2 7 2 2 3" xfId="25251" xr:uid="{00000000-0005-0000-0000-0000E0470000}"/>
    <cellStyle name="Normal 3 2 7 2 3" xfId="11623" xr:uid="{00000000-0005-0000-0000-0000E1470000}"/>
    <cellStyle name="Normal 3 2 7 2 3 2" xfId="29805" xr:uid="{00000000-0005-0000-0000-0000E2470000}"/>
    <cellStyle name="Normal 3 2 7 2 4" xfId="20715" xr:uid="{00000000-0005-0000-0000-0000E3470000}"/>
    <cellStyle name="Normal 3 2 7 3" xfId="4037" xr:uid="{00000000-0005-0000-0000-0000E4470000}"/>
    <cellStyle name="Normal 3 2 7 3 2" xfId="8593" xr:uid="{00000000-0005-0000-0000-0000E5470000}"/>
    <cellStyle name="Normal 3 2 7 3 2 2" xfId="17689" xr:uid="{00000000-0005-0000-0000-0000E6470000}"/>
    <cellStyle name="Normal 3 2 7 3 2 2 2" xfId="35871" xr:uid="{00000000-0005-0000-0000-0000E7470000}"/>
    <cellStyle name="Normal 3 2 7 3 2 3" xfId="26781" xr:uid="{00000000-0005-0000-0000-0000E8470000}"/>
    <cellStyle name="Normal 3 2 7 3 3" xfId="13149" xr:uid="{00000000-0005-0000-0000-0000E9470000}"/>
    <cellStyle name="Normal 3 2 7 3 3 2" xfId="31331" xr:uid="{00000000-0005-0000-0000-0000EA470000}"/>
    <cellStyle name="Normal 3 2 7 3 4" xfId="22241" xr:uid="{00000000-0005-0000-0000-0000EB470000}"/>
    <cellStyle name="Normal 3 2 7 4" xfId="5676" xr:uid="{00000000-0005-0000-0000-0000EC470000}"/>
    <cellStyle name="Normal 3 2 7 4 2" xfId="14776" xr:uid="{00000000-0005-0000-0000-0000ED470000}"/>
    <cellStyle name="Normal 3 2 7 4 2 2" xfId="32958" xr:uid="{00000000-0005-0000-0000-0000EE470000}"/>
    <cellStyle name="Normal 3 2 7 4 3" xfId="23868" xr:uid="{00000000-0005-0000-0000-0000EF470000}"/>
    <cellStyle name="Normal 3 2 7 5" xfId="10242" xr:uid="{00000000-0005-0000-0000-0000F0470000}"/>
    <cellStyle name="Normal 3 2 7 5 2" xfId="28424" xr:uid="{00000000-0005-0000-0000-0000F1470000}"/>
    <cellStyle name="Normal 3 2 7 6" xfId="19333" xr:uid="{00000000-0005-0000-0000-0000F2470000}"/>
    <cellStyle name="Normal 3 2 8" xfId="1036" xr:uid="{00000000-0005-0000-0000-0000F3470000}"/>
    <cellStyle name="Normal 3 2 8 2" xfId="4038" xr:uid="{00000000-0005-0000-0000-0000F4470000}"/>
    <cellStyle name="Normal 3 2 8 2 2" xfId="8594" xr:uid="{00000000-0005-0000-0000-0000F5470000}"/>
    <cellStyle name="Normal 3 2 8 2 2 2" xfId="17690" xr:uid="{00000000-0005-0000-0000-0000F6470000}"/>
    <cellStyle name="Normal 3 2 8 2 2 2 2" xfId="35872" xr:uid="{00000000-0005-0000-0000-0000F7470000}"/>
    <cellStyle name="Normal 3 2 8 2 2 3" xfId="26782" xr:uid="{00000000-0005-0000-0000-0000F8470000}"/>
    <cellStyle name="Normal 3 2 8 2 3" xfId="13150" xr:uid="{00000000-0005-0000-0000-0000F9470000}"/>
    <cellStyle name="Normal 3 2 8 2 3 2" xfId="31332" xr:uid="{00000000-0005-0000-0000-0000FA470000}"/>
    <cellStyle name="Normal 3 2 8 2 4" xfId="22242" xr:uid="{00000000-0005-0000-0000-0000FB470000}"/>
    <cellStyle name="Normal 3 2 8 3" xfId="5677" xr:uid="{00000000-0005-0000-0000-0000FC470000}"/>
    <cellStyle name="Normal 3 2 8 3 2" xfId="14777" xr:uid="{00000000-0005-0000-0000-0000FD470000}"/>
    <cellStyle name="Normal 3 2 8 3 2 2" xfId="32959" xr:uid="{00000000-0005-0000-0000-0000FE470000}"/>
    <cellStyle name="Normal 3 2 8 3 3" xfId="23869" xr:uid="{00000000-0005-0000-0000-0000FF470000}"/>
    <cellStyle name="Normal 3 2 8 4" xfId="10243" xr:uid="{00000000-0005-0000-0000-000000480000}"/>
    <cellStyle name="Normal 3 2 8 4 2" xfId="28425" xr:uid="{00000000-0005-0000-0000-000001480000}"/>
    <cellStyle name="Normal 3 2 8 5" xfId="19334" xr:uid="{00000000-0005-0000-0000-000002480000}"/>
    <cellStyle name="Normal 3 2 9" xfId="2474" xr:uid="{00000000-0005-0000-0000-000003480000}"/>
    <cellStyle name="Normal 3 2 9 2" xfId="7060" xr:uid="{00000000-0005-0000-0000-000004480000}"/>
    <cellStyle name="Normal 3 2 9 2 2" xfId="16160" xr:uid="{00000000-0005-0000-0000-000005480000}"/>
    <cellStyle name="Normal 3 2 9 2 2 2" xfId="34342" xr:uid="{00000000-0005-0000-0000-000006480000}"/>
    <cellStyle name="Normal 3 2 9 2 3" xfId="25252" xr:uid="{00000000-0005-0000-0000-000007480000}"/>
    <cellStyle name="Normal 3 2 9 3" xfId="11624" xr:uid="{00000000-0005-0000-0000-000008480000}"/>
    <cellStyle name="Normal 3 2 9 3 2" xfId="29806" xr:uid="{00000000-0005-0000-0000-000009480000}"/>
    <cellStyle name="Normal 3 2 9 4" xfId="20716" xr:uid="{00000000-0005-0000-0000-00000A480000}"/>
    <cellStyle name="Normal 3 3" xfId="25" xr:uid="{00000000-0005-0000-0000-00000B480000}"/>
    <cellStyle name="Normal 3 3 10" xfId="4820" xr:uid="{00000000-0005-0000-0000-00000C480000}"/>
    <cellStyle name="Normal 3 3 10 2" xfId="13920" xr:uid="{00000000-0005-0000-0000-00000D480000}"/>
    <cellStyle name="Normal 3 3 10 2 2" xfId="32102" xr:uid="{00000000-0005-0000-0000-00000E480000}"/>
    <cellStyle name="Normal 3 3 10 3" xfId="23012" xr:uid="{00000000-0005-0000-0000-00000F480000}"/>
    <cellStyle name="Normal 3 3 11" xfId="9386" xr:uid="{00000000-0005-0000-0000-000010480000}"/>
    <cellStyle name="Normal 3 3 11 2" xfId="27568" xr:uid="{00000000-0005-0000-0000-000011480000}"/>
    <cellStyle name="Normal 3 3 12" xfId="18477" xr:uid="{00000000-0005-0000-0000-000012480000}"/>
    <cellStyle name="Normal 3 3 2" xfId="106" xr:uid="{00000000-0005-0000-0000-000013480000}"/>
    <cellStyle name="Normal 3 3 2 10" xfId="4852" xr:uid="{00000000-0005-0000-0000-000014480000}"/>
    <cellStyle name="Normal 3 3 2 10 2" xfId="13952" xr:uid="{00000000-0005-0000-0000-000015480000}"/>
    <cellStyle name="Normal 3 3 2 10 2 2" xfId="32134" xr:uid="{00000000-0005-0000-0000-000016480000}"/>
    <cellStyle name="Normal 3 3 2 10 3" xfId="23044" xr:uid="{00000000-0005-0000-0000-000017480000}"/>
    <cellStyle name="Normal 3 3 2 11" xfId="9418" xr:uid="{00000000-0005-0000-0000-000018480000}"/>
    <cellStyle name="Normal 3 3 2 11 2" xfId="27600" xr:uid="{00000000-0005-0000-0000-000019480000}"/>
    <cellStyle name="Normal 3 3 2 12" xfId="18509" xr:uid="{00000000-0005-0000-0000-00001A480000}"/>
    <cellStyle name="Normal 3 3 2 2" xfId="47" xr:uid="{00000000-0005-0000-0000-00001B480000}"/>
    <cellStyle name="Normal 3 3 2 2 10" xfId="4829" xr:uid="{00000000-0005-0000-0000-00001C480000}"/>
    <cellStyle name="Normal 3 3 2 2 10 2" xfId="13929" xr:uid="{00000000-0005-0000-0000-00001D480000}"/>
    <cellStyle name="Normal 3 3 2 2 10 2 2" xfId="32111" xr:uid="{00000000-0005-0000-0000-00001E480000}"/>
    <cellStyle name="Normal 3 3 2 2 10 3" xfId="23021" xr:uid="{00000000-0005-0000-0000-00001F480000}"/>
    <cellStyle name="Normal 3 3 2 2 11" xfId="9395" xr:uid="{00000000-0005-0000-0000-000020480000}"/>
    <cellStyle name="Normal 3 3 2 2 11 2" xfId="27577" xr:uid="{00000000-0005-0000-0000-000021480000}"/>
    <cellStyle name="Normal 3 3 2 2 12" xfId="18486" xr:uid="{00000000-0005-0000-0000-000022480000}"/>
    <cellStyle name="Normal 3 3 2 2 2" xfId="107" xr:uid="{00000000-0005-0000-0000-000023480000}"/>
    <cellStyle name="Normal 3 3 2 2 2 10" xfId="9419" xr:uid="{00000000-0005-0000-0000-000024480000}"/>
    <cellStyle name="Normal 3 3 2 2 2 10 2" xfId="27601" xr:uid="{00000000-0005-0000-0000-000025480000}"/>
    <cellStyle name="Normal 3 3 2 2 2 11" xfId="18510" xr:uid="{00000000-0005-0000-0000-000026480000}"/>
    <cellStyle name="Normal 3 3 2 2 2 2" xfId="1037" xr:uid="{00000000-0005-0000-0000-000027480000}"/>
    <cellStyle name="Normal 3 3 2 2 2 2 10" xfId="19335" xr:uid="{00000000-0005-0000-0000-000028480000}"/>
    <cellStyle name="Normal 3 3 2 2 2 2 2" xfId="1038" xr:uid="{00000000-0005-0000-0000-000029480000}"/>
    <cellStyle name="Normal 3 3 2 2 2 2 2 2" xfId="1039" xr:uid="{00000000-0005-0000-0000-00002A480000}"/>
    <cellStyle name="Normal 3 3 2 2 2 2 2 2 2" xfId="1040" xr:uid="{00000000-0005-0000-0000-00002B480000}"/>
    <cellStyle name="Normal 3 3 2 2 2 2 2 2 2 2" xfId="2475" xr:uid="{00000000-0005-0000-0000-00002C480000}"/>
    <cellStyle name="Normal 3 3 2 2 2 2 2 2 2 2 2" xfId="7061" xr:uid="{00000000-0005-0000-0000-00002D480000}"/>
    <cellStyle name="Normal 3 3 2 2 2 2 2 2 2 2 2 2" xfId="16161" xr:uid="{00000000-0005-0000-0000-00002E480000}"/>
    <cellStyle name="Normal 3 3 2 2 2 2 2 2 2 2 2 2 2" xfId="34343" xr:uid="{00000000-0005-0000-0000-00002F480000}"/>
    <cellStyle name="Normal 3 3 2 2 2 2 2 2 2 2 2 3" xfId="25253" xr:uid="{00000000-0005-0000-0000-000030480000}"/>
    <cellStyle name="Normal 3 3 2 2 2 2 2 2 2 2 3" xfId="11625" xr:uid="{00000000-0005-0000-0000-000031480000}"/>
    <cellStyle name="Normal 3 3 2 2 2 2 2 2 2 2 3 2" xfId="29807" xr:uid="{00000000-0005-0000-0000-000032480000}"/>
    <cellStyle name="Normal 3 3 2 2 2 2 2 2 2 2 4" xfId="20717" xr:uid="{00000000-0005-0000-0000-000033480000}"/>
    <cellStyle name="Normal 3 3 2 2 2 2 2 2 2 3" xfId="4042" xr:uid="{00000000-0005-0000-0000-000034480000}"/>
    <cellStyle name="Normal 3 3 2 2 2 2 2 2 2 3 2" xfId="8598" xr:uid="{00000000-0005-0000-0000-000035480000}"/>
    <cellStyle name="Normal 3 3 2 2 2 2 2 2 2 3 2 2" xfId="17694" xr:uid="{00000000-0005-0000-0000-000036480000}"/>
    <cellStyle name="Normal 3 3 2 2 2 2 2 2 2 3 2 2 2" xfId="35876" xr:uid="{00000000-0005-0000-0000-000037480000}"/>
    <cellStyle name="Normal 3 3 2 2 2 2 2 2 2 3 2 3" xfId="26786" xr:uid="{00000000-0005-0000-0000-000038480000}"/>
    <cellStyle name="Normal 3 3 2 2 2 2 2 2 2 3 3" xfId="13154" xr:uid="{00000000-0005-0000-0000-000039480000}"/>
    <cellStyle name="Normal 3 3 2 2 2 2 2 2 2 3 3 2" xfId="31336" xr:uid="{00000000-0005-0000-0000-00003A480000}"/>
    <cellStyle name="Normal 3 3 2 2 2 2 2 2 2 3 4" xfId="22246" xr:uid="{00000000-0005-0000-0000-00003B480000}"/>
    <cellStyle name="Normal 3 3 2 2 2 2 2 2 2 4" xfId="5681" xr:uid="{00000000-0005-0000-0000-00003C480000}"/>
    <cellStyle name="Normal 3 3 2 2 2 2 2 2 2 4 2" xfId="14781" xr:uid="{00000000-0005-0000-0000-00003D480000}"/>
    <cellStyle name="Normal 3 3 2 2 2 2 2 2 2 4 2 2" xfId="32963" xr:uid="{00000000-0005-0000-0000-00003E480000}"/>
    <cellStyle name="Normal 3 3 2 2 2 2 2 2 2 4 3" xfId="23873" xr:uid="{00000000-0005-0000-0000-00003F480000}"/>
    <cellStyle name="Normal 3 3 2 2 2 2 2 2 2 5" xfId="10247" xr:uid="{00000000-0005-0000-0000-000040480000}"/>
    <cellStyle name="Normal 3 3 2 2 2 2 2 2 2 5 2" xfId="28429" xr:uid="{00000000-0005-0000-0000-000041480000}"/>
    <cellStyle name="Normal 3 3 2 2 2 2 2 2 2 6" xfId="19338" xr:uid="{00000000-0005-0000-0000-000042480000}"/>
    <cellStyle name="Normal 3 3 2 2 2 2 2 2 3" xfId="2476" xr:uid="{00000000-0005-0000-0000-000043480000}"/>
    <cellStyle name="Normal 3 3 2 2 2 2 2 2 3 2" xfId="7062" xr:uid="{00000000-0005-0000-0000-000044480000}"/>
    <cellStyle name="Normal 3 3 2 2 2 2 2 2 3 2 2" xfId="16162" xr:uid="{00000000-0005-0000-0000-000045480000}"/>
    <cellStyle name="Normal 3 3 2 2 2 2 2 2 3 2 2 2" xfId="34344" xr:uid="{00000000-0005-0000-0000-000046480000}"/>
    <cellStyle name="Normal 3 3 2 2 2 2 2 2 3 2 3" xfId="25254" xr:uid="{00000000-0005-0000-0000-000047480000}"/>
    <cellStyle name="Normal 3 3 2 2 2 2 2 2 3 3" xfId="11626" xr:uid="{00000000-0005-0000-0000-000048480000}"/>
    <cellStyle name="Normal 3 3 2 2 2 2 2 2 3 3 2" xfId="29808" xr:uid="{00000000-0005-0000-0000-000049480000}"/>
    <cellStyle name="Normal 3 3 2 2 2 2 2 2 3 4" xfId="20718" xr:uid="{00000000-0005-0000-0000-00004A480000}"/>
    <cellStyle name="Normal 3 3 2 2 2 2 2 2 4" xfId="4041" xr:uid="{00000000-0005-0000-0000-00004B480000}"/>
    <cellStyle name="Normal 3 3 2 2 2 2 2 2 4 2" xfId="8597" xr:uid="{00000000-0005-0000-0000-00004C480000}"/>
    <cellStyle name="Normal 3 3 2 2 2 2 2 2 4 2 2" xfId="17693" xr:uid="{00000000-0005-0000-0000-00004D480000}"/>
    <cellStyle name="Normal 3 3 2 2 2 2 2 2 4 2 2 2" xfId="35875" xr:uid="{00000000-0005-0000-0000-00004E480000}"/>
    <cellStyle name="Normal 3 3 2 2 2 2 2 2 4 2 3" xfId="26785" xr:uid="{00000000-0005-0000-0000-00004F480000}"/>
    <cellStyle name="Normal 3 3 2 2 2 2 2 2 4 3" xfId="13153" xr:uid="{00000000-0005-0000-0000-000050480000}"/>
    <cellStyle name="Normal 3 3 2 2 2 2 2 2 4 3 2" xfId="31335" xr:uid="{00000000-0005-0000-0000-000051480000}"/>
    <cellStyle name="Normal 3 3 2 2 2 2 2 2 4 4" xfId="22245" xr:uid="{00000000-0005-0000-0000-000052480000}"/>
    <cellStyle name="Normal 3 3 2 2 2 2 2 2 5" xfId="5680" xr:uid="{00000000-0005-0000-0000-000053480000}"/>
    <cellStyle name="Normal 3 3 2 2 2 2 2 2 5 2" xfId="14780" xr:uid="{00000000-0005-0000-0000-000054480000}"/>
    <cellStyle name="Normal 3 3 2 2 2 2 2 2 5 2 2" xfId="32962" xr:uid="{00000000-0005-0000-0000-000055480000}"/>
    <cellStyle name="Normal 3 3 2 2 2 2 2 2 5 3" xfId="23872" xr:uid="{00000000-0005-0000-0000-000056480000}"/>
    <cellStyle name="Normal 3 3 2 2 2 2 2 2 6" xfId="10246" xr:uid="{00000000-0005-0000-0000-000057480000}"/>
    <cellStyle name="Normal 3 3 2 2 2 2 2 2 6 2" xfId="28428" xr:uid="{00000000-0005-0000-0000-000058480000}"/>
    <cellStyle name="Normal 3 3 2 2 2 2 2 2 7" xfId="19337" xr:uid="{00000000-0005-0000-0000-000059480000}"/>
    <cellStyle name="Normal 3 3 2 2 2 2 2 3" xfId="1041" xr:uid="{00000000-0005-0000-0000-00005A480000}"/>
    <cellStyle name="Normal 3 3 2 2 2 2 2 3 2" xfId="2477" xr:uid="{00000000-0005-0000-0000-00005B480000}"/>
    <cellStyle name="Normal 3 3 2 2 2 2 2 3 2 2" xfId="7063" xr:uid="{00000000-0005-0000-0000-00005C480000}"/>
    <cellStyle name="Normal 3 3 2 2 2 2 2 3 2 2 2" xfId="16163" xr:uid="{00000000-0005-0000-0000-00005D480000}"/>
    <cellStyle name="Normal 3 3 2 2 2 2 2 3 2 2 2 2" xfId="34345" xr:uid="{00000000-0005-0000-0000-00005E480000}"/>
    <cellStyle name="Normal 3 3 2 2 2 2 2 3 2 2 3" xfId="25255" xr:uid="{00000000-0005-0000-0000-00005F480000}"/>
    <cellStyle name="Normal 3 3 2 2 2 2 2 3 2 3" xfId="11627" xr:uid="{00000000-0005-0000-0000-000060480000}"/>
    <cellStyle name="Normal 3 3 2 2 2 2 2 3 2 3 2" xfId="29809" xr:uid="{00000000-0005-0000-0000-000061480000}"/>
    <cellStyle name="Normal 3 3 2 2 2 2 2 3 2 4" xfId="20719" xr:uid="{00000000-0005-0000-0000-000062480000}"/>
    <cellStyle name="Normal 3 3 2 2 2 2 2 3 3" xfId="4043" xr:uid="{00000000-0005-0000-0000-000063480000}"/>
    <cellStyle name="Normal 3 3 2 2 2 2 2 3 3 2" xfId="8599" xr:uid="{00000000-0005-0000-0000-000064480000}"/>
    <cellStyle name="Normal 3 3 2 2 2 2 2 3 3 2 2" xfId="17695" xr:uid="{00000000-0005-0000-0000-000065480000}"/>
    <cellStyle name="Normal 3 3 2 2 2 2 2 3 3 2 2 2" xfId="35877" xr:uid="{00000000-0005-0000-0000-000066480000}"/>
    <cellStyle name="Normal 3 3 2 2 2 2 2 3 3 2 3" xfId="26787" xr:uid="{00000000-0005-0000-0000-000067480000}"/>
    <cellStyle name="Normal 3 3 2 2 2 2 2 3 3 3" xfId="13155" xr:uid="{00000000-0005-0000-0000-000068480000}"/>
    <cellStyle name="Normal 3 3 2 2 2 2 2 3 3 3 2" xfId="31337" xr:uid="{00000000-0005-0000-0000-000069480000}"/>
    <cellStyle name="Normal 3 3 2 2 2 2 2 3 3 4" xfId="22247" xr:uid="{00000000-0005-0000-0000-00006A480000}"/>
    <cellStyle name="Normal 3 3 2 2 2 2 2 3 4" xfId="5682" xr:uid="{00000000-0005-0000-0000-00006B480000}"/>
    <cellStyle name="Normal 3 3 2 2 2 2 2 3 4 2" xfId="14782" xr:uid="{00000000-0005-0000-0000-00006C480000}"/>
    <cellStyle name="Normal 3 3 2 2 2 2 2 3 4 2 2" xfId="32964" xr:uid="{00000000-0005-0000-0000-00006D480000}"/>
    <cellStyle name="Normal 3 3 2 2 2 2 2 3 4 3" xfId="23874" xr:uid="{00000000-0005-0000-0000-00006E480000}"/>
    <cellStyle name="Normal 3 3 2 2 2 2 2 3 5" xfId="10248" xr:uid="{00000000-0005-0000-0000-00006F480000}"/>
    <cellStyle name="Normal 3 3 2 2 2 2 2 3 5 2" xfId="28430" xr:uid="{00000000-0005-0000-0000-000070480000}"/>
    <cellStyle name="Normal 3 3 2 2 2 2 2 3 6" xfId="19339" xr:uid="{00000000-0005-0000-0000-000071480000}"/>
    <cellStyle name="Normal 3 3 2 2 2 2 2 4" xfId="1042" xr:uid="{00000000-0005-0000-0000-000072480000}"/>
    <cellStyle name="Normal 3 3 2 2 2 2 2 4 2" xfId="4044" xr:uid="{00000000-0005-0000-0000-000073480000}"/>
    <cellStyle name="Normal 3 3 2 2 2 2 2 4 2 2" xfId="8600" xr:uid="{00000000-0005-0000-0000-000074480000}"/>
    <cellStyle name="Normal 3 3 2 2 2 2 2 4 2 2 2" xfId="17696" xr:uid="{00000000-0005-0000-0000-000075480000}"/>
    <cellStyle name="Normal 3 3 2 2 2 2 2 4 2 2 2 2" xfId="35878" xr:uid="{00000000-0005-0000-0000-000076480000}"/>
    <cellStyle name="Normal 3 3 2 2 2 2 2 4 2 2 3" xfId="26788" xr:uid="{00000000-0005-0000-0000-000077480000}"/>
    <cellStyle name="Normal 3 3 2 2 2 2 2 4 2 3" xfId="13156" xr:uid="{00000000-0005-0000-0000-000078480000}"/>
    <cellStyle name="Normal 3 3 2 2 2 2 2 4 2 3 2" xfId="31338" xr:uid="{00000000-0005-0000-0000-000079480000}"/>
    <cellStyle name="Normal 3 3 2 2 2 2 2 4 2 4" xfId="22248" xr:uid="{00000000-0005-0000-0000-00007A480000}"/>
    <cellStyle name="Normal 3 3 2 2 2 2 2 4 3" xfId="5683" xr:uid="{00000000-0005-0000-0000-00007B480000}"/>
    <cellStyle name="Normal 3 3 2 2 2 2 2 4 3 2" xfId="14783" xr:uid="{00000000-0005-0000-0000-00007C480000}"/>
    <cellStyle name="Normal 3 3 2 2 2 2 2 4 3 2 2" xfId="32965" xr:uid="{00000000-0005-0000-0000-00007D480000}"/>
    <cellStyle name="Normal 3 3 2 2 2 2 2 4 3 3" xfId="23875" xr:uid="{00000000-0005-0000-0000-00007E480000}"/>
    <cellStyle name="Normal 3 3 2 2 2 2 2 4 4" xfId="10249" xr:uid="{00000000-0005-0000-0000-00007F480000}"/>
    <cellStyle name="Normal 3 3 2 2 2 2 2 4 4 2" xfId="28431" xr:uid="{00000000-0005-0000-0000-000080480000}"/>
    <cellStyle name="Normal 3 3 2 2 2 2 2 4 5" xfId="19340" xr:uid="{00000000-0005-0000-0000-000081480000}"/>
    <cellStyle name="Normal 3 3 2 2 2 2 2 5" xfId="2478" xr:uid="{00000000-0005-0000-0000-000082480000}"/>
    <cellStyle name="Normal 3 3 2 2 2 2 2 5 2" xfId="7064" xr:uid="{00000000-0005-0000-0000-000083480000}"/>
    <cellStyle name="Normal 3 3 2 2 2 2 2 5 2 2" xfId="16164" xr:uid="{00000000-0005-0000-0000-000084480000}"/>
    <cellStyle name="Normal 3 3 2 2 2 2 2 5 2 2 2" xfId="34346" xr:uid="{00000000-0005-0000-0000-000085480000}"/>
    <cellStyle name="Normal 3 3 2 2 2 2 2 5 2 3" xfId="25256" xr:uid="{00000000-0005-0000-0000-000086480000}"/>
    <cellStyle name="Normal 3 3 2 2 2 2 2 5 3" xfId="11628" xr:uid="{00000000-0005-0000-0000-000087480000}"/>
    <cellStyle name="Normal 3 3 2 2 2 2 2 5 3 2" xfId="29810" xr:uid="{00000000-0005-0000-0000-000088480000}"/>
    <cellStyle name="Normal 3 3 2 2 2 2 2 5 4" xfId="20720" xr:uid="{00000000-0005-0000-0000-000089480000}"/>
    <cellStyle name="Normal 3 3 2 2 2 2 2 6" xfId="4040" xr:uid="{00000000-0005-0000-0000-00008A480000}"/>
    <cellStyle name="Normal 3 3 2 2 2 2 2 6 2" xfId="8596" xr:uid="{00000000-0005-0000-0000-00008B480000}"/>
    <cellStyle name="Normal 3 3 2 2 2 2 2 6 2 2" xfId="17692" xr:uid="{00000000-0005-0000-0000-00008C480000}"/>
    <cellStyle name="Normal 3 3 2 2 2 2 2 6 2 2 2" xfId="35874" xr:uid="{00000000-0005-0000-0000-00008D480000}"/>
    <cellStyle name="Normal 3 3 2 2 2 2 2 6 2 3" xfId="26784" xr:uid="{00000000-0005-0000-0000-00008E480000}"/>
    <cellStyle name="Normal 3 3 2 2 2 2 2 6 3" xfId="13152" xr:uid="{00000000-0005-0000-0000-00008F480000}"/>
    <cellStyle name="Normal 3 3 2 2 2 2 2 6 3 2" xfId="31334" xr:uid="{00000000-0005-0000-0000-000090480000}"/>
    <cellStyle name="Normal 3 3 2 2 2 2 2 6 4" xfId="22244" xr:uid="{00000000-0005-0000-0000-000091480000}"/>
    <cellStyle name="Normal 3 3 2 2 2 2 2 7" xfId="5679" xr:uid="{00000000-0005-0000-0000-000092480000}"/>
    <cellStyle name="Normal 3 3 2 2 2 2 2 7 2" xfId="14779" xr:uid="{00000000-0005-0000-0000-000093480000}"/>
    <cellStyle name="Normal 3 3 2 2 2 2 2 7 2 2" xfId="32961" xr:uid="{00000000-0005-0000-0000-000094480000}"/>
    <cellStyle name="Normal 3 3 2 2 2 2 2 7 3" xfId="23871" xr:uid="{00000000-0005-0000-0000-000095480000}"/>
    <cellStyle name="Normal 3 3 2 2 2 2 2 8" xfId="10245" xr:uid="{00000000-0005-0000-0000-000096480000}"/>
    <cellStyle name="Normal 3 3 2 2 2 2 2 8 2" xfId="28427" xr:uid="{00000000-0005-0000-0000-000097480000}"/>
    <cellStyle name="Normal 3 3 2 2 2 2 2 9" xfId="19336" xr:uid="{00000000-0005-0000-0000-000098480000}"/>
    <cellStyle name="Normal 3 3 2 2 2 2 3" xfId="1043" xr:uid="{00000000-0005-0000-0000-000099480000}"/>
    <cellStyle name="Normal 3 3 2 2 2 2 3 2" xfId="1044" xr:uid="{00000000-0005-0000-0000-00009A480000}"/>
    <cellStyle name="Normal 3 3 2 2 2 2 3 2 2" xfId="2479" xr:uid="{00000000-0005-0000-0000-00009B480000}"/>
    <cellStyle name="Normal 3 3 2 2 2 2 3 2 2 2" xfId="7065" xr:uid="{00000000-0005-0000-0000-00009C480000}"/>
    <cellStyle name="Normal 3 3 2 2 2 2 3 2 2 2 2" xfId="16165" xr:uid="{00000000-0005-0000-0000-00009D480000}"/>
    <cellStyle name="Normal 3 3 2 2 2 2 3 2 2 2 2 2" xfId="34347" xr:uid="{00000000-0005-0000-0000-00009E480000}"/>
    <cellStyle name="Normal 3 3 2 2 2 2 3 2 2 2 3" xfId="25257" xr:uid="{00000000-0005-0000-0000-00009F480000}"/>
    <cellStyle name="Normal 3 3 2 2 2 2 3 2 2 3" xfId="11629" xr:uid="{00000000-0005-0000-0000-0000A0480000}"/>
    <cellStyle name="Normal 3 3 2 2 2 2 3 2 2 3 2" xfId="29811" xr:uid="{00000000-0005-0000-0000-0000A1480000}"/>
    <cellStyle name="Normal 3 3 2 2 2 2 3 2 2 4" xfId="20721" xr:uid="{00000000-0005-0000-0000-0000A2480000}"/>
    <cellStyle name="Normal 3 3 2 2 2 2 3 2 3" xfId="4046" xr:uid="{00000000-0005-0000-0000-0000A3480000}"/>
    <cellStyle name="Normal 3 3 2 2 2 2 3 2 3 2" xfId="8602" xr:uid="{00000000-0005-0000-0000-0000A4480000}"/>
    <cellStyle name="Normal 3 3 2 2 2 2 3 2 3 2 2" xfId="17698" xr:uid="{00000000-0005-0000-0000-0000A5480000}"/>
    <cellStyle name="Normal 3 3 2 2 2 2 3 2 3 2 2 2" xfId="35880" xr:uid="{00000000-0005-0000-0000-0000A6480000}"/>
    <cellStyle name="Normal 3 3 2 2 2 2 3 2 3 2 3" xfId="26790" xr:uid="{00000000-0005-0000-0000-0000A7480000}"/>
    <cellStyle name="Normal 3 3 2 2 2 2 3 2 3 3" xfId="13158" xr:uid="{00000000-0005-0000-0000-0000A8480000}"/>
    <cellStyle name="Normal 3 3 2 2 2 2 3 2 3 3 2" xfId="31340" xr:uid="{00000000-0005-0000-0000-0000A9480000}"/>
    <cellStyle name="Normal 3 3 2 2 2 2 3 2 3 4" xfId="22250" xr:uid="{00000000-0005-0000-0000-0000AA480000}"/>
    <cellStyle name="Normal 3 3 2 2 2 2 3 2 4" xfId="5685" xr:uid="{00000000-0005-0000-0000-0000AB480000}"/>
    <cellStyle name="Normal 3 3 2 2 2 2 3 2 4 2" xfId="14785" xr:uid="{00000000-0005-0000-0000-0000AC480000}"/>
    <cellStyle name="Normal 3 3 2 2 2 2 3 2 4 2 2" xfId="32967" xr:uid="{00000000-0005-0000-0000-0000AD480000}"/>
    <cellStyle name="Normal 3 3 2 2 2 2 3 2 4 3" xfId="23877" xr:uid="{00000000-0005-0000-0000-0000AE480000}"/>
    <cellStyle name="Normal 3 3 2 2 2 2 3 2 5" xfId="10251" xr:uid="{00000000-0005-0000-0000-0000AF480000}"/>
    <cellStyle name="Normal 3 3 2 2 2 2 3 2 5 2" xfId="28433" xr:uid="{00000000-0005-0000-0000-0000B0480000}"/>
    <cellStyle name="Normal 3 3 2 2 2 2 3 2 6" xfId="19342" xr:uid="{00000000-0005-0000-0000-0000B1480000}"/>
    <cellStyle name="Normal 3 3 2 2 2 2 3 3" xfId="2480" xr:uid="{00000000-0005-0000-0000-0000B2480000}"/>
    <cellStyle name="Normal 3 3 2 2 2 2 3 3 2" xfId="7066" xr:uid="{00000000-0005-0000-0000-0000B3480000}"/>
    <cellStyle name="Normal 3 3 2 2 2 2 3 3 2 2" xfId="16166" xr:uid="{00000000-0005-0000-0000-0000B4480000}"/>
    <cellStyle name="Normal 3 3 2 2 2 2 3 3 2 2 2" xfId="34348" xr:uid="{00000000-0005-0000-0000-0000B5480000}"/>
    <cellStyle name="Normal 3 3 2 2 2 2 3 3 2 3" xfId="25258" xr:uid="{00000000-0005-0000-0000-0000B6480000}"/>
    <cellStyle name="Normal 3 3 2 2 2 2 3 3 3" xfId="11630" xr:uid="{00000000-0005-0000-0000-0000B7480000}"/>
    <cellStyle name="Normal 3 3 2 2 2 2 3 3 3 2" xfId="29812" xr:uid="{00000000-0005-0000-0000-0000B8480000}"/>
    <cellStyle name="Normal 3 3 2 2 2 2 3 3 4" xfId="20722" xr:uid="{00000000-0005-0000-0000-0000B9480000}"/>
    <cellStyle name="Normal 3 3 2 2 2 2 3 4" xfId="4045" xr:uid="{00000000-0005-0000-0000-0000BA480000}"/>
    <cellStyle name="Normal 3 3 2 2 2 2 3 4 2" xfId="8601" xr:uid="{00000000-0005-0000-0000-0000BB480000}"/>
    <cellStyle name="Normal 3 3 2 2 2 2 3 4 2 2" xfId="17697" xr:uid="{00000000-0005-0000-0000-0000BC480000}"/>
    <cellStyle name="Normal 3 3 2 2 2 2 3 4 2 2 2" xfId="35879" xr:uid="{00000000-0005-0000-0000-0000BD480000}"/>
    <cellStyle name="Normal 3 3 2 2 2 2 3 4 2 3" xfId="26789" xr:uid="{00000000-0005-0000-0000-0000BE480000}"/>
    <cellStyle name="Normal 3 3 2 2 2 2 3 4 3" xfId="13157" xr:uid="{00000000-0005-0000-0000-0000BF480000}"/>
    <cellStyle name="Normal 3 3 2 2 2 2 3 4 3 2" xfId="31339" xr:uid="{00000000-0005-0000-0000-0000C0480000}"/>
    <cellStyle name="Normal 3 3 2 2 2 2 3 4 4" xfId="22249" xr:uid="{00000000-0005-0000-0000-0000C1480000}"/>
    <cellStyle name="Normal 3 3 2 2 2 2 3 5" xfId="5684" xr:uid="{00000000-0005-0000-0000-0000C2480000}"/>
    <cellStyle name="Normal 3 3 2 2 2 2 3 5 2" xfId="14784" xr:uid="{00000000-0005-0000-0000-0000C3480000}"/>
    <cellStyle name="Normal 3 3 2 2 2 2 3 5 2 2" xfId="32966" xr:uid="{00000000-0005-0000-0000-0000C4480000}"/>
    <cellStyle name="Normal 3 3 2 2 2 2 3 5 3" xfId="23876" xr:uid="{00000000-0005-0000-0000-0000C5480000}"/>
    <cellStyle name="Normal 3 3 2 2 2 2 3 6" xfId="10250" xr:uid="{00000000-0005-0000-0000-0000C6480000}"/>
    <cellStyle name="Normal 3 3 2 2 2 2 3 6 2" xfId="28432" xr:uid="{00000000-0005-0000-0000-0000C7480000}"/>
    <cellStyle name="Normal 3 3 2 2 2 2 3 7" xfId="19341" xr:uid="{00000000-0005-0000-0000-0000C8480000}"/>
    <cellStyle name="Normal 3 3 2 2 2 2 4" xfId="1045" xr:uid="{00000000-0005-0000-0000-0000C9480000}"/>
    <cellStyle name="Normal 3 3 2 2 2 2 4 2" xfId="2481" xr:uid="{00000000-0005-0000-0000-0000CA480000}"/>
    <cellStyle name="Normal 3 3 2 2 2 2 4 2 2" xfId="7067" xr:uid="{00000000-0005-0000-0000-0000CB480000}"/>
    <cellStyle name="Normal 3 3 2 2 2 2 4 2 2 2" xfId="16167" xr:uid="{00000000-0005-0000-0000-0000CC480000}"/>
    <cellStyle name="Normal 3 3 2 2 2 2 4 2 2 2 2" xfId="34349" xr:uid="{00000000-0005-0000-0000-0000CD480000}"/>
    <cellStyle name="Normal 3 3 2 2 2 2 4 2 2 3" xfId="25259" xr:uid="{00000000-0005-0000-0000-0000CE480000}"/>
    <cellStyle name="Normal 3 3 2 2 2 2 4 2 3" xfId="11631" xr:uid="{00000000-0005-0000-0000-0000CF480000}"/>
    <cellStyle name="Normal 3 3 2 2 2 2 4 2 3 2" xfId="29813" xr:uid="{00000000-0005-0000-0000-0000D0480000}"/>
    <cellStyle name="Normal 3 3 2 2 2 2 4 2 4" xfId="20723" xr:uid="{00000000-0005-0000-0000-0000D1480000}"/>
    <cellStyle name="Normal 3 3 2 2 2 2 4 3" xfId="4047" xr:uid="{00000000-0005-0000-0000-0000D2480000}"/>
    <cellStyle name="Normal 3 3 2 2 2 2 4 3 2" xfId="8603" xr:uid="{00000000-0005-0000-0000-0000D3480000}"/>
    <cellStyle name="Normal 3 3 2 2 2 2 4 3 2 2" xfId="17699" xr:uid="{00000000-0005-0000-0000-0000D4480000}"/>
    <cellStyle name="Normal 3 3 2 2 2 2 4 3 2 2 2" xfId="35881" xr:uid="{00000000-0005-0000-0000-0000D5480000}"/>
    <cellStyle name="Normal 3 3 2 2 2 2 4 3 2 3" xfId="26791" xr:uid="{00000000-0005-0000-0000-0000D6480000}"/>
    <cellStyle name="Normal 3 3 2 2 2 2 4 3 3" xfId="13159" xr:uid="{00000000-0005-0000-0000-0000D7480000}"/>
    <cellStyle name="Normal 3 3 2 2 2 2 4 3 3 2" xfId="31341" xr:uid="{00000000-0005-0000-0000-0000D8480000}"/>
    <cellStyle name="Normal 3 3 2 2 2 2 4 3 4" xfId="22251" xr:uid="{00000000-0005-0000-0000-0000D9480000}"/>
    <cellStyle name="Normal 3 3 2 2 2 2 4 4" xfId="5686" xr:uid="{00000000-0005-0000-0000-0000DA480000}"/>
    <cellStyle name="Normal 3 3 2 2 2 2 4 4 2" xfId="14786" xr:uid="{00000000-0005-0000-0000-0000DB480000}"/>
    <cellStyle name="Normal 3 3 2 2 2 2 4 4 2 2" xfId="32968" xr:uid="{00000000-0005-0000-0000-0000DC480000}"/>
    <cellStyle name="Normal 3 3 2 2 2 2 4 4 3" xfId="23878" xr:uid="{00000000-0005-0000-0000-0000DD480000}"/>
    <cellStyle name="Normal 3 3 2 2 2 2 4 5" xfId="10252" xr:uid="{00000000-0005-0000-0000-0000DE480000}"/>
    <cellStyle name="Normal 3 3 2 2 2 2 4 5 2" xfId="28434" xr:uid="{00000000-0005-0000-0000-0000DF480000}"/>
    <cellStyle name="Normal 3 3 2 2 2 2 4 6" xfId="19343" xr:uid="{00000000-0005-0000-0000-0000E0480000}"/>
    <cellStyle name="Normal 3 3 2 2 2 2 5" xfId="1046" xr:uid="{00000000-0005-0000-0000-0000E1480000}"/>
    <cellStyle name="Normal 3 3 2 2 2 2 5 2" xfId="4048" xr:uid="{00000000-0005-0000-0000-0000E2480000}"/>
    <cellStyle name="Normal 3 3 2 2 2 2 5 2 2" xfId="8604" xr:uid="{00000000-0005-0000-0000-0000E3480000}"/>
    <cellStyle name="Normal 3 3 2 2 2 2 5 2 2 2" xfId="17700" xr:uid="{00000000-0005-0000-0000-0000E4480000}"/>
    <cellStyle name="Normal 3 3 2 2 2 2 5 2 2 2 2" xfId="35882" xr:uid="{00000000-0005-0000-0000-0000E5480000}"/>
    <cellStyle name="Normal 3 3 2 2 2 2 5 2 2 3" xfId="26792" xr:uid="{00000000-0005-0000-0000-0000E6480000}"/>
    <cellStyle name="Normal 3 3 2 2 2 2 5 2 3" xfId="13160" xr:uid="{00000000-0005-0000-0000-0000E7480000}"/>
    <cellStyle name="Normal 3 3 2 2 2 2 5 2 3 2" xfId="31342" xr:uid="{00000000-0005-0000-0000-0000E8480000}"/>
    <cellStyle name="Normal 3 3 2 2 2 2 5 2 4" xfId="22252" xr:uid="{00000000-0005-0000-0000-0000E9480000}"/>
    <cellStyle name="Normal 3 3 2 2 2 2 5 3" xfId="5687" xr:uid="{00000000-0005-0000-0000-0000EA480000}"/>
    <cellStyle name="Normal 3 3 2 2 2 2 5 3 2" xfId="14787" xr:uid="{00000000-0005-0000-0000-0000EB480000}"/>
    <cellStyle name="Normal 3 3 2 2 2 2 5 3 2 2" xfId="32969" xr:uid="{00000000-0005-0000-0000-0000EC480000}"/>
    <cellStyle name="Normal 3 3 2 2 2 2 5 3 3" xfId="23879" xr:uid="{00000000-0005-0000-0000-0000ED480000}"/>
    <cellStyle name="Normal 3 3 2 2 2 2 5 4" xfId="10253" xr:uid="{00000000-0005-0000-0000-0000EE480000}"/>
    <cellStyle name="Normal 3 3 2 2 2 2 5 4 2" xfId="28435" xr:uid="{00000000-0005-0000-0000-0000EF480000}"/>
    <cellStyle name="Normal 3 3 2 2 2 2 5 5" xfId="19344" xr:uid="{00000000-0005-0000-0000-0000F0480000}"/>
    <cellStyle name="Normal 3 3 2 2 2 2 6" xfId="2482" xr:uid="{00000000-0005-0000-0000-0000F1480000}"/>
    <cellStyle name="Normal 3 3 2 2 2 2 6 2" xfId="7068" xr:uid="{00000000-0005-0000-0000-0000F2480000}"/>
    <cellStyle name="Normal 3 3 2 2 2 2 6 2 2" xfId="16168" xr:uid="{00000000-0005-0000-0000-0000F3480000}"/>
    <cellStyle name="Normal 3 3 2 2 2 2 6 2 2 2" xfId="34350" xr:uid="{00000000-0005-0000-0000-0000F4480000}"/>
    <cellStyle name="Normal 3 3 2 2 2 2 6 2 3" xfId="25260" xr:uid="{00000000-0005-0000-0000-0000F5480000}"/>
    <cellStyle name="Normal 3 3 2 2 2 2 6 3" xfId="11632" xr:uid="{00000000-0005-0000-0000-0000F6480000}"/>
    <cellStyle name="Normal 3 3 2 2 2 2 6 3 2" xfId="29814" xr:uid="{00000000-0005-0000-0000-0000F7480000}"/>
    <cellStyle name="Normal 3 3 2 2 2 2 6 4" xfId="20724" xr:uid="{00000000-0005-0000-0000-0000F8480000}"/>
    <cellStyle name="Normal 3 3 2 2 2 2 7" xfId="4039" xr:uid="{00000000-0005-0000-0000-0000F9480000}"/>
    <cellStyle name="Normal 3 3 2 2 2 2 7 2" xfId="8595" xr:uid="{00000000-0005-0000-0000-0000FA480000}"/>
    <cellStyle name="Normal 3 3 2 2 2 2 7 2 2" xfId="17691" xr:uid="{00000000-0005-0000-0000-0000FB480000}"/>
    <cellStyle name="Normal 3 3 2 2 2 2 7 2 2 2" xfId="35873" xr:uid="{00000000-0005-0000-0000-0000FC480000}"/>
    <cellStyle name="Normal 3 3 2 2 2 2 7 2 3" xfId="26783" xr:uid="{00000000-0005-0000-0000-0000FD480000}"/>
    <cellStyle name="Normal 3 3 2 2 2 2 7 3" xfId="13151" xr:uid="{00000000-0005-0000-0000-0000FE480000}"/>
    <cellStyle name="Normal 3 3 2 2 2 2 7 3 2" xfId="31333" xr:uid="{00000000-0005-0000-0000-0000FF480000}"/>
    <cellStyle name="Normal 3 3 2 2 2 2 7 4" xfId="22243" xr:uid="{00000000-0005-0000-0000-000000490000}"/>
    <cellStyle name="Normal 3 3 2 2 2 2 8" xfId="5678" xr:uid="{00000000-0005-0000-0000-000001490000}"/>
    <cellStyle name="Normal 3 3 2 2 2 2 8 2" xfId="14778" xr:uid="{00000000-0005-0000-0000-000002490000}"/>
    <cellStyle name="Normal 3 3 2 2 2 2 8 2 2" xfId="32960" xr:uid="{00000000-0005-0000-0000-000003490000}"/>
    <cellStyle name="Normal 3 3 2 2 2 2 8 3" xfId="23870" xr:uid="{00000000-0005-0000-0000-000004490000}"/>
    <cellStyle name="Normal 3 3 2 2 2 2 9" xfId="10244" xr:uid="{00000000-0005-0000-0000-000005490000}"/>
    <cellStyle name="Normal 3 3 2 2 2 2 9 2" xfId="28426" xr:uid="{00000000-0005-0000-0000-000006490000}"/>
    <cellStyle name="Normal 3 3 2 2 2 3" xfId="1047" xr:uid="{00000000-0005-0000-0000-000007490000}"/>
    <cellStyle name="Normal 3 3 2 2 2 3 2" xfId="1048" xr:uid="{00000000-0005-0000-0000-000008490000}"/>
    <cellStyle name="Normal 3 3 2 2 2 3 2 2" xfId="1049" xr:uid="{00000000-0005-0000-0000-000009490000}"/>
    <cellStyle name="Normal 3 3 2 2 2 3 2 2 2" xfId="2483" xr:uid="{00000000-0005-0000-0000-00000A490000}"/>
    <cellStyle name="Normal 3 3 2 2 2 3 2 2 2 2" xfId="7069" xr:uid="{00000000-0005-0000-0000-00000B490000}"/>
    <cellStyle name="Normal 3 3 2 2 2 3 2 2 2 2 2" xfId="16169" xr:uid="{00000000-0005-0000-0000-00000C490000}"/>
    <cellStyle name="Normal 3 3 2 2 2 3 2 2 2 2 2 2" xfId="34351" xr:uid="{00000000-0005-0000-0000-00000D490000}"/>
    <cellStyle name="Normal 3 3 2 2 2 3 2 2 2 2 3" xfId="25261" xr:uid="{00000000-0005-0000-0000-00000E490000}"/>
    <cellStyle name="Normal 3 3 2 2 2 3 2 2 2 3" xfId="11633" xr:uid="{00000000-0005-0000-0000-00000F490000}"/>
    <cellStyle name="Normal 3 3 2 2 2 3 2 2 2 3 2" xfId="29815" xr:uid="{00000000-0005-0000-0000-000010490000}"/>
    <cellStyle name="Normal 3 3 2 2 2 3 2 2 2 4" xfId="20725" xr:uid="{00000000-0005-0000-0000-000011490000}"/>
    <cellStyle name="Normal 3 3 2 2 2 3 2 2 3" xfId="4051" xr:uid="{00000000-0005-0000-0000-000012490000}"/>
    <cellStyle name="Normal 3 3 2 2 2 3 2 2 3 2" xfId="8607" xr:uid="{00000000-0005-0000-0000-000013490000}"/>
    <cellStyle name="Normal 3 3 2 2 2 3 2 2 3 2 2" xfId="17703" xr:uid="{00000000-0005-0000-0000-000014490000}"/>
    <cellStyle name="Normal 3 3 2 2 2 3 2 2 3 2 2 2" xfId="35885" xr:uid="{00000000-0005-0000-0000-000015490000}"/>
    <cellStyle name="Normal 3 3 2 2 2 3 2 2 3 2 3" xfId="26795" xr:uid="{00000000-0005-0000-0000-000016490000}"/>
    <cellStyle name="Normal 3 3 2 2 2 3 2 2 3 3" xfId="13163" xr:uid="{00000000-0005-0000-0000-000017490000}"/>
    <cellStyle name="Normal 3 3 2 2 2 3 2 2 3 3 2" xfId="31345" xr:uid="{00000000-0005-0000-0000-000018490000}"/>
    <cellStyle name="Normal 3 3 2 2 2 3 2 2 3 4" xfId="22255" xr:uid="{00000000-0005-0000-0000-000019490000}"/>
    <cellStyle name="Normal 3 3 2 2 2 3 2 2 4" xfId="5690" xr:uid="{00000000-0005-0000-0000-00001A490000}"/>
    <cellStyle name="Normal 3 3 2 2 2 3 2 2 4 2" xfId="14790" xr:uid="{00000000-0005-0000-0000-00001B490000}"/>
    <cellStyle name="Normal 3 3 2 2 2 3 2 2 4 2 2" xfId="32972" xr:uid="{00000000-0005-0000-0000-00001C490000}"/>
    <cellStyle name="Normal 3 3 2 2 2 3 2 2 4 3" xfId="23882" xr:uid="{00000000-0005-0000-0000-00001D490000}"/>
    <cellStyle name="Normal 3 3 2 2 2 3 2 2 5" xfId="10256" xr:uid="{00000000-0005-0000-0000-00001E490000}"/>
    <cellStyle name="Normal 3 3 2 2 2 3 2 2 5 2" xfId="28438" xr:uid="{00000000-0005-0000-0000-00001F490000}"/>
    <cellStyle name="Normal 3 3 2 2 2 3 2 2 6" xfId="19347" xr:uid="{00000000-0005-0000-0000-000020490000}"/>
    <cellStyle name="Normal 3 3 2 2 2 3 2 3" xfId="2484" xr:uid="{00000000-0005-0000-0000-000021490000}"/>
    <cellStyle name="Normal 3 3 2 2 2 3 2 3 2" xfId="7070" xr:uid="{00000000-0005-0000-0000-000022490000}"/>
    <cellStyle name="Normal 3 3 2 2 2 3 2 3 2 2" xfId="16170" xr:uid="{00000000-0005-0000-0000-000023490000}"/>
    <cellStyle name="Normal 3 3 2 2 2 3 2 3 2 2 2" xfId="34352" xr:uid="{00000000-0005-0000-0000-000024490000}"/>
    <cellStyle name="Normal 3 3 2 2 2 3 2 3 2 3" xfId="25262" xr:uid="{00000000-0005-0000-0000-000025490000}"/>
    <cellStyle name="Normal 3 3 2 2 2 3 2 3 3" xfId="11634" xr:uid="{00000000-0005-0000-0000-000026490000}"/>
    <cellStyle name="Normal 3 3 2 2 2 3 2 3 3 2" xfId="29816" xr:uid="{00000000-0005-0000-0000-000027490000}"/>
    <cellStyle name="Normal 3 3 2 2 2 3 2 3 4" xfId="20726" xr:uid="{00000000-0005-0000-0000-000028490000}"/>
    <cellStyle name="Normal 3 3 2 2 2 3 2 4" xfId="4050" xr:uid="{00000000-0005-0000-0000-000029490000}"/>
    <cellStyle name="Normal 3 3 2 2 2 3 2 4 2" xfId="8606" xr:uid="{00000000-0005-0000-0000-00002A490000}"/>
    <cellStyle name="Normal 3 3 2 2 2 3 2 4 2 2" xfId="17702" xr:uid="{00000000-0005-0000-0000-00002B490000}"/>
    <cellStyle name="Normal 3 3 2 2 2 3 2 4 2 2 2" xfId="35884" xr:uid="{00000000-0005-0000-0000-00002C490000}"/>
    <cellStyle name="Normal 3 3 2 2 2 3 2 4 2 3" xfId="26794" xr:uid="{00000000-0005-0000-0000-00002D490000}"/>
    <cellStyle name="Normal 3 3 2 2 2 3 2 4 3" xfId="13162" xr:uid="{00000000-0005-0000-0000-00002E490000}"/>
    <cellStyle name="Normal 3 3 2 2 2 3 2 4 3 2" xfId="31344" xr:uid="{00000000-0005-0000-0000-00002F490000}"/>
    <cellStyle name="Normal 3 3 2 2 2 3 2 4 4" xfId="22254" xr:uid="{00000000-0005-0000-0000-000030490000}"/>
    <cellStyle name="Normal 3 3 2 2 2 3 2 5" xfId="5689" xr:uid="{00000000-0005-0000-0000-000031490000}"/>
    <cellStyle name="Normal 3 3 2 2 2 3 2 5 2" xfId="14789" xr:uid="{00000000-0005-0000-0000-000032490000}"/>
    <cellStyle name="Normal 3 3 2 2 2 3 2 5 2 2" xfId="32971" xr:uid="{00000000-0005-0000-0000-000033490000}"/>
    <cellStyle name="Normal 3 3 2 2 2 3 2 5 3" xfId="23881" xr:uid="{00000000-0005-0000-0000-000034490000}"/>
    <cellStyle name="Normal 3 3 2 2 2 3 2 6" xfId="10255" xr:uid="{00000000-0005-0000-0000-000035490000}"/>
    <cellStyle name="Normal 3 3 2 2 2 3 2 6 2" xfId="28437" xr:uid="{00000000-0005-0000-0000-000036490000}"/>
    <cellStyle name="Normal 3 3 2 2 2 3 2 7" xfId="19346" xr:uid="{00000000-0005-0000-0000-000037490000}"/>
    <cellStyle name="Normal 3 3 2 2 2 3 3" xfId="1050" xr:uid="{00000000-0005-0000-0000-000038490000}"/>
    <cellStyle name="Normal 3 3 2 2 2 3 3 2" xfId="2485" xr:uid="{00000000-0005-0000-0000-000039490000}"/>
    <cellStyle name="Normal 3 3 2 2 2 3 3 2 2" xfId="7071" xr:uid="{00000000-0005-0000-0000-00003A490000}"/>
    <cellStyle name="Normal 3 3 2 2 2 3 3 2 2 2" xfId="16171" xr:uid="{00000000-0005-0000-0000-00003B490000}"/>
    <cellStyle name="Normal 3 3 2 2 2 3 3 2 2 2 2" xfId="34353" xr:uid="{00000000-0005-0000-0000-00003C490000}"/>
    <cellStyle name="Normal 3 3 2 2 2 3 3 2 2 3" xfId="25263" xr:uid="{00000000-0005-0000-0000-00003D490000}"/>
    <cellStyle name="Normal 3 3 2 2 2 3 3 2 3" xfId="11635" xr:uid="{00000000-0005-0000-0000-00003E490000}"/>
    <cellStyle name="Normal 3 3 2 2 2 3 3 2 3 2" xfId="29817" xr:uid="{00000000-0005-0000-0000-00003F490000}"/>
    <cellStyle name="Normal 3 3 2 2 2 3 3 2 4" xfId="20727" xr:uid="{00000000-0005-0000-0000-000040490000}"/>
    <cellStyle name="Normal 3 3 2 2 2 3 3 3" xfId="4052" xr:uid="{00000000-0005-0000-0000-000041490000}"/>
    <cellStyle name="Normal 3 3 2 2 2 3 3 3 2" xfId="8608" xr:uid="{00000000-0005-0000-0000-000042490000}"/>
    <cellStyle name="Normal 3 3 2 2 2 3 3 3 2 2" xfId="17704" xr:uid="{00000000-0005-0000-0000-000043490000}"/>
    <cellStyle name="Normal 3 3 2 2 2 3 3 3 2 2 2" xfId="35886" xr:uid="{00000000-0005-0000-0000-000044490000}"/>
    <cellStyle name="Normal 3 3 2 2 2 3 3 3 2 3" xfId="26796" xr:uid="{00000000-0005-0000-0000-000045490000}"/>
    <cellStyle name="Normal 3 3 2 2 2 3 3 3 3" xfId="13164" xr:uid="{00000000-0005-0000-0000-000046490000}"/>
    <cellStyle name="Normal 3 3 2 2 2 3 3 3 3 2" xfId="31346" xr:uid="{00000000-0005-0000-0000-000047490000}"/>
    <cellStyle name="Normal 3 3 2 2 2 3 3 3 4" xfId="22256" xr:uid="{00000000-0005-0000-0000-000048490000}"/>
    <cellStyle name="Normal 3 3 2 2 2 3 3 4" xfId="5691" xr:uid="{00000000-0005-0000-0000-000049490000}"/>
    <cellStyle name="Normal 3 3 2 2 2 3 3 4 2" xfId="14791" xr:uid="{00000000-0005-0000-0000-00004A490000}"/>
    <cellStyle name="Normal 3 3 2 2 2 3 3 4 2 2" xfId="32973" xr:uid="{00000000-0005-0000-0000-00004B490000}"/>
    <cellStyle name="Normal 3 3 2 2 2 3 3 4 3" xfId="23883" xr:uid="{00000000-0005-0000-0000-00004C490000}"/>
    <cellStyle name="Normal 3 3 2 2 2 3 3 5" xfId="10257" xr:uid="{00000000-0005-0000-0000-00004D490000}"/>
    <cellStyle name="Normal 3 3 2 2 2 3 3 5 2" xfId="28439" xr:uid="{00000000-0005-0000-0000-00004E490000}"/>
    <cellStyle name="Normal 3 3 2 2 2 3 3 6" xfId="19348" xr:uid="{00000000-0005-0000-0000-00004F490000}"/>
    <cellStyle name="Normal 3 3 2 2 2 3 4" xfId="1051" xr:uid="{00000000-0005-0000-0000-000050490000}"/>
    <cellStyle name="Normal 3 3 2 2 2 3 4 2" xfId="4053" xr:uid="{00000000-0005-0000-0000-000051490000}"/>
    <cellStyle name="Normal 3 3 2 2 2 3 4 2 2" xfId="8609" xr:uid="{00000000-0005-0000-0000-000052490000}"/>
    <cellStyle name="Normal 3 3 2 2 2 3 4 2 2 2" xfId="17705" xr:uid="{00000000-0005-0000-0000-000053490000}"/>
    <cellStyle name="Normal 3 3 2 2 2 3 4 2 2 2 2" xfId="35887" xr:uid="{00000000-0005-0000-0000-000054490000}"/>
    <cellStyle name="Normal 3 3 2 2 2 3 4 2 2 3" xfId="26797" xr:uid="{00000000-0005-0000-0000-000055490000}"/>
    <cellStyle name="Normal 3 3 2 2 2 3 4 2 3" xfId="13165" xr:uid="{00000000-0005-0000-0000-000056490000}"/>
    <cellStyle name="Normal 3 3 2 2 2 3 4 2 3 2" xfId="31347" xr:uid="{00000000-0005-0000-0000-000057490000}"/>
    <cellStyle name="Normal 3 3 2 2 2 3 4 2 4" xfId="22257" xr:uid="{00000000-0005-0000-0000-000058490000}"/>
    <cellStyle name="Normal 3 3 2 2 2 3 4 3" xfId="5692" xr:uid="{00000000-0005-0000-0000-000059490000}"/>
    <cellStyle name="Normal 3 3 2 2 2 3 4 3 2" xfId="14792" xr:uid="{00000000-0005-0000-0000-00005A490000}"/>
    <cellStyle name="Normal 3 3 2 2 2 3 4 3 2 2" xfId="32974" xr:uid="{00000000-0005-0000-0000-00005B490000}"/>
    <cellStyle name="Normal 3 3 2 2 2 3 4 3 3" xfId="23884" xr:uid="{00000000-0005-0000-0000-00005C490000}"/>
    <cellStyle name="Normal 3 3 2 2 2 3 4 4" xfId="10258" xr:uid="{00000000-0005-0000-0000-00005D490000}"/>
    <cellStyle name="Normal 3 3 2 2 2 3 4 4 2" xfId="28440" xr:uid="{00000000-0005-0000-0000-00005E490000}"/>
    <cellStyle name="Normal 3 3 2 2 2 3 4 5" xfId="19349" xr:uid="{00000000-0005-0000-0000-00005F490000}"/>
    <cellStyle name="Normal 3 3 2 2 2 3 5" xfId="2486" xr:uid="{00000000-0005-0000-0000-000060490000}"/>
    <cellStyle name="Normal 3 3 2 2 2 3 5 2" xfId="7072" xr:uid="{00000000-0005-0000-0000-000061490000}"/>
    <cellStyle name="Normal 3 3 2 2 2 3 5 2 2" xfId="16172" xr:uid="{00000000-0005-0000-0000-000062490000}"/>
    <cellStyle name="Normal 3 3 2 2 2 3 5 2 2 2" xfId="34354" xr:uid="{00000000-0005-0000-0000-000063490000}"/>
    <cellStyle name="Normal 3 3 2 2 2 3 5 2 3" xfId="25264" xr:uid="{00000000-0005-0000-0000-000064490000}"/>
    <cellStyle name="Normal 3 3 2 2 2 3 5 3" xfId="11636" xr:uid="{00000000-0005-0000-0000-000065490000}"/>
    <cellStyle name="Normal 3 3 2 2 2 3 5 3 2" xfId="29818" xr:uid="{00000000-0005-0000-0000-000066490000}"/>
    <cellStyle name="Normal 3 3 2 2 2 3 5 4" xfId="20728" xr:uid="{00000000-0005-0000-0000-000067490000}"/>
    <cellStyle name="Normal 3 3 2 2 2 3 6" xfId="4049" xr:uid="{00000000-0005-0000-0000-000068490000}"/>
    <cellStyle name="Normal 3 3 2 2 2 3 6 2" xfId="8605" xr:uid="{00000000-0005-0000-0000-000069490000}"/>
    <cellStyle name="Normal 3 3 2 2 2 3 6 2 2" xfId="17701" xr:uid="{00000000-0005-0000-0000-00006A490000}"/>
    <cellStyle name="Normal 3 3 2 2 2 3 6 2 2 2" xfId="35883" xr:uid="{00000000-0005-0000-0000-00006B490000}"/>
    <cellStyle name="Normal 3 3 2 2 2 3 6 2 3" xfId="26793" xr:uid="{00000000-0005-0000-0000-00006C490000}"/>
    <cellStyle name="Normal 3 3 2 2 2 3 6 3" xfId="13161" xr:uid="{00000000-0005-0000-0000-00006D490000}"/>
    <cellStyle name="Normal 3 3 2 2 2 3 6 3 2" xfId="31343" xr:uid="{00000000-0005-0000-0000-00006E490000}"/>
    <cellStyle name="Normal 3 3 2 2 2 3 6 4" xfId="22253" xr:uid="{00000000-0005-0000-0000-00006F490000}"/>
    <cellStyle name="Normal 3 3 2 2 2 3 7" xfId="5688" xr:uid="{00000000-0005-0000-0000-000070490000}"/>
    <cellStyle name="Normal 3 3 2 2 2 3 7 2" xfId="14788" xr:uid="{00000000-0005-0000-0000-000071490000}"/>
    <cellStyle name="Normal 3 3 2 2 2 3 7 2 2" xfId="32970" xr:uid="{00000000-0005-0000-0000-000072490000}"/>
    <cellStyle name="Normal 3 3 2 2 2 3 7 3" xfId="23880" xr:uid="{00000000-0005-0000-0000-000073490000}"/>
    <cellStyle name="Normal 3 3 2 2 2 3 8" xfId="10254" xr:uid="{00000000-0005-0000-0000-000074490000}"/>
    <cellStyle name="Normal 3 3 2 2 2 3 8 2" xfId="28436" xr:uid="{00000000-0005-0000-0000-000075490000}"/>
    <cellStyle name="Normal 3 3 2 2 2 3 9" xfId="19345" xr:uid="{00000000-0005-0000-0000-000076490000}"/>
    <cellStyle name="Normal 3 3 2 2 2 4" xfId="1052" xr:uid="{00000000-0005-0000-0000-000077490000}"/>
    <cellStyle name="Normal 3 3 2 2 2 4 2" xfId="1053" xr:uid="{00000000-0005-0000-0000-000078490000}"/>
    <cellStyle name="Normal 3 3 2 2 2 4 2 2" xfId="2487" xr:uid="{00000000-0005-0000-0000-000079490000}"/>
    <cellStyle name="Normal 3 3 2 2 2 4 2 2 2" xfId="7073" xr:uid="{00000000-0005-0000-0000-00007A490000}"/>
    <cellStyle name="Normal 3 3 2 2 2 4 2 2 2 2" xfId="16173" xr:uid="{00000000-0005-0000-0000-00007B490000}"/>
    <cellStyle name="Normal 3 3 2 2 2 4 2 2 2 2 2" xfId="34355" xr:uid="{00000000-0005-0000-0000-00007C490000}"/>
    <cellStyle name="Normal 3 3 2 2 2 4 2 2 2 3" xfId="25265" xr:uid="{00000000-0005-0000-0000-00007D490000}"/>
    <cellStyle name="Normal 3 3 2 2 2 4 2 2 3" xfId="11637" xr:uid="{00000000-0005-0000-0000-00007E490000}"/>
    <cellStyle name="Normal 3 3 2 2 2 4 2 2 3 2" xfId="29819" xr:uid="{00000000-0005-0000-0000-00007F490000}"/>
    <cellStyle name="Normal 3 3 2 2 2 4 2 2 4" xfId="20729" xr:uid="{00000000-0005-0000-0000-000080490000}"/>
    <cellStyle name="Normal 3 3 2 2 2 4 2 3" xfId="4055" xr:uid="{00000000-0005-0000-0000-000081490000}"/>
    <cellStyle name="Normal 3 3 2 2 2 4 2 3 2" xfId="8611" xr:uid="{00000000-0005-0000-0000-000082490000}"/>
    <cellStyle name="Normal 3 3 2 2 2 4 2 3 2 2" xfId="17707" xr:uid="{00000000-0005-0000-0000-000083490000}"/>
    <cellStyle name="Normal 3 3 2 2 2 4 2 3 2 2 2" xfId="35889" xr:uid="{00000000-0005-0000-0000-000084490000}"/>
    <cellStyle name="Normal 3 3 2 2 2 4 2 3 2 3" xfId="26799" xr:uid="{00000000-0005-0000-0000-000085490000}"/>
    <cellStyle name="Normal 3 3 2 2 2 4 2 3 3" xfId="13167" xr:uid="{00000000-0005-0000-0000-000086490000}"/>
    <cellStyle name="Normal 3 3 2 2 2 4 2 3 3 2" xfId="31349" xr:uid="{00000000-0005-0000-0000-000087490000}"/>
    <cellStyle name="Normal 3 3 2 2 2 4 2 3 4" xfId="22259" xr:uid="{00000000-0005-0000-0000-000088490000}"/>
    <cellStyle name="Normal 3 3 2 2 2 4 2 4" xfId="5694" xr:uid="{00000000-0005-0000-0000-000089490000}"/>
    <cellStyle name="Normal 3 3 2 2 2 4 2 4 2" xfId="14794" xr:uid="{00000000-0005-0000-0000-00008A490000}"/>
    <cellStyle name="Normal 3 3 2 2 2 4 2 4 2 2" xfId="32976" xr:uid="{00000000-0005-0000-0000-00008B490000}"/>
    <cellStyle name="Normal 3 3 2 2 2 4 2 4 3" xfId="23886" xr:uid="{00000000-0005-0000-0000-00008C490000}"/>
    <cellStyle name="Normal 3 3 2 2 2 4 2 5" xfId="10260" xr:uid="{00000000-0005-0000-0000-00008D490000}"/>
    <cellStyle name="Normal 3 3 2 2 2 4 2 5 2" xfId="28442" xr:uid="{00000000-0005-0000-0000-00008E490000}"/>
    <cellStyle name="Normal 3 3 2 2 2 4 2 6" xfId="19351" xr:uid="{00000000-0005-0000-0000-00008F490000}"/>
    <cellStyle name="Normal 3 3 2 2 2 4 3" xfId="2488" xr:uid="{00000000-0005-0000-0000-000090490000}"/>
    <cellStyle name="Normal 3 3 2 2 2 4 3 2" xfId="7074" xr:uid="{00000000-0005-0000-0000-000091490000}"/>
    <cellStyle name="Normal 3 3 2 2 2 4 3 2 2" xfId="16174" xr:uid="{00000000-0005-0000-0000-000092490000}"/>
    <cellStyle name="Normal 3 3 2 2 2 4 3 2 2 2" xfId="34356" xr:uid="{00000000-0005-0000-0000-000093490000}"/>
    <cellStyle name="Normal 3 3 2 2 2 4 3 2 3" xfId="25266" xr:uid="{00000000-0005-0000-0000-000094490000}"/>
    <cellStyle name="Normal 3 3 2 2 2 4 3 3" xfId="11638" xr:uid="{00000000-0005-0000-0000-000095490000}"/>
    <cellStyle name="Normal 3 3 2 2 2 4 3 3 2" xfId="29820" xr:uid="{00000000-0005-0000-0000-000096490000}"/>
    <cellStyle name="Normal 3 3 2 2 2 4 3 4" xfId="20730" xr:uid="{00000000-0005-0000-0000-000097490000}"/>
    <cellStyle name="Normal 3 3 2 2 2 4 4" xfId="4054" xr:uid="{00000000-0005-0000-0000-000098490000}"/>
    <cellStyle name="Normal 3 3 2 2 2 4 4 2" xfId="8610" xr:uid="{00000000-0005-0000-0000-000099490000}"/>
    <cellStyle name="Normal 3 3 2 2 2 4 4 2 2" xfId="17706" xr:uid="{00000000-0005-0000-0000-00009A490000}"/>
    <cellStyle name="Normal 3 3 2 2 2 4 4 2 2 2" xfId="35888" xr:uid="{00000000-0005-0000-0000-00009B490000}"/>
    <cellStyle name="Normal 3 3 2 2 2 4 4 2 3" xfId="26798" xr:uid="{00000000-0005-0000-0000-00009C490000}"/>
    <cellStyle name="Normal 3 3 2 2 2 4 4 3" xfId="13166" xr:uid="{00000000-0005-0000-0000-00009D490000}"/>
    <cellStyle name="Normal 3 3 2 2 2 4 4 3 2" xfId="31348" xr:uid="{00000000-0005-0000-0000-00009E490000}"/>
    <cellStyle name="Normal 3 3 2 2 2 4 4 4" xfId="22258" xr:uid="{00000000-0005-0000-0000-00009F490000}"/>
    <cellStyle name="Normal 3 3 2 2 2 4 5" xfId="5693" xr:uid="{00000000-0005-0000-0000-0000A0490000}"/>
    <cellStyle name="Normal 3 3 2 2 2 4 5 2" xfId="14793" xr:uid="{00000000-0005-0000-0000-0000A1490000}"/>
    <cellStyle name="Normal 3 3 2 2 2 4 5 2 2" xfId="32975" xr:uid="{00000000-0005-0000-0000-0000A2490000}"/>
    <cellStyle name="Normal 3 3 2 2 2 4 5 3" xfId="23885" xr:uid="{00000000-0005-0000-0000-0000A3490000}"/>
    <cellStyle name="Normal 3 3 2 2 2 4 6" xfId="10259" xr:uid="{00000000-0005-0000-0000-0000A4490000}"/>
    <cellStyle name="Normal 3 3 2 2 2 4 6 2" xfId="28441" xr:uid="{00000000-0005-0000-0000-0000A5490000}"/>
    <cellStyle name="Normal 3 3 2 2 2 4 7" xfId="19350" xr:uid="{00000000-0005-0000-0000-0000A6490000}"/>
    <cellStyle name="Normal 3 3 2 2 2 5" xfId="1054" xr:uid="{00000000-0005-0000-0000-0000A7490000}"/>
    <cellStyle name="Normal 3 3 2 2 2 5 2" xfId="2489" xr:uid="{00000000-0005-0000-0000-0000A8490000}"/>
    <cellStyle name="Normal 3 3 2 2 2 5 2 2" xfId="7075" xr:uid="{00000000-0005-0000-0000-0000A9490000}"/>
    <cellStyle name="Normal 3 3 2 2 2 5 2 2 2" xfId="16175" xr:uid="{00000000-0005-0000-0000-0000AA490000}"/>
    <cellStyle name="Normal 3 3 2 2 2 5 2 2 2 2" xfId="34357" xr:uid="{00000000-0005-0000-0000-0000AB490000}"/>
    <cellStyle name="Normal 3 3 2 2 2 5 2 2 3" xfId="25267" xr:uid="{00000000-0005-0000-0000-0000AC490000}"/>
    <cellStyle name="Normal 3 3 2 2 2 5 2 3" xfId="11639" xr:uid="{00000000-0005-0000-0000-0000AD490000}"/>
    <cellStyle name="Normal 3 3 2 2 2 5 2 3 2" xfId="29821" xr:uid="{00000000-0005-0000-0000-0000AE490000}"/>
    <cellStyle name="Normal 3 3 2 2 2 5 2 4" xfId="20731" xr:uid="{00000000-0005-0000-0000-0000AF490000}"/>
    <cellStyle name="Normal 3 3 2 2 2 5 3" xfId="4056" xr:uid="{00000000-0005-0000-0000-0000B0490000}"/>
    <cellStyle name="Normal 3 3 2 2 2 5 3 2" xfId="8612" xr:uid="{00000000-0005-0000-0000-0000B1490000}"/>
    <cellStyle name="Normal 3 3 2 2 2 5 3 2 2" xfId="17708" xr:uid="{00000000-0005-0000-0000-0000B2490000}"/>
    <cellStyle name="Normal 3 3 2 2 2 5 3 2 2 2" xfId="35890" xr:uid="{00000000-0005-0000-0000-0000B3490000}"/>
    <cellStyle name="Normal 3 3 2 2 2 5 3 2 3" xfId="26800" xr:uid="{00000000-0005-0000-0000-0000B4490000}"/>
    <cellStyle name="Normal 3 3 2 2 2 5 3 3" xfId="13168" xr:uid="{00000000-0005-0000-0000-0000B5490000}"/>
    <cellStyle name="Normal 3 3 2 2 2 5 3 3 2" xfId="31350" xr:uid="{00000000-0005-0000-0000-0000B6490000}"/>
    <cellStyle name="Normal 3 3 2 2 2 5 3 4" xfId="22260" xr:uid="{00000000-0005-0000-0000-0000B7490000}"/>
    <cellStyle name="Normal 3 3 2 2 2 5 4" xfId="5695" xr:uid="{00000000-0005-0000-0000-0000B8490000}"/>
    <cellStyle name="Normal 3 3 2 2 2 5 4 2" xfId="14795" xr:uid="{00000000-0005-0000-0000-0000B9490000}"/>
    <cellStyle name="Normal 3 3 2 2 2 5 4 2 2" xfId="32977" xr:uid="{00000000-0005-0000-0000-0000BA490000}"/>
    <cellStyle name="Normal 3 3 2 2 2 5 4 3" xfId="23887" xr:uid="{00000000-0005-0000-0000-0000BB490000}"/>
    <cellStyle name="Normal 3 3 2 2 2 5 5" xfId="10261" xr:uid="{00000000-0005-0000-0000-0000BC490000}"/>
    <cellStyle name="Normal 3 3 2 2 2 5 5 2" xfId="28443" xr:uid="{00000000-0005-0000-0000-0000BD490000}"/>
    <cellStyle name="Normal 3 3 2 2 2 5 6" xfId="19352" xr:uid="{00000000-0005-0000-0000-0000BE490000}"/>
    <cellStyle name="Normal 3 3 2 2 2 6" xfId="1055" xr:uid="{00000000-0005-0000-0000-0000BF490000}"/>
    <cellStyle name="Normal 3 3 2 2 2 6 2" xfId="4057" xr:uid="{00000000-0005-0000-0000-0000C0490000}"/>
    <cellStyle name="Normal 3 3 2 2 2 6 2 2" xfId="8613" xr:uid="{00000000-0005-0000-0000-0000C1490000}"/>
    <cellStyle name="Normal 3 3 2 2 2 6 2 2 2" xfId="17709" xr:uid="{00000000-0005-0000-0000-0000C2490000}"/>
    <cellStyle name="Normal 3 3 2 2 2 6 2 2 2 2" xfId="35891" xr:uid="{00000000-0005-0000-0000-0000C3490000}"/>
    <cellStyle name="Normal 3 3 2 2 2 6 2 2 3" xfId="26801" xr:uid="{00000000-0005-0000-0000-0000C4490000}"/>
    <cellStyle name="Normal 3 3 2 2 2 6 2 3" xfId="13169" xr:uid="{00000000-0005-0000-0000-0000C5490000}"/>
    <cellStyle name="Normal 3 3 2 2 2 6 2 3 2" xfId="31351" xr:uid="{00000000-0005-0000-0000-0000C6490000}"/>
    <cellStyle name="Normal 3 3 2 2 2 6 2 4" xfId="22261" xr:uid="{00000000-0005-0000-0000-0000C7490000}"/>
    <cellStyle name="Normal 3 3 2 2 2 6 3" xfId="5696" xr:uid="{00000000-0005-0000-0000-0000C8490000}"/>
    <cellStyle name="Normal 3 3 2 2 2 6 3 2" xfId="14796" xr:uid="{00000000-0005-0000-0000-0000C9490000}"/>
    <cellStyle name="Normal 3 3 2 2 2 6 3 2 2" xfId="32978" xr:uid="{00000000-0005-0000-0000-0000CA490000}"/>
    <cellStyle name="Normal 3 3 2 2 2 6 3 3" xfId="23888" xr:uid="{00000000-0005-0000-0000-0000CB490000}"/>
    <cellStyle name="Normal 3 3 2 2 2 6 4" xfId="10262" xr:uid="{00000000-0005-0000-0000-0000CC490000}"/>
    <cellStyle name="Normal 3 3 2 2 2 6 4 2" xfId="28444" xr:uid="{00000000-0005-0000-0000-0000CD490000}"/>
    <cellStyle name="Normal 3 3 2 2 2 6 5" xfId="19353" xr:uid="{00000000-0005-0000-0000-0000CE490000}"/>
    <cellStyle name="Normal 3 3 2 2 2 7" xfId="2490" xr:uid="{00000000-0005-0000-0000-0000CF490000}"/>
    <cellStyle name="Normal 3 3 2 2 2 7 2" xfId="7076" xr:uid="{00000000-0005-0000-0000-0000D0490000}"/>
    <cellStyle name="Normal 3 3 2 2 2 7 2 2" xfId="16176" xr:uid="{00000000-0005-0000-0000-0000D1490000}"/>
    <cellStyle name="Normal 3 3 2 2 2 7 2 2 2" xfId="34358" xr:uid="{00000000-0005-0000-0000-0000D2490000}"/>
    <cellStyle name="Normal 3 3 2 2 2 7 2 3" xfId="25268" xr:uid="{00000000-0005-0000-0000-0000D3490000}"/>
    <cellStyle name="Normal 3 3 2 2 2 7 3" xfId="11640" xr:uid="{00000000-0005-0000-0000-0000D4490000}"/>
    <cellStyle name="Normal 3 3 2 2 2 7 3 2" xfId="29822" xr:uid="{00000000-0005-0000-0000-0000D5490000}"/>
    <cellStyle name="Normal 3 3 2 2 2 7 4" xfId="20732" xr:uid="{00000000-0005-0000-0000-0000D6490000}"/>
    <cellStyle name="Normal 3 3 2 2 2 8" xfId="3204" xr:uid="{00000000-0005-0000-0000-0000D7490000}"/>
    <cellStyle name="Normal 3 3 2 2 2 8 2" xfId="7764" xr:uid="{00000000-0005-0000-0000-0000D8490000}"/>
    <cellStyle name="Normal 3 3 2 2 2 8 2 2" xfId="16860" xr:uid="{00000000-0005-0000-0000-0000D9490000}"/>
    <cellStyle name="Normal 3 3 2 2 2 8 2 2 2" xfId="35042" xr:uid="{00000000-0005-0000-0000-0000DA490000}"/>
    <cellStyle name="Normal 3 3 2 2 2 8 2 3" xfId="25952" xr:uid="{00000000-0005-0000-0000-0000DB490000}"/>
    <cellStyle name="Normal 3 3 2 2 2 8 3" xfId="12320" xr:uid="{00000000-0005-0000-0000-0000DC490000}"/>
    <cellStyle name="Normal 3 3 2 2 2 8 3 2" xfId="30502" xr:uid="{00000000-0005-0000-0000-0000DD490000}"/>
    <cellStyle name="Normal 3 3 2 2 2 8 4" xfId="21412" xr:uid="{00000000-0005-0000-0000-0000DE490000}"/>
    <cellStyle name="Normal 3 3 2 2 2 9" xfId="4853" xr:uid="{00000000-0005-0000-0000-0000DF490000}"/>
    <cellStyle name="Normal 3 3 2 2 2 9 2" xfId="13953" xr:uid="{00000000-0005-0000-0000-0000E0490000}"/>
    <cellStyle name="Normal 3 3 2 2 2 9 2 2" xfId="32135" xr:uid="{00000000-0005-0000-0000-0000E1490000}"/>
    <cellStyle name="Normal 3 3 2 2 2 9 3" xfId="23045" xr:uid="{00000000-0005-0000-0000-0000E2490000}"/>
    <cellStyle name="Normal 3 3 2 2 3" xfId="192" xr:uid="{00000000-0005-0000-0000-0000E3490000}"/>
    <cellStyle name="Normal 3 3 2 2 3 10" xfId="18568" xr:uid="{00000000-0005-0000-0000-0000E4490000}"/>
    <cellStyle name="Normal 3 3 2 2 3 2" xfId="195" xr:uid="{00000000-0005-0000-0000-0000E5490000}"/>
    <cellStyle name="Normal 3 3 2 2 3 2 2" xfId="1056" xr:uid="{00000000-0005-0000-0000-0000E6490000}"/>
    <cellStyle name="Normal 3 3 2 2 3 2 2 2" xfId="1057" xr:uid="{00000000-0005-0000-0000-0000E7490000}"/>
    <cellStyle name="Normal 3 3 2 2 3 2 2 2 2" xfId="2491" xr:uid="{00000000-0005-0000-0000-0000E8490000}"/>
    <cellStyle name="Normal 3 3 2 2 3 2 2 2 2 2" xfId="7077" xr:uid="{00000000-0005-0000-0000-0000E9490000}"/>
    <cellStyle name="Normal 3 3 2 2 3 2 2 2 2 2 2" xfId="16177" xr:uid="{00000000-0005-0000-0000-0000EA490000}"/>
    <cellStyle name="Normal 3 3 2 2 3 2 2 2 2 2 2 2" xfId="34359" xr:uid="{00000000-0005-0000-0000-0000EB490000}"/>
    <cellStyle name="Normal 3 3 2 2 3 2 2 2 2 2 3" xfId="25269" xr:uid="{00000000-0005-0000-0000-0000EC490000}"/>
    <cellStyle name="Normal 3 3 2 2 3 2 2 2 2 3" xfId="11641" xr:uid="{00000000-0005-0000-0000-0000ED490000}"/>
    <cellStyle name="Normal 3 3 2 2 3 2 2 2 2 3 2" xfId="29823" xr:uid="{00000000-0005-0000-0000-0000EE490000}"/>
    <cellStyle name="Normal 3 3 2 2 3 2 2 2 2 4" xfId="20733" xr:uid="{00000000-0005-0000-0000-0000EF490000}"/>
    <cellStyle name="Normal 3 3 2 2 3 2 2 2 3" xfId="4059" xr:uid="{00000000-0005-0000-0000-0000F0490000}"/>
    <cellStyle name="Normal 3 3 2 2 3 2 2 2 3 2" xfId="8615" xr:uid="{00000000-0005-0000-0000-0000F1490000}"/>
    <cellStyle name="Normal 3 3 2 2 3 2 2 2 3 2 2" xfId="17711" xr:uid="{00000000-0005-0000-0000-0000F2490000}"/>
    <cellStyle name="Normal 3 3 2 2 3 2 2 2 3 2 2 2" xfId="35893" xr:uid="{00000000-0005-0000-0000-0000F3490000}"/>
    <cellStyle name="Normal 3 3 2 2 3 2 2 2 3 2 3" xfId="26803" xr:uid="{00000000-0005-0000-0000-0000F4490000}"/>
    <cellStyle name="Normal 3 3 2 2 3 2 2 2 3 3" xfId="13171" xr:uid="{00000000-0005-0000-0000-0000F5490000}"/>
    <cellStyle name="Normal 3 3 2 2 3 2 2 2 3 3 2" xfId="31353" xr:uid="{00000000-0005-0000-0000-0000F6490000}"/>
    <cellStyle name="Normal 3 3 2 2 3 2 2 2 3 4" xfId="22263" xr:uid="{00000000-0005-0000-0000-0000F7490000}"/>
    <cellStyle name="Normal 3 3 2 2 3 2 2 2 4" xfId="5698" xr:uid="{00000000-0005-0000-0000-0000F8490000}"/>
    <cellStyle name="Normal 3 3 2 2 3 2 2 2 4 2" xfId="14798" xr:uid="{00000000-0005-0000-0000-0000F9490000}"/>
    <cellStyle name="Normal 3 3 2 2 3 2 2 2 4 2 2" xfId="32980" xr:uid="{00000000-0005-0000-0000-0000FA490000}"/>
    <cellStyle name="Normal 3 3 2 2 3 2 2 2 4 3" xfId="23890" xr:uid="{00000000-0005-0000-0000-0000FB490000}"/>
    <cellStyle name="Normal 3 3 2 2 3 2 2 2 5" xfId="10264" xr:uid="{00000000-0005-0000-0000-0000FC490000}"/>
    <cellStyle name="Normal 3 3 2 2 3 2 2 2 5 2" xfId="28446" xr:uid="{00000000-0005-0000-0000-0000FD490000}"/>
    <cellStyle name="Normal 3 3 2 2 3 2 2 2 6" xfId="19355" xr:uid="{00000000-0005-0000-0000-0000FE490000}"/>
    <cellStyle name="Normal 3 3 2 2 3 2 2 3" xfId="2492" xr:uid="{00000000-0005-0000-0000-0000FF490000}"/>
    <cellStyle name="Normal 3 3 2 2 3 2 2 3 2" xfId="7078" xr:uid="{00000000-0005-0000-0000-0000004A0000}"/>
    <cellStyle name="Normal 3 3 2 2 3 2 2 3 2 2" xfId="16178" xr:uid="{00000000-0005-0000-0000-0000014A0000}"/>
    <cellStyle name="Normal 3 3 2 2 3 2 2 3 2 2 2" xfId="34360" xr:uid="{00000000-0005-0000-0000-0000024A0000}"/>
    <cellStyle name="Normal 3 3 2 2 3 2 2 3 2 3" xfId="25270" xr:uid="{00000000-0005-0000-0000-0000034A0000}"/>
    <cellStyle name="Normal 3 3 2 2 3 2 2 3 3" xfId="11642" xr:uid="{00000000-0005-0000-0000-0000044A0000}"/>
    <cellStyle name="Normal 3 3 2 2 3 2 2 3 3 2" xfId="29824" xr:uid="{00000000-0005-0000-0000-0000054A0000}"/>
    <cellStyle name="Normal 3 3 2 2 3 2 2 3 4" xfId="20734" xr:uid="{00000000-0005-0000-0000-0000064A0000}"/>
    <cellStyle name="Normal 3 3 2 2 3 2 2 4" xfId="4058" xr:uid="{00000000-0005-0000-0000-0000074A0000}"/>
    <cellStyle name="Normal 3 3 2 2 3 2 2 4 2" xfId="8614" xr:uid="{00000000-0005-0000-0000-0000084A0000}"/>
    <cellStyle name="Normal 3 3 2 2 3 2 2 4 2 2" xfId="17710" xr:uid="{00000000-0005-0000-0000-0000094A0000}"/>
    <cellStyle name="Normal 3 3 2 2 3 2 2 4 2 2 2" xfId="35892" xr:uid="{00000000-0005-0000-0000-00000A4A0000}"/>
    <cellStyle name="Normal 3 3 2 2 3 2 2 4 2 3" xfId="26802" xr:uid="{00000000-0005-0000-0000-00000B4A0000}"/>
    <cellStyle name="Normal 3 3 2 2 3 2 2 4 3" xfId="13170" xr:uid="{00000000-0005-0000-0000-00000C4A0000}"/>
    <cellStyle name="Normal 3 3 2 2 3 2 2 4 3 2" xfId="31352" xr:uid="{00000000-0005-0000-0000-00000D4A0000}"/>
    <cellStyle name="Normal 3 3 2 2 3 2 2 4 4" xfId="22262" xr:uid="{00000000-0005-0000-0000-00000E4A0000}"/>
    <cellStyle name="Normal 3 3 2 2 3 2 2 5" xfId="5697" xr:uid="{00000000-0005-0000-0000-00000F4A0000}"/>
    <cellStyle name="Normal 3 3 2 2 3 2 2 5 2" xfId="14797" xr:uid="{00000000-0005-0000-0000-0000104A0000}"/>
    <cellStyle name="Normal 3 3 2 2 3 2 2 5 2 2" xfId="32979" xr:uid="{00000000-0005-0000-0000-0000114A0000}"/>
    <cellStyle name="Normal 3 3 2 2 3 2 2 5 3" xfId="23889" xr:uid="{00000000-0005-0000-0000-0000124A0000}"/>
    <cellStyle name="Normal 3 3 2 2 3 2 2 6" xfId="10263" xr:uid="{00000000-0005-0000-0000-0000134A0000}"/>
    <cellStyle name="Normal 3 3 2 2 3 2 2 6 2" xfId="28445" xr:uid="{00000000-0005-0000-0000-0000144A0000}"/>
    <cellStyle name="Normal 3 3 2 2 3 2 2 7" xfId="19354" xr:uid="{00000000-0005-0000-0000-0000154A0000}"/>
    <cellStyle name="Normal 3 3 2 2 3 2 3" xfId="1058" xr:uid="{00000000-0005-0000-0000-0000164A0000}"/>
    <cellStyle name="Normal 3 3 2 2 3 2 3 2" xfId="2493" xr:uid="{00000000-0005-0000-0000-0000174A0000}"/>
    <cellStyle name="Normal 3 3 2 2 3 2 3 2 2" xfId="7079" xr:uid="{00000000-0005-0000-0000-0000184A0000}"/>
    <cellStyle name="Normal 3 3 2 2 3 2 3 2 2 2" xfId="16179" xr:uid="{00000000-0005-0000-0000-0000194A0000}"/>
    <cellStyle name="Normal 3 3 2 2 3 2 3 2 2 2 2" xfId="34361" xr:uid="{00000000-0005-0000-0000-00001A4A0000}"/>
    <cellStyle name="Normal 3 3 2 2 3 2 3 2 2 3" xfId="25271" xr:uid="{00000000-0005-0000-0000-00001B4A0000}"/>
    <cellStyle name="Normal 3 3 2 2 3 2 3 2 3" xfId="11643" xr:uid="{00000000-0005-0000-0000-00001C4A0000}"/>
    <cellStyle name="Normal 3 3 2 2 3 2 3 2 3 2" xfId="29825" xr:uid="{00000000-0005-0000-0000-00001D4A0000}"/>
    <cellStyle name="Normal 3 3 2 2 3 2 3 2 4" xfId="20735" xr:uid="{00000000-0005-0000-0000-00001E4A0000}"/>
    <cellStyle name="Normal 3 3 2 2 3 2 3 3" xfId="4060" xr:uid="{00000000-0005-0000-0000-00001F4A0000}"/>
    <cellStyle name="Normal 3 3 2 2 3 2 3 3 2" xfId="8616" xr:uid="{00000000-0005-0000-0000-0000204A0000}"/>
    <cellStyle name="Normal 3 3 2 2 3 2 3 3 2 2" xfId="17712" xr:uid="{00000000-0005-0000-0000-0000214A0000}"/>
    <cellStyle name="Normal 3 3 2 2 3 2 3 3 2 2 2" xfId="35894" xr:uid="{00000000-0005-0000-0000-0000224A0000}"/>
    <cellStyle name="Normal 3 3 2 2 3 2 3 3 2 3" xfId="26804" xr:uid="{00000000-0005-0000-0000-0000234A0000}"/>
    <cellStyle name="Normal 3 3 2 2 3 2 3 3 3" xfId="13172" xr:uid="{00000000-0005-0000-0000-0000244A0000}"/>
    <cellStyle name="Normal 3 3 2 2 3 2 3 3 3 2" xfId="31354" xr:uid="{00000000-0005-0000-0000-0000254A0000}"/>
    <cellStyle name="Normal 3 3 2 2 3 2 3 3 4" xfId="22264" xr:uid="{00000000-0005-0000-0000-0000264A0000}"/>
    <cellStyle name="Normal 3 3 2 2 3 2 3 4" xfId="5699" xr:uid="{00000000-0005-0000-0000-0000274A0000}"/>
    <cellStyle name="Normal 3 3 2 2 3 2 3 4 2" xfId="14799" xr:uid="{00000000-0005-0000-0000-0000284A0000}"/>
    <cellStyle name="Normal 3 3 2 2 3 2 3 4 2 2" xfId="32981" xr:uid="{00000000-0005-0000-0000-0000294A0000}"/>
    <cellStyle name="Normal 3 3 2 2 3 2 3 4 3" xfId="23891" xr:uid="{00000000-0005-0000-0000-00002A4A0000}"/>
    <cellStyle name="Normal 3 3 2 2 3 2 3 5" xfId="10265" xr:uid="{00000000-0005-0000-0000-00002B4A0000}"/>
    <cellStyle name="Normal 3 3 2 2 3 2 3 5 2" xfId="28447" xr:uid="{00000000-0005-0000-0000-00002C4A0000}"/>
    <cellStyle name="Normal 3 3 2 2 3 2 3 6" xfId="19356" xr:uid="{00000000-0005-0000-0000-00002D4A0000}"/>
    <cellStyle name="Normal 3 3 2 2 3 2 4" xfId="1059" xr:uid="{00000000-0005-0000-0000-00002E4A0000}"/>
    <cellStyle name="Normal 3 3 2 2 3 2 4 2" xfId="4061" xr:uid="{00000000-0005-0000-0000-00002F4A0000}"/>
    <cellStyle name="Normal 3 3 2 2 3 2 4 2 2" xfId="8617" xr:uid="{00000000-0005-0000-0000-0000304A0000}"/>
    <cellStyle name="Normal 3 3 2 2 3 2 4 2 2 2" xfId="17713" xr:uid="{00000000-0005-0000-0000-0000314A0000}"/>
    <cellStyle name="Normal 3 3 2 2 3 2 4 2 2 2 2" xfId="35895" xr:uid="{00000000-0005-0000-0000-0000324A0000}"/>
    <cellStyle name="Normal 3 3 2 2 3 2 4 2 2 3" xfId="26805" xr:uid="{00000000-0005-0000-0000-0000334A0000}"/>
    <cellStyle name="Normal 3 3 2 2 3 2 4 2 3" xfId="13173" xr:uid="{00000000-0005-0000-0000-0000344A0000}"/>
    <cellStyle name="Normal 3 3 2 2 3 2 4 2 3 2" xfId="31355" xr:uid="{00000000-0005-0000-0000-0000354A0000}"/>
    <cellStyle name="Normal 3 3 2 2 3 2 4 2 4" xfId="22265" xr:uid="{00000000-0005-0000-0000-0000364A0000}"/>
    <cellStyle name="Normal 3 3 2 2 3 2 4 3" xfId="5700" xr:uid="{00000000-0005-0000-0000-0000374A0000}"/>
    <cellStyle name="Normal 3 3 2 2 3 2 4 3 2" xfId="14800" xr:uid="{00000000-0005-0000-0000-0000384A0000}"/>
    <cellStyle name="Normal 3 3 2 2 3 2 4 3 2 2" xfId="32982" xr:uid="{00000000-0005-0000-0000-0000394A0000}"/>
    <cellStyle name="Normal 3 3 2 2 3 2 4 3 3" xfId="23892" xr:uid="{00000000-0005-0000-0000-00003A4A0000}"/>
    <cellStyle name="Normal 3 3 2 2 3 2 4 4" xfId="10266" xr:uid="{00000000-0005-0000-0000-00003B4A0000}"/>
    <cellStyle name="Normal 3 3 2 2 3 2 4 4 2" xfId="28448" xr:uid="{00000000-0005-0000-0000-00003C4A0000}"/>
    <cellStyle name="Normal 3 3 2 2 3 2 4 5" xfId="19357" xr:uid="{00000000-0005-0000-0000-00003D4A0000}"/>
    <cellStyle name="Normal 3 3 2 2 3 2 5" xfId="2494" xr:uid="{00000000-0005-0000-0000-00003E4A0000}"/>
    <cellStyle name="Normal 3 3 2 2 3 2 5 2" xfId="7080" xr:uid="{00000000-0005-0000-0000-00003F4A0000}"/>
    <cellStyle name="Normal 3 3 2 2 3 2 5 2 2" xfId="16180" xr:uid="{00000000-0005-0000-0000-0000404A0000}"/>
    <cellStyle name="Normal 3 3 2 2 3 2 5 2 2 2" xfId="34362" xr:uid="{00000000-0005-0000-0000-0000414A0000}"/>
    <cellStyle name="Normal 3 3 2 2 3 2 5 2 3" xfId="25272" xr:uid="{00000000-0005-0000-0000-0000424A0000}"/>
    <cellStyle name="Normal 3 3 2 2 3 2 5 3" xfId="11644" xr:uid="{00000000-0005-0000-0000-0000434A0000}"/>
    <cellStyle name="Normal 3 3 2 2 3 2 5 3 2" xfId="29826" xr:uid="{00000000-0005-0000-0000-0000444A0000}"/>
    <cellStyle name="Normal 3 3 2 2 3 2 5 4" xfId="20736" xr:uid="{00000000-0005-0000-0000-0000454A0000}"/>
    <cellStyle name="Normal 3 3 2 2 3 2 6" xfId="3266" xr:uid="{00000000-0005-0000-0000-0000464A0000}"/>
    <cellStyle name="Normal 3 3 2 2 3 2 6 2" xfId="7826" xr:uid="{00000000-0005-0000-0000-0000474A0000}"/>
    <cellStyle name="Normal 3 3 2 2 3 2 6 2 2" xfId="16922" xr:uid="{00000000-0005-0000-0000-0000484A0000}"/>
    <cellStyle name="Normal 3 3 2 2 3 2 6 2 2 2" xfId="35104" xr:uid="{00000000-0005-0000-0000-0000494A0000}"/>
    <cellStyle name="Normal 3 3 2 2 3 2 6 2 3" xfId="26014" xr:uid="{00000000-0005-0000-0000-00004A4A0000}"/>
    <cellStyle name="Normal 3 3 2 2 3 2 6 3" xfId="12382" xr:uid="{00000000-0005-0000-0000-00004B4A0000}"/>
    <cellStyle name="Normal 3 3 2 2 3 2 6 3 2" xfId="30564" xr:uid="{00000000-0005-0000-0000-00004C4A0000}"/>
    <cellStyle name="Normal 3 3 2 2 3 2 6 4" xfId="21474" xr:uid="{00000000-0005-0000-0000-00004D4A0000}"/>
    <cellStyle name="Normal 3 3 2 2 3 2 7" xfId="4913" xr:uid="{00000000-0005-0000-0000-00004E4A0000}"/>
    <cellStyle name="Normal 3 3 2 2 3 2 7 2" xfId="14013" xr:uid="{00000000-0005-0000-0000-00004F4A0000}"/>
    <cellStyle name="Normal 3 3 2 2 3 2 7 2 2" xfId="32195" xr:uid="{00000000-0005-0000-0000-0000504A0000}"/>
    <cellStyle name="Normal 3 3 2 2 3 2 7 3" xfId="23105" xr:uid="{00000000-0005-0000-0000-0000514A0000}"/>
    <cellStyle name="Normal 3 3 2 2 3 2 8" xfId="9479" xr:uid="{00000000-0005-0000-0000-0000524A0000}"/>
    <cellStyle name="Normal 3 3 2 2 3 2 8 2" xfId="27661" xr:uid="{00000000-0005-0000-0000-0000534A0000}"/>
    <cellStyle name="Normal 3 3 2 2 3 2 9" xfId="18570" xr:uid="{00000000-0005-0000-0000-0000544A0000}"/>
    <cellStyle name="Normal 3 3 2 2 3 3" xfId="1060" xr:uid="{00000000-0005-0000-0000-0000554A0000}"/>
    <cellStyle name="Normal 3 3 2 2 3 3 2" xfId="1061" xr:uid="{00000000-0005-0000-0000-0000564A0000}"/>
    <cellStyle name="Normal 3 3 2 2 3 3 2 2" xfId="2495" xr:uid="{00000000-0005-0000-0000-0000574A0000}"/>
    <cellStyle name="Normal 3 3 2 2 3 3 2 2 2" xfId="7081" xr:uid="{00000000-0005-0000-0000-0000584A0000}"/>
    <cellStyle name="Normal 3 3 2 2 3 3 2 2 2 2" xfId="16181" xr:uid="{00000000-0005-0000-0000-0000594A0000}"/>
    <cellStyle name="Normal 3 3 2 2 3 3 2 2 2 2 2" xfId="34363" xr:uid="{00000000-0005-0000-0000-00005A4A0000}"/>
    <cellStyle name="Normal 3 3 2 2 3 3 2 2 2 3" xfId="25273" xr:uid="{00000000-0005-0000-0000-00005B4A0000}"/>
    <cellStyle name="Normal 3 3 2 2 3 3 2 2 3" xfId="11645" xr:uid="{00000000-0005-0000-0000-00005C4A0000}"/>
    <cellStyle name="Normal 3 3 2 2 3 3 2 2 3 2" xfId="29827" xr:uid="{00000000-0005-0000-0000-00005D4A0000}"/>
    <cellStyle name="Normal 3 3 2 2 3 3 2 2 4" xfId="20737" xr:uid="{00000000-0005-0000-0000-00005E4A0000}"/>
    <cellStyle name="Normal 3 3 2 2 3 3 2 3" xfId="4063" xr:uid="{00000000-0005-0000-0000-00005F4A0000}"/>
    <cellStyle name="Normal 3 3 2 2 3 3 2 3 2" xfId="8619" xr:uid="{00000000-0005-0000-0000-0000604A0000}"/>
    <cellStyle name="Normal 3 3 2 2 3 3 2 3 2 2" xfId="17715" xr:uid="{00000000-0005-0000-0000-0000614A0000}"/>
    <cellStyle name="Normal 3 3 2 2 3 3 2 3 2 2 2" xfId="35897" xr:uid="{00000000-0005-0000-0000-0000624A0000}"/>
    <cellStyle name="Normal 3 3 2 2 3 3 2 3 2 3" xfId="26807" xr:uid="{00000000-0005-0000-0000-0000634A0000}"/>
    <cellStyle name="Normal 3 3 2 2 3 3 2 3 3" xfId="13175" xr:uid="{00000000-0005-0000-0000-0000644A0000}"/>
    <cellStyle name="Normal 3 3 2 2 3 3 2 3 3 2" xfId="31357" xr:uid="{00000000-0005-0000-0000-0000654A0000}"/>
    <cellStyle name="Normal 3 3 2 2 3 3 2 3 4" xfId="22267" xr:uid="{00000000-0005-0000-0000-0000664A0000}"/>
    <cellStyle name="Normal 3 3 2 2 3 3 2 4" xfId="5702" xr:uid="{00000000-0005-0000-0000-0000674A0000}"/>
    <cellStyle name="Normal 3 3 2 2 3 3 2 4 2" xfId="14802" xr:uid="{00000000-0005-0000-0000-0000684A0000}"/>
    <cellStyle name="Normal 3 3 2 2 3 3 2 4 2 2" xfId="32984" xr:uid="{00000000-0005-0000-0000-0000694A0000}"/>
    <cellStyle name="Normal 3 3 2 2 3 3 2 4 3" xfId="23894" xr:uid="{00000000-0005-0000-0000-00006A4A0000}"/>
    <cellStyle name="Normal 3 3 2 2 3 3 2 5" xfId="10268" xr:uid="{00000000-0005-0000-0000-00006B4A0000}"/>
    <cellStyle name="Normal 3 3 2 2 3 3 2 5 2" xfId="28450" xr:uid="{00000000-0005-0000-0000-00006C4A0000}"/>
    <cellStyle name="Normal 3 3 2 2 3 3 2 6" xfId="19359" xr:uid="{00000000-0005-0000-0000-00006D4A0000}"/>
    <cellStyle name="Normal 3 3 2 2 3 3 3" xfId="2496" xr:uid="{00000000-0005-0000-0000-00006E4A0000}"/>
    <cellStyle name="Normal 3 3 2 2 3 3 3 2" xfId="7082" xr:uid="{00000000-0005-0000-0000-00006F4A0000}"/>
    <cellStyle name="Normal 3 3 2 2 3 3 3 2 2" xfId="16182" xr:uid="{00000000-0005-0000-0000-0000704A0000}"/>
    <cellStyle name="Normal 3 3 2 2 3 3 3 2 2 2" xfId="34364" xr:uid="{00000000-0005-0000-0000-0000714A0000}"/>
    <cellStyle name="Normal 3 3 2 2 3 3 3 2 3" xfId="25274" xr:uid="{00000000-0005-0000-0000-0000724A0000}"/>
    <cellStyle name="Normal 3 3 2 2 3 3 3 3" xfId="11646" xr:uid="{00000000-0005-0000-0000-0000734A0000}"/>
    <cellStyle name="Normal 3 3 2 2 3 3 3 3 2" xfId="29828" xr:uid="{00000000-0005-0000-0000-0000744A0000}"/>
    <cellStyle name="Normal 3 3 2 2 3 3 3 4" xfId="20738" xr:uid="{00000000-0005-0000-0000-0000754A0000}"/>
    <cellStyle name="Normal 3 3 2 2 3 3 4" xfId="4062" xr:uid="{00000000-0005-0000-0000-0000764A0000}"/>
    <cellStyle name="Normal 3 3 2 2 3 3 4 2" xfId="8618" xr:uid="{00000000-0005-0000-0000-0000774A0000}"/>
    <cellStyle name="Normal 3 3 2 2 3 3 4 2 2" xfId="17714" xr:uid="{00000000-0005-0000-0000-0000784A0000}"/>
    <cellStyle name="Normal 3 3 2 2 3 3 4 2 2 2" xfId="35896" xr:uid="{00000000-0005-0000-0000-0000794A0000}"/>
    <cellStyle name="Normal 3 3 2 2 3 3 4 2 3" xfId="26806" xr:uid="{00000000-0005-0000-0000-00007A4A0000}"/>
    <cellStyle name="Normal 3 3 2 2 3 3 4 3" xfId="13174" xr:uid="{00000000-0005-0000-0000-00007B4A0000}"/>
    <cellStyle name="Normal 3 3 2 2 3 3 4 3 2" xfId="31356" xr:uid="{00000000-0005-0000-0000-00007C4A0000}"/>
    <cellStyle name="Normal 3 3 2 2 3 3 4 4" xfId="22266" xr:uid="{00000000-0005-0000-0000-00007D4A0000}"/>
    <cellStyle name="Normal 3 3 2 2 3 3 5" xfId="5701" xr:uid="{00000000-0005-0000-0000-00007E4A0000}"/>
    <cellStyle name="Normal 3 3 2 2 3 3 5 2" xfId="14801" xr:uid="{00000000-0005-0000-0000-00007F4A0000}"/>
    <cellStyle name="Normal 3 3 2 2 3 3 5 2 2" xfId="32983" xr:uid="{00000000-0005-0000-0000-0000804A0000}"/>
    <cellStyle name="Normal 3 3 2 2 3 3 5 3" xfId="23893" xr:uid="{00000000-0005-0000-0000-0000814A0000}"/>
    <cellStyle name="Normal 3 3 2 2 3 3 6" xfId="10267" xr:uid="{00000000-0005-0000-0000-0000824A0000}"/>
    <cellStyle name="Normal 3 3 2 2 3 3 6 2" xfId="28449" xr:uid="{00000000-0005-0000-0000-0000834A0000}"/>
    <cellStyle name="Normal 3 3 2 2 3 3 7" xfId="19358" xr:uid="{00000000-0005-0000-0000-0000844A0000}"/>
    <cellStyle name="Normal 3 3 2 2 3 4" xfId="1062" xr:uid="{00000000-0005-0000-0000-0000854A0000}"/>
    <cellStyle name="Normal 3 3 2 2 3 4 2" xfId="2497" xr:uid="{00000000-0005-0000-0000-0000864A0000}"/>
    <cellStyle name="Normal 3 3 2 2 3 4 2 2" xfId="7083" xr:uid="{00000000-0005-0000-0000-0000874A0000}"/>
    <cellStyle name="Normal 3 3 2 2 3 4 2 2 2" xfId="16183" xr:uid="{00000000-0005-0000-0000-0000884A0000}"/>
    <cellStyle name="Normal 3 3 2 2 3 4 2 2 2 2" xfId="34365" xr:uid="{00000000-0005-0000-0000-0000894A0000}"/>
    <cellStyle name="Normal 3 3 2 2 3 4 2 2 3" xfId="25275" xr:uid="{00000000-0005-0000-0000-00008A4A0000}"/>
    <cellStyle name="Normal 3 3 2 2 3 4 2 3" xfId="11647" xr:uid="{00000000-0005-0000-0000-00008B4A0000}"/>
    <cellStyle name="Normal 3 3 2 2 3 4 2 3 2" xfId="29829" xr:uid="{00000000-0005-0000-0000-00008C4A0000}"/>
    <cellStyle name="Normal 3 3 2 2 3 4 2 4" xfId="20739" xr:uid="{00000000-0005-0000-0000-00008D4A0000}"/>
    <cellStyle name="Normal 3 3 2 2 3 4 3" xfId="4064" xr:uid="{00000000-0005-0000-0000-00008E4A0000}"/>
    <cellStyle name="Normal 3 3 2 2 3 4 3 2" xfId="8620" xr:uid="{00000000-0005-0000-0000-00008F4A0000}"/>
    <cellStyle name="Normal 3 3 2 2 3 4 3 2 2" xfId="17716" xr:uid="{00000000-0005-0000-0000-0000904A0000}"/>
    <cellStyle name="Normal 3 3 2 2 3 4 3 2 2 2" xfId="35898" xr:uid="{00000000-0005-0000-0000-0000914A0000}"/>
    <cellStyle name="Normal 3 3 2 2 3 4 3 2 3" xfId="26808" xr:uid="{00000000-0005-0000-0000-0000924A0000}"/>
    <cellStyle name="Normal 3 3 2 2 3 4 3 3" xfId="13176" xr:uid="{00000000-0005-0000-0000-0000934A0000}"/>
    <cellStyle name="Normal 3 3 2 2 3 4 3 3 2" xfId="31358" xr:uid="{00000000-0005-0000-0000-0000944A0000}"/>
    <cellStyle name="Normal 3 3 2 2 3 4 3 4" xfId="22268" xr:uid="{00000000-0005-0000-0000-0000954A0000}"/>
    <cellStyle name="Normal 3 3 2 2 3 4 4" xfId="5703" xr:uid="{00000000-0005-0000-0000-0000964A0000}"/>
    <cellStyle name="Normal 3 3 2 2 3 4 4 2" xfId="14803" xr:uid="{00000000-0005-0000-0000-0000974A0000}"/>
    <cellStyle name="Normal 3 3 2 2 3 4 4 2 2" xfId="32985" xr:uid="{00000000-0005-0000-0000-0000984A0000}"/>
    <cellStyle name="Normal 3 3 2 2 3 4 4 3" xfId="23895" xr:uid="{00000000-0005-0000-0000-0000994A0000}"/>
    <cellStyle name="Normal 3 3 2 2 3 4 5" xfId="10269" xr:uid="{00000000-0005-0000-0000-00009A4A0000}"/>
    <cellStyle name="Normal 3 3 2 2 3 4 5 2" xfId="28451" xr:uid="{00000000-0005-0000-0000-00009B4A0000}"/>
    <cellStyle name="Normal 3 3 2 2 3 4 6" xfId="19360" xr:uid="{00000000-0005-0000-0000-00009C4A0000}"/>
    <cellStyle name="Normal 3 3 2 2 3 5" xfId="1063" xr:uid="{00000000-0005-0000-0000-00009D4A0000}"/>
    <cellStyle name="Normal 3 3 2 2 3 5 2" xfId="4065" xr:uid="{00000000-0005-0000-0000-00009E4A0000}"/>
    <cellStyle name="Normal 3 3 2 2 3 5 2 2" xfId="8621" xr:uid="{00000000-0005-0000-0000-00009F4A0000}"/>
    <cellStyle name="Normal 3 3 2 2 3 5 2 2 2" xfId="17717" xr:uid="{00000000-0005-0000-0000-0000A04A0000}"/>
    <cellStyle name="Normal 3 3 2 2 3 5 2 2 2 2" xfId="35899" xr:uid="{00000000-0005-0000-0000-0000A14A0000}"/>
    <cellStyle name="Normal 3 3 2 2 3 5 2 2 3" xfId="26809" xr:uid="{00000000-0005-0000-0000-0000A24A0000}"/>
    <cellStyle name="Normal 3 3 2 2 3 5 2 3" xfId="13177" xr:uid="{00000000-0005-0000-0000-0000A34A0000}"/>
    <cellStyle name="Normal 3 3 2 2 3 5 2 3 2" xfId="31359" xr:uid="{00000000-0005-0000-0000-0000A44A0000}"/>
    <cellStyle name="Normal 3 3 2 2 3 5 2 4" xfId="22269" xr:uid="{00000000-0005-0000-0000-0000A54A0000}"/>
    <cellStyle name="Normal 3 3 2 2 3 5 3" xfId="5704" xr:uid="{00000000-0005-0000-0000-0000A64A0000}"/>
    <cellStyle name="Normal 3 3 2 2 3 5 3 2" xfId="14804" xr:uid="{00000000-0005-0000-0000-0000A74A0000}"/>
    <cellStyle name="Normal 3 3 2 2 3 5 3 2 2" xfId="32986" xr:uid="{00000000-0005-0000-0000-0000A84A0000}"/>
    <cellStyle name="Normal 3 3 2 2 3 5 3 3" xfId="23896" xr:uid="{00000000-0005-0000-0000-0000A94A0000}"/>
    <cellStyle name="Normal 3 3 2 2 3 5 4" xfId="10270" xr:uid="{00000000-0005-0000-0000-0000AA4A0000}"/>
    <cellStyle name="Normal 3 3 2 2 3 5 4 2" xfId="28452" xr:uid="{00000000-0005-0000-0000-0000AB4A0000}"/>
    <cellStyle name="Normal 3 3 2 2 3 5 5" xfId="19361" xr:uid="{00000000-0005-0000-0000-0000AC4A0000}"/>
    <cellStyle name="Normal 3 3 2 2 3 6" xfId="2498" xr:uid="{00000000-0005-0000-0000-0000AD4A0000}"/>
    <cellStyle name="Normal 3 3 2 2 3 6 2" xfId="7084" xr:uid="{00000000-0005-0000-0000-0000AE4A0000}"/>
    <cellStyle name="Normal 3 3 2 2 3 6 2 2" xfId="16184" xr:uid="{00000000-0005-0000-0000-0000AF4A0000}"/>
    <cellStyle name="Normal 3 3 2 2 3 6 2 2 2" xfId="34366" xr:uid="{00000000-0005-0000-0000-0000B04A0000}"/>
    <cellStyle name="Normal 3 3 2 2 3 6 2 3" xfId="25276" xr:uid="{00000000-0005-0000-0000-0000B14A0000}"/>
    <cellStyle name="Normal 3 3 2 2 3 6 3" xfId="11648" xr:uid="{00000000-0005-0000-0000-0000B24A0000}"/>
    <cellStyle name="Normal 3 3 2 2 3 6 3 2" xfId="29830" xr:uid="{00000000-0005-0000-0000-0000B34A0000}"/>
    <cellStyle name="Normal 3 3 2 2 3 6 4" xfId="20740" xr:uid="{00000000-0005-0000-0000-0000B44A0000}"/>
    <cellStyle name="Normal 3 3 2 2 3 7" xfId="3264" xr:uid="{00000000-0005-0000-0000-0000B54A0000}"/>
    <cellStyle name="Normal 3 3 2 2 3 7 2" xfId="7824" xr:uid="{00000000-0005-0000-0000-0000B64A0000}"/>
    <cellStyle name="Normal 3 3 2 2 3 7 2 2" xfId="16920" xr:uid="{00000000-0005-0000-0000-0000B74A0000}"/>
    <cellStyle name="Normal 3 3 2 2 3 7 2 2 2" xfId="35102" xr:uid="{00000000-0005-0000-0000-0000B84A0000}"/>
    <cellStyle name="Normal 3 3 2 2 3 7 2 3" xfId="26012" xr:uid="{00000000-0005-0000-0000-0000B94A0000}"/>
    <cellStyle name="Normal 3 3 2 2 3 7 3" xfId="12380" xr:uid="{00000000-0005-0000-0000-0000BA4A0000}"/>
    <cellStyle name="Normal 3 3 2 2 3 7 3 2" xfId="30562" xr:uid="{00000000-0005-0000-0000-0000BB4A0000}"/>
    <cellStyle name="Normal 3 3 2 2 3 7 4" xfId="21472" xr:uid="{00000000-0005-0000-0000-0000BC4A0000}"/>
    <cellStyle name="Normal 3 3 2 2 3 8" xfId="4911" xr:uid="{00000000-0005-0000-0000-0000BD4A0000}"/>
    <cellStyle name="Normal 3 3 2 2 3 8 2" xfId="14011" xr:uid="{00000000-0005-0000-0000-0000BE4A0000}"/>
    <cellStyle name="Normal 3 3 2 2 3 8 2 2" xfId="32193" xr:uid="{00000000-0005-0000-0000-0000BF4A0000}"/>
    <cellStyle name="Normal 3 3 2 2 3 8 3" xfId="23103" xr:uid="{00000000-0005-0000-0000-0000C04A0000}"/>
    <cellStyle name="Normal 3 3 2 2 3 9" xfId="9477" xr:uid="{00000000-0005-0000-0000-0000C14A0000}"/>
    <cellStyle name="Normal 3 3 2 2 3 9 2" xfId="27659" xr:uid="{00000000-0005-0000-0000-0000C24A0000}"/>
    <cellStyle name="Normal 3 3 2 2 4" xfId="1064" xr:uid="{00000000-0005-0000-0000-0000C34A0000}"/>
    <cellStyle name="Normal 3 3 2 2 4 2" xfId="1065" xr:uid="{00000000-0005-0000-0000-0000C44A0000}"/>
    <cellStyle name="Normal 3 3 2 2 4 2 2" xfId="1066" xr:uid="{00000000-0005-0000-0000-0000C54A0000}"/>
    <cellStyle name="Normal 3 3 2 2 4 2 2 2" xfId="2499" xr:uid="{00000000-0005-0000-0000-0000C64A0000}"/>
    <cellStyle name="Normal 3 3 2 2 4 2 2 2 2" xfId="7085" xr:uid="{00000000-0005-0000-0000-0000C74A0000}"/>
    <cellStyle name="Normal 3 3 2 2 4 2 2 2 2 2" xfId="16185" xr:uid="{00000000-0005-0000-0000-0000C84A0000}"/>
    <cellStyle name="Normal 3 3 2 2 4 2 2 2 2 2 2" xfId="34367" xr:uid="{00000000-0005-0000-0000-0000C94A0000}"/>
    <cellStyle name="Normal 3 3 2 2 4 2 2 2 2 3" xfId="25277" xr:uid="{00000000-0005-0000-0000-0000CA4A0000}"/>
    <cellStyle name="Normal 3 3 2 2 4 2 2 2 3" xfId="11649" xr:uid="{00000000-0005-0000-0000-0000CB4A0000}"/>
    <cellStyle name="Normal 3 3 2 2 4 2 2 2 3 2" xfId="29831" xr:uid="{00000000-0005-0000-0000-0000CC4A0000}"/>
    <cellStyle name="Normal 3 3 2 2 4 2 2 2 4" xfId="20741" xr:uid="{00000000-0005-0000-0000-0000CD4A0000}"/>
    <cellStyle name="Normal 3 3 2 2 4 2 2 3" xfId="4068" xr:uid="{00000000-0005-0000-0000-0000CE4A0000}"/>
    <cellStyle name="Normal 3 3 2 2 4 2 2 3 2" xfId="8624" xr:uid="{00000000-0005-0000-0000-0000CF4A0000}"/>
    <cellStyle name="Normal 3 3 2 2 4 2 2 3 2 2" xfId="17720" xr:uid="{00000000-0005-0000-0000-0000D04A0000}"/>
    <cellStyle name="Normal 3 3 2 2 4 2 2 3 2 2 2" xfId="35902" xr:uid="{00000000-0005-0000-0000-0000D14A0000}"/>
    <cellStyle name="Normal 3 3 2 2 4 2 2 3 2 3" xfId="26812" xr:uid="{00000000-0005-0000-0000-0000D24A0000}"/>
    <cellStyle name="Normal 3 3 2 2 4 2 2 3 3" xfId="13180" xr:uid="{00000000-0005-0000-0000-0000D34A0000}"/>
    <cellStyle name="Normal 3 3 2 2 4 2 2 3 3 2" xfId="31362" xr:uid="{00000000-0005-0000-0000-0000D44A0000}"/>
    <cellStyle name="Normal 3 3 2 2 4 2 2 3 4" xfId="22272" xr:uid="{00000000-0005-0000-0000-0000D54A0000}"/>
    <cellStyle name="Normal 3 3 2 2 4 2 2 4" xfId="5707" xr:uid="{00000000-0005-0000-0000-0000D64A0000}"/>
    <cellStyle name="Normal 3 3 2 2 4 2 2 4 2" xfId="14807" xr:uid="{00000000-0005-0000-0000-0000D74A0000}"/>
    <cellStyle name="Normal 3 3 2 2 4 2 2 4 2 2" xfId="32989" xr:uid="{00000000-0005-0000-0000-0000D84A0000}"/>
    <cellStyle name="Normal 3 3 2 2 4 2 2 4 3" xfId="23899" xr:uid="{00000000-0005-0000-0000-0000D94A0000}"/>
    <cellStyle name="Normal 3 3 2 2 4 2 2 5" xfId="10273" xr:uid="{00000000-0005-0000-0000-0000DA4A0000}"/>
    <cellStyle name="Normal 3 3 2 2 4 2 2 5 2" xfId="28455" xr:uid="{00000000-0005-0000-0000-0000DB4A0000}"/>
    <cellStyle name="Normal 3 3 2 2 4 2 2 6" xfId="19364" xr:uid="{00000000-0005-0000-0000-0000DC4A0000}"/>
    <cellStyle name="Normal 3 3 2 2 4 2 3" xfId="2500" xr:uid="{00000000-0005-0000-0000-0000DD4A0000}"/>
    <cellStyle name="Normal 3 3 2 2 4 2 3 2" xfId="7086" xr:uid="{00000000-0005-0000-0000-0000DE4A0000}"/>
    <cellStyle name="Normal 3 3 2 2 4 2 3 2 2" xfId="16186" xr:uid="{00000000-0005-0000-0000-0000DF4A0000}"/>
    <cellStyle name="Normal 3 3 2 2 4 2 3 2 2 2" xfId="34368" xr:uid="{00000000-0005-0000-0000-0000E04A0000}"/>
    <cellStyle name="Normal 3 3 2 2 4 2 3 2 3" xfId="25278" xr:uid="{00000000-0005-0000-0000-0000E14A0000}"/>
    <cellStyle name="Normal 3 3 2 2 4 2 3 3" xfId="11650" xr:uid="{00000000-0005-0000-0000-0000E24A0000}"/>
    <cellStyle name="Normal 3 3 2 2 4 2 3 3 2" xfId="29832" xr:uid="{00000000-0005-0000-0000-0000E34A0000}"/>
    <cellStyle name="Normal 3 3 2 2 4 2 3 4" xfId="20742" xr:uid="{00000000-0005-0000-0000-0000E44A0000}"/>
    <cellStyle name="Normal 3 3 2 2 4 2 4" xfId="4067" xr:uid="{00000000-0005-0000-0000-0000E54A0000}"/>
    <cellStyle name="Normal 3 3 2 2 4 2 4 2" xfId="8623" xr:uid="{00000000-0005-0000-0000-0000E64A0000}"/>
    <cellStyle name="Normal 3 3 2 2 4 2 4 2 2" xfId="17719" xr:uid="{00000000-0005-0000-0000-0000E74A0000}"/>
    <cellStyle name="Normal 3 3 2 2 4 2 4 2 2 2" xfId="35901" xr:uid="{00000000-0005-0000-0000-0000E84A0000}"/>
    <cellStyle name="Normal 3 3 2 2 4 2 4 2 3" xfId="26811" xr:uid="{00000000-0005-0000-0000-0000E94A0000}"/>
    <cellStyle name="Normal 3 3 2 2 4 2 4 3" xfId="13179" xr:uid="{00000000-0005-0000-0000-0000EA4A0000}"/>
    <cellStyle name="Normal 3 3 2 2 4 2 4 3 2" xfId="31361" xr:uid="{00000000-0005-0000-0000-0000EB4A0000}"/>
    <cellStyle name="Normal 3 3 2 2 4 2 4 4" xfId="22271" xr:uid="{00000000-0005-0000-0000-0000EC4A0000}"/>
    <cellStyle name="Normal 3 3 2 2 4 2 5" xfId="5706" xr:uid="{00000000-0005-0000-0000-0000ED4A0000}"/>
    <cellStyle name="Normal 3 3 2 2 4 2 5 2" xfId="14806" xr:uid="{00000000-0005-0000-0000-0000EE4A0000}"/>
    <cellStyle name="Normal 3 3 2 2 4 2 5 2 2" xfId="32988" xr:uid="{00000000-0005-0000-0000-0000EF4A0000}"/>
    <cellStyle name="Normal 3 3 2 2 4 2 5 3" xfId="23898" xr:uid="{00000000-0005-0000-0000-0000F04A0000}"/>
    <cellStyle name="Normal 3 3 2 2 4 2 6" xfId="10272" xr:uid="{00000000-0005-0000-0000-0000F14A0000}"/>
    <cellStyle name="Normal 3 3 2 2 4 2 6 2" xfId="28454" xr:uid="{00000000-0005-0000-0000-0000F24A0000}"/>
    <cellStyle name="Normal 3 3 2 2 4 2 7" xfId="19363" xr:uid="{00000000-0005-0000-0000-0000F34A0000}"/>
    <cellStyle name="Normal 3 3 2 2 4 3" xfId="1067" xr:uid="{00000000-0005-0000-0000-0000F44A0000}"/>
    <cellStyle name="Normal 3 3 2 2 4 3 2" xfId="2501" xr:uid="{00000000-0005-0000-0000-0000F54A0000}"/>
    <cellStyle name="Normal 3 3 2 2 4 3 2 2" xfId="7087" xr:uid="{00000000-0005-0000-0000-0000F64A0000}"/>
    <cellStyle name="Normal 3 3 2 2 4 3 2 2 2" xfId="16187" xr:uid="{00000000-0005-0000-0000-0000F74A0000}"/>
    <cellStyle name="Normal 3 3 2 2 4 3 2 2 2 2" xfId="34369" xr:uid="{00000000-0005-0000-0000-0000F84A0000}"/>
    <cellStyle name="Normal 3 3 2 2 4 3 2 2 3" xfId="25279" xr:uid="{00000000-0005-0000-0000-0000F94A0000}"/>
    <cellStyle name="Normal 3 3 2 2 4 3 2 3" xfId="11651" xr:uid="{00000000-0005-0000-0000-0000FA4A0000}"/>
    <cellStyle name="Normal 3 3 2 2 4 3 2 3 2" xfId="29833" xr:uid="{00000000-0005-0000-0000-0000FB4A0000}"/>
    <cellStyle name="Normal 3 3 2 2 4 3 2 4" xfId="20743" xr:uid="{00000000-0005-0000-0000-0000FC4A0000}"/>
    <cellStyle name="Normal 3 3 2 2 4 3 3" xfId="4069" xr:uid="{00000000-0005-0000-0000-0000FD4A0000}"/>
    <cellStyle name="Normal 3 3 2 2 4 3 3 2" xfId="8625" xr:uid="{00000000-0005-0000-0000-0000FE4A0000}"/>
    <cellStyle name="Normal 3 3 2 2 4 3 3 2 2" xfId="17721" xr:uid="{00000000-0005-0000-0000-0000FF4A0000}"/>
    <cellStyle name="Normal 3 3 2 2 4 3 3 2 2 2" xfId="35903" xr:uid="{00000000-0005-0000-0000-0000004B0000}"/>
    <cellStyle name="Normal 3 3 2 2 4 3 3 2 3" xfId="26813" xr:uid="{00000000-0005-0000-0000-0000014B0000}"/>
    <cellStyle name="Normal 3 3 2 2 4 3 3 3" xfId="13181" xr:uid="{00000000-0005-0000-0000-0000024B0000}"/>
    <cellStyle name="Normal 3 3 2 2 4 3 3 3 2" xfId="31363" xr:uid="{00000000-0005-0000-0000-0000034B0000}"/>
    <cellStyle name="Normal 3 3 2 2 4 3 3 4" xfId="22273" xr:uid="{00000000-0005-0000-0000-0000044B0000}"/>
    <cellStyle name="Normal 3 3 2 2 4 3 4" xfId="5708" xr:uid="{00000000-0005-0000-0000-0000054B0000}"/>
    <cellStyle name="Normal 3 3 2 2 4 3 4 2" xfId="14808" xr:uid="{00000000-0005-0000-0000-0000064B0000}"/>
    <cellStyle name="Normal 3 3 2 2 4 3 4 2 2" xfId="32990" xr:uid="{00000000-0005-0000-0000-0000074B0000}"/>
    <cellStyle name="Normal 3 3 2 2 4 3 4 3" xfId="23900" xr:uid="{00000000-0005-0000-0000-0000084B0000}"/>
    <cellStyle name="Normal 3 3 2 2 4 3 5" xfId="10274" xr:uid="{00000000-0005-0000-0000-0000094B0000}"/>
    <cellStyle name="Normal 3 3 2 2 4 3 5 2" xfId="28456" xr:uid="{00000000-0005-0000-0000-00000A4B0000}"/>
    <cellStyle name="Normal 3 3 2 2 4 3 6" xfId="19365" xr:uid="{00000000-0005-0000-0000-00000B4B0000}"/>
    <cellStyle name="Normal 3 3 2 2 4 4" xfId="1068" xr:uid="{00000000-0005-0000-0000-00000C4B0000}"/>
    <cellStyle name="Normal 3 3 2 2 4 4 2" xfId="4070" xr:uid="{00000000-0005-0000-0000-00000D4B0000}"/>
    <cellStyle name="Normal 3 3 2 2 4 4 2 2" xfId="8626" xr:uid="{00000000-0005-0000-0000-00000E4B0000}"/>
    <cellStyle name="Normal 3 3 2 2 4 4 2 2 2" xfId="17722" xr:uid="{00000000-0005-0000-0000-00000F4B0000}"/>
    <cellStyle name="Normal 3 3 2 2 4 4 2 2 2 2" xfId="35904" xr:uid="{00000000-0005-0000-0000-0000104B0000}"/>
    <cellStyle name="Normal 3 3 2 2 4 4 2 2 3" xfId="26814" xr:uid="{00000000-0005-0000-0000-0000114B0000}"/>
    <cellStyle name="Normal 3 3 2 2 4 4 2 3" xfId="13182" xr:uid="{00000000-0005-0000-0000-0000124B0000}"/>
    <cellStyle name="Normal 3 3 2 2 4 4 2 3 2" xfId="31364" xr:uid="{00000000-0005-0000-0000-0000134B0000}"/>
    <cellStyle name="Normal 3 3 2 2 4 4 2 4" xfId="22274" xr:uid="{00000000-0005-0000-0000-0000144B0000}"/>
    <cellStyle name="Normal 3 3 2 2 4 4 3" xfId="5709" xr:uid="{00000000-0005-0000-0000-0000154B0000}"/>
    <cellStyle name="Normal 3 3 2 2 4 4 3 2" xfId="14809" xr:uid="{00000000-0005-0000-0000-0000164B0000}"/>
    <cellStyle name="Normal 3 3 2 2 4 4 3 2 2" xfId="32991" xr:uid="{00000000-0005-0000-0000-0000174B0000}"/>
    <cellStyle name="Normal 3 3 2 2 4 4 3 3" xfId="23901" xr:uid="{00000000-0005-0000-0000-0000184B0000}"/>
    <cellStyle name="Normal 3 3 2 2 4 4 4" xfId="10275" xr:uid="{00000000-0005-0000-0000-0000194B0000}"/>
    <cellStyle name="Normal 3 3 2 2 4 4 4 2" xfId="28457" xr:uid="{00000000-0005-0000-0000-00001A4B0000}"/>
    <cellStyle name="Normal 3 3 2 2 4 4 5" xfId="19366" xr:uid="{00000000-0005-0000-0000-00001B4B0000}"/>
    <cellStyle name="Normal 3 3 2 2 4 5" xfId="2502" xr:uid="{00000000-0005-0000-0000-00001C4B0000}"/>
    <cellStyle name="Normal 3 3 2 2 4 5 2" xfId="7088" xr:uid="{00000000-0005-0000-0000-00001D4B0000}"/>
    <cellStyle name="Normal 3 3 2 2 4 5 2 2" xfId="16188" xr:uid="{00000000-0005-0000-0000-00001E4B0000}"/>
    <cellStyle name="Normal 3 3 2 2 4 5 2 2 2" xfId="34370" xr:uid="{00000000-0005-0000-0000-00001F4B0000}"/>
    <cellStyle name="Normal 3 3 2 2 4 5 2 3" xfId="25280" xr:uid="{00000000-0005-0000-0000-0000204B0000}"/>
    <cellStyle name="Normal 3 3 2 2 4 5 3" xfId="11652" xr:uid="{00000000-0005-0000-0000-0000214B0000}"/>
    <cellStyle name="Normal 3 3 2 2 4 5 3 2" xfId="29834" xr:uid="{00000000-0005-0000-0000-0000224B0000}"/>
    <cellStyle name="Normal 3 3 2 2 4 5 4" xfId="20744" xr:uid="{00000000-0005-0000-0000-0000234B0000}"/>
    <cellStyle name="Normal 3 3 2 2 4 6" xfId="4066" xr:uid="{00000000-0005-0000-0000-0000244B0000}"/>
    <cellStyle name="Normal 3 3 2 2 4 6 2" xfId="8622" xr:uid="{00000000-0005-0000-0000-0000254B0000}"/>
    <cellStyle name="Normal 3 3 2 2 4 6 2 2" xfId="17718" xr:uid="{00000000-0005-0000-0000-0000264B0000}"/>
    <cellStyle name="Normal 3 3 2 2 4 6 2 2 2" xfId="35900" xr:uid="{00000000-0005-0000-0000-0000274B0000}"/>
    <cellStyle name="Normal 3 3 2 2 4 6 2 3" xfId="26810" xr:uid="{00000000-0005-0000-0000-0000284B0000}"/>
    <cellStyle name="Normal 3 3 2 2 4 6 3" xfId="13178" xr:uid="{00000000-0005-0000-0000-0000294B0000}"/>
    <cellStyle name="Normal 3 3 2 2 4 6 3 2" xfId="31360" xr:uid="{00000000-0005-0000-0000-00002A4B0000}"/>
    <cellStyle name="Normal 3 3 2 2 4 6 4" xfId="22270" xr:uid="{00000000-0005-0000-0000-00002B4B0000}"/>
    <cellStyle name="Normal 3 3 2 2 4 7" xfId="5705" xr:uid="{00000000-0005-0000-0000-00002C4B0000}"/>
    <cellStyle name="Normal 3 3 2 2 4 7 2" xfId="14805" xr:uid="{00000000-0005-0000-0000-00002D4B0000}"/>
    <cellStyle name="Normal 3 3 2 2 4 7 2 2" xfId="32987" xr:uid="{00000000-0005-0000-0000-00002E4B0000}"/>
    <cellStyle name="Normal 3 3 2 2 4 7 3" xfId="23897" xr:uid="{00000000-0005-0000-0000-00002F4B0000}"/>
    <cellStyle name="Normal 3 3 2 2 4 8" xfId="10271" xr:uid="{00000000-0005-0000-0000-0000304B0000}"/>
    <cellStyle name="Normal 3 3 2 2 4 8 2" xfId="28453" xr:uid="{00000000-0005-0000-0000-0000314B0000}"/>
    <cellStyle name="Normal 3 3 2 2 4 9" xfId="19362" xr:uid="{00000000-0005-0000-0000-0000324B0000}"/>
    <cellStyle name="Normal 3 3 2 2 5" xfId="1069" xr:uid="{00000000-0005-0000-0000-0000334B0000}"/>
    <cellStyle name="Normal 3 3 2 2 5 2" xfId="1070" xr:uid="{00000000-0005-0000-0000-0000344B0000}"/>
    <cellStyle name="Normal 3 3 2 2 5 2 2" xfId="2503" xr:uid="{00000000-0005-0000-0000-0000354B0000}"/>
    <cellStyle name="Normal 3 3 2 2 5 2 2 2" xfId="7089" xr:uid="{00000000-0005-0000-0000-0000364B0000}"/>
    <cellStyle name="Normal 3 3 2 2 5 2 2 2 2" xfId="16189" xr:uid="{00000000-0005-0000-0000-0000374B0000}"/>
    <cellStyle name="Normal 3 3 2 2 5 2 2 2 2 2" xfId="34371" xr:uid="{00000000-0005-0000-0000-0000384B0000}"/>
    <cellStyle name="Normal 3 3 2 2 5 2 2 2 3" xfId="25281" xr:uid="{00000000-0005-0000-0000-0000394B0000}"/>
    <cellStyle name="Normal 3 3 2 2 5 2 2 3" xfId="11653" xr:uid="{00000000-0005-0000-0000-00003A4B0000}"/>
    <cellStyle name="Normal 3 3 2 2 5 2 2 3 2" xfId="29835" xr:uid="{00000000-0005-0000-0000-00003B4B0000}"/>
    <cellStyle name="Normal 3 3 2 2 5 2 2 4" xfId="20745" xr:uid="{00000000-0005-0000-0000-00003C4B0000}"/>
    <cellStyle name="Normal 3 3 2 2 5 2 3" xfId="4072" xr:uid="{00000000-0005-0000-0000-00003D4B0000}"/>
    <cellStyle name="Normal 3 3 2 2 5 2 3 2" xfId="8628" xr:uid="{00000000-0005-0000-0000-00003E4B0000}"/>
    <cellStyle name="Normal 3 3 2 2 5 2 3 2 2" xfId="17724" xr:uid="{00000000-0005-0000-0000-00003F4B0000}"/>
    <cellStyle name="Normal 3 3 2 2 5 2 3 2 2 2" xfId="35906" xr:uid="{00000000-0005-0000-0000-0000404B0000}"/>
    <cellStyle name="Normal 3 3 2 2 5 2 3 2 3" xfId="26816" xr:uid="{00000000-0005-0000-0000-0000414B0000}"/>
    <cellStyle name="Normal 3 3 2 2 5 2 3 3" xfId="13184" xr:uid="{00000000-0005-0000-0000-0000424B0000}"/>
    <cellStyle name="Normal 3 3 2 2 5 2 3 3 2" xfId="31366" xr:uid="{00000000-0005-0000-0000-0000434B0000}"/>
    <cellStyle name="Normal 3 3 2 2 5 2 3 4" xfId="22276" xr:uid="{00000000-0005-0000-0000-0000444B0000}"/>
    <cellStyle name="Normal 3 3 2 2 5 2 4" xfId="5711" xr:uid="{00000000-0005-0000-0000-0000454B0000}"/>
    <cellStyle name="Normal 3 3 2 2 5 2 4 2" xfId="14811" xr:uid="{00000000-0005-0000-0000-0000464B0000}"/>
    <cellStyle name="Normal 3 3 2 2 5 2 4 2 2" xfId="32993" xr:uid="{00000000-0005-0000-0000-0000474B0000}"/>
    <cellStyle name="Normal 3 3 2 2 5 2 4 3" xfId="23903" xr:uid="{00000000-0005-0000-0000-0000484B0000}"/>
    <cellStyle name="Normal 3 3 2 2 5 2 5" xfId="10277" xr:uid="{00000000-0005-0000-0000-0000494B0000}"/>
    <cellStyle name="Normal 3 3 2 2 5 2 5 2" xfId="28459" xr:uid="{00000000-0005-0000-0000-00004A4B0000}"/>
    <cellStyle name="Normal 3 3 2 2 5 2 6" xfId="19368" xr:uid="{00000000-0005-0000-0000-00004B4B0000}"/>
    <cellStyle name="Normal 3 3 2 2 5 3" xfId="2504" xr:uid="{00000000-0005-0000-0000-00004C4B0000}"/>
    <cellStyle name="Normal 3 3 2 2 5 3 2" xfId="7090" xr:uid="{00000000-0005-0000-0000-00004D4B0000}"/>
    <cellStyle name="Normal 3 3 2 2 5 3 2 2" xfId="16190" xr:uid="{00000000-0005-0000-0000-00004E4B0000}"/>
    <cellStyle name="Normal 3 3 2 2 5 3 2 2 2" xfId="34372" xr:uid="{00000000-0005-0000-0000-00004F4B0000}"/>
    <cellStyle name="Normal 3 3 2 2 5 3 2 3" xfId="25282" xr:uid="{00000000-0005-0000-0000-0000504B0000}"/>
    <cellStyle name="Normal 3 3 2 2 5 3 3" xfId="11654" xr:uid="{00000000-0005-0000-0000-0000514B0000}"/>
    <cellStyle name="Normal 3 3 2 2 5 3 3 2" xfId="29836" xr:uid="{00000000-0005-0000-0000-0000524B0000}"/>
    <cellStyle name="Normal 3 3 2 2 5 3 4" xfId="20746" xr:uid="{00000000-0005-0000-0000-0000534B0000}"/>
    <cellStyle name="Normal 3 3 2 2 5 4" xfId="4071" xr:uid="{00000000-0005-0000-0000-0000544B0000}"/>
    <cellStyle name="Normal 3 3 2 2 5 4 2" xfId="8627" xr:uid="{00000000-0005-0000-0000-0000554B0000}"/>
    <cellStyle name="Normal 3 3 2 2 5 4 2 2" xfId="17723" xr:uid="{00000000-0005-0000-0000-0000564B0000}"/>
    <cellStyle name="Normal 3 3 2 2 5 4 2 2 2" xfId="35905" xr:uid="{00000000-0005-0000-0000-0000574B0000}"/>
    <cellStyle name="Normal 3 3 2 2 5 4 2 3" xfId="26815" xr:uid="{00000000-0005-0000-0000-0000584B0000}"/>
    <cellStyle name="Normal 3 3 2 2 5 4 3" xfId="13183" xr:uid="{00000000-0005-0000-0000-0000594B0000}"/>
    <cellStyle name="Normal 3 3 2 2 5 4 3 2" xfId="31365" xr:uid="{00000000-0005-0000-0000-00005A4B0000}"/>
    <cellStyle name="Normal 3 3 2 2 5 4 4" xfId="22275" xr:uid="{00000000-0005-0000-0000-00005B4B0000}"/>
    <cellStyle name="Normal 3 3 2 2 5 5" xfId="5710" xr:uid="{00000000-0005-0000-0000-00005C4B0000}"/>
    <cellStyle name="Normal 3 3 2 2 5 5 2" xfId="14810" xr:uid="{00000000-0005-0000-0000-00005D4B0000}"/>
    <cellStyle name="Normal 3 3 2 2 5 5 2 2" xfId="32992" xr:uid="{00000000-0005-0000-0000-00005E4B0000}"/>
    <cellStyle name="Normal 3 3 2 2 5 5 3" xfId="23902" xr:uid="{00000000-0005-0000-0000-00005F4B0000}"/>
    <cellStyle name="Normal 3 3 2 2 5 6" xfId="10276" xr:uid="{00000000-0005-0000-0000-0000604B0000}"/>
    <cellStyle name="Normal 3 3 2 2 5 6 2" xfId="28458" xr:uid="{00000000-0005-0000-0000-0000614B0000}"/>
    <cellStyle name="Normal 3 3 2 2 5 7" xfId="19367" xr:uid="{00000000-0005-0000-0000-0000624B0000}"/>
    <cellStyle name="Normal 3 3 2 2 6" xfId="1071" xr:uid="{00000000-0005-0000-0000-0000634B0000}"/>
    <cellStyle name="Normal 3 3 2 2 6 2" xfId="2505" xr:uid="{00000000-0005-0000-0000-0000644B0000}"/>
    <cellStyle name="Normal 3 3 2 2 6 2 2" xfId="7091" xr:uid="{00000000-0005-0000-0000-0000654B0000}"/>
    <cellStyle name="Normal 3 3 2 2 6 2 2 2" xfId="16191" xr:uid="{00000000-0005-0000-0000-0000664B0000}"/>
    <cellStyle name="Normal 3 3 2 2 6 2 2 2 2" xfId="34373" xr:uid="{00000000-0005-0000-0000-0000674B0000}"/>
    <cellStyle name="Normal 3 3 2 2 6 2 2 3" xfId="25283" xr:uid="{00000000-0005-0000-0000-0000684B0000}"/>
    <cellStyle name="Normal 3 3 2 2 6 2 3" xfId="11655" xr:uid="{00000000-0005-0000-0000-0000694B0000}"/>
    <cellStyle name="Normal 3 3 2 2 6 2 3 2" xfId="29837" xr:uid="{00000000-0005-0000-0000-00006A4B0000}"/>
    <cellStyle name="Normal 3 3 2 2 6 2 4" xfId="20747" xr:uid="{00000000-0005-0000-0000-00006B4B0000}"/>
    <cellStyle name="Normal 3 3 2 2 6 3" xfId="4073" xr:uid="{00000000-0005-0000-0000-00006C4B0000}"/>
    <cellStyle name="Normal 3 3 2 2 6 3 2" xfId="8629" xr:uid="{00000000-0005-0000-0000-00006D4B0000}"/>
    <cellStyle name="Normal 3 3 2 2 6 3 2 2" xfId="17725" xr:uid="{00000000-0005-0000-0000-00006E4B0000}"/>
    <cellStyle name="Normal 3 3 2 2 6 3 2 2 2" xfId="35907" xr:uid="{00000000-0005-0000-0000-00006F4B0000}"/>
    <cellStyle name="Normal 3 3 2 2 6 3 2 3" xfId="26817" xr:uid="{00000000-0005-0000-0000-0000704B0000}"/>
    <cellStyle name="Normal 3 3 2 2 6 3 3" xfId="13185" xr:uid="{00000000-0005-0000-0000-0000714B0000}"/>
    <cellStyle name="Normal 3 3 2 2 6 3 3 2" xfId="31367" xr:uid="{00000000-0005-0000-0000-0000724B0000}"/>
    <cellStyle name="Normal 3 3 2 2 6 3 4" xfId="22277" xr:uid="{00000000-0005-0000-0000-0000734B0000}"/>
    <cellStyle name="Normal 3 3 2 2 6 4" xfId="5712" xr:uid="{00000000-0005-0000-0000-0000744B0000}"/>
    <cellStyle name="Normal 3 3 2 2 6 4 2" xfId="14812" xr:uid="{00000000-0005-0000-0000-0000754B0000}"/>
    <cellStyle name="Normal 3 3 2 2 6 4 2 2" xfId="32994" xr:uid="{00000000-0005-0000-0000-0000764B0000}"/>
    <cellStyle name="Normal 3 3 2 2 6 4 3" xfId="23904" xr:uid="{00000000-0005-0000-0000-0000774B0000}"/>
    <cellStyle name="Normal 3 3 2 2 6 5" xfId="10278" xr:uid="{00000000-0005-0000-0000-0000784B0000}"/>
    <cellStyle name="Normal 3 3 2 2 6 5 2" xfId="28460" xr:uid="{00000000-0005-0000-0000-0000794B0000}"/>
    <cellStyle name="Normal 3 3 2 2 6 6" xfId="19369" xr:uid="{00000000-0005-0000-0000-00007A4B0000}"/>
    <cellStyle name="Normal 3 3 2 2 7" xfId="1072" xr:uid="{00000000-0005-0000-0000-00007B4B0000}"/>
    <cellStyle name="Normal 3 3 2 2 7 2" xfId="4074" xr:uid="{00000000-0005-0000-0000-00007C4B0000}"/>
    <cellStyle name="Normal 3 3 2 2 7 2 2" xfId="8630" xr:uid="{00000000-0005-0000-0000-00007D4B0000}"/>
    <cellStyle name="Normal 3 3 2 2 7 2 2 2" xfId="17726" xr:uid="{00000000-0005-0000-0000-00007E4B0000}"/>
    <cellStyle name="Normal 3 3 2 2 7 2 2 2 2" xfId="35908" xr:uid="{00000000-0005-0000-0000-00007F4B0000}"/>
    <cellStyle name="Normal 3 3 2 2 7 2 2 3" xfId="26818" xr:uid="{00000000-0005-0000-0000-0000804B0000}"/>
    <cellStyle name="Normal 3 3 2 2 7 2 3" xfId="13186" xr:uid="{00000000-0005-0000-0000-0000814B0000}"/>
    <cellStyle name="Normal 3 3 2 2 7 2 3 2" xfId="31368" xr:uid="{00000000-0005-0000-0000-0000824B0000}"/>
    <cellStyle name="Normal 3 3 2 2 7 2 4" xfId="22278" xr:uid="{00000000-0005-0000-0000-0000834B0000}"/>
    <cellStyle name="Normal 3 3 2 2 7 3" xfId="5713" xr:uid="{00000000-0005-0000-0000-0000844B0000}"/>
    <cellStyle name="Normal 3 3 2 2 7 3 2" xfId="14813" xr:uid="{00000000-0005-0000-0000-0000854B0000}"/>
    <cellStyle name="Normal 3 3 2 2 7 3 2 2" xfId="32995" xr:uid="{00000000-0005-0000-0000-0000864B0000}"/>
    <cellStyle name="Normal 3 3 2 2 7 3 3" xfId="23905" xr:uid="{00000000-0005-0000-0000-0000874B0000}"/>
    <cellStyle name="Normal 3 3 2 2 7 4" xfId="10279" xr:uid="{00000000-0005-0000-0000-0000884B0000}"/>
    <cellStyle name="Normal 3 3 2 2 7 4 2" xfId="28461" xr:uid="{00000000-0005-0000-0000-0000894B0000}"/>
    <cellStyle name="Normal 3 3 2 2 7 5" xfId="19370" xr:uid="{00000000-0005-0000-0000-00008A4B0000}"/>
    <cellStyle name="Normal 3 3 2 2 8" xfId="2506" xr:uid="{00000000-0005-0000-0000-00008B4B0000}"/>
    <cellStyle name="Normal 3 3 2 2 8 2" xfId="7092" xr:uid="{00000000-0005-0000-0000-00008C4B0000}"/>
    <cellStyle name="Normal 3 3 2 2 8 2 2" xfId="16192" xr:uid="{00000000-0005-0000-0000-00008D4B0000}"/>
    <cellStyle name="Normal 3 3 2 2 8 2 2 2" xfId="34374" xr:uid="{00000000-0005-0000-0000-00008E4B0000}"/>
    <cellStyle name="Normal 3 3 2 2 8 2 3" xfId="25284" xr:uid="{00000000-0005-0000-0000-00008F4B0000}"/>
    <cellStyle name="Normal 3 3 2 2 8 3" xfId="11656" xr:uid="{00000000-0005-0000-0000-0000904B0000}"/>
    <cellStyle name="Normal 3 3 2 2 8 3 2" xfId="29838" xr:uid="{00000000-0005-0000-0000-0000914B0000}"/>
    <cellStyle name="Normal 3 3 2 2 8 4" xfId="20748" xr:uid="{00000000-0005-0000-0000-0000924B0000}"/>
    <cellStyle name="Normal 3 3 2 2 9" xfId="3177" xr:uid="{00000000-0005-0000-0000-0000934B0000}"/>
    <cellStyle name="Normal 3 3 2 2 9 2" xfId="7737" xr:uid="{00000000-0005-0000-0000-0000944B0000}"/>
    <cellStyle name="Normal 3 3 2 2 9 2 2" xfId="16833" xr:uid="{00000000-0005-0000-0000-0000954B0000}"/>
    <cellStyle name="Normal 3 3 2 2 9 2 2 2" xfId="35015" xr:uid="{00000000-0005-0000-0000-0000964B0000}"/>
    <cellStyle name="Normal 3 3 2 2 9 2 3" xfId="25925" xr:uid="{00000000-0005-0000-0000-0000974B0000}"/>
    <cellStyle name="Normal 3 3 2 2 9 3" xfId="12293" xr:uid="{00000000-0005-0000-0000-0000984B0000}"/>
    <cellStyle name="Normal 3 3 2 2 9 3 2" xfId="30475" xr:uid="{00000000-0005-0000-0000-0000994B0000}"/>
    <cellStyle name="Normal 3 3 2 2 9 4" xfId="21385" xr:uid="{00000000-0005-0000-0000-00009A4B0000}"/>
    <cellStyle name="Normal 3 3 2 3" xfId="1073" xr:uid="{00000000-0005-0000-0000-00009B4B0000}"/>
    <cellStyle name="Normal 3 3 2 3 10" xfId="19371" xr:uid="{00000000-0005-0000-0000-00009C4B0000}"/>
    <cellStyle name="Normal 3 3 2 3 2" xfId="1074" xr:uid="{00000000-0005-0000-0000-00009D4B0000}"/>
    <cellStyle name="Normal 3 3 2 3 2 2" xfId="1075" xr:uid="{00000000-0005-0000-0000-00009E4B0000}"/>
    <cellStyle name="Normal 3 3 2 3 2 2 2" xfId="1076" xr:uid="{00000000-0005-0000-0000-00009F4B0000}"/>
    <cellStyle name="Normal 3 3 2 3 2 2 2 2" xfId="2507" xr:uid="{00000000-0005-0000-0000-0000A04B0000}"/>
    <cellStyle name="Normal 3 3 2 3 2 2 2 2 2" xfId="7093" xr:uid="{00000000-0005-0000-0000-0000A14B0000}"/>
    <cellStyle name="Normal 3 3 2 3 2 2 2 2 2 2" xfId="16193" xr:uid="{00000000-0005-0000-0000-0000A24B0000}"/>
    <cellStyle name="Normal 3 3 2 3 2 2 2 2 2 2 2" xfId="34375" xr:uid="{00000000-0005-0000-0000-0000A34B0000}"/>
    <cellStyle name="Normal 3 3 2 3 2 2 2 2 2 3" xfId="25285" xr:uid="{00000000-0005-0000-0000-0000A44B0000}"/>
    <cellStyle name="Normal 3 3 2 3 2 2 2 2 3" xfId="11657" xr:uid="{00000000-0005-0000-0000-0000A54B0000}"/>
    <cellStyle name="Normal 3 3 2 3 2 2 2 2 3 2" xfId="29839" xr:uid="{00000000-0005-0000-0000-0000A64B0000}"/>
    <cellStyle name="Normal 3 3 2 3 2 2 2 2 4" xfId="20749" xr:uid="{00000000-0005-0000-0000-0000A74B0000}"/>
    <cellStyle name="Normal 3 3 2 3 2 2 2 3" xfId="4078" xr:uid="{00000000-0005-0000-0000-0000A84B0000}"/>
    <cellStyle name="Normal 3 3 2 3 2 2 2 3 2" xfId="8634" xr:uid="{00000000-0005-0000-0000-0000A94B0000}"/>
    <cellStyle name="Normal 3 3 2 3 2 2 2 3 2 2" xfId="17730" xr:uid="{00000000-0005-0000-0000-0000AA4B0000}"/>
    <cellStyle name="Normal 3 3 2 3 2 2 2 3 2 2 2" xfId="35912" xr:uid="{00000000-0005-0000-0000-0000AB4B0000}"/>
    <cellStyle name="Normal 3 3 2 3 2 2 2 3 2 3" xfId="26822" xr:uid="{00000000-0005-0000-0000-0000AC4B0000}"/>
    <cellStyle name="Normal 3 3 2 3 2 2 2 3 3" xfId="13190" xr:uid="{00000000-0005-0000-0000-0000AD4B0000}"/>
    <cellStyle name="Normal 3 3 2 3 2 2 2 3 3 2" xfId="31372" xr:uid="{00000000-0005-0000-0000-0000AE4B0000}"/>
    <cellStyle name="Normal 3 3 2 3 2 2 2 3 4" xfId="22282" xr:uid="{00000000-0005-0000-0000-0000AF4B0000}"/>
    <cellStyle name="Normal 3 3 2 3 2 2 2 4" xfId="5717" xr:uid="{00000000-0005-0000-0000-0000B04B0000}"/>
    <cellStyle name="Normal 3 3 2 3 2 2 2 4 2" xfId="14817" xr:uid="{00000000-0005-0000-0000-0000B14B0000}"/>
    <cellStyle name="Normal 3 3 2 3 2 2 2 4 2 2" xfId="32999" xr:uid="{00000000-0005-0000-0000-0000B24B0000}"/>
    <cellStyle name="Normal 3 3 2 3 2 2 2 4 3" xfId="23909" xr:uid="{00000000-0005-0000-0000-0000B34B0000}"/>
    <cellStyle name="Normal 3 3 2 3 2 2 2 5" xfId="10283" xr:uid="{00000000-0005-0000-0000-0000B44B0000}"/>
    <cellStyle name="Normal 3 3 2 3 2 2 2 5 2" xfId="28465" xr:uid="{00000000-0005-0000-0000-0000B54B0000}"/>
    <cellStyle name="Normal 3 3 2 3 2 2 2 6" xfId="19374" xr:uid="{00000000-0005-0000-0000-0000B64B0000}"/>
    <cellStyle name="Normal 3 3 2 3 2 2 3" xfId="2508" xr:uid="{00000000-0005-0000-0000-0000B74B0000}"/>
    <cellStyle name="Normal 3 3 2 3 2 2 3 2" xfId="7094" xr:uid="{00000000-0005-0000-0000-0000B84B0000}"/>
    <cellStyle name="Normal 3 3 2 3 2 2 3 2 2" xfId="16194" xr:uid="{00000000-0005-0000-0000-0000B94B0000}"/>
    <cellStyle name="Normal 3 3 2 3 2 2 3 2 2 2" xfId="34376" xr:uid="{00000000-0005-0000-0000-0000BA4B0000}"/>
    <cellStyle name="Normal 3 3 2 3 2 2 3 2 3" xfId="25286" xr:uid="{00000000-0005-0000-0000-0000BB4B0000}"/>
    <cellStyle name="Normal 3 3 2 3 2 2 3 3" xfId="11658" xr:uid="{00000000-0005-0000-0000-0000BC4B0000}"/>
    <cellStyle name="Normal 3 3 2 3 2 2 3 3 2" xfId="29840" xr:uid="{00000000-0005-0000-0000-0000BD4B0000}"/>
    <cellStyle name="Normal 3 3 2 3 2 2 3 4" xfId="20750" xr:uid="{00000000-0005-0000-0000-0000BE4B0000}"/>
    <cellStyle name="Normal 3 3 2 3 2 2 4" xfId="4077" xr:uid="{00000000-0005-0000-0000-0000BF4B0000}"/>
    <cellStyle name="Normal 3 3 2 3 2 2 4 2" xfId="8633" xr:uid="{00000000-0005-0000-0000-0000C04B0000}"/>
    <cellStyle name="Normal 3 3 2 3 2 2 4 2 2" xfId="17729" xr:uid="{00000000-0005-0000-0000-0000C14B0000}"/>
    <cellStyle name="Normal 3 3 2 3 2 2 4 2 2 2" xfId="35911" xr:uid="{00000000-0005-0000-0000-0000C24B0000}"/>
    <cellStyle name="Normal 3 3 2 3 2 2 4 2 3" xfId="26821" xr:uid="{00000000-0005-0000-0000-0000C34B0000}"/>
    <cellStyle name="Normal 3 3 2 3 2 2 4 3" xfId="13189" xr:uid="{00000000-0005-0000-0000-0000C44B0000}"/>
    <cellStyle name="Normal 3 3 2 3 2 2 4 3 2" xfId="31371" xr:uid="{00000000-0005-0000-0000-0000C54B0000}"/>
    <cellStyle name="Normal 3 3 2 3 2 2 4 4" xfId="22281" xr:uid="{00000000-0005-0000-0000-0000C64B0000}"/>
    <cellStyle name="Normal 3 3 2 3 2 2 5" xfId="5716" xr:uid="{00000000-0005-0000-0000-0000C74B0000}"/>
    <cellStyle name="Normal 3 3 2 3 2 2 5 2" xfId="14816" xr:uid="{00000000-0005-0000-0000-0000C84B0000}"/>
    <cellStyle name="Normal 3 3 2 3 2 2 5 2 2" xfId="32998" xr:uid="{00000000-0005-0000-0000-0000C94B0000}"/>
    <cellStyle name="Normal 3 3 2 3 2 2 5 3" xfId="23908" xr:uid="{00000000-0005-0000-0000-0000CA4B0000}"/>
    <cellStyle name="Normal 3 3 2 3 2 2 6" xfId="10282" xr:uid="{00000000-0005-0000-0000-0000CB4B0000}"/>
    <cellStyle name="Normal 3 3 2 3 2 2 6 2" xfId="28464" xr:uid="{00000000-0005-0000-0000-0000CC4B0000}"/>
    <cellStyle name="Normal 3 3 2 3 2 2 7" xfId="19373" xr:uid="{00000000-0005-0000-0000-0000CD4B0000}"/>
    <cellStyle name="Normal 3 3 2 3 2 3" xfId="1077" xr:uid="{00000000-0005-0000-0000-0000CE4B0000}"/>
    <cellStyle name="Normal 3 3 2 3 2 3 2" xfId="2509" xr:uid="{00000000-0005-0000-0000-0000CF4B0000}"/>
    <cellStyle name="Normal 3 3 2 3 2 3 2 2" xfId="7095" xr:uid="{00000000-0005-0000-0000-0000D04B0000}"/>
    <cellStyle name="Normal 3 3 2 3 2 3 2 2 2" xfId="16195" xr:uid="{00000000-0005-0000-0000-0000D14B0000}"/>
    <cellStyle name="Normal 3 3 2 3 2 3 2 2 2 2" xfId="34377" xr:uid="{00000000-0005-0000-0000-0000D24B0000}"/>
    <cellStyle name="Normal 3 3 2 3 2 3 2 2 3" xfId="25287" xr:uid="{00000000-0005-0000-0000-0000D34B0000}"/>
    <cellStyle name="Normal 3 3 2 3 2 3 2 3" xfId="11659" xr:uid="{00000000-0005-0000-0000-0000D44B0000}"/>
    <cellStyle name="Normal 3 3 2 3 2 3 2 3 2" xfId="29841" xr:uid="{00000000-0005-0000-0000-0000D54B0000}"/>
    <cellStyle name="Normal 3 3 2 3 2 3 2 4" xfId="20751" xr:uid="{00000000-0005-0000-0000-0000D64B0000}"/>
    <cellStyle name="Normal 3 3 2 3 2 3 3" xfId="4079" xr:uid="{00000000-0005-0000-0000-0000D74B0000}"/>
    <cellStyle name="Normal 3 3 2 3 2 3 3 2" xfId="8635" xr:uid="{00000000-0005-0000-0000-0000D84B0000}"/>
    <cellStyle name="Normal 3 3 2 3 2 3 3 2 2" xfId="17731" xr:uid="{00000000-0005-0000-0000-0000D94B0000}"/>
    <cellStyle name="Normal 3 3 2 3 2 3 3 2 2 2" xfId="35913" xr:uid="{00000000-0005-0000-0000-0000DA4B0000}"/>
    <cellStyle name="Normal 3 3 2 3 2 3 3 2 3" xfId="26823" xr:uid="{00000000-0005-0000-0000-0000DB4B0000}"/>
    <cellStyle name="Normal 3 3 2 3 2 3 3 3" xfId="13191" xr:uid="{00000000-0005-0000-0000-0000DC4B0000}"/>
    <cellStyle name="Normal 3 3 2 3 2 3 3 3 2" xfId="31373" xr:uid="{00000000-0005-0000-0000-0000DD4B0000}"/>
    <cellStyle name="Normal 3 3 2 3 2 3 3 4" xfId="22283" xr:uid="{00000000-0005-0000-0000-0000DE4B0000}"/>
    <cellStyle name="Normal 3 3 2 3 2 3 4" xfId="5718" xr:uid="{00000000-0005-0000-0000-0000DF4B0000}"/>
    <cellStyle name="Normal 3 3 2 3 2 3 4 2" xfId="14818" xr:uid="{00000000-0005-0000-0000-0000E04B0000}"/>
    <cellStyle name="Normal 3 3 2 3 2 3 4 2 2" xfId="33000" xr:uid="{00000000-0005-0000-0000-0000E14B0000}"/>
    <cellStyle name="Normal 3 3 2 3 2 3 4 3" xfId="23910" xr:uid="{00000000-0005-0000-0000-0000E24B0000}"/>
    <cellStyle name="Normal 3 3 2 3 2 3 5" xfId="10284" xr:uid="{00000000-0005-0000-0000-0000E34B0000}"/>
    <cellStyle name="Normal 3 3 2 3 2 3 5 2" xfId="28466" xr:uid="{00000000-0005-0000-0000-0000E44B0000}"/>
    <cellStyle name="Normal 3 3 2 3 2 3 6" xfId="19375" xr:uid="{00000000-0005-0000-0000-0000E54B0000}"/>
    <cellStyle name="Normal 3 3 2 3 2 4" xfId="1078" xr:uid="{00000000-0005-0000-0000-0000E64B0000}"/>
    <cellStyle name="Normal 3 3 2 3 2 4 2" xfId="4080" xr:uid="{00000000-0005-0000-0000-0000E74B0000}"/>
    <cellStyle name="Normal 3 3 2 3 2 4 2 2" xfId="8636" xr:uid="{00000000-0005-0000-0000-0000E84B0000}"/>
    <cellStyle name="Normal 3 3 2 3 2 4 2 2 2" xfId="17732" xr:uid="{00000000-0005-0000-0000-0000E94B0000}"/>
    <cellStyle name="Normal 3 3 2 3 2 4 2 2 2 2" xfId="35914" xr:uid="{00000000-0005-0000-0000-0000EA4B0000}"/>
    <cellStyle name="Normal 3 3 2 3 2 4 2 2 3" xfId="26824" xr:uid="{00000000-0005-0000-0000-0000EB4B0000}"/>
    <cellStyle name="Normal 3 3 2 3 2 4 2 3" xfId="13192" xr:uid="{00000000-0005-0000-0000-0000EC4B0000}"/>
    <cellStyle name="Normal 3 3 2 3 2 4 2 3 2" xfId="31374" xr:uid="{00000000-0005-0000-0000-0000ED4B0000}"/>
    <cellStyle name="Normal 3 3 2 3 2 4 2 4" xfId="22284" xr:uid="{00000000-0005-0000-0000-0000EE4B0000}"/>
    <cellStyle name="Normal 3 3 2 3 2 4 3" xfId="5719" xr:uid="{00000000-0005-0000-0000-0000EF4B0000}"/>
    <cellStyle name="Normal 3 3 2 3 2 4 3 2" xfId="14819" xr:uid="{00000000-0005-0000-0000-0000F04B0000}"/>
    <cellStyle name="Normal 3 3 2 3 2 4 3 2 2" xfId="33001" xr:uid="{00000000-0005-0000-0000-0000F14B0000}"/>
    <cellStyle name="Normal 3 3 2 3 2 4 3 3" xfId="23911" xr:uid="{00000000-0005-0000-0000-0000F24B0000}"/>
    <cellStyle name="Normal 3 3 2 3 2 4 4" xfId="10285" xr:uid="{00000000-0005-0000-0000-0000F34B0000}"/>
    <cellStyle name="Normal 3 3 2 3 2 4 4 2" xfId="28467" xr:uid="{00000000-0005-0000-0000-0000F44B0000}"/>
    <cellStyle name="Normal 3 3 2 3 2 4 5" xfId="19376" xr:uid="{00000000-0005-0000-0000-0000F54B0000}"/>
    <cellStyle name="Normal 3 3 2 3 2 5" xfId="2510" xr:uid="{00000000-0005-0000-0000-0000F64B0000}"/>
    <cellStyle name="Normal 3 3 2 3 2 5 2" xfId="7096" xr:uid="{00000000-0005-0000-0000-0000F74B0000}"/>
    <cellStyle name="Normal 3 3 2 3 2 5 2 2" xfId="16196" xr:uid="{00000000-0005-0000-0000-0000F84B0000}"/>
    <cellStyle name="Normal 3 3 2 3 2 5 2 2 2" xfId="34378" xr:uid="{00000000-0005-0000-0000-0000F94B0000}"/>
    <cellStyle name="Normal 3 3 2 3 2 5 2 3" xfId="25288" xr:uid="{00000000-0005-0000-0000-0000FA4B0000}"/>
    <cellStyle name="Normal 3 3 2 3 2 5 3" xfId="11660" xr:uid="{00000000-0005-0000-0000-0000FB4B0000}"/>
    <cellStyle name="Normal 3 3 2 3 2 5 3 2" xfId="29842" xr:uid="{00000000-0005-0000-0000-0000FC4B0000}"/>
    <cellStyle name="Normal 3 3 2 3 2 5 4" xfId="20752" xr:uid="{00000000-0005-0000-0000-0000FD4B0000}"/>
    <cellStyle name="Normal 3 3 2 3 2 6" xfId="4076" xr:uid="{00000000-0005-0000-0000-0000FE4B0000}"/>
    <cellStyle name="Normal 3 3 2 3 2 6 2" xfId="8632" xr:uid="{00000000-0005-0000-0000-0000FF4B0000}"/>
    <cellStyle name="Normal 3 3 2 3 2 6 2 2" xfId="17728" xr:uid="{00000000-0005-0000-0000-0000004C0000}"/>
    <cellStyle name="Normal 3 3 2 3 2 6 2 2 2" xfId="35910" xr:uid="{00000000-0005-0000-0000-0000014C0000}"/>
    <cellStyle name="Normal 3 3 2 3 2 6 2 3" xfId="26820" xr:uid="{00000000-0005-0000-0000-0000024C0000}"/>
    <cellStyle name="Normal 3 3 2 3 2 6 3" xfId="13188" xr:uid="{00000000-0005-0000-0000-0000034C0000}"/>
    <cellStyle name="Normal 3 3 2 3 2 6 3 2" xfId="31370" xr:uid="{00000000-0005-0000-0000-0000044C0000}"/>
    <cellStyle name="Normal 3 3 2 3 2 6 4" xfId="22280" xr:uid="{00000000-0005-0000-0000-0000054C0000}"/>
    <cellStyle name="Normal 3 3 2 3 2 7" xfId="5715" xr:uid="{00000000-0005-0000-0000-0000064C0000}"/>
    <cellStyle name="Normal 3 3 2 3 2 7 2" xfId="14815" xr:uid="{00000000-0005-0000-0000-0000074C0000}"/>
    <cellStyle name="Normal 3 3 2 3 2 7 2 2" xfId="32997" xr:uid="{00000000-0005-0000-0000-0000084C0000}"/>
    <cellStyle name="Normal 3 3 2 3 2 7 3" xfId="23907" xr:uid="{00000000-0005-0000-0000-0000094C0000}"/>
    <cellStyle name="Normal 3 3 2 3 2 8" xfId="10281" xr:uid="{00000000-0005-0000-0000-00000A4C0000}"/>
    <cellStyle name="Normal 3 3 2 3 2 8 2" xfId="28463" xr:uid="{00000000-0005-0000-0000-00000B4C0000}"/>
    <cellStyle name="Normal 3 3 2 3 2 9" xfId="19372" xr:uid="{00000000-0005-0000-0000-00000C4C0000}"/>
    <cellStyle name="Normal 3 3 2 3 3" xfId="1079" xr:uid="{00000000-0005-0000-0000-00000D4C0000}"/>
    <cellStyle name="Normal 3 3 2 3 3 2" xfId="1080" xr:uid="{00000000-0005-0000-0000-00000E4C0000}"/>
    <cellStyle name="Normal 3 3 2 3 3 2 2" xfId="2511" xr:uid="{00000000-0005-0000-0000-00000F4C0000}"/>
    <cellStyle name="Normal 3 3 2 3 3 2 2 2" xfId="7097" xr:uid="{00000000-0005-0000-0000-0000104C0000}"/>
    <cellStyle name="Normal 3 3 2 3 3 2 2 2 2" xfId="16197" xr:uid="{00000000-0005-0000-0000-0000114C0000}"/>
    <cellStyle name="Normal 3 3 2 3 3 2 2 2 2 2" xfId="34379" xr:uid="{00000000-0005-0000-0000-0000124C0000}"/>
    <cellStyle name="Normal 3 3 2 3 3 2 2 2 3" xfId="25289" xr:uid="{00000000-0005-0000-0000-0000134C0000}"/>
    <cellStyle name="Normal 3 3 2 3 3 2 2 3" xfId="11661" xr:uid="{00000000-0005-0000-0000-0000144C0000}"/>
    <cellStyle name="Normal 3 3 2 3 3 2 2 3 2" xfId="29843" xr:uid="{00000000-0005-0000-0000-0000154C0000}"/>
    <cellStyle name="Normal 3 3 2 3 3 2 2 4" xfId="20753" xr:uid="{00000000-0005-0000-0000-0000164C0000}"/>
    <cellStyle name="Normal 3 3 2 3 3 2 3" xfId="4082" xr:uid="{00000000-0005-0000-0000-0000174C0000}"/>
    <cellStyle name="Normal 3 3 2 3 3 2 3 2" xfId="8638" xr:uid="{00000000-0005-0000-0000-0000184C0000}"/>
    <cellStyle name="Normal 3 3 2 3 3 2 3 2 2" xfId="17734" xr:uid="{00000000-0005-0000-0000-0000194C0000}"/>
    <cellStyle name="Normal 3 3 2 3 3 2 3 2 2 2" xfId="35916" xr:uid="{00000000-0005-0000-0000-00001A4C0000}"/>
    <cellStyle name="Normal 3 3 2 3 3 2 3 2 3" xfId="26826" xr:uid="{00000000-0005-0000-0000-00001B4C0000}"/>
    <cellStyle name="Normal 3 3 2 3 3 2 3 3" xfId="13194" xr:uid="{00000000-0005-0000-0000-00001C4C0000}"/>
    <cellStyle name="Normal 3 3 2 3 3 2 3 3 2" xfId="31376" xr:uid="{00000000-0005-0000-0000-00001D4C0000}"/>
    <cellStyle name="Normal 3 3 2 3 3 2 3 4" xfId="22286" xr:uid="{00000000-0005-0000-0000-00001E4C0000}"/>
    <cellStyle name="Normal 3 3 2 3 3 2 4" xfId="5721" xr:uid="{00000000-0005-0000-0000-00001F4C0000}"/>
    <cellStyle name="Normal 3 3 2 3 3 2 4 2" xfId="14821" xr:uid="{00000000-0005-0000-0000-0000204C0000}"/>
    <cellStyle name="Normal 3 3 2 3 3 2 4 2 2" xfId="33003" xr:uid="{00000000-0005-0000-0000-0000214C0000}"/>
    <cellStyle name="Normal 3 3 2 3 3 2 4 3" xfId="23913" xr:uid="{00000000-0005-0000-0000-0000224C0000}"/>
    <cellStyle name="Normal 3 3 2 3 3 2 5" xfId="10287" xr:uid="{00000000-0005-0000-0000-0000234C0000}"/>
    <cellStyle name="Normal 3 3 2 3 3 2 5 2" xfId="28469" xr:uid="{00000000-0005-0000-0000-0000244C0000}"/>
    <cellStyle name="Normal 3 3 2 3 3 2 6" xfId="19378" xr:uid="{00000000-0005-0000-0000-0000254C0000}"/>
    <cellStyle name="Normal 3 3 2 3 3 3" xfId="2512" xr:uid="{00000000-0005-0000-0000-0000264C0000}"/>
    <cellStyle name="Normal 3 3 2 3 3 3 2" xfId="7098" xr:uid="{00000000-0005-0000-0000-0000274C0000}"/>
    <cellStyle name="Normal 3 3 2 3 3 3 2 2" xfId="16198" xr:uid="{00000000-0005-0000-0000-0000284C0000}"/>
    <cellStyle name="Normal 3 3 2 3 3 3 2 2 2" xfId="34380" xr:uid="{00000000-0005-0000-0000-0000294C0000}"/>
    <cellStyle name="Normal 3 3 2 3 3 3 2 3" xfId="25290" xr:uid="{00000000-0005-0000-0000-00002A4C0000}"/>
    <cellStyle name="Normal 3 3 2 3 3 3 3" xfId="11662" xr:uid="{00000000-0005-0000-0000-00002B4C0000}"/>
    <cellStyle name="Normal 3 3 2 3 3 3 3 2" xfId="29844" xr:uid="{00000000-0005-0000-0000-00002C4C0000}"/>
    <cellStyle name="Normal 3 3 2 3 3 3 4" xfId="20754" xr:uid="{00000000-0005-0000-0000-00002D4C0000}"/>
    <cellStyle name="Normal 3 3 2 3 3 4" xfId="4081" xr:uid="{00000000-0005-0000-0000-00002E4C0000}"/>
    <cellStyle name="Normal 3 3 2 3 3 4 2" xfId="8637" xr:uid="{00000000-0005-0000-0000-00002F4C0000}"/>
    <cellStyle name="Normal 3 3 2 3 3 4 2 2" xfId="17733" xr:uid="{00000000-0005-0000-0000-0000304C0000}"/>
    <cellStyle name="Normal 3 3 2 3 3 4 2 2 2" xfId="35915" xr:uid="{00000000-0005-0000-0000-0000314C0000}"/>
    <cellStyle name="Normal 3 3 2 3 3 4 2 3" xfId="26825" xr:uid="{00000000-0005-0000-0000-0000324C0000}"/>
    <cellStyle name="Normal 3 3 2 3 3 4 3" xfId="13193" xr:uid="{00000000-0005-0000-0000-0000334C0000}"/>
    <cellStyle name="Normal 3 3 2 3 3 4 3 2" xfId="31375" xr:uid="{00000000-0005-0000-0000-0000344C0000}"/>
    <cellStyle name="Normal 3 3 2 3 3 4 4" xfId="22285" xr:uid="{00000000-0005-0000-0000-0000354C0000}"/>
    <cellStyle name="Normal 3 3 2 3 3 5" xfId="5720" xr:uid="{00000000-0005-0000-0000-0000364C0000}"/>
    <cellStyle name="Normal 3 3 2 3 3 5 2" xfId="14820" xr:uid="{00000000-0005-0000-0000-0000374C0000}"/>
    <cellStyle name="Normal 3 3 2 3 3 5 2 2" xfId="33002" xr:uid="{00000000-0005-0000-0000-0000384C0000}"/>
    <cellStyle name="Normal 3 3 2 3 3 5 3" xfId="23912" xr:uid="{00000000-0005-0000-0000-0000394C0000}"/>
    <cellStyle name="Normal 3 3 2 3 3 6" xfId="10286" xr:uid="{00000000-0005-0000-0000-00003A4C0000}"/>
    <cellStyle name="Normal 3 3 2 3 3 6 2" xfId="28468" xr:uid="{00000000-0005-0000-0000-00003B4C0000}"/>
    <cellStyle name="Normal 3 3 2 3 3 7" xfId="19377" xr:uid="{00000000-0005-0000-0000-00003C4C0000}"/>
    <cellStyle name="Normal 3 3 2 3 4" xfId="1081" xr:uid="{00000000-0005-0000-0000-00003D4C0000}"/>
    <cellStyle name="Normal 3 3 2 3 4 2" xfId="2513" xr:uid="{00000000-0005-0000-0000-00003E4C0000}"/>
    <cellStyle name="Normal 3 3 2 3 4 2 2" xfId="7099" xr:uid="{00000000-0005-0000-0000-00003F4C0000}"/>
    <cellStyle name="Normal 3 3 2 3 4 2 2 2" xfId="16199" xr:uid="{00000000-0005-0000-0000-0000404C0000}"/>
    <cellStyle name="Normal 3 3 2 3 4 2 2 2 2" xfId="34381" xr:uid="{00000000-0005-0000-0000-0000414C0000}"/>
    <cellStyle name="Normal 3 3 2 3 4 2 2 3" xfId="25291" xr:uid="{00000000-0005-0000-0000-0000424C0000}"/>
    <cellStyle name="Normal 3 3 2 3 4 2 3" xfId="11663" xr:uid="{00000000-0005-0000-0000-0000434C0000}"/>
    <cellStyle name="Normal 3 3 2 3 4 2 3 2" xfId="29845" xr:uid="{00000000-0005-0000-0000-0000444C0000}"/>
    <cellStyle name="Normal 3 3 2 3 4 2 4" xfId="20755" xr:uid="{00000000-0005-0000-0000-0000454C0000}"/>
    <cellStyle name="Normal 3 3 2 3 4 3" xfId="4083" xr:uid="{00000000-0005-0000-0000-0000464C0000}"/>
    <cellStyle name="Normal 3 3 2 3 4 3 2" xfId="8639" xr:uid="{00000000-0005-0000-0000-0000474C0000}"/>
    <cellStyle name="Normal 3 3 2 3 4 3 2 2" xfId="17735" xr:uid="{00000000-0005-0000-0000-0000484C0000}"/>
    <cellStyle name="Normal 3 3 2 3 4 3 2 2 2" xfId="35917" xr:uid="{00000000-0005-0000-0000-0000494C0000}"/>
    <cellStyle name="Normal 3 3 2 3 4 3 2 3" xfId="26827" xr:uid="{00000000-0005-0000-0000-00004A4C0000}"/>
    <cellStyle name="Normal 3 3 2 3 4 3 3" xfId="13195" xr:uid="{00000000-0005-0000-0000-00004B4C0000}"/>
    <cellStyle name="Normal 3 3 2 3 4 3 3 2" xfId="31377" xr:uid="{00000000-0005-0000-0000-00004C4C0000}"/>
    <cellStyle name="Normal 3 3 2 3 4 3 4" xfId="22287" xr:uid="{00000000-0005-0000-0000-00004D4C0000}"/>
    <cellStyle name="Normal 3 3 2 3 4 4" xfId="5722" xr:uid="{00000000-0005-0000-0000-00004E4C0000}"/>
    <cellStyle name="Normal 3 3 2 3 4 4 2" xfId="14822" xr:uid="{00000000-0005-0000-0000-00004F4C0000}"/>
    <cellStyle name="Normal 3 3 2 3 4 4 2 2" xfId="33004" xr:uid="{00000000-0005-0000-0000-0000504C0000}"/>
    <cellStyle name="Normal 3 3 2 3 4 4 3" xfId="23914" xr:uid="{00000000-0005-0000-0000-0000514C0000}"/>
    <cellStyle name="Normal 3 3 2 3 4 5" xfId="10288" xr:uid="{00000000-0005-0000-0000-0000524C0000}"/>
    <cellStyle name="Normal 3 3 2 3 4 5 2" xfId="28470" xr:uid="{00000000-0005-0000-0000-0000534C0000}"/>
    <cellStyle name="Normal 3 3 2 3 4 6" xfId="19379" xr:uid="{00000000-0005-0000-0000-0000544C0000}"/>
    <cellStyle name="Normal 3 3 2 3 5" xfId="1082" xr:uid="{00000000-0005-0000-0000-0000554C0000}"/>
    <cellStyle name="Normal 3 3 2 3 5 2" xfId="4084" xr:uid="{00000000-0005-0000-0000-0000564C0000}"/>
    <cellStyle name="Normal 3 3 2 3 5 2 2" xfId="8640" xr:uid="{00000000-0005-0000-0000-0000574C0000}"/>
    <cellStyle name="Normal 3 3 2 3 5 2 2 2" xfId="17736" xr:uid="{00000000-0005-0000-0000-0000584C0000}"/>
    <cellStyle name="Normal 3 3 2 3 5 2 2 2 2" xfId="35918" xr:uid="{00000000-0005-0000-0000-0000594C0000}"/>
    <cellStyle name="Normal 3 3 2 3 5 2 2 3" xfId="26828" xr:uid="{00000000-0005-0000-0000-00005A4C0000}"/>
    <cellStyle name="Normal 3 3 2 3 5 2 3" xfId="13196" xr:uid="{00000000-0005-0000-0000-00005B4C0000}"/>
    <cellStyle name="Normal 3 3 2 3 5 2 3 2" xfId="31378" xr:uid="{00000000-0005-0000-0000-00005C4C0000}"/>
    <cellStyle name="Normal 3 3 2 3 5 2 4" xfId="22288" xr:uid="{00000000-0005-0000-0000-00005D4C0000}"/>
    <cellStyle name="Normal 3 3 2 3 5 3" xfId="5723" xr:uid="{00000000-0005-0000-0000-00005E4C0000}"/>
    <cellStyle name="Normal 3 3 2 3 5 3 2" xfId="14823" xr:uid="{00000000-0005-0000-0000-00005F4C0000}"/>
    <cellStyle name="Normal 3 3 2 3 5 3 2 2" xfId="33005" xr:uid="{00000000-0005-0000-0000-0000604C0000}"/>
    <cellStyle name="Normal 3 3 2 3 5 3 3" xfId="23915" xr:uid="{00000000-0005-0000-0000-0000614C0000}"/>
    <cellStyle name="Normal 3 3 2 3 5 4" xfId="10289" xr:uid="{00000000-0005-0000-0000-0000624C0000}"/>
    <cellStyle name="Normal 3 3 2 3 5 4 2" xfId="28471" xr:uid="{00000000-0005-0000-0000-0000634C0000}"/>
    <cellStyle name="Normal 3 3 2 3 5 5" xfId="19380" xr:uid="{00000000-0005-0000-0000-0000644C0000}"/>
    <cellStyle name="Normal 3 3 2 3 6" xfId="2514" xr:uid="{00000000-0005-0000-0000-0000654C0000}"/>
    <cellStyle name="Normal 3 3 2 3 6 2" xfId="7100" xr:uid="{00000000-0005-0000-0000-0000664C0000}"/>
    <cellStyle name="Normal 3 3 2 3 6 2 2" xfId="16200" xr:uid="{00000000-0005-0000-0000-0000674C0000}"/>
    <cellStyle name="Normal 3 3 2 3 6 2 2 2" xfId="34382" xr:uid="{00000000-0005-0000-0000-0000684C0000}"/>
    <cellStyle name="Normal 3 3 2 3 6 2 3" xfId="25292" xr:uid="{00000000-0005-0000-0000-0000694C0000}"/>
    <cellStyle name="Normal 3 3 2 3 6 3" xfId="11664" xr:uid="{00000000-0005-0000-0000-00006A4C0000}"/>
    <cellStyle name="Normal 3 3 2 3 6 3 2" xfId="29846" xr:uid="{00000000-0005-0000-0000-00006B4C0000}"/>
    <cellStyle name="Normal 3 3 2 3 6 4" xfId="20756" xr:uid="{00000000-0005-0000-0000-00006C4C0000}"/>
    <cellStyle name="Normal 3 3 2 3 7" xfId="4075" xr:uid="{00000000-0005-0000-0000-00006D4C0000}"/>
    <cellStyle name="Normal 3 3 2 3 7 2" xfId="8631" xr:uid="{00000000-0005-0000-0000-00006E4C0000}"/>
    <cellStyle name="Normal 3 3 2 3 7 2 2" xfId="17727" xr:uid="{00000000-0005-0000-0000-00006F4C0000}"/>
    <cellStyle name="Normal 3 3 2 3 7 2 2 2" xfId="35909" xr:uid="{00000000-0005-0000-0000-0000704C0000}"/>
    <cellStyle name="Normal 3 3 2 3 7 2 3" xfId="26819" xr:uid="{00000000-0005-0000-0000-0000714C0000}"/>
    <cellStyle name="Normal 3 3 2 3 7 3" xfId="13187" xr:uid="{00000000-0005-0000-0000-0000724C0000}"/>
    <cellStyle name="Normal 3 3 2 3 7 3 2" xfId="31369" xr:uid="{00000000-0005-0000-0000-0000734C0000}"/>
    <cellStyle name="Normal 3 3 2 3 7 4" xfId="22279" xr:uid="{00000000-0005-0000-0000-0000744C0000}"/>
    <cellStyle name="Normal 3 3 2 3 8" xfId="5714" xr:uid="{00000000-0005-0000-0000-0000754C0000}"/>
    <cellStyle name="Normal 3 3 2 3 8 2" xfId="14814" xr:uid="{00000000-0005-0000-0000-0000764C0000}"/>
    <cellStyle name="Normal 3 3 2 3 8 2 2" xfId="32996" xr:uid="{00000000-0005-0000-0000-0000774C0000}"/>
    <cellStyle name="Normal 3 3 2 3 8 3" xfId="23906" xr:uid="{00000000-0005-0000-0000-0000784C0000}"/>
    <cellStyle name="Normal 3 3 2 3 9" xfId="10280" xr:uid="{00000000-0005-0000-0000-0000794C0000}"/>
    <cellStyle name="Normal 3 3 2 3 9 2" xfId="28462" xr:uid="{00000000-0005-0000-0000-00007A4C0000}"/>
    <cellStyle name="Normal 3 3 2 4" xfId="1083" xr:uid="{00000000-0005-0000-0000-00007B4C0000}"/>
    <cellStyle name="Normal 3 3 2 4 2" xfId="1084" xr:uid="{00000000-0005-0000-0000-00007C4C0000}"/>
    <cellStyle name="Normal 3 3 2 4 2 2" xfId="1085" xr:uid="{00000000-0005-0000-0000-00007D4C0000}"/>
    <cellStyle name="Normal 3 3 2 4 2 2 2" xfId="2515" xr:uid="{00000000-0005-0000-0000-00007E4C0000}"/>
    <cellStyle name="Normal 3 3 2 4 2 2 2 2" xfId="7101" xr:uid="{00000000-0005-0000-0000-00007F4C0000}"/>
    <cellStyle name="Normal 3 3 2 4 2 2 2 2 2" xfId="16201" xr:uid="{00000000-0005-0000-0000-0000804C0000}"/>
    <cellStyle name="Normal 3 3 2 4 2 2 2 2 2 2" xfId="34383" xr:uid="{00000000-0005-0000-0000-0000814C0000}"/>
    <cellStyle name="Normal 3 3 2 4 2 2 2 2 3" xfId="25293" xr:uid="{00000000-0005-0000-0000-0000824C0000}"/>
    <cellStyle name="Normal 3 3 2 4 2 2 2 3" xfId="11665" xr:uid="{00000000-0005-0000-0000-0000834C0000}"/>
    <cellStyle name="Normal 3 3 2 4 2 2 2 3 2" xfId="29847" xr:uid="{00000000-0005-0000-0000-0000844C0000}"/>
    <cellStyle name="Normal 3 3 2 4 2 2 2 4" xfId="20757" xr:uid="{00000000-0005-0000-0000-0000854C0000}"/>
    <cellStyle name="Normal 3 3 2 4 2 2 3" xfId="4087" xr:uid="{00000000-0005-0000-0000-0000864C0000}"/>
    <cellStyle name="Normal 3 3 2 4 2 2 3 2" xfId="8643" xr:uid="{00000000-0005-0000-0000-0000874C0000}"/>
    <cellStyle name="Normal 3 3 2 4 2 2 3 2 2" xfId="17739" xr:uid="{00000000-0005-0000-0000-0000884C0000}"/>
    <cellStyle name="Normal 3 3 2 4 2 2 3 2 2 2" xfId="35921" xr:uid="{00000000-0005-0000-0000-0000894C0000}"/>
    <cellStyle name="Normal 3 3 2 4 2 2 3 2 3" xfId="26831" xr:uid="{00000000-0005-0000-0000-00008A4C0000}"/>
    <cellStyle name="Normal 3 3 2 4 2 2 3 3" xfId="13199" xr:uid="{00000000-0005-0000-0000-00008B4C0000}"/>
    <cellStyle name="Normal 3 3 2 4 2 2 3 3 2" xfId="31381" xr:uid="{00000000-0005-0000-0000-00008C4C0000}"/>
    <cellStyle name="Normal 3 3 2 4 2 2 3 4" xfId="22291" xr:uid="{00000000-0005-0000-0000-00008D4C0000}"/>
    <cellStyle name="Normal 3 3 2 4 2 2 4" xfId="5726" xr:uid="{00000000-0005-0000-0000-00008E4C0000}"/>
    <cellStyle name="Normal 3 3 2 4 2 2 4 2" xfId="14826" xr:uid="{00000000-0005-0000-0000-00008F4C0000}"/>
    <cellStyle name="Normal 3 3 2 4 2 2 4 2 2" xfId="33008" xr:uid="{00000000-0005-0000-0000-0000904C0000}"/>
    <cellStyle name="Normal 3 3 2 4 2 2 4 3" xfId="23918" xr:uid="{00000000-0005-0000-0000-0000914C0000}"/>
    <cellStyle name="Normal 3 3 2 4 2 2 5" xfId="10292" xr:uid="{00000000-0005-0000-0000-0000924C0000}"/>
    <cellStyle name="Normal 3 3 2 4 2 2 5 2" xfId="28474" xr:uid="{00000000-0005-0000-0000-0000934C0000}"/>
    <cellStyle name="Normal 3 3 2 4 2 2 6" xfId="19383" xr:uid="{00000000-0005-0000-0000-0000944C0000}"/>
    <cellStyle name="Normal 3 3 2 4 2 3" xfId="2516" xr:uid="{00000000-0005-0000-0000-0000954C0000}"/>
    <cellStyle name="Normal 3 3 2 4 2 3 2" xfId="7102" xr:uid="{00000000-0005-0000-0000-0000964C0000}"/>
    <cellStyle name="Normal 3 3 2 4 2 3 2 2" xfId="16202" xr:uid="{00000000-0005-0000-0000-0000974C0000}"/>
    <cellStyle name="Normal 3 3 2 4 2 3 2 2 2" xfId="34384" xr:uid="{00000000-0005-0000-0000-0000984C0000}"/>
    <cellStyle name="Normal 3 3 2 4 2 3 2 3" xfId="25294" xr:uid="{00000000-0005-0000-0000-0000994C0000}"/>
    <cellStyle name="Normal 3 3 2 4 2 3 3" xfId="11666" xr:uid="{00000000-0005-0000-0000-00009A4C0000}"/>
    <cellStyle name="Normal 3 3 2 4 2 3 3 2" xfId="29848" xr:uid="{00000000-0005-0000-0000-00009B4C0000}"/>
    <cellStyle name="Normal 3 3 2 4 2 3 4" xfId="20758" xr:uid="{00000000-0005-0000-0000-00009C4C0000}"/>
    <cellStyle name="Normal 3 3 2 4 2 4" xfId="4086" xr:uid="{00000000-0005-0000-0000-00009D4C0000}"/>
    <cellStyle name="Normal 3 3 2 4 2 4 2" xfId="8642" xr:uid="{00000000-0005-0000-0000-00009E4C0000}"/>
    <cellStyle name="Normal 3 3 2 4 2 4 2 2" xfId="17738" xr:uid="{00000000-0005-0000-0000-00009F4C0000}"/>
    <cellStyle name="Normal 3 3 2 4 2 4 2 2 2" xfId="35920" xr:uid="{00000000-0005-0000-0000-0000A04C0000}"/>
    <cellStyle name="Normal 3 3 2 4 2 4 2 3" xfId="26830" xr:uid="{00000000-0005-0000-0000-0000A14C0000}"/>
    <cellStyle name="Normal 3 3 2 4 2 4 3" xfId="13198" xr:uid="{00000000-0005-0000-0000-0000A24C0000}"/>
    <cellStyle name="Normal 3 3 2 4 2 4 3 2" xfId="31380" xr:uid="{00000000-0005-0000-0000-0000A34C0000}"/>
    <cellStyle name="Normal 3 3 2 4 2 4 4" xfId="22290" xr:uid="{00000000-0005-0000-0000-0000A44C0000}"/>
    <cellStyle name="Normal 3 3 2 4 2 5" xfId="5725" xr:uid="{00000000-0005-0000-0000-0000A54C0000}"/>
    <cellStyle name="Normal 3 3 2 4 2 5 2" xfId="14825" xr:uid="{00000000-0005-0000-0000-0000A64C0000}"/>
    <cellStyle name="Normal 3 3 2 4 2 5 2 2" xfId="33007" xr:uid="{00000000-0005-0000-0000-0000A74C0000}"/>
    <cellStyle name="Normal 3 3 2 4 2 5 3" xfId="23917" xr:uid="{00000000-0005-0000-0000-0000A84C0000}"/>
    <cellStyle name="Normal 3 3 2 4 2 6" xfId="10291" xr:uid="{00000000-0005-0000-0000-0000A94C0000}"/>
    <cellStyle name="Normal 3 3 2 4 2 6 2" xfId="28473" xr:uid="{00000000-0005-0000-0000-0000AA4C0000}"/>
    <cellStyle name="Normal 3 3 2 4 2 7" xfId="19382" xr:uid="{00000000-0005-0000-0000-0000AB4C0000}"/>
    <cellStyle name="Normal 3 3 2 4 3" xfId="1086" xr:uid="{00000000-0005-0000-0000-0000AC4C0000}"/>
    <cellStyle name="Normal 3 3 2 4 3 2" xfId="2517" xr:uid="{00000000-0005-0000-0000-0000AD4C0000}"/>
    <cellStyle name="Normal 3 3 2 4 3 2 2" xfId="7103" xr:uid="{00000000-0005-0000-0000-0000AE4C0000}"/>
    <cellStyle name="Normal 3 3 2 4 3 2 2 2" xfId="16203" xr:uid="{00000000-0005-0000-0000-0000AF4C0000}"/>
    <cellStyle name="Normal 3 3 2 4 3 2 2 2 2" xfId="34385" xr:uid="{00000000-0005-0000-0000-0000B04C0000}"/>
    <cellStyle name="Normal 3 3 2 4 3 2 2 3" xfId="25295" xr:uid="{00000000-0005-0000-0000-0000B14C0000}"/>
    <cellStyle name="Normal 3 3 2 4 3 2 3" xfId="11667" xr:uid="{00000000-0005-0000-0000-0000B24C0000}"/>
    <cellStyle name="Normal 3 3 2 4 3 2 3 2" xfId="29849" xr:uid="{00000000-0005-0000-0000-0000B34C0000}"/>
    <cellStyle name="Normal 3 3 2 4 3 2 4" xfId="20759" xr:uid="{00000000-0005-0000-0000-0000B44C0000}"/>
    <cellStyle name="Normal 3 3 2 4 3 3" xfId="4088" xr:uid="{00000000-0005-0000-0000-0000B54C0000}"/>
    <cellStyle name="Normal 3 3 2 4 3 3 2" xfId="8644" xr:uid="{00000000-0005-0000-0000-0000B64C0000}"/>
    <cellStyle name="Normal 3 3 2 4 3 3 2 2" xfId="17740" xr:uid="{00000000-0005-0000-0000-0000B74C0000}"/>
    <cellStyle name="Normal 3 3 2 4 3 3 2 2 2" xfId="35922" xr:uid="{00000000-0005-0000-0000-0000B84C0000}"/>
    <cellStyle name="Normal 3 3 2 4 3 3 2 3" xfId="26832" xr:uid="{00000000-0005-0000-0000-0000B94C0000}"/>
    <cellStyle name="Normal 3 3 2 4 3 3 3" xfId="13200" xr:uid="{00000000-0005-0000-0000-0000BA4C0000}"/>
    <cellStyle name="Normal 3 3 2 4 3 3 3 2" xfId="31382" xr:uid="{00000000-0005-0000-0000-0000BB4C0000}"/>
    <cellStyle name="Normal 3 3 2 4 3 3 4" xfId="22292" xr:uid="{00000000-0005-0000-0000-0000BC4C0000}"/>
    <cellStyle name="Normal 3 3 2 4 3 4" xfId="5727" xr:uid="{00000000-0005-0000-0000-0000BD4C0000}"/>
    <cellStyle name="Normal 3 3 2 4 3 4 2" xfId="14827" xr:uid="{00000000-0005-0000-0000-0000BE4C0000}"/>
    <cellStyle name="Normal 3 3 2 4 3 4 2 2" xfId="33009" xr:uid="{00000000-0005-0000-0000-0000BF4C0000}"/>
    <cellStyle name="Normal 3 3 2 4 3 4 3" xfId="23919" xr:uid="{00000000-0005-0000-0000-0000C04C0000}"/>
    <cellStyle name="Normal 3 3 2 4 3 5" xfId="10293" xr:uid="{00000000-0005-0000-0000-0000C14C0000}"/>
    <cellStyle name="Normal 3 3 2 4 3 5 2" xfId="28475" xr:uid="{00000000-0005-0000-0000-0000C24C0000}"/>
    <cellStyle name="Normal 3 3 2 4 3 6" xfId="19384" xr:uid="{00000000-0005-0000-0000-0000C34C0000}"/>
    <cellStyle name="Normal 3 3 2 4 4" xfId="1087" xr:uid="{00000000-0005-0000-0000-0000C44C0000}"/>
    <cellStyle name="Normal 3 3 2 4 4 2" xfId="4089" xr:uid="{00000000-0005-0000-0000-0000C54C0000}"/>
    <cellStyle name="Normal 3 3 2 4 4 2 2" xfId="8645" xr:uid="{00000000-0005-0000-0000-0000C64C0000}"/>
    <cellStyle name="Normal 3 3 2 4 4 2 2 2" xfId="17741" xr:uid="{00000000-0005-0000-0000-0000C74C0000}"/>
    <cellStyle name="Normal 3 3 2 4 4 2 2 2 2" xfId="35923" xr:uid="{00000000-0005-0000-0000-0000C84C0000}"/>
    <cellStyle name="Normal 3 3 2 4 4 2 2 3" xfId="26833" xr:uid="{00000000-0005-0000-0000-0000C94C0000}"/>
    <cellStyle name="Normal 3 3 2 4 4 2 3" xfId="13201" xr:uid="{00000000-0005-0000-0000-0000CA4C0000}"/>
    <cellStyle name="Normal 3 3 2 4 4 2 3 2" xfId="31383" xr:uid="{00000000-0005-0000-0000-0000CB4C0000}"/>
    <cellStyle name="Normal 3 3 2 4 4 2 4" xfId="22293" xr:uid="{00000000-0005-0000-0000-0000CC4C0000}"/>
    <cellStyle name="Normal 3 3 2 4 4 3" xfId="5728" xr:uid="{00000000-0005-0000-0000-0000CD4C0000}"/>
    <cellStyle name="Normal 3 3 2 4 4 3 2" xfId="14828" xr:uid="{00000000-0005-0000-0000-0000CE4C0000}"/>
    <cellStyle name="Normal 3 3 2 4 4 3 2 2" xfId="33010" xr:uid="{00000000-0005-0000-0000-0000CF4C0000}"/>
    <cellStyle name="Normal 3 3 2 4 4 3 3" xfId="23920" xr:uid="{00000000-0005-0000-0000-0000D04C0000}"/>
    <cellStyle name="Normal 3 3 2 4 4 4" xfId="10294" xr:uid="{00000000-0005-0000-0000-0000D14C0000}"/>
    <cellStyle name="Normal 3 3 2 4 4 4 2" xfId="28476" xr:uid="{00000000-0005-0000-0000-0000D24C0000}"/>
    <cellStyle name="Normal 3 3 2 4 4 5" xfId="19385" xr:uid="{00000000-0005-0000-0000-0000D34C0000}"/>
    <cellStyle name="Normal 3 3 2 4 5" xfId="2518" xr:uid="{00000000-0005-0000-0000-0000D44C0000}"/>
    <cellStyle name="Normal 3 3 2 4 5 2" xfId="7104" xr:uid="{00000000-0005-0000-0000-0000D54C0000}"/>
    <cellStyle name="Normal 3 3 2 4 5 2 2" xfId="16204" xr:uid="{00000000-0005-0000-0000-0000D64C0000}"/>
    <cellStyle name="Normal 3 3 2 4 5 2 2 2" xfId="34386" xr:uid="{00000000-0005-0000-0000-0000D74C0000}"/>
    <cellStyle name="Normal 3 3 2 4 5 2 3" xfId="25296" xr:uid="{00000000-0005-0000-0000-0000D84C0000}"/>
    <cellStyle name="Normal 3 3 2 4 5 3" xfId="11668" xr:uid="{00000000-0005-0000-0000-0000D94C0000}"/>
    <cellStyle name="Normal 3 3 2 4 5 3 2" xfId="29850" xr:uid="{00000000-0005-0000-0000-0000DA4C0000}"/>
    <cellStyle name="Normal 3 3 2 4 5 4" xfId="20760" xr:uid="{00000000-0005-0000-0000-0000DB4C0000}"/>
    <cellStyle name="Normal 3 3 2 4 6" xfId="4085" xr:uid="{00000000-0005-0000-0000-0000DC4C0000}"/>
    <cellStyle name="Normal 3 3 2 4 6 2" xfId="8641" xr:uid="{00000000-0005-0000-0000-0000DD4C0000}"/>
    <cellStyle name="Normal 3 3 2 4 6 2 2" xfId="17737" xr:uid="{00000000-0005-0000-0000-0000DE4C0000}"/>
    <cellStyle name="Normal 3 3 2 4 6 2 2 2" xfId="35919" xr:uid="{00000000-0005-0000-0000-0000DF4C0000}"/>
    <cellStyle name="Normal 3 3 2 4 6 2 3" xfId="26829" xr:uid="{00000000-0005-0000-0000-0000E04C0000}"/>
    <cellStyle name="Normal 3 3 2 4 6 3" xfId="13197" xr:uid="{00000000-0005-0000-0000-0000E14C0000}"/>
    <cellStyle name="Normal 3 3 2 4 6 3 2" xfId="31379" xr:uid="{00000000-0005-0000-0000-0000E24C0000}"/>
    <cellStyle name="Normal 3 3 2 4 6 4" xfId="22289" xr:uid="{00000000-0005-0000-0000-0000E34C0000}"/>
    <cellStyle name="Normal 3 3 2 4 7" xfId="5724" xr:uid="{00000000-0005-0000-0000-0000E44C0000}"/>
    <cellStyle name="Normal 3 3 2 4 7 2" xfId="14824" xr:uid="{00000000-0005-0000-0000-0000E54C0000}"/>
    <cellStyle name="Normal 3 3 2 4 7 2 2" xfId="33006" xr:uid="{00000000-0005-0000-0000-0000E64C0000}"/>
    <cellStyle name="Normal 3 3 2 4 7 3" xfId="23916" xr:uid="{00000000-0005-0000-0000-0000E74C0000}"/>
    <cellStyle name="Normal 3 3 2 4 8" xfId="10290" xr:uid="{00000000-0005-0000-0000-0000E84C0000}"/>
    <cellStyle name="Normal 3 3 2 4 8 2" xfId="28472" xr:uid="{00000000-0005-0000-0000-0000E94C0000}"/>
    <cellStyle name="Normal 3 3 2 4 9" xfId="19381" xr:uid="{00000000-0005-0000-0000-0000EA4C0000}"/>
    <cellStyle name="Normal 3 3 2 5" xfId="1088" xr:uid="{00000000-0005-0000-0000-0000EB4C0000}"/>
    <cellStyle name="Normal 3 3 2 5 2" xfId="1089" xr:uid="{00000000-0005-0000-0000-0000EC4C0000}"/>
    <cellStyle name="Normal 3 3 2 5 2 2" xfId="2519" xr:uid="{00000000-0005-0000-0000-0000ED4C0000}"/>
    <cellStyle name="Normal 3 3 2 5 2 2 2" xfId="7105" xr:uid="{00000000-0005-0000-0000-0000EE4C0000}"/>
    <cellStyle name="Normal 3 3 2 5 2 2 2 2" xfId="16205" xr:uid="{00000000-0005-0000-0000-0000EF4C0000}"/>
    <cellStyle name="Normal 3 3 2 5 2 2 2 2 2" xfId="34387" xr:uid="{00000000-0005-0000-0000-0000F04C0000}"/>
    <cellStyle name="Normal 3 3 2 5 2 2 2 3" xfId="25297" xr:uid="{00000000-0005-0000-0000-0000F14C0000}"/>
    <cellStyle name="Normal 3 3 2 5 2 2 3" xfId="11669" xr:uid="{00000000-0005-0000-0000-0000F24C0000}"/>
    <cellStyle name="Normal 3 3 2 5 2 2 3 2" xfId="29851" xr:uid="{00000000-0005-0000-0000-0000F34C0000}"/>
    <cellStyle name="Normal 3 3 2 5 2 2 4" xfId="20761" xr:uid="{00000000-0005-0000-0000-0000F44C0000}"/>
    <cellStyle name="Normal 3 3 2 5 2 3" xfId="4091" xr:uid="{00000000-0005-0000-0000-0000F54C0000}"/>
    <cellStyle name="Normal 3 3 2 5 2 3 2" xfId="8647" xr:uid="{00000000-0005-0000-0000-0000F64C0000}"/>
    <cellStyle name="Normal 3 3 2 5 2 3 2 2" xfId="17743" xr:uid="{00000000-0005-0000-0000-0000F74C0000}"/>
    <cellStyle name="Normal 3 3 2 5 2 3 2 2 2" xfId="35925" xr:uid="{00000000-0005-0000-0000-0000F84C0000}"/>
    <cellStyle name="Normal 3 3 2 5 2 3 2 3" xfId="26835" xr:uid="{00000000-0005-0000-0000-0000F94C0000}"/>
    <cellStyle name="Normal 3 3 2 5 2 3 3" xfId="13203" xr:uid="{00000000-0005-0000-0000-0000FA4C0000}"/>
    <cellStyle name="Normal 3 3 2 5 2 3 3 2" xfId="31385" xr:uid="{00000000-0005-0000-0000-0000FB4C0000}"/>
    <cellStyle name="Normal 3 3 2 5 2 3 4" xfId="22295" xr:uid="{00000000-0005-0000-0000-0000FC4C0000}"/>
    <cellStyle name="Normal 3 3 2 5 2 4" xfId="5730" xr:uid="{00000000-0005-0000-0000-0000FD4C0000}"/>
    <cellStyle name="Normal 3 3 2 5 2 4 2" xfId="14830" xr:uid="{00000000-0005-0000-0000-0000FE4C0000}"/>
    <cellStyle name="Normal 3 3 2 5 2 4 2 2" xfId="33012" xr:uid="{00000000-0005-0000-0000-0000FF4C0000}"/>
    <cellStyle name="Normal 3 3 2 5 2 4 3" xfId="23922" xr:uid="{00000000-0005-0000-0000-0000004D0000}"/>
    <cellStyle name="Normal 3 3 2 5 2 5" xfId="10296" xr:uid="{00000000-0005-0000-0000-0000014D0000}"/>
    <cellStyle name="Normal 3 3 2 5 2 5 2" xfId="28478" xr:uid="{00000000-0005-0000-0000-0000024D0000}"/>
    <cellStyle name="Normal 3 3 2 5 2 6" xfId="19387" xr:uid="{00000000-0005-0000-0000-0000034D0000}"/>
    <cellStyle name="Normal 3 3 2 5 3" xfId="2520" xr:uid="{00000000-0005-0000-0000-0000044D0000}"/>
    <cellStyle name="Normal 3 3 2 5 3 2" xfId="7106" xr:uid="{00000000-0005-0000-0000-0000054D0000}"/>
    <cellStyle name="Normal 3 3 2 5 3 2 2" xfId="16206" xr:uid="{00000000-0005-0000-0000-0000064D0000}"/>
    <cellStyle name="Normal 3 3 2 5 3 2 2 2" xfId="34388" xr:uid="{00000000-0005-0000-0000-0000074D0000}"/>
    <cellStyle name="Normal 3 3 2 5 3 2 3" xfId="25298" xr:uid="{00000000-0005-0000-0000-0000084D0000}"/>
    <cellStyle name="Normal 3 3 2 5 3 3" xfId="11670" xr:uid="{00000000-0005-0000-0000-0000094D0000}"/>
    <cellStyle name="Normal 3 3 2 5 3 3 2" xfId="29852" xr:uid="{00000000-0005-0000-0000-00000A4D0000}"/>
    <cellStyle name="Normal 3 3 2 5 3 4" xfId="20762" xr:uid="{00000000-0005-0000-0000-00000B4D0000}"/>
    <cellStyle name="Normal 3 3 2 5 4" xfId="4090" xr:uid="{00000000-0005-0000-0000-00000C4D0000}"/>
    <cellStyle name="Normal 3 3 2 5 4 2" xfId="8646" xr:uid="{00000000-0005-0000-0000-00000D4D0000}"/>
    <cellStyle name="Normal 3 3 2 5 4 2 2" xfId="17742" xr:uid="{00000000-0005-0000-0000-00000E4D0000}"/>
    <cellStyle name="Normal 3 3 2 5 4 2 2 2" xfId="35924" xr:uid="{00000000-0005-0000-0000-00000F4D0000}"/>
    <cellStyle name="Normal 3 3 2 5 4 2 3" xfId="26834" xr:uid="{00000000-0005-0000-0000-0000104D0000}"/>
    <cellStyle name="Normal 3 3 2 5 4 3" xfId="13202" xr:uid="{00000000-0005-0000-0000-0000114D0000}"/>
    <cellStyle name="Normal 3 3 2 5 4 3 2" xfId="31384" xr:uid="{00000000-0005-0000-0000-0000124D0000}"/>
    <cellStyle name="Normal 3 3 2 5 4 4" xfId="22294" xr:uid="{00000000-0005-0000-0000-0000134D0000}"/>
    <cellStyle name="Normal 3 3 2 5 5" xfId="5729" xr:uid="{00000000-0005-0000-0000-0000144D0000}"/>
    <cellStyle name="Normal 3 3 2 5 5 2" xfId="14829" xr:uid="{00000000-0005-0000-0000-0000154D0000}"/>
    <cellStyle name="Normal 3 3 2 5 5 2 2" xfId="33011" xr:uid="{00000000-0005-0000-0000-0000164D0000}"/>
    <cellStyle name="Normal 3 3 2 5 5 3" xfId="23921" xr:uid="{00000000-0005-0000-0000-0000174D0000}"/>
    <cellStyle name="Normal 3 3 2 5 6" xfId="10295" xr:uid="{00000000-0005-0000-0000-0000184D0000}"/>
    <cellStyle name="Normal 3 3 2 5 6 2" xfId="28477" xr:uid="{00000000-0005-0000-0000-0000194D0000}"/>
    <cellStyle name="Normal 3 3 2 5 7" xfId="19386" xr:uid="{00000000-0005-0000-0000-00001A4D0000}"/>
    <cellStyle name="Normal 3 3 2 6" xfId="1090" xr:uid="{00000000-0005-0000-0000-00001B4D0000}"/>
    <cellStyle name="Normal 3 3 2 6 2" xfId="2521" xr:uid="{00000000-0005-0000-0000-00001C4D0000}"/>
    <cellStyle name="Normal 3 3 2 6 2 2" xfId="7107" xr:uid="{00000000-0005-0000-0000-00001D4D0000}"/>
    <cellStyle name="Normal 3 3 2 6 2 2 2" xfId="16207" xr:uid="{00000000-0005-0000-0000-00001E4D0000}"/>
    <cellStyle name="Normal 3 3 2 6 2 2 2 2" xfId="34389" xr:uid="{00000000-0005-0000-0000-00001F4D0000}"/>
    <cellStyle name="Normal 3 3 2 6 2 2 3" xfId="25299" xr:uid="{00000000-0005-0000-0000-0000204D0000}"/>
    <cellStyle name="Normal 3 3 2 6 2 3" xfId="11671" xr:uid="{00000000-0005-0000-0000-0000214D0000}"/>
    <cellStyle name="Normal 3 3 2 6 2 3 2" xfId="29853" xr:uid="{00000000-0005-0000-0000-0000224D0000}"/>
    <cellStyle name="Normal 3 3 2 6 2 4" xfId="20763" xr:uid="{00000000-0005-0000-0000-0000234D0000}"/>
    <cellStyle name="Normal 3 3 2 6 3" xfId="4092" xr:uid="{00000000-0005-0000-0000-0000244D0000}"/>
    <cellStyle name="Normal 3 3 2 6 3 2" xfId="8648" xr:uid="{00000000-0005-0000-0000-0000254D0000}"/>
    <cellStyle name="Normal 3 3 2 6 3 2 2" xfId="17744" xr:uid="{00000000-0005-0000-0000-0000264D0000}"/>
    <cellStyle name="Normal 3 3 2 6 3 2 2 2" xfId="35926" xr:uid="{00000000-0005-0000-0000-0000274D0000}"/>
    <cellStyle name="Normal 3 3 2 6 3 2 3" xfId="26836" xr:uid="{00000000-0005-0000-0000-0000284D0000}"/>
    <cellStyle name="Normal 3 3 2 6 3 3" xfId="13204" xr:uid="{00000000-0005-0000-0000-0000294D0000}"/>
    <cellStyle name="Normal 3 3 2 6 3 3 2" xfId="31386" xr:uid="{00000000-0005-0000-0000-00002A4D0000}"/>
    <cellStyle name="Normal 3 3 2 6 3 4" xfId="22296" xr:uid="{00000000-0005-0000-0000-00002B4D0000}"/>
    <cellStyle name="Normal 3 3 2 6 4" xfId="5731" xr:uid="{00000000-0005-0000-0000-00002C4D0000}"/>
    <cellStyle name="Normal 3 3 2 6 4 2" xfId="14831" xr:uid="{00000000-0005-0000-0000-00002D4D0000}"/>
    <cellStyle name="Normal 3 3 2 6 4 2 2" xfId="33013" xr:uid="{00000000-0005-0000-0000-00002E4D0000}"/>
    <cellStyle name="Normal 3 3 2 6 4 3" xfId="23923" xr:uid="{00000000-0005-0000-0000-00002F4D0000}"/>
    <cellStyle name="Normal 3 3 2 6 5" xfId="10297" xr:uid="{00000000-0005-0000-0000-0000304D0000}"/>
    <cellStyle name="Normal 3 3 2 6 5 2" xfId="28479" xr:uid="{00000000-0005-0000-0000-0000314D0000}"/>
    <cellStyle name="Normal 3 3 2 6 6" xfId="19388" xr:uid="{00000000-0005-0000-0000-0000324D0000}"/>
    <cellStyle name="Normal 3 3 2 7" xfId="1091" xr:uid="{00000000-0005-0000-0000-0000334D0000}"/>
    <cellStyle name="Normal 3 3 2 7 2" xfId="4093" xr:uid="{00000000-0005-0000-0000-0000344D0000}"/>
    <cellStyle name="Normal 3 3 2 7 2 2" xfId="8649" xr:uid="{00000000-0005-0000-0000-0000354D0000}"/>
    <cellStyle name="Normal 3 3 2 7 2 2 2" xfId="17745" xr:uid="{00000000-0005-0000-0000-0000364D0000}"/>
    <cellStyle name="Normal 3 3 2 7 2 2 2 2" xfId="35927" xr:uid="{00000000-0005-0000-0000-0000374D0000}"/>
    <cellStyle name="Normal 3 3 2 7 2 2 3" xfId="26837" xr:uid="{00000000-0005-0000-0000-0000384D0000}"/>
    <cellStyle name="Normal 3 3 2 7 2 3" xfId="13205" xr:uid="{00000000-0005-0000-0000-0000394D0000}"/>
    <cellStyle name="Normal 3 3 2 7 2 3 2" xfId="31387" xr:uid="{00000000-0005-0000-0000-00003A4D0000}"/>
    <cellStyle name="Normal 3 3 2 7 2 4" xfId="22297" xr:uid="{00000000-0005-0000-0000-00003B4D0000}"/>
    <cellStyle name="Normal 3 3 2 7 3" xfId="5732" xr:uid="{00000000-0005-0000-0000-00003C4D0000}"/>
    <cellStyle name="Normal 3 3 2 7 3 2" xfId="14832" xr:uid="{00000000-0005-0000-0000-00003D4D0000}"/>
    <cellStyle name="Normal 3 3 2 7 3 2 2" xfId="33014" xr:uid="{00000000-0005-0000-0000-00003E4D0000}"/>
    <cellStyle name="Normal 3 3 2 7 3 3" xfId="23924" xr:uid="{00000000-0005-0000-0000-00003F4D0000}"/>
    <cellStyle name="Normal 3 3 2 7 4" xfId="10298" xr:uid="{00000000-0005-0000-0000-0000404D0000}"/>
    <cellStyle name="Normal 3 3 2 7 4 2" xfId="28480" xr:uid="{00000000-0005-0000-0000-0000414D0000}"/>
    <cellStyle name="Normal 3 3 2 7 5" xfId="19389" xr:uid="{00000000-0005-0000-0000-0000424D0000}"/>
    <cellStyle name="Normal 3 3 2 8" xfId="2522" xr:uid="{00000000-0005-0000-0000-0000434D0000}"/>
    <cellStyle name="Normal 3 3 2 8 2" xfId="7108" xr:uid="{00000000-0005-0000-0000-0000444D0000}"/>
    <cellStyle name="Normal 3 3 2 8 2 2" xfId="16208" xr:uid="{00000000-0005-0000-0000-0000454D0000}"/>
    <cellStyle name="Normal 3 3 2 8 2 2 2" xfId="34390" xr:uid="{00000000-0005-0000-0000-0000464D0000}"/>
    <cellStyle name="Normal 3 3 2 8 2 3" xfId="25300" xr:uid="{00000000-0005-0000-0000-0000474D0000}"/>
    <cellStyle name="Normal 3 3 2 8 3" xfId="11672" xr:uid="{00000000-0005-0000-0000-0000484D0000}"/>
    <cellStyle name="Normal 3 3 2 8 3 2" xfId="29854" xr:uid="{00000000-0005-0000-0000-0000494D0000}"/>
    <cellStyle name="Normal 3 3 2 8 4" xfId="20764" xr:uid="{00000000-0005-0000-0000-00004A4D0000}"/>
    <cellStyle name="Normal 3 3 2 9" xfId="3203" xr:uid="{00000000-0005-0000-0000-00004B4D0000}"/>
    <cellStyle name="Normal 3 3 2 9 2" xfId="7763" xr:uid="{00000000-0005-0000-0000-00004C4D0000}"/>
    <cellStyle name="Normal 3 3 2 9 2 2" xfId="16859" xr:uid="{00000000-0005-0000-0000-00004D4D0000}"/>
    <cellStyle name="Normal 3 3 2 9 2 2 2" xfId="35041" xr:uid="{00000000-0005-0000-0000-00004E4D0000}"/>
    <cellStyle name="Normal 3 3 2 9 2 3" xfId="25951" xr:uid="{00000000-0005-0000-0000-00004F4D0000}"/>
    <cellStyle name="Normal 3 3 2 9 3" xfId="12319" xr:uid="{00000000-0005-0000-0000-0000504D0000}"/>
    <cellStyle name="Normal 3 3 2 9 3 2" xfId="30501" xr:uid="{00000000-0005-0000-0000-0000514D0000}"/>
    <cellStyle name="Normal 3 3 2 9 4" xfId="21411" xr:uid="{00000000-0005-0000-0000-0000524D0000}"/>
    <cellStyle name="Normal 3 3 3" xfId="1092" xr:uid="{00000000-0005-0000-0000-0000534D0000}"/>
    <cellStyle name="Normal 3 3 3 10" xfId="19390" xr:uid="{00000000-0005-0000-0000-0000544D0000}"/>
    <cellStyle name="Normal 3 3 3 2" xfId="1093" xr:uid="{00000000-0005-0000-0000-0000554D0000}"/>
    <cellStyle name="Normal 3 3 3 2 2" xfId="1094" xr:uid="{00000000-0005-0000-0000-0000564D0000}"/>
    <cellStyle name="Normal 3 3 3 2 2 2" xfId="1095" xr:uid="{00000000-0005-0000-0000-0000574D0000}"/>
    <cellStyle name="Normal 3 3 3 2 2 2 2" xfId="2523" xr:uid="{00000000-0005-0000-0000-0000584D0000}"/>
    <cellStyle name="Normal 3 3 3 2 2 2 2 2" xfId="7109" xr:uid="{00000000-0005-0000-0000-0000594D0000}"/>
    <cellStyle name="Normal 3 3 3 2 2 2 2 2 2" xfId="16209" xr:uid="{00000000-0005-0000-0000-00005A4D0000}"/>
    <cellStyle name="Normal 3 3 3 2 2 2 2 2 2 2" xfId="34391" xr:uid="{00000000-0005-0000-0000-00005B4D0000}"/>
    <cellStyle name="Normal 3 3 3 2 2 2 2 2 3" xfId="25301" xr:uid="{00000000-0005-0000-0000-00005C4D0000}"/>
    <cellStyle name="Normal 3 3 3 2 2 2 2 3" xfId="11673" xr:uid="{00000000-0005-0000-0000-00005D4D0000}"/>
    <cellStyle name="Normal 3 3 3 2 2 2 2 3 2" xfId="29855" xr:uid="{00000000-0005-0000-0000-00005E4D0000}"/>
    <cellStyle name="Normal 3 3 3 2 2 2 2 4" xfId="20765" xr:uid="{00000000-0005-0000-0000-00005F4D0000}"/>
    <cellStyle name="Normal 3 3 3 2 2 2 3" xfId="4097" xr:uid="{00000000-0005-0000-0000-0000604D0000}"/>
    <cellStyle name="Normal 3 3 3 2 2 2 3 2" xfId="8653" xr:uid="{00000000-0005-0000-0000-0000614D0000}"/>
    <cellStyle name="Normal 3 3 3 2 2 2 3 2 2" xfId="17749" xr:uid="{00000000-0005-0000-0000-0000624D0000}"/>
    <cellStyle name="Normal 3 3 3 2 2 2 3 2 2 2" xfId="35931" xr:uid="{00000000-0005-0000-0000-0000634D0000}"/>
    <cellStyle name="Normal 3 3 3 2 2 2 3 2 3" xfId="26841" xr:uid="{00000000-0005-0000-0000-0000644D0000}"/>
    <cellStyle name="Normal 3 3 3 2 2 2 3 3" xfId="13209" xr:uid="{00000000-0005-0000-0000-0000654D0000}"/>
    <cellStyle name="Normal 3 3 3 2 2 2 3 3 2" xfId="31391" xr:uid="{00000000-0005-0000-0000-0000664D0000}"/>
    <cellStyle name="Normal 3 3 3 2 2 2 3 4" xfId="22301" xr:uid="{00000000-0005-0000-0000-0000674D0000}"/>
    <cellStyle name="Normal 3 3 3 2 2 2 4" xfId="5736" xr:uid="{00000000-0005-0000-0000-0000684D0000}"/>
    <cellStyle name="Normal 3 3 3 2 2 2 4 2" xfId="14836" xr:uid="{00000000-0005-0000-0000-0000694D0000}"/>
    <cellStyle name="Normal 3 3 3 2 2 2 4 2 2" xfId="33018" xr:uid="{00000000-0005-0000-0000-00006A4D0000}"/>
    <cellStyle name="Normal 3 3 3 2 2 2 4 3" xfId="23928" xr:uid="{00000000-0005-0000-0000-00006B4D0000}"/>
    <cellStyle name="Normal 3 3 3 2 2 2 5" xfId="10302" xr:uid="{00000000-0005-0000-0000-00006C4D0000}"/>
    <cellStyle name="Normal 3 3 3 2 2 2 5 2" xfId="28484" xr:uid="{00000000-0005-0000-0000-00006D4D0000}"/>
    <cellStyle name="Normal 3 3 3 2 2 2 6" xfId="19393" xr:uid="{00000000-0005-0000-0000-00006E4D0000}"/>
    <cellStyle name="Normal 3 3 3 2 2 3" xfId="2524" xr:uid="{00000000-0005-0000-0000-00006F4D0000}"/>
    <cellStyle name="Normal 3 3 3 2 2 3 2" xfId="7110" xr:uid="{00000000-0005-0000-0000-0000704D0000}"/>
    <cellStyle name="Normal 3 3 3 2 2 3 2 2" xfId="16210" xr:uid="{00000000-0005-0000-0000-0000714D0000}"/>
    <cellStyle name="Normal 3 3 3 2 2 3 2 2 2" xfId="34392" xr:uid="{00000000-0005-0000-0000-0000724D0000}"/>
    <cellStyle name="Normal 3 3 3 2 2 3 2 3" xfId="25302" xr:uid="{00000000-0005-0000-0000-0000734D0000}"/>
    <cellStyle name="Normal 3 3 3 2 2 3 3" xfId="11674" xr:uid="{00000000-0005-0000-0000-0000744D0000}"/>
    <cellStyle name="Normal 3 3 3 2 2 3 3 2" xfId="29856" xr:uid="{00000000-0005-0000-0000-0000754D0000}"/>
    <cellStyle name="Normal 3 3 3 2 2 3 4" xfId="20766" xr:uid="{00000000-0005-0000-0000-0000764D0000}"/>
    <cellStyle name="Normal 3 3 3 2 2 4" xfId="4096" xr:uid="{00000000-0005-0000-0000-0000774D0000}"/>
    <cellStyle name="Normal 3 3 3 2 2 4 2" xfId="8652" xr:uid="{00000000-0005-0000-0000-0000784D0000}"/>
    <cellStyle name="Normal 3 3 3 2 2 4 2 2" xfId="17748" xr:uid="{00000000-0005-0000-0000-0000794D0000}"/>
    <cellStyle name="Normal 3 3 3 2 2 4 2 2 2" xfId="35930" xr:uid="{00000000-0005-0000-0000-00007A4D0000}"/>
    <cellStyle name="Normal 3 3 3 2 2 4 2 3" xfId="26840" xr:uid="{00000000-0005-0000-0000-00007B4D0000}"/>
    <cellStyle name="Normal 3 3 3 2 2 4 3" xfId="13208" xr:uid="{00000000-0005-0000-0000-00007C4D0000}"/>
    <cellStyle name="Normal 3 3 3 2 2 4 3 2" xfId="31390" xr:uid="{00000000-0005-0000-0000-00007D4D0000}"/>
    <cellStyle name="Normal 3 3 3 2 2 4 4" xfId="22300" xr:uid="{00000000-0005-0000-0000-00007E4D0000}"/>
    <cellStyle name="Normal 3 3 3 2 2 5" xfId="5735" xr:uid="{00000000-0005-0000-0000-00007F4D0000}"/>
    <cellStyle name="Normal 3 3 3 2 2 5 2" xfId="14835" xr:uid="{00000000-0005-0000-0000-0000804D0000}"/>
    <cellStyle name="Normal 3 3 3 2 2 5 2 2" xfId="33017" xr:uid="{00000000-0005-0000-0000-0000814D0000}"/>
    <cellStyle name="Normal 3 3 3 2 2 5 3" xfId="23927" xr:uid="{00000000-0005-0000-0000-0000824D0000}"/>
    <cellStyle name="Normal 3 3 3 2 2 6" xfId="10301" xr:uid="{00000000-0005-0000-0000-0000834D0000}"/>
    <cellStyle name="Normal 3 3 3 2 2 6 2" xfId="28483" xr:uid="{00000000-0005-0000-0000-0000844D0000}"/>
    <cellStyle name="Normal 3 3 3 2 2 7" xfId="19392" xr:uid="{00000000-0005-0000-0000-0000854D0000}"/>
    <cellStyle name="Normal 3 3 3 2 3" xfId="1096" xr:uid="{00000000-0005-0000-0000-0000864D0000}"/>
    <cellStyle name="Normal 3 3 3 2 3 2" xfId="2525" xr:uid="{00000000-0005-0000-0000-0000874D0000}"/>
    <cellStyle name="Normal 3 3 3 2 3 2 2" xfId="7111" xr:uid="{00000000-0005-0000-0000-0000884D0000}"/>
    <cellStyle name="Normal 3 3 3 2 3 2 2 2" xfId="16211" xr:uid="{00000000-0005-0000-0000-0000894D0000}"/>
    <cellStyle name="Normal 3 3 3 2 3 2 2 2 2" xfId="34393" xr:uid="{00000000-0005-0000-0000-00008A4D0000}"/>
    <cellStyle name="Normal 3 3 3 2 3 2 2 3" xfId="25303" xr:uid="{00000000-0005-0000-0000-00008B4D0000}"/>
    <cellStyle name="Normal 3 3 3 2 3 2 3" xfId="11675" xr:uid="{00000000-0005-0000-0000-00008C4D0000}"/>
    <cellStyle name="Normal 3 3 3 2 3 2 3 2" xfId="29857" xr:uid="{00000000-0005-0000-0000-00008D4D0000}"/>
    <cellStyle name="Normal 3 3 3 2 3 2 4" xfId="20767" xr:uid="{00000000-0005-0000-0000-00008E4D0000}"/>
    <cellStyle name="Normal 3 3 3 2 3 3" xfId="4098" xr:uid="{00000000-0005-0000-0000-00008F4D0000}"/>
    <cellStyle name="Normal 3 3 3 2 3 3 2" xfId="8654" xr:uid="{00000000-0005-0000-0000-0000904D0000}"/>
    <cellStyle name="Normal 3 3 3 2 3 3 2 2" xfId="17750" xr:uid="{00000000-0005-0000-0000-0000914D0000}"/>
    <cellStyle name="Normal 3 3 3 2 3 3 2 2 2" xfId="35932" xr:uid="{00000000-0005-0000-0000-0000924D0000}"/>
    <cellStyle name="Normal 3 3 3 2 3 3 2 3" xfId="26842" xr:uid="{00000000-0005-0000-0000-0000934D0000}"/>
    <cellStyle name="Normal 3 3 3 2 3 3 3" xfId="13210" xr:uid="{00000000-0005-0000-0000-0000944D0000}"/>
    <cellStyle name="Normal 3 3 3 2 3 3 3 2" xfId="31392" xr:uid="{00000000-0005-0000-0000-0000954D0000}"/>
    <cellStyle name="Normal 3 3 3 2 3 3 4" xfId="22302" xr:uid="{00000000-0005-0000-0000-0000964D0000}"/>
    <cellStyle name="Normal 3 3 3 2 3 4" xfId="5737" xr:uid="{00000000-0005-0000-0000-0000974D0000}"/>
    <cellStyle name="Normal 3 3 3 2 3 4 2" xfId="14837" xr:uid="{00000000-0005-0000-0000-0000984D0000}"/>
    <cellStyle name="Normal 3 3 3 2 3 4 2 2" xfId="33019" xr:uid="{00000000-0005-0000-0000-0000994D0000}"/>
    <cellStyle name="Normal 3 3 3 2 3 4 3" xfId="23929" xr:uid="{00000000-0005-0000-0000-00009A4D0000}"/>
    <cellStyle name="Normal 3 3 3 2 3 5" xfId="10303" xr:uid="{00000000-0005-0000-0000-00009B4D0000}"/>
    <cellStyle name="Normal 3 3 3 2 3 5 2" xfId="28485" xr:uid="{00000000-0005-0000-0000-00009C4D0000}"/>
    <cellStyle name="Normal 3 3 3 2 3 6" xfId="19394" xr:uid="{00000000-0005-0000-0000-00009D4D0000}"/>
    <cellStyle name="Normal 3 3 3 2 4" xfId="1097" xr:uid="{00000000-0005-0000-0000-00009E4D0000}"/>
    <cellStyle name="Normal 3 3 3 2 4 2" xfId="4099" xr:uid="{00000000-0005-0000-0000-00009F4D0000}"/>
    <cellStyle name="Normal 3 3 3 2 4 2 2" xfId="8655" xr:uid="{00000000-0005-0000-0000-0000A04D0000}"/>
    <cellStyle name="Normal 3 3 3 2 4 2 2 2" xfId="17751" xr:uid="{00000000-0005-0000-0000-0000A14D0000}"/>
    <cellStyle name="Normal 3 3 3 2 4 2 2 2 2" xfId="35933" xr:uid="{00000000-0005-0000-0000-0000A24D0000}"/>
    <cellStyle name="Normal 3 3 3 2 4 2 2 3" xfId="26843" xr:uid="{00000000-0005-0000-0000-0000A34D0000}"/>
    <cellStyle name="Normal 3 3 3 2 4 2 3" xfId="13211" xr:uid="{00000000-0005-0000-0000-0000A44D0000}"/>
    <cellStyle name="Normal 3 3 3 2 4 2 3 2" xfId="31393" xr:uid="{00000000-0005-0000-0000-0000A54D0000}"/>
    <cellStyle name="Normal 3 3 3 2 4 2 4" xfId="22303" xr:uid="{00000000-0005-0000-0000-0000A64D0000}"/>
    <cellStyle name="Normal 3 3 3 2 4 3" xfId="5738" xr:uid="{00000000-0005-0000-0000-0000A74D0000}"/>
    <cellStyle name="Normal 3 3 3 2 4 3 2" xfId="14838" xr:uid="{00000000-0005-0000-0000-0000A84D0000}"/>
    <cellStyle name="Normal 3 3 3 2 4 3 2 2" xfId="33020" xr:uid="{00000000-0005-0000-0000-0000A94D0000}"/>
    <cellStyle name="Normal 3 3 3 2 4 3 3" xfId="23930" xr:uid="{00000000-0005-0000-0000-0000AA4D0000}"/>
    <cellStyle name="Normal 3 3 3 2 4 4" xfId="10304" xr:uid="{00000000-0005-0000-0000-0000AB4D0000}"/>
    <cellStyle name="Normal 3 3 3 2 4 4 2" xfId="28486" xr:uid="{00000000-0005-0000-0000-0000AC4D0000}"/>
    <cellStyle name="Normal 3 3 3 2 4 5" xfId="19395" xr:uid="{00000000-0005-0000-0000-0000AD4D0000}"/>
    <cellStyle name="Normal 3 3 3 2 5" xfId="2526" xr:uid="{00000000-0005-0000-0000-0000AE4D0000}"/>
    <cellStyle name="Normal 3 3 3 2 5 2" xfId="7112" xr:uid="{00000000-0005-0000-0000-0000AF4D0000}"/>
    <cellStyle name="Normal 3 3 3 2 5 2 2" xfId="16212" xr:uid="{00000000-0005-0000-0000-0000B04D0000}"/>
    <cellStyle name="Normal 3 3 3 2 5 2 2 2" xfId="34394" xr:uid="{00000000-0005-0000-0000-0000B14D0000}"/>
    <cellStyle name="Normal 3 3 3 2 5 2 3" xfId="25304" xr:uid="{00000000-0005-0000-0000-0000B24D0000}"/>
    <cellStyle name="Normal 3 3 3 2 5 3" xfId="11676" xr:uid="{00000000-0005-0000-0000-0000B34D0000}"/>
    <cellStyle name="Normal 3 3 3 2 5 3 2" xfId="29858" xr:uid="{00000000-0005-0000-0000-0000B44D0000}"/>
    <cellStyle name="Normal 3 3 3 2 5 4" xfId="20768" xr:uid="{00000000-0005-0000-0000-0000B54D0000}"/>
    <cellStyle name="Normal 3 3 3 2 6" xfId="4095" xr:uid="{00000000-0005-0000-0000-0000B64D0000}"/>
    <cellStyle name="Normal 3 3 3 2 6 2" xfId="8651" xr:uid="{00000000-0005-0000-0000-0000B74D0000}"/>
    <cellStyle name="Normal 3 3 3 2 6 2 2" xfId="17747" xr:uid="{00000000-0005-0000-0000-0000B84D0000}"/>
    <cellStyle name="Normal 3 3 3 2 6 2 2 2" xfId="35929" xr:uid="{00000000-0005-0000-0000-0000B94D0000}"/>
    <cellStyle name="Normal 3 3 3 2 6 2 3" xfId="26839" xr:uid="{00000000-0005-0000-0000-0000BA4D0000}"/>
    <cellStyle name="Normal 3 3 3 2 6 3" xfId="13207" xr:uid="{00000000-0005-0000-0000-0000BB4D0000}"/>
    <cellStyle name="Normal 3 3 3 2 6 3 2" xfId="31389" xr:uid="{00000000-0005-0000-0000-0000BC4D0000}"/>
    <cellStyle name="Normal 3 3 3 2 6 4" xfId="22299" xr:uid="{00000000-0005-0000-0000-0000BD4D0000}"/>
    <cellStyle name="Normal 3 3 3 2 7" xfId="5734" xr:uid="{00000000-0005-0000-0000-0000BE4D0000}"/>
    <cellStyle name="Normal 3 3 3 2 7 2" xfId="14834" xr:uid="{00000000-0005-0000-0000-0000BF4D0000}"/>
    <cellStyle name="Normal 3 3 3 2 7 2 2" xfId="33016" xr:uid="{00000000-0005-0000-0000-0000C04D0000}"/>
    <cellStyle name="Normal 3 3 3 2 7 3" xfId="23926" xr:uid="{00000000-0005-0000-0000-0000C14D0000}"/>
    <cellStyle name="Normal 3 3 3 2 8" xfId="10300" xr:uid="{00000000-0005-0000-0000-0000C24D0000}"/>
    <cellStyle name="Normal 3 3 3 2 8 2" xfId="28482" xr:uid="{00000000-0005-0000-0000-0000C34D0000}"/>
    <cellStyle name="Normal 3 3 3 2 9" xfId="19391" xr:uid="{00000000-0005-0000-0000-0000C44D0000}"/>
    <cellStyle name="Normal 3 3 3 3" xfId="1098" xr:uid="{00000000-0005-0000-0000-0000C54D0000}"/>
    <cellStyle name="Normal 3 3 3 3 2" xfId="1099" xr:uid="{00000000-0005-0000-0000-0000C64D0000}"/>
    <cellStyle name="Normal 3 3 3 3 2 2" xfId="2527" xr:uid="{00000000-0005-0000-0000-0000C74D0000}"/>
    <cellStyle name="Normal 3 3 3 3 2 2 2" xfId="7113" xr:uid="{00000000-0005-0000-0000-0000C84D0000}"/>
    <cellStyle name="Normal 3 3 3 3 2 2 2 2" xfId="16213" xr:uid="{00000000-0005-0000-0000-0000C94D0000}"/>
    <cellStyle name="Normal 3 3 3 3 2 2 2 2 2" xfId="34395" xr:uid="{00000000-0005-0000-0000-0000CA4D0000}"/>
    <cellStyle name="Normal 3 3 3 3 2 2 2 3" xfId="25305" xr:uid="{00000000-0005-0000-0000-0000CB4D0000}"/>
    <cellStyle name="Normal 3 3 3 3 2 2 3" xfId="11677" xr:uid="{00000000-0005-0000-0000-0000CC4D0000}"/>
    <cellStyle name="Normal 3 3 3 3 2 2 3 2" xfId="29859" xr:uid="{00000000-0005-0000-0000-0000CD4D0000}"/>
    <cellStyle name="Normal 3 3 3 3 2 2 4" xfId="20769" xr:uid="{00000000-0005-0000-0000-0000CE4D0000}"/>
    <cellStyle name="Normal 3 3 3 3 2 3" xfId="4101" xr:uid="{00000000-0005-0000-0000-0000CF4D0000}"/>
    <cellStyle name="Normal 3 3 3 3 2 3 2" xfId="8657" xr:uid="{00000000-0005-0000-0000-0000D04D0000}"/>
    <cellStyle name="Normal 3 3 3 3 2 3 2 2" xfId="17753" xr:uid="{00000000-0005-0000-0000-0000D14D0000}"/>
    <cellStyle name="Normal 3 3 3 3 2 3 2 2 2" xfId="35935" xr:uid="{00000000-0005-0000-0000-0000D24D0000}"/>
    <cellStyle name="Normal 3 3 3 3 2 3 2 3" xfId="26845" xr:uid="{00000000-0005-0000-0000-0000D34D0000}"/>
    <cellStyle name="Normal 3 3 3 3 2 3 3" xfId="13213" xr:uid="{00000000-0005-0000-0000-0000D44D0000}"/>
    <cellStyle name="Normal 3 3 3 3 2 3 3 2" xfId="31395" xr:uid="{00000000-0005-0000-0000-0000D54D0000}"/>
    <cellStyle name="Normal 3 3 3 3 2 3 4" xfId="22305" xr:uid="{00000000-0005-0000-0000-0000D64D0000}"/>
    <cellStyle name="Normal 3 3 3 3 2 4" xfId="5740" xr:uid="{00000000-0005-0000-0000-0000D74D0000}"/>
    <cellStyle name="Normal 3 3 3 3 2 4 2" xfId="14840" xr:uid="{00000000-0005-0000-0000-0000D84D0000}"/>
    <cellStyle name="Normal 3 3 3 3 2 4 2 2" xfId="33022" xr:uid="{00000000-0005-0000-0000-0000D94D0000}"/>
    <cellStyle name="Normal 3 3 3 3 2 4 3" xfId="23932" xr:uid="{00000000-0005-0000-0000-0000DA4D0000}"/>
    <cellStyle name="Normal 3 3 3 3 2 5" xfId="10306" xr:uid="{00000000-0005-0000-0000-0000DB4D0000}"/>
    <cellStyle name="Normal 3 3 3 3 2 5 2" xfId="28488" xr:uid="{00000000-0005-0000-0000-0000DC4D0000}"/>
    <cellStyle name="Normal 3 3 3 3 2 6" xfId="19397" xr:uid="{00000000-0005-0000-0000-0000DD4D0000}"/>
    <cellStyle name="Normal 3 3 3 3 3" xfId="2528" xr:uid="{00000000-0005-0000-0000-0000DE4D0000}"/>
    <cellStyle name="Normal 3 3 3 3 3 2" xfId="7114" xr:uid="{00000000-0005-0000-0000-0000DF4D0000}"/>
    <cellStyle name="Normal 3 3 3 3 3 2 2" xfId="16214" xr:uid="{00000000-0005-0000-0000-0000E04D0000}"/>
    <cellStyle name="Normal 3 3 3 3 3 2 2 2" xfId="34396" xr:uid="{00000000-0005-0000-0000-0000E14D0000}"/>
    <cellStyle name="Normal 3 3 3 3 3 2 3" xfId="25306" xr:uid="{00000000-0005-0000-0000-0000E24D0000}"/>
    <cellStyle name="Normal 3 3 3 3 3 3" xfId="11678" xr:uid="{00000000-0005-0000-0000-0000E34D0000}"/>
    <cellStyle name="Normal 3 3 3 3 3 3 2" xfId="29860" xr:uid="{00000000-0005-0000-0000-0000E44D0000}"/>
    <cellStyle name="Normal 3 3 3 3 3 4" xfId="20770" xr:uid="{00000000-0005-0000-0000-0000E54D0000}"/>
    <cellStyle name="Normal 3 3 3 3 4" xfId="4100" xr:uid="{00000000-0005-0000-0000-0000E64D0000}"/>
    <cellStyle name="Normal 3 3 3 3 4 2" xfId="8656" xr:uid="{00000000-0005-0000-0000-0000E74D0000}"/>
    <cellStyle name="Normal 3 3 3 3 4 2 2" xfId="17752" xr:uid="{00000000-0005-0000-0000-0000E84D0000}"/>
    <cellStyle name="Normal 3 3 3 3 4 2 2 2" xfId="35934" xr:uid="{00000000-0005-0000-0000-0000E94D0000}"/>
    <cellStyle name="Normal 3 3 3 3 4 2 3" xfId="26844" xr:uid="{00000000-0005-0000-0000-0000EA4D0000}"/>
    <cellStyle name="Normal 3 3 3 3 4 3" xfId="13212" xr:uid="{00000000-0005-0000-0000-0000EB4D0000}"/>
    <cellStyle name="Normal 3 3 3 3 4 3 2" xfId="31394" xr:uid="{00000000-0005-0000-0000-0000EC4D0000}"/>
    <cellStyle name="Normal 3 3 3 3 4 4" xfId="22304" xr:uid="{00000000-0005-0000-0000-0000ED4D0000}"/>
    <cellStyle name="Normal 3 3 3 3 5" xfId="5739" xr:uid="{00000000-0005-0000-0000-0000EE4D0000}"/>
    <cellStyle name="Normal 3 3 3 3 5 2" xfId="14839" xr:uid="{00000000-0005-0000-0000-0000EF4D0000}"/>
    <cellStyle name="Normal 3 3 3 3 5 2 2" xfId="33021" xr:uid="{00000000-0005-0000-0000-0000F04D0000}"/>
    <cellStyle name="Normal 3 3 3 3 5 3" xfId="23931" xr:uid="{00000000-0005-0000-0000-0000F14D0000}"/>
    <cellStyle name="Normal 3 3 3 3 6" xfId="10305" xr:uid="{00000000-0005-0000-0000-0000F24D0000}"/>
    <cellStyle name="Normal 3 3 3 3 6 2" xfId="28487" xr:uid="{00000000-0005-0000-0000-0000F34D0000}"/>
    <cellStyle name="Normal 3 3 3 3 7" xfId="19396" xr:uid="{00000000-0005-0000-0000-0000F44D0000}"/>
    <cellStyle name="Normal 3 3 3 4" xfId="1100" xr:uid="{00000000-0005-0000-0000-0000F54D0000}"/>
    <cellStyle name="Normal 3 3 3 4 2" xfId="2529" xr:uid="{00000000-0005-0000-0000-0000F64D0000}"/>
    <cellStyle name="Normal 3 3 3 4 2 2" xfId="7115" xr:uid="{00000000-0005-0000-0000-0000F74D0000}"/>
    <cellStyle name="Normal 3 3 3 4 2 2 2" xfId="16215" xr:uid="{00000000-0005-0000-0000-0000F84D0000}"/>
    <cellStyle name="Normal 3 3 3 4 2 2 2 2" xfId="34397" xr:uid="{00000000-0005-0000-0000-0000F94D0000}"/>
    <cellStyle name="Normal 3 3 3 4 2 2 3" xfId="25307" xr:uid="{00000000-0005-0000-0000-0000FA4D0000}"/>
    <cellStyle name="Normal 3 3 3 4 2 3" xfId="11679" xr:uid="{00000000-0005-0000-0000-0000FB4D0000}"/>
    <cellStyle name="Normal 3 3 3 4 2 3 2" xfId="29861" xr:uid="{00000000-0005-0000-0000-0000FC4D0000}"/>
    <cellStyle name="Normal 3 3 3 4 2 4" xfId="20771" xr:uid="{00000000-0005-0000-0000-0000FD4D0000}"/>
    <cellStyle name="Normal 3 3 3 4 3" xfId="4102" xr:uid="{00000000-0005-0000-0000-0000FE4D0000}"/>
    <cellStyle name="Normal 3 3 3 4 3 2" xfId="8658" xr:uid="{00000000-0005-0000-0000-0000FF4D0000}"/>
    <cellStyle name="Normal 3 3 3 4 3 2 2" xfId="17754" xr:uid="{00000000-0005-0000-0000-0000004E0000}"/>
    <cellStyle name="Normal 3 3 3 4 3 2 2 2" xfId="35936" xr:uid="{00000000-0005-0000-0000-0000014E0000}"/>
    <cellStyle name="Normal 3 3 3 4 3 2 3" xfId="26846" xr:uid="{00000000-0005-0000-0000-0000024E0000}"/>
    <cellStyle name="Normal 3 3 3 4 3 3" xfId="13214" xr:uid="{00000000-0005-0000-0000-0000034E0000}"/>
    <cellStyle name="Normal 3 3 3 4 3 3 2" xfId="31396" xr:uid="{00000000-0005-0000-0000-0000044E0000}"/>
    <cellStyle name="Normal 3 3 3 4 3 4" xfId="22306" xr:uid="{00000000-0005-0000-0000-0000054E0000}"/>
    <cellStyle name="Normal 3 3 3 4 4" xfId="5741" xr:uid="{00000000-0005-0000-0000-0000064E0000}"/>
    <cellStyle name="Normal 3 3 3 4 4 2" xfId="14841" xr:uid="{00000000-0005-0000-0000-0000074E0000}"/>
    <cellStyle name="Normal 3 3 3 4 4 2 2" xfId="33023" xr:uid="{00000000-0005-0000-0000-0000084E0000}"/>
    <cellStyle name="Normal 3 3 3 4 4 3" xfId="23933" xr:uid="{00000000-0005-0000-0000-0000094E0000}"/>
    <cellStyle name="Normal 3 3 3 4 5" xfId="10307" xr:uid="{00000000-0005-0000-0000-00000A4E0000}"/>
    <cellStyle name="Normal 3 3 3 4 5 2" xfId="28489" xr:uid="{00000000-0005-0000-0000-00000B4E0000}"/>
    <cellStyle name="Normal 3 3 3 4 6" xfId="19398" xr:uid="{00000000-0005-0000-0000-00000C4E0000}"/>
    <cellStyle name="Normal 3 3 3 5" xfId="1101" xr:uid="{00000000-0005-0000-0000-00000D4E0000}"/>
    <cellStyle name="Normal 3 3 3 5 2" xfId="4103" xr:uid="{00000000-0005-0000-0000-00000E4E0000}"/>
    <cellStyle name="Normal 3 3 3 5 2 2" xfId="8659" xr:uid="{00000000-0005-0000-0000-00000F4E0000}"/>
    <cellStyle name="Normal 3 3 3 5 2 2 2" xfId="17755" xr:uid="{00000000-0005-0000-0000-0000104E0000}"/>
    <cellStyle name="Normal 3 3 3 5 2 2 2 2" xfId="35937" xr:uid="{00000000-0005-0000-0000-0000114E0000}"/>
    <cellStyle name="Normal 3 3 3 5 2 2 3" xfId="26847" xr:uid="{00000000-0005-0000-0000-0000124E0000}"/>
    <cellStyle name="Normal 3 3 3 5 2 3" xfId="13215" xr:uid="{00000000-0005-0000-0000-0000134E0000}"/>
    <cellStyle name="Normal 3 3 3 5 2 3 2" xfId="31397" xr:uid="{00000000-0005-0000-0000-0000144E0000}"/>
    <cellStyle name="Normal 3 3 3 5 2 4" xfId="22307" xr:uid="{00000000-0005-0000-0000-0000154E0000}"/>
    <cellStyle name="Normal 3 3 3 5 3" xfId="5742" xr:uid="{00000000-0005-0000-0000-0000164E0000}"/>
    <cellStyle name="Normal 3 3 3 5 3 2" xfId="14842" xr:uid="{00000000-0005-0000-0000-0000174E0000}"/>
    <cellStyle name="Normal 3 3 3 5 3 2 2" xfId="33024" xr:uid="{00000000-0005-0000-0000-0000184E0000}"/>
    <cellStyle name="Normal 3 3 3 5 3 3" xfId="23934" xr:uid="{00000000-0005-0000-0000-0000194E0000}"/>
    <cellStyle name="Normal 3 3 3 5 4" xfId="10308" xr:uid="{00000000-0005-0000-0000-00001A4E0000}"/>
    <cellStyle name="Normal 3 3 3 5 4 2" xfId="28490" xr:uid="{00000000-0005-0000-0000-00001B4E0000}"/>
    <cellStyle name="Normal 3 3 3 5 5" xfId="19399" xr:uid="{00000000-0005-0000-0000-00001C4E0000}"/>
    <cellStyle name="Normal 3 3 3 6" xfId="2530" xr:uid="{00000000-0005-0000-0000-00001D4E0000}"/>
    <cellStyle name="Normal 3 3 3 6 2" xfId="7116" xr:uid="{00000000-0005-0000-0000-00001E4E0000}"/>
    <cellStyle name="Normal 3 3 3 6 2 2" xfId="16216" xr:uid="{00000000-0005-0000-0000-00001F4E0000}"/>
    <cellStyle name="Normal 3 3 3 6 2 2 2" xfId="34398" xr:uid="{00000000-0005-0000-0000-0000204E0000}"/>
    <cellStyle name="Normal 3 3 3 6 2 3" xfId="25308" xr:uid="{00000000-0005-0000-0000-0000214E0000}"/>
    <cellStyle name="Normal 3 3 3 6 3" xfId="11680" xr:uid="{00000000-0005-0000-0000-0000224E0000}"/>
    <cellStyle name="Normal 3 3 3 6 3 2" xfId="29862" xr:uid="{00000000-0005-0000-0000-0000234E0000}"/>
    <cellStyle name="Normal 3 3 3 6 4" xfId="20772" xr:uid="{00000000-0005-0000-0000-0000244E0000}"/>
    <cellStyle name="Normal 3 3 3 7" xfId="4094" xr:uid="{00000000-0005-0000-0000-0000254E0000}"/>
    <cellStyle name="Normal 3 3 3 7 2" xfId="8650" xr:uid="{00000000-0005-0000-0000-0000264E0000}"/>
    <cellStyle name="Normal 3 3 3 7 2 2" xfId="17746" xr:uid="{00000000-0005-0000-0000-0000274E0000}"/>
    <cellStyle name="Normal 3 3 3 7 2 2 2" xfId="35928" xr:uid="{00000000-0005-0000-0000-0000284E0000}"/>
    <cellStyle name="Normal 3 3 3 7 2 3" xfId="26838" xr:uid="{00000000-0005-0000-0000-0000294E0000}"/>
    <cellStyle name="Normal 3 3 3 7 3" xfId="13206" xr:uid="{00000000-0005-0000-0000-00002A4E0000}"/>
    <cellStyle name="Normal 3 3 3 7 3 2" xfId="31388" xr:uid="{00000000-0005-0000-0000-00002B4E0000}"/>
    <cellStyle name="Normal 3 3 3 7 4" xfId="22298" xr:uid="{00000000-0005-0000-0000-00002C4E0000}"/>
    <cellStyle name="Normal 3 3 3 8" xfId="5733" xr:uid="{00000000-0005-0000-0000-00002D4E0000}"/>
    <cellStyle name="Normal 3 3 3 8 2" xfId="14833" xr:uid="{00000000-0005-0000-0000-00002E4E0000}"/>
    <cellStyle name="Normal 3 3 3 8 2 2" xfId="33015" xr:uid="{00000000-0005-0000-0000-00002F4E0000}"/>
    <cellStyle name="Normal 3 3 3 8 3" xfId="23925" xr:uid="{00000000-0005-0000-0000-0000304E0000}"/>
    <cellStyle name="Normal 3 3 3 9" xfId="10299" xr:uid="{00000000-0005-0000-0000-0000314E0000}"/>
    <cellStyle name="Normal 3 3 3 9 2" xfId="28481" xr:uid="{00000000-0005-0000-0000-0000324E0000}"/>
    <cellStyle name="Normal 3 3 4" xfId="1102" xr:uid="{00000000-0005-0000-0000-0000334E0000}"/>
    <cellStyle name="Normal 3 3 4 2" xfId="1103" xr:uid="{00000000-0005-0000-0000-0000344E0000}"/>
    <cellStyle name="Normal 3 3 4 2 2" xfId="1104" xr:uid="{00000000-0005-0000-0000-0000354E0000}"/>
    <cellStyle name="Normal 3 3 4 2 2 2" xfId="2531" xr:uid="{00000000-0005-0000-0000-0000364E0000}"/>
    <cellStyle name="Normal 3 3 4 2 2 2 2" xfId="7117" xr:uid="{00000000-0005-0000-0000-0000374E0000}"/>
    <cellStyle name="Normal 3 3 4 2 2 2 2 2" xfId="16217" xr:uid="{00000000-0005-0000-0000-0000384E0000}"/>
    <cellStyle name="Normal 3 3 4 2 2 2 2 2 2" xfId="34399" xr:uid="{00000000-0005-0000-0000-0000394E0000}"/>
    <cellStyle name="Normal 3 3 4 2 2 2 2 3" xfId="25309" xr:uid="{00000000-0005-0000-0000-00003A4E0000}"/>
    <cellStyle name="Normal 3 3 4 2 2 2 3" xfId="11681" xr:uid="{00000000-0005-0000-0000-00003B4E0000}"/>
    <cellStyle name="Normal 3 3 4 2 2 2 3 2" xfId="29863" xr:uid="{00000000-0005-0000-0000-00003C4E0000}"/>
    <cellStyle name="Normal 3 3 4 2 2 2 4" xfId="20773" xr:uid="{00000000-0005-0000-0000-00003D4E0000}"/>
    <cellStyle name="Normal 3 3 4 2 2 3" xfId="4106" xr:uid="{00000000-0005-0000-0000-00003E4E0000}"/>
    <cellStyle name="Normal 3 3 4 2 2 3 2" xfId="8662" xr:uid="{00000000-0005-0000-0000-00003F4E0000}"/>
    <cellStyle name="Normal 3 3 4 2 2 3 2 2" xfId="17758" xr:uid="{00000000-0005-0000-0000-0000404E0000}"/>
    <cellStyle name="Normal 3 3 4 2 2 3 2 2 2" xfId="35940" xr:uid="{00000000-0005-0000-0000-0000414E0000}"/>
    <cellStyle name="Normal 3 3 4 2 2 3 2 3" xfId="26850" xr:uid="{00000000-0005-0000-0000-0000424E0000}"/>
    <cellStyle name="Normal 3 3 4 2 2 3 3" xfId="13218" xr:uid="{00000000-0005-0000-0000-0000434E0000}"/>
    <cellStyle name="Normal 3 3 4 2 2 3 3 2" xfId="31400" xr:uid="{00000000-0005-0000-0000-0000444E0000}"/>
    <cellStyle name="Normal 3 3 4 2 2 3 4" xfId="22310" xr:uid="{00000000-0005-0000-0000-0000454E0000}"/>
    <cellStyle name="Normal 3 3 4 2 2 4" xfId="5745" xr:uid="{00000000-0005-0000-0000-0000464E0000}"/>
    <cellStyle name="Normal 3 3 4 2 2 4 2" xfId="14845" xr:uid="{00000000-0005-0000-0000-0000474E0000}"/>
    <cellStyle name="Normal 3 3 4 2 2 4 2 2" xfId="33027" xr:uid="{00000000-0005-0000-0000-0000484E0000}"/>
    <cellStyle name="Normal 3 3 4 2 2 4 3" xfId="23937" xr:uid="{00000000-0005-0000-0000-0000494E0000}"/>
    <cellStyle name="Normal 3 3 4 2 2 5" xfId="10311" xr:uid="{00000000-0005-0000-0000-00004A4E0000}"/>
    <cellStyle name="Normal 3 3 4 2 2 5 2" xfId="28493" xr:uid="{00000000-0005-0000-0000-00004B4E0000}"/>
    <cellStyle name="Normal 3 3 4 2 2 6" xfId="19402" xr:uid="{00000000-0005-0000-0000-00004C4E0000}"/>
    <cellStyle name="Normal 3 3 4 2 3" xfId="2532" xr:uid="{00000000-0005-0000-0000-00004D4E0000}"/>
    <cellStyle name="Normal 3 3 4 2 3 2" xfId="7118" xr:uid="{00000000-0005-0000-0000-00004E4E0000}"/>
    <cellStyle name="Normal 3 3 4 2 3 2 2" xfId="16218" xr:uid="{00000000-0005-0000-0000-00004F4E0000}"/>
    <cellStyle name="Normal 3 3 4 2 3 2 2 2" xfId="34400" xr:uid="{00000000-0005-0000-0000-0000504E0000}"/>
    <cellStyle name="Normal 3 3 4 2 3 2 3" xfId="25310" xr:uid="{00000000-0005-0000-0000-0000514E0000}"/>
    <cellStyle name="Normal 3 3 4 2 3 3" xfId="11682" xr:uid="{00000000-0005-0000-0000-0000524E0000}"/>
    <cellStyle name="Normal 3 3 4 2 3 3 2" xfId="29864" xr:uid="{00000000-0005-0000-0000-0000534E0000}"/>
    <cellStyle name="Normal 3 3 4 2 3 4" xfId="20774" xr:uid="{00000000-0005-0000-0000-0000544E0000}"/>
    <cellStyle name="Normal 3 3 4 2 4" xfId="4105" xr:uid="{00000000-0005-0000-0000-0000554E0000}"/>
    <cellStyle name="Normal 3 3 4 2 4 2" xfId="8661" xr:uid="{00000000-0005-0000-0000-0000564E0000}"/>
    <cellStyle name="Normal 3 3 4 2 4 2 2" xfId="17757" xr:uid="{00000000-0005-0000-0000-0000574E0000}"/>
    <cellStyle name="Normal 3 3 4 2 4 2 2 2" xfId="35939" xr:uid="{00000000-0005-0000-0000-0000584E0000}"/>
    <cellStyle name="Normal 3 3 4 2 4 2 3" xfId="26849" xr:uid="{00000000-0005-0000-0000-0000594E0000}"/>
    <cellStyle name="Normal 3 3 4 2 4 3" xfId="13217" xr:uid="{00000000-0005-0000-0000-00005A4E0000}"/>
    <cellStyle name="Normal 3 3 4 2 4 3 2" xfId="31399" xr:uid="{00000000-0005-0000-0000-00005B4E0000}"/>
    <cellStyle name="Normal 3 3 4 2 4 4" xfId="22309" xr:uid="{00000000-0005-0000-0000-00005C4E0000}"/>
    <cellStyle name="Normal 3 3 4 2 5" xfId="5744" xr:uid="{00000000-0005-0000-0000-00005D4E0000}"/>
    <cellStyle name="Normal 3 3 4 2 5 2" xfId="14844" xr:uid="{00000000-0005-0000-0000-00005E4E0000}"/>
    <cellStyle name="Normal 3 3 4 2 5 2 2" xfId="33026" xr:uid="{00000000-0005-0000-0000-00005F4E0000}"/>
    <cellStyle name="Normal 3 3 4 2 5 3" xfId="23936" xr:uid="{00000000-0005-0000-0000-0000604E0000}"/>
    <cellStyle name="Normal 3 3 4 2 6" xfId="10310" xr:uid="{00000000-0005-0000-0000-0000614E0000}"/>
    <cellStyle name="Normal 3 3 4 2 6 2" xfId="28492" xr:uid="{00000000-0005-0000-0000-0000624E0000}"/>
    <cellStyle name="Normal 3 3 4 2 7" xfId="19401" xr:uid="{00000000-0005-0000-0000-0000634E0000}"/>
    <cellStyle name="Normal 3 3 4 3" xfId="1105" xr:uid="{00000000-0005-0000-0000-0000644E0000}"/>
    <cellStyle name="Normal 3 3 4 3 2" xfId="2533" xr:uid="{00000000-0005-0000-0000-0000654E0000}"/>
    <cellStyle name="Normal 3 3 4 3 2 2" xfId="7119" xr:uid="{00000000-0005-0000-0000-0000664E0000}"/>
    <cellStyle name="Normal 3 3 4 3 2 2 2" xfId="16219" xr:uid="{00000000-0005-0000-0000-0000674E0000}"/>
    <cellStyle name="Normal 3 3 4 3 2 2 2 2" xfId="34401" xr:uid="{00000000-0005-0000-0000-0000684E0000}"/>
    <cellStyle name="Normal 3 3 4 3 2 2 3" xfId="25311" xr:uid="{00000000-0005-0000-0000-0000694E0000}"/>
    <cellStyle name="Normal 3 3 4 3 2 3" xfId="11683" xr:uid="{00000000-0005-0000-0000-00006A4E0000}"/>
    <cellStyle name="Normal 3 3 4 3 2 3 2" xfId="29865" xr:uid="{00000000-0005-0000-0000-00006B4E0000}"/>
    <cellStyle name="Normal 3 3 4 3 2 4" xfId="20775" xr:uid="{00000000-0005-0000-0000-00006C4E0000}"/>
    <cellStyle name="Normal 3 3 4 3 3" xfId="4107" xr:uid="{00000000-0005-0000-0000-00006D4E0000}"/>
    <cellStyle name="Normal 3 3 4 3 3 2" xfId="8663" xr:uid="{00000000-0005-0000-0000-00006E4E0000}"/>
    <cellStyle name="Normal 3 3 4 3 3 2 2" xfId="17759" xr:uid="{00000000-0005-0000-0000-00006F4E0000}"/>
    <cellStyle name="Normal 3 3 4 3 3 2 2 2" xfId="35941" xr:uid="{00000000-0005-0000-0000-0000704E0000}"/>
    <cellStyle name="Normal 3 3 4 3 3 2 3" xfId="26851" xr:uid="{00000000-0005-0000-0000-0000714E0000}"/>
    <cellStyle name="Normal 3 3 4 3 3 3" xfId="13219" xr:uid="{00000000-0005-0000-0000-0000724E0000}"/>
    <cellStyle name="Normal 3 3 4 3 3 3 2" xfId="31401" xr:uid="{00000000-0005-0000-0000-0000734E0000}"/>
    <cellStyle name="Normal 3 3 4 3 3 4" xfId="22311" xr:uid="{00000000-0005-0000-0000-0000744E0000}"/>
    <cellStyle name="Normal 3 3 4 3 4" xfId="5746" xr:uid="{00000000-0005-0000-0000-0000754E0000}"/>
    <cellStyle name="Normal 3 3 4 3 4 2" xfId="14846" xr:uid="{00000000-0005-0000-0000-0000764E0000}"/>
    <cellStyle name="Normal 3 3 4 3 4 2 2" xfId="33028" xr:uid="{00000000-0005-0000-0000-0000774E0000}"/>
    <cellStyle name="Normal 3 3 4 3 4 3" xfId="23938" xr:uid="{00000000-0005-0000-0000-0000784E0000}"/>
    <cellStyle name="Normal 3 3 4 3 5" xfId="10312" xr:uid="{00000000-0005-0000-0000-0000794E0000}"/>
    <cellStyle name="Normal 3 3 4 3 5 2" xfId="28494" xr:uid="{00000000-0005-0000-0000-00007A4E0000}"/>
    <cellStyle name="Normal 3 3 4 3 6" xfId="19403" xr:uid="{00000000-0005-0000-0000-00007B4E0000}"/>
    <cellStyle name="Normal 3 3 4 4" xfId="1106" xr:uid="{00000000-0005-0000-0000-00007C4E0000}"/>
    <cellStyle name="Normal 3 3 4 4 2" xfId="4108" xr:uid="{00000000-0005-0000-0000-00007D4E0000}"/>
    <cellStyle name="Normal 3 3 4 4 2 2" xfId="8664" xr:uid="{00000000-0005-0000-0000-00007E4E0000}"/>
    <cellStyle name="Normal 3 3 4 4 2 2 2" xfId="17760" xr:uid="{00000000-0005-0000-0000-00007F4E0000}"/>
    <cellStyle name="Normal 3 3 4 4 2 2 2 2" xfId="35942" xr:uid="{00000000-0005-0000-0000-0000804E0000}"/>
    <cellStyle name="Normal 3 3 4 4 2 2 3" xfId="26852" xr:uid="{00000000-0005-0000-0000-0000814E0000}"/>
    <cellStyle name="Normal 3 3 4 4 2 3" xfId="13220" xr:uid="{00000000-0005-0000-0000-0000824E0000}"/>
    <cellStyle name="Normal 3 3 4 4 2 3 2" xfId="31402" xr:uid="{00000000-0005-0000-0000-0000834E0000}"/>
    <cellStyle name="Normal 3 3 4 4 2 4" xfId="22312" xr:uid="{00000000-0005-0000-0000-0000844E0000}"/>
    <cellStyle name="Normal 3 3 4 4 3" xfId="5747" xr:uid="{00000000-0005-0000-0000-0000854E0000}"/>
    <cellStyle name="Normal 3 3 4 4 3 2" xfId="14847" xr:uid="{00000000-0005-0000-0000-0000864E0000}"/>
    <cellStyle name="Normal 3 3 4 4 3 2 2" xfId="33029" xr:uid="{00000000-0005-0000-0000-0000874E0000}"/>
    <cellStyle name="Normal 3 3 4 4 3 3" xfId="23939" xr:uid="{00000000-0005-0000-0000-0000884E0000}"/>
    <cellStyle name="Normal 3 3 4 4 4" xfId="10313" xr:uid="{00000000-0005-0000-0000-0000894E0000}"/>
    <cellStyle name="Normal 3 3 4 4 4 2" xfId="28495" xr:uid="{00000000-0005-0000-0000-00008A4E0000}"/>
    <cellStyle name="Normal 3 3 4 4 5" xfId="19404" xr:uid="{00000000-0005-0000-0000-00008B4E0000}"/>
    <cellStyle name="Normal 3 3 4 5" xfId="2534" xr:uid="{00000000-0005-0000-0000-00008C4E0000}"/>
    <cellStyle name="Normal 3 3 4 5 2" xfId="7120" xr:uid="{00000000-0005-0000-0000-00008D4E0000}"/>
    <cellStyle name="Normal 3 3 4 5 2 2" xfId="16220" xr:uid="{00000000-0005-0000-0000-00008E4E0000}"/>
    <cellStyle name="Normal 3 3 4 5 2 2 2" xfId="34402" xr:uid="{00000000-0005-0000-0000-00008F4E0000}"/>
    <cellStyle name="Normal 3 3 4 5 2 3" xfId="25312" xr:uid="{00000000-0005-0000-0000-0000904E0000}"/>
    <cellStyle name="Normal 3 3 4 5 3" xfId="11684" xr:uid="{00000000-0005-0000-0000-0000914E0000}"/>
    <cellStyle name="Normal 3 3 4 5 3 2" xfId="29866" xr:uid="{00000000-0005-0000-0000-0000924E0000}"/>
    <cellStyle name="Normal 3 3 4 5 4" xfId="20776" xr:uid="{00000000-0005-0000-0000-0000934E0000}"/>
    <cellStyle name="Normal 3 3 4 6" xfId="4104" xr:uid="{00000000-0005-0000-0000-0000944E0000}"/>
    <cellStyle name="Normal 3 3 4 6 2" xfId="8660" xr:uid="{00000000-0005-0000-0000-0000954E0000}"/>
    <cellStyle name="Normal 3 3 4 6 2 2" xfId="17756" xr:uid="{00000000-0005-0000-0000-0000964E0000}"/>
    <cellStyle name="Normal 3 3 4 6 2 2 2" xfId="35938" xr:uid="{00000000-0005-0000-0000-0000974E0000}"/>
    <cellStyle name="Normal 3 3 4 6 2 3" xfId="26848" xr:uid="{00000000-0005-0000-0000-0000984E0000}"/>
    <cellStyle name="Normal 3 3 4 6 3" xfId="13216" xr:uid="{00000000-0005-0000-0000-0000994E0000}"/>
    <cellStyle name="Normal 3 3 4 6 3 2" xfId="31398" xr:uid="{00000000-0005-0000-0000-00009A4E0000}"/>
    <cellStyle name="Normal 3 3 4 6 4" xfId="22308" xr:uid="{00000000-0005-0000-0000-00009B4E0000}"/>
    <cellStyle name="Normal 3 3 4 7" xfId="5743" xr:uid="{00000000-0005-0000-0000-00009C4E0000}"/>
    <cellStyle name="Normal 3 3 4 7 2" xfId="14843" xr:uid="{00000000-0005-0000-0000-00009D4E0000}"/>
    <cellStyle name="Normal 3 3 4 7 2 2" xfId="33025" xr:uid="{00000000-0005-0000-0000-00009E4E0000}"/>
    <cellStyle name="Normal 3 3 4 7 3" xfId="23935" xr:uid="{00000000-0005-0000-0000-00009F4E0000}"/>
    <cellStyle name="Normal 3 3 4 8" xfId="10309" xr:uid="{00000000-0005-0000-0000-0000A04E0000}"/>
    <cellStyle name="Normal 3 3 4 8 2" xfId="28491" xr:uid="{00000000-0005-0000-0000-0000A14E0000}"/>
    <cellStyle name="Normal 3 3 4 9" xfId="19400" xr:uid="{00000000-0005-0000-0000-0000A24E0000}"/>
    <cellStyle name="Normal 3 3 5" xfId="1107" xr:uid="{00000000-0005-0000-0000-0000A34E0000}"/>
    <cellStyle name="Normal 3 3 5 2" xfId="1108" xr:uid="{00000000-0005-0000-0000-0000A44E0000}"/>
    <cellStyle name="Normal 3 3 5 2 2" xfId="2535" xr:uid="{00000000-0005-0000-0000-0000A54E0000}"/>
    <cellStyle name="Normal 3 3 5 2 2 2" xfId="7121" xr:uid="{00000000-0005-0000-0000-0000A64E0000}"/>
    <cellStyle name="Normal 3 3 5 2 2 2 2" xfId="16221" xr:uid="{00000000-0005-0000-0000-0000A74E0000}"/>
    <cellStyle name="Normal 3 3 5 2 2 2 2 2" xfId="34403" xr:uid="{00000000-0005-0000-0000-0000A84E0000}"/>
    <cellStyle name="Normal 3 3 5 2 2 2 3" xfId="25313" xr:uid="{00000000-0005-0000-0000-0000A94E0000}"/>
    <cellStyle name="Normal 3 3 5 2 2 3" xfId="11685" xr:uid="{00000000-0005-0000-0000-0000AA4E0000}"/>
    <cellStyle name="Normal 3 3 5 2 2 3 2" xfId="29867" xr:uid="{00000000-0005-0000-0000-0000AB4E0000}"/>
    <cellStyle name="Normal 3 3 5 2 2 4" xfId="20777" xr:uid="{00000000-0005-0000-0000-0000AC4E0000}"/>
    <cellStyle name="Normal 3 3 5 2 3" xfId="4110" xr:uid="{00000000-0005-0000-0000-0000AD4E0000}"/>
    <cellStyle name="Normal 3 3 5 2 3 2" xfId="8666" xr:uid="{00000000-0005-0000-0000-0000AE4E0000}"/>
    <cellStyle name="Normal 3 3 5 2 3 2 2" xfId="17762" xr:uid="{00000000-0005-0000-0000-0000AF4E0000}"/>
    <cellStyle name="Normal 3 3 5 2 3 2 2 2" xfId="35944" xr:uid="{00000000-0005-0000-0000-0000B04E0000}"/>
    <cellStyle name="Normal 3 3 5 2 3 2 3" xfId="26854" xr:uid="{00000000-0005-0000-0000-0000B14E0000}"/>
    <cellStyle name="Normal 3 3 5 2 3 3" xfId="13222" xr:uid="{00000000-0005-0000-0000-0000B24E0000}"/>
    <cellStyle name="Normal 3 3 5 2 3 3 2" xfId="31404" xr:uid="{00000000-0005-0000-0000-0000B34E0000}"/>
    <cellStyle name="Normal 3 3 5 2 3 4" xfId="22314" xr:uid="{00000000-0005-0000-0000-0000B44E0000}"/>
    <cellStyle name="Normal 3 3 5 2 4" xfId="5749" xr:uid="{00000000-0005-0000-0000-0000B54E0000}"/>
    <cellStyle name="Normal 3 3 5 2 4 2" xfId="14849" xr:uid="{00000000-0005-0000-0000-0000B64E0000}"/>
    <cellStyle name="Normal 3 3 5 2 4 2 2" xfId="33031" xr:uid="{00000000-0005-0000-0000-0000B74E0000}"/>
    <cellStyle name="Normal 3 3 5 2 4 3" xfId="23941" xr:uid="{00000000-0005-0000-0000-0000B84E0000}"/>
    <cellStyle name="Normal 3 3 5 2 5" xfId="10315" xr:uid="{00000000-0005-0000-0000-0000B94E0000}"/>
    <cellStyle name="Normal 3 3 5 2 5 2" xfId="28497" xr:uid="{00000000-0005-0000-0000-0000BA4E0000}"/>
    <cellStyle name="Normal 3 3 5 2 6" xfId="19406" xr:uid="{00000000-0005-0000-0000-0000BB4E0000}"/>
    <cellStyle name="Normal 3 3 5 3" xfId="2536" xr:uid="{00000000-0005-0000-0000-0000BC4E0000}"/>
    <cellStyle name="Normal 3 3 5 3 2" xfId="7122" xr:uid="{00000000-0005-0000-0000-0000BD4E0000}"/>
    <cellStyle name="Normal 3 3 5 3 2 2" xfId="16222" xr:uid="{00000000-0005-0000-0000-0000BE4E0000}"/>
    <cellStyle name="Normal 3 3 5 3 2 2 2" xfId="34404" xr:uid="{00000000-0005-0000-0000-0000BF4E0000}"/>
    <cellStyle name="Normal 3 3 5 3 2 3" xfId="25314" xr:uid="{00000000-0005-0000-0000-0000C04E0000}"/>
    <cellStyle name="Normal 3 3 5 3 3" xfId="11686" xr:uid="{00000000-0005-0000-0000-0000C14E0000}"/>
    <cellStyle name="Normal 3 3 5 3 3 2" xfId="29868" xr:uid="{00000000-0005-0000-0000-0000C24E0000}"/>
    <cellStyle name="Normal 3 3 5 3 4" xfId="20778" xr:uid="{00000000-0005-0000-0000-0000C34E0000}"/>
    <cellStyle name="Normal 3 3 5 4" xfId="4109" xr:uid="{00000000-0005-0000-0000-0000C44E0000}"/>
    <cellStyle name="Normal 3 3 5 4 2" xfId="8665" xr:uid="{00000000-0005-0000-0000-0000C54E0000}"/>
    <cellStyle name="Normal 3 3 5 4 2 2" xfId="17761" xr:uid="{00000000-0005-0000-0000-0000C64E0000}"/>
    <cellStyle name="Normal 3 3 5 4 2 2 2" xfId="35943" xr:uid="{00000000-0005-0000-0000-0000C74E0000}"/>
    <cellStyle name="Normal 3 3 5 4 2 3" xfId="26853" xr:uid="{00000000-0005-0000-0000-0000C84E0000}"/>
    <cellStyle name="Normal 3 3 5 4 3" xfId="13221" xr:uid="{00000000-0005-0000-0000-0000C94E0000}"/>
    <cellStyle name="Normal 3 3 5 4 3 2" xfId="31403" xr:uid="{00000000-0005-0000-0000-0000CA4E0000}"/>
    <cellStyle name="Normal 3 3 5 4 4" xfId="22313" xr:uid="{00000000-0005-0000-0000-0000CB4E0000}"/>
    <cellStyle name="Normal 3 3 5 5" xfId="5748" xr:uid="{00000000-0005-0000-0000-0000CC4E0000}"/>
    <cellStyle name="Normal 3 3 5 5 2" xfId="14848" xr:uid="{00000000-0005-0000-0000-0000CD4E0000}"/>
    <cellStyle name="Normal 3 3 5 5 2 2" xfId="33030" xr:uid="{00000000-0005-0000-0000-0000CE4E0000}"/>
    <cellStyle name="Normal 3 3 5 5 3" xfId="23940" xr:uid="{00000000-0005-0000-0000-0000CF4E0000}"/>
    <cellStyle name="Normal 3 3 5 6" xfId="10314" xr:uid="{00000000-0005-0000-0000-0000D04E0000}"/>
    <cellStyle name="Normal 3 3 5 6 2" xfId="28496" xr:uid="{00000000-0005-0000-0000-0000D14E0000}"/>
    <cellStyle name="Normal 3 3 5 7" xfId="19405" xr:uid="{00000000-0005-0000-0000-0000D24E0000}"/>
    <cellStyle name="Normal 3 3 6" xfId="1109" xr:uid="{00000000-0005-0000-0000-0000D34E0000}"/>
    <cellStyle name="Normal 3 3 6 2" xfId="2537" xr:uid="{00000000-0005-0000-0000-0000D44E0000}"/>
    <cellStyle name="Normal 3 3 6 2 2" xfId="7123" xr:uid="{00000000-0005-0000-0000-0000D54E0000}"/>
    <cellStyle name="Normal 3 3 6 2 2 2" xfId="16223" xr:uid="{00000000-0005-0000-0000-0000D64E0000}"/>
    <cellStyle name="Normal 3 3 6 2 2 2 2" xfId="34405" xr:uid="{00000000-0005-0000-0000-0000D74E0000}"/>
    <cellStyle name="Normal 3 3 6 2 2 3" xfId="25315" xr:uid="{00000000-0005-0000-0000-0000D84E0000}"/>
    <cellStyle name="Normal 3 3 6 2 3" xfId="11687" xr:uid="{00000000-0005-0000-0000-0000D94E0000}"/>
    <cellStyle name="Normal 3 3 6 2 3 2" xfId="29869" xr:uid="{00000000-0005-0000-0000-0000DA4E0000}"/>
    <cellStyle name="Normal 3 3 6 2 4" xfId="20779" xr:uid="{00000000-0005-0000-0000-0000DB4E0000}"/>
    <cellStyle name="Normal 3 3 6 3" xfId="4111" xr:uid="{00000000-0005-0000-0000-0000DC4E0000}"/>
    <cellStyle name="Normal 3 3 6 3 2" xfId="8667" xr:uid="{00000000-0005-0000-0000-0000DD4E0000}"/>
    <cellStyle name="Normal 3 3 6 3 2 2" xfId="17763" xr:uid="{00000000-0005-0000-0000-0000DE4E0000}"/>
    <cellStyle name="Normal 3 3 6 3 2 2 2" xfId="35945" xr:uid="{00000000-0005-0000-0000-0000DF4E0000}"/>
    <cellStyle name="Normal 3 3 6 3 2 3" xfId="26855" xr:uid="{00000000-0005-0000-0000-0000E04E0000}"/>
    <cellStyle name="Normal 3 3 6 3 3" xfId="13223" xr:uid="{00000000-0005-0000-0000-0000E14E0000}"/>
    <cellStyle name="Normal 3 3 6 3 3 2" xfId="31405" xr:uid="{00000000-0005-0000-0000-0000E24E0000}"/>
    <cellStyle name="Normal 3 3 6 3 4" xfId="22315" xr:uid="{00000000-0005-0000-0000-0000E34E0000}"/>
    <cellStyle name="Normal 3 3 6 4" xfId="5750" xr:uid="{00000000-0005-0000-0000-0000E44E0000}"/>
    <cellStyle name="Normal 3 3 6 4 2" xfId="14850" xr:uid="{00000000-0005-0000-0000-0000E54E0000}"/>
    <cellStyle name="Normal 3 3 6 4 2 2" xfId="33032" xr:uid="{00000000-0005-0000-0000-0000E64E0000}"/>
    <cellStyle name="Normal 3 3 6 4 3" xfId="23942" xr:uid="{00000000-0005-0000-0000-0000E74E0000}"/>
    <cellStyle name="Normal 3 3 6 5" xfId="10316" xr:uid="{00000000-0005-0000-0000-0000E84E0000}"/>
    <cellStyle name="Normal 3 3 6 5 2" xfId="28498" xr:uid="{00000000-0005-0000-0000-0000E94E0000}"/>
    <cellStyle name="Normal 3 3 6 6" xfId="19407" xr:uid="{00000000-0005-0000-0000-0000EA4E0000}"/>
    <cellStyle name="Normal 3 3 7" xfId="1110" xr:uid="{00000000-0005-0000-0000-0000EB4E0000}"/>
    <cellStyle name="Normal 3 3 7 2" xfId="4112" xr:uid="{00000000-0005-0000-0000-0000EC4E0000}"/>
    <cellStyle name="Normal 3 3 7 2 2" xfId="8668" xr:uid="{00000000-0005-0000-0000-0000ED4E0000}"/>
    <cellStyle name="Normal 3 3 7 2 2 2" xfId="17764" xr:uid="{00000000-0005-0000-0000-0000EE4E0000}"/>
    <cellStyle name="Normal 3 3 7 2 2 2 2" xfId="35946" xr:uid="{00000000-0005-0000-0000-0000EF4E0000}"/>
    <cellStyle name="Normal 3 3 7 2 2 3" xfId="26856" xr:uid="{00000000-0005-0000-0000-0000F04E0000}"/>
    <cellStyle name="Normal 3 3 7 2 3" xfId="13224" xr:uid="{00000000-0005-0000-0000-0000F14E0000}"/>
    <cellStyle name="Normal 3 3 7 2 3 2" xfId="31406" xr:uid="{00000000-0005-0000-0000-0000F24E0000}"/>
    <cellStyle name="Normal 3 3 7 2 4" xfId="22316" xr:uid="{00000000-0005-0000-0000-0000F34E0000}"/>
    <cellStyle name="Normal 3 3 7 3" xfId="5751" xr:uid="{00000000-0005-0000-0000-0000F44E0000}"/>
    <cellStyle name="Normal 3 3 7 3 2" xfId="14851" xr:uid="{00000000-0005-0000-0000-0000F54E0000}"/>
    <cellStyle name="Normal 3 3 7 3 2 2" xfId="33033" xr:uid="{00000000-0005-0000-0000-0000F64E0000}"/>
    <cellStyle name="Normal 3 3 7 3 3" xfId="23943" xr:uid="{00000000-0005-0000-0000-0000F74E0000}"/>
    <cellStyle name="Normal 3 3 7 4" xfId="10317" xr:uid="{00000000-0005-0000-0000-0000F84E0000}"/>
    <cellStyle name="Normal 3 3 7 4 2" xfId="28499" xr:uid="{00000000-0005-0000-0000-0000F94E0000}"/>
    <cellStyle name="Normal 3 3 7 5" xfId="19408" xr:uid="{00000000-0005-0000-0000-0000FA4E0000}"/>
    <cellStyle name="Normal 3 3 8" xfId="2538" xr:uid="{00000000-0005-0000-0000-0000FB4E0000}"/>
    <cellStyle name="Normal 3 3 8 2" xfId="7124" xr:uid="{00000000-0005-0000-0000-0000FC4E0000}"/>
    <cellStyle name="Normal 3 3 8 2 2" xfId="16224" xr:uid="{00000000-0005-0000-0000-0000FD4E0000}"/>
    <cellStyle name="Normal 3 3 8 2 2 2" xfId="34406" xr:uid="{00000000-0005-0000-0000-0000FE4E0000}"/>
    <cellStyle name="Normal 3 3 8 2 3" xfId="25316" xr:uid="{00000000-0005-0000-0000-0000FF4E0000}"/>
    <cellStyle name="Normal 3 3 8 3" xfId="11688" xr:uid="{00000000-0005-0000-0000-0000004F0000}"/>
    <cellStyle name="Normal 3 3 8 3 2" xfId="29870" xr:uid="{00000000-0005-0000-0000-0000014F0000}"/>
    <cellStyle name="Normal 3 3 8 4" xfId="20780" xr:uid="{00000000-0005-0000-0000-0000024F0000}"/>
    <cellStyle name="Normal 3 3 9" xfId="3166" xr:uid="{00000000-0005-0000-0000-0000034F0000}"/>
    <cellStyle name="Normal 3 3 9 2" xfId="7726" xr:uid="{00000000-0005-0000-0000-0000044F0000}"/>
    <cellStyle name="Normal 3 3 9 2 2" xfId="16822" xr:uid="{00000000-0005-0000-0000-0000054F0000}"/>
    <cellStyle name="Normal 3 3 9 2 2 2" xfId="35004" xr:uid="{00000000-0005-0000-0000-0000064F0000}"/>
    <cellStyle name="Normal 3 3 9 2 3" xfId="25914" xr:uid="{00000000-0005-0000-0000-0000074F0000}"/>
    <cellStyle name="Normal 3 3 9 3" xfId="12282" xr:uid="{00000000-0005-0000-0000-0000084F0000}"/>
    <cellStyle name="Normal 3 3 9 3 2" xfId="30464" xr:uid="{00000000-0005-0000-0000-0000094F0000}"/>
    <cellStyle name="Normal 3 3 9 4" xfId="21374" xr:uid="{00000000-0005-0000-0000-00000A4F0000}"/>
    <cellStyle name="Normal 3 4" xfId="77" xr:uid="{00000000-0005-0000-0000-00000B4F0000}"/>
    <cellStyle name="Normal 3 4 10" xfId="9406" xr:uid="{00000000-0005-0000-0000-00000C4F0000}"/>
    <cellStyle name="Normal 3 4 10 2" xfId="27588" xr:uid="{00000000-0005-0000-0000-00000D4F0000}"/>
    <cellStyle name="Normal 3 4 11" xfId="18497" xr:uid="{00000000-0005-0000-0000-00000E4F0000}"/>
    <cellStyle name="Normal 3 4 2" xfId="1111" xr:uid="{00000000-0005-0000-0000-00000F4F0000}"/>
    <cellStyle name="Normal 3 4 2 10" xfId="19409" xr:uid="{00000000-0005-0000-0000-0000104F0000}"/>
    <cellStyle name="Normal 3 4 2 2" xfId="1112" xr:uid="{00000000-0005-0000-0000-0000114F0000}"/>
    <cellStyle name="Normal 3 4 2 2 2" xfId="1113" xr:uid="{00000000-0005-0000-0000-0000124F0000}"/>
    <cellStyle name="Normal 3 4 2 2 2 2" xfId="1114" xr:uid="{00000000-0005-0000-0000-0000134F0000}"/>
    <cellStyle name="Normal 3 4 2 2 2 2 2" xfId="2539" xr:uid="{00000000-0005-0000-0000-0000144F0000}"/>
    <cellStyle name="Normal 3 4 2 2 2 2 2 2" xfId="7125" xr:uid="{00000000-0005-0000-0000-0000154F0000}"/>
    <cellStyle name="Normal 3 4 2 2 2 2 2 2 2" xfId="16225" xr:uid="{00000000-0005-0000-0000-0000164F0000}"/>
    <cellStyle name="Normal 3 4 2 2 2 2 2 2 2 2" xfId="34407" xr:uid="{00000000-0005-0000-0000-0000174F0000}"/>
    <cellStyle name="Normal 3 4 2 2 2 2 2 2 3" xfId="25317" xr:uid="{00000000-0005-0000-0000-0000184F0000}"/>
    <cellStyle name="Normal 3 4 2 2 2 2 2 3" xfId="11689" xr:uid="{00000000-0005-0000-0000-0000194F0000}"/>
    <cellStyle name="Normal 3 4 2 2 2 2 2 3 2" xfId="29871" xr:uid="{00000000-0005-0000-0000-00001A4F0000}"/>
    <cellStyle name="Normal 3 4 2 2 2 2 2 4" xfId="20781" xr:uid="{00000000-0005-0000-0000-00001B4F0000}"/>
    <cellStyle name="Normal 3 4 2 2 2 2 3" xfId="4116" xr:uid="{00000000-0005-0000-0000-00001C4F0000}"/>
    <cellStyle name="Normal 3 4 2 2 2 2 3 2" xfId="8672" xr:uid="{00000000-0005-0000-0000-00001D4F0000}"/>
    <cellStyle name="Normal 3 4 2 2 2 2 3 2 2" xfId="17768" xr:uid="{00000000-0005-0000-0000-00001E4F0000}"/>
    <cellStyle name="Normal 3 4 2 2 2 2 3 2 2 2" xfId="35950" xr:uid="{00000000-0005-0000-0000-00001F4F0000}"/>
    <cellStyle name="Normal 3 4 2 2 2 2 3 2 3" xfId="26860" xr:uid="{00000000-0005-0000-0000-0000204F0000}"/>
    <cellStyle name="Normal 3 4 2 2 2 2 3 3" xfId="13228" xr:uid="{00000000-0005-0000-0000-0000214F0000}"/>
    <cellStyle name="Normal 3 4 2 2 2 2 3 3 2" xfId="31410" xr:uid="{00000000-0005-0000-0000-0000224F0000}"/>
    <cellStyle name="Normal 3 4 2 2 2 2 3 4" xfId="22320" xr:uid="{00000000-0005-0000-0000-0000234F0000}"/>
    <cellStyle name="Normal 3 4 2 2 2 2 4" xfId="5755" xr:uid="{00000000-0005-0000-0000-0000244F0000}"/>
    <cellStyle name="Normal 3 4 2 2 2 2 4 2" xfId="14855" xr:uid="{00000000-0005-0000-0000-0000254F0000}"/>
    <cellStyle name="Normal 3 4 2 2 2 2 4 2 2" xfId="33037" xr:uid="{00000000-0005-0000-0000-0000264F0000}"/>
    <cellStyle name="Normal 3 4 2 2 2 2 4 3" xfId="23947" xr:uid="{00000000-0005-0000-0000-0000274F0000}"/>
    <cellStyle name="Normal 3 4 2 2 2 2 5" xfId="10321" xr:uid="{00000000-0005-0000-0000-0000284F0000}"/>
    <cellStyle name="Normal 3 4 2 2 2 2 5 2" xfId="28503" xr:uid="{00000000-0005-0000-0000-0000294F0000}"/>
    <cellStyle name="Normal 3 4 2 2 2 2 6" xfId="19412" xr:uid="{00000000-0005-0000-0000-00002A4F0000}"/>
    <cellStyle name="Normal 3 4 2 2 2 3" xfId="2540" xr:uid="{00000000-0005-0000-0000-00002B4F0000}"/>
    <cellStyle name="Normal 3 4 2 2 2 3 2" xfId="7126" xr:uid="{00000000-0005-0000-0000-00002C4F0000}"/>
    <cellStyle name="Normal 3 4 2 2 2 3 2 2" xfId="16226" xr:uid="{00000000-0005-0000-0000-00002D4F0000}"/>
    <cellStyle name="Normal 3 4 2 2 2 3 2 2 2" xfId="34408" xr:uid="{00000000-0005-0000-0000-00002E4F0000}"/>
    <cellStyle name="Normal 3 4 2 2 2 3 2 3" xfId="25318" xr:uid="{00000000-0005-0000-0000-00002F4F0000}"/>
    <cellStyle name="Normal 3 4 2 2 2 3 3" xfId="11690" xr:uid="{00000000-0005-0000-0000-0000304F0000}"/>
    <cellStyle name="Normal 3 4 2 2 2 3 3 2" xfId="29872" xr:uid="{00000000-0005-0000-0000-0000314F0000}"/>
    <cellStyle name="Normal 3 4 2 2 2 3 4" xfId="20782" xr:uid="{00000000-0005-0000-0000-0000324F0000}"/>
    <cellStyle name="Normal 3 4 2 2 2 4" xfId="4115" xr:uid="{00000000-0005-0000-0000-0000334F0000}"/>
    <cellStyle name="Normal 3 4 2 2 2 4 2" xfId="8671" xr:uid="{00000000-0005-0000-0000-0000344F0000}"/>
    <cellStyle name="Normal 3 4 2 2 2 4 2 2" xfId="17767" xr:uid="{00000000-0005-0000-0000-0000354F0000}"/>
    <cellStyle name="Normal 3 4 2 2 2 4 2 2 2" xfId="35949" xr:uid="{00000000-0005-0000-0000-0000364F0000}"/>
    <cellStyle name="Normal 3 4 2 2 2 4 2 3" xfId="26859" xr:uid="{00000000-0005-0000-0000-0000374F0000}"/>
    <cellStyle name="Normal 3 4 2 2 2 4 3" xfId="13227" xr:uid="{00000000-0005-0000-0000-0000384F0000}"/>
    <cellStyle name="Normal 3 4 2 2 2 4 3 2" xfId="31409" xr:uid="{00000000-0005-0000-0000-0000394F0000}"/>
    <cellStyle name="Normal 3 4 2 2 2 4 4" xfId="22319" xr:uid="{00000000-0005-0000-0000-00003A4F0000}"/>
    <cellStyle name="Normal 3 4 2 2 2 5" xfId="5754" xr:uid="{00000000-0005-0000-0000-00003B4F0000}"/>
    <cellStyle name="Normal 3 4 2 2 2 5 2" xfId="14854" xr:uid="{00000000-0005-0000-0000-00003C4F0000}"/>
    <cellStyle name="Normal 3 4 2 2 2 5 2 2" xfId="33036" xr:uid="{00000000-0005-0000-0000-00003D4F0000}"/>
    <cellStyle name="Normal 3 4 2 2 2 5 3" xfId="23946" xr:uid="{00000000-0005-0000-0000-00003E4F0000}"/>
    <cellStyle name="Normal 3 4 2 2 2 6" xfId="10320" xr:uid="{00000000-0005-0000-0000-00003F4F0000}"/>
    <cellStyle name="Normal 3 4 2 2 2 6 2" xfId="28502" xr:uid="{00000000-0005-0000-0000-0000404F0000}"/>
    <cellStyle name="Normal 3 4 2 2 2 7" xfId="19411" xr:uid="{00000000-0005-0000-0000-0000414F0000}"/>
    <cellStyle name="Normal 3 4 2 2 3" xfId="1115" xr:uid="{00000000-0005-0000-0000-0000424F0000}"/>
    <cellStyle name="Normal 3 4 2 2 3 2" xfId="2541" xr:uid="{00000000-0005-0000-0000-0000434F0000}"/>
    <cellStyle name="Normal 3 4 2 2 3 2 2" xfId="7127" xr:uid="{00000000-0005-0000-0000-0000444F0000}"/>
    <cellStyle name="Normal 3 4 2 2 3 2 2 2" xfId="16227" xr:uid="{00000000-0005-0000-0000-0000454F0000}"/>
    <cellStyle name="Normal 3 4 2 2 3 2 2 2 2" xfId="34409" xr:uid="{00000000-0005-0000-0000-0000464F0000}"/>
    <cellStyle name="Normal 3 4 2 2 3 2 2 3" xfId="25319" xr:uid="{00000000-0005-0000-0000-0000474F0000}"/>
    <cellStyle name="Normal 3 4 2 2 3 2 3" xfId="11691" xr:uid="{00000000-0005-0000-0000-0000484F0000}"/>
    <cellStyle name="Normal 3 4 2 2 3 2 3 2" xfId="29873" xr:uid="{00000000-0005-0000-0000-0000494F0000}"/>
    <cellStyle name="Normal 3 4 2 2 3 2 4" xfId="20783" xr:uid="{00000000-0005-0000-0000-00004A4F0000}"/>
    <cellStyle name="Normal 3 4 2 2 3 3" xfId="4117" xr:uid="{00000000-0005-0000-0000-00004B4F0000}"/>
    <cellStyle name="Normal 3 4 2 2 3 3 2" xfId="8673" xr:uid="{00000000-0005-0000-0000-00004C4F0000}"/>
    <cellStyle name="Normal 3 4 2 2 3 3 2 2" xfId="17769" xr:uid="{00000000-0005-0000-0000-00004D4F0000}"/>
    <cellStyle name="Normal 3 4 2 2 3 3 2 2 2" xfId="35951" xr:uid="{00000000-0005-0000-0000-00004E4F0000}"/>
    <cellStyle name="Normal 3 4 2 2 3 3 2 3" xfId="26861" xr:uid="{00000000-0005-0000-0000-00004F4F0000}"/>
    <cellStyle name="Normal 3 4 2 2 3 3 3" xfId="13229" xr:uid="{00000000-0005-0000-0000-0000504F0000}"/>
    <cellStyle name="Normal 3 4 2 2 3 3 3 2" xfId="31411" xr:uid="{00000000-0005-0000-0000-0000514F0000}"/>
    <cellStyle name="Normal 3 4 2 2 3 3 4" xfId="22321" xr:uid="{00000000-0005-0000-0000-0000524F0000}"/>
    <cellStyle name="Normal 3 4 2 2 3 4" xfId="5756" xr:uid="{00000000-0005-0000-0000-0000534F0000}"/>
    <cellStyle name="Normal 3 4 2 2 3 4 2" xfId="14856" xr:uid="{00000000-0005-0000-0000-0000544F0000}"/>
    <cellStyle name="Normal 3 4 2 2 3 4 2 2" xfId="33038" xr:uid="{00000000-0005-0000-0000-0000554F0000}"/>
    <cellStyle name="Normal 3 4 2 2 3 4 3" xfId="23948" xr:uid="{00000000-0005-0000-0000-0000564F0000}"/>
    <cellStyle name="Normal 3 4 2 2 3 5" xfId="10322" xr:uid="{00000000-0005-0000-0000-0000574F0000}"/>
    <cellStyle name="Normal 3 4 2 2 3 5 2" xfId="28504" xr:uid="{00000000-0005-0000-0000-0000584F0000}"/>
    <cellStyle name="Normal 3 4 2 2 3 6" xfId="19413" xr:uid="{00000000-0005-0000-0000-0000594F0000}"/>
    <cellStyle name="Normal 3 4 2 2 4" xfId="1116" xr:uid="{00000000-0005-0000-0000-00005A4F0000}"/>
    <cellStyle name="Normal 3 4 2 2 4 2" xfId="4118" xr:uid="{00000000-0005-0000-0000-00005B4F0000}"/>
    <cellStyle name="Normal 3 4 2 2 4 2 2" xfId="8674" xr:uid="{00000000-0005-0000-0000-00005C4F0000}"/>
    <cellStyle name="Normal 3 4 2 2 4 2 2 2" xfId="17770" xr:uid="{00000000-0005-0000-0000-00005D4F0000}"/>
    <cellStyle name="Normal 3 4 2 2 4 2 2 2 2" xfId="35952" xr:uid="{00000000-0005-0000-0000-00005E4F0000}"/>
    <cellStyle name="Normal 3 4 2 2 4 2 2 3" xfId="26862" xr:uid="{00000000-0005-0000-0000-00005F4F0000}"/>
    <cellStyle name="Normal 3 4 2 2 4 2 3" xfId="13230" xr:uid="{00000000-0005-0000-0000-0000604F0000}"/>
    <cellStyle name="Normal 3 4 2 2 4 2 3 2" xfId="31412" xr:uid="{00000000-0005-0000-0000-0000614F0000}"/>
    <cellStyle name="Normal 3 4 2 2 4 2 4" xfId="22322" xr:uid="{00000000-0005-0000-0000-0000624F0000}"/>
    <cellStyle name="Normal 3 4 2 2 4 3" xfId="5757" xr:uid="{00000000-0005-0000-0000-0000634F0000}"/>
    <cellStyle name="Normal 3 4 2 2 4 3 2" xfId="14857" xr:uid="{00000000-0005-0000-0000-0000644F0000}"/>
    <cellStyle name="Normal 3 4 2 2 4 3 2 2" xfId="33039" xr:uid="{00000000-0005-0000-0000-0000654F0000}"/>
    <cellStyle name="Normal 3 4 2 2 4 3 3" xfId="23949" xr:uid="{00000000-0005-0000-0000-0000664F0000}"/>
    <cellStyle name="Normal 3 4 2 2 4 4" xfId="10323" xr:uid="{00000000-0005-0000-0000-0000674F0000}"/>
    <cellStyle name="Normal 3 4 2 2 4 4 2" xfId="28505" xr:uid="{00000000-0005-0000-0000-0000684F0000}"/>
    <cellStyle name="Normal 3 4 2 2 4 5" xfId="19414" xr:uid="{00000000-0005-0000-0000-0000694F0000}"/>
    <cellStyle name="Normal 3 4 2 2 5" xfId="2542" xr:uid="{00000000-0005-0000-0000-00006A4F0000}"/>
    <cellStyle name="Normal 3 4 2 2 5 2" xfId="7128" xr:uid="{00000000-0005-0000-0000-00006B4F0000}"/>
    <cellStyle name="Normal 3 4 2 2 5 2 2" xfId="16228" xr:uid="{00000000-0005-0000-0000-00006C4F0000}"/>
    <cellStyle name="Normal 3 4 2 2 5 2 2 2" xfId="34410" xr:uid="{00000000-0005-0000-0000-00006D4F0000}"/>
    <cellStyle name="Normal 3 4 2 2 5 2 3" xfId="25320" xr:uid="{00000000-0005-0000-0000-00006E4F0000}"/>
    <cellStyle name="Normal 3 4 2 2 5 3" xfId="11692" xr:uid="{00000000-0005-0000-0000-00006F4F0000}"/>
    <cellStyle name="Normal 3 4 2 2 5 3 2" xfId="29874" xr:uid="{00000000-0005-0000-0000-0000704F0000}"/>
    <cellStyle name="Normal 3 4 2 2 5 4" xfId="20784" xr:uid="{00000000-0005-0000-0000-0000714F0000}"/>
    <cellStyle name="Normal 3 4 2 2 6" xfId="4114" xr:uid="{00000000-0005-0000-0000-0000724F0000}"/>
    <cellStyle name="Normal 3 4 2 2 6 2" xfId="8670" xr:uid="{00000000-0005-0000-0000-0000734F0000}"/>
    <cellStyle name="Normal 3 4 2 2 6 2 2" xfId="17766" xr:uid="{00000000-0005-0000-0000-0000744F0000}"/>
    <cellStyle name="Normal 3 4 2 2 6 2 2 2" xfId="35948" xr:uid="{00000000-0005-0000-0000-0000754F0000}"/>
    <cellStyle name="Normal 3 4 2 2 6 2 3" xfId="26858" xr:uid="{00000000-0005-0000-0000-0000764F0000}"/>
    <cellStyle name="Normal 3 4 2 2 6 3" xfId="13226" xr:uid="{00000000-0005-0000-0000-0000774F0000}"/>
    <cellStyle name="Normal 3 4 2 2 6 3 2" xfId="31408" xr:uid="{00000000-0005-0000-0000-0000784F0000}"/>
    <cellStyle name="Normal 3 4 2 2 6 4" xfId="22318" xr:uid="{00000000-0005-0000-0000-0000794F0000}"/>
    <cellStyle name="Normal 3 4 2 2 7" xfId="5753" xr:uid="{00000000-0005-0000-0000-00007A4F0000}"/>
    <cellStyle name="Normal 3 4 2 2 7 2" xfId="14853" xr:uid="{00000000-0005-0000-0000-00007B4F0000}"/>
    <cellStyle name="Normal 3 4 2 2 7 2 2" xfId="33035" xr:uid="{00000000-0005-0000-0000-00007C4F0000}"/>
    <cellStyle name="Normal 3 4 2 2 7 3" xfId="23945" xr:uid="{00000000-0005-0000-0000-00007D4F0000}"/>
    <cellStyle name="Normal 3 4 2 2 8" xfId="10319" xr:uid="{00000000-0005-0000-0000-00007E4F0000}"/>
    <cellStyle name="Normal 3 4 2 2 8 2" xfId="28501" xr:uid="{00000000-0005-0000-0000-00007F4F0000}"/>
    <cellStyle name="Normal 3 4 2 2 9" xfId="19410" xr:uid="{00000000-0005-0000-0000-0000804F0000}"/>
    <cellStyle name="Normal 3 4 2 3" xfId="1117" xr:uid="{00000000-0005-0000-0000-0000814F0000}"/>
    <cellStyle name="Normal 3 4 2 3 2" xfId="1118" xr:uid="{00000000-0005-0000-0000-0000824F0000}"/>
    <cellStyle name="Normal 3 4 2 3 2 2" xfId="2543" xr:uid="{00000000-0005-0000-0000-0000834F0000}"/>
    <cellStyle name="Normal 3 4 2 3 2 2 2" xfId="7129" xr:uid="{00000000-0005-0000-0000-0000844F0000}"/>
    <cellStyle name="Normal 3 4 2 3 2 2 2 2" xfId="16229" xr:uid="{00000000-0005-0000-0000-0000854F0000}"/>
    <cellStyle name="Normal 3 4 2 3 2 2 2 2 2" xfId="34411" xr:uid="{00000000-0005-0000-0000-0000864F0000}"/>
    <cellStyle name="Normal 3 4 2 3 2 2 2 3" xfId="25321" xr:uid="{00000000-0005-0000-0000-0000874F0000}"/>
    <cellStyle name="Normal 3 4 2 3 2 2 3" xfId="11693" xr:uid="{00000000-0005-0000-0000-0000884F0000}"/>
    <cellStyle name="Normal 3 4 2 3 2 2 3 2" xfId="29875" xr:uid="{00000000-0005-0000-0000-0000894F0000}"/>
    <cellStyle name="Normal 3 4 2 3 2 2 4" xfId="20785" xr:uid="{00000000-0005-0000-0000-00008A4F0000}"/>
    <cellStyle name="Normal 3 4 2 3 2 3" xfId="4120" xr:uid="{00000000-0005-0000-0000-00008B4F0000}"/>
    <cellStyle name="Normal 3 4 2 3 2 3 2" xfId="8676" xr:uid="{00000000-0005-0000-0000-00008C4F0000}"/>
    <cellStyle name="Normal 3 4 2 3 2 3 2 2" xfId="17772" xr:uid="{00000000-0005-0000-0000-00008D4F0000}"/>
    <cellStyle name="Normal 3 4 2 3 2 3 2 2 2" xfId="35954" xr:uid="{00000000-0005-0000-0000-00008E4F0000}"/>
    <cellStyle name="Normal 3 4 2 3 2 3 2 3" xfId="26864" xr:uid="{00000000-0005-0000-0000-00008F4F0000}"/>
    <cellStyle name="Normal 3 4 2 3 2 3 3" xfId="13232" xr:uid="{00000000-0005-0000-0000-0000904F0000}"/>
    <cellStyle name="Normal 3 4 2 3 2 3 3 2" xfId="31414" xr:uid="{00000000-0005-0000-0000-0000914F0000}"/>
    <cellStyle name="Normal 3 4 2 3 2 3 4" xfId="22324" xr:uid="{00000000-0005-0000-0000-0000924F0000}"/>
    <cellStyle name="Normal 3 4 2 3 2 4" xfId="5759" xr:uid="{00000000-0005-0000-0000-0000934F0000}"/>
    <cellStyle name="Normal 3 4 2 3 2 4 2" xfId="14859" xr:uid="{00000000-0005-0000-0000-0000944F0000}"/>
    <cellStyle name="Normal 3 4 2 3 2 4 2 2" xfId="33041" xr:uid="{00000000-0005-0000-0000-0000954F0000}"/>
    <cellStyle name="Normal 3 4 2 3 2 4 3" xfId="23951" xr:uid="{00000000-0005-0000-0000-0000964F0000}"/>
    <cellStyle name="Normal 3 4 2 3 2 5" xfId="10325" xr:uid="{00000000-0005-0000-0000-0000974F0000}"/>
    <cellStyle name="Normal 3 4 2 3 2 5 2" xfId="28507" xr:uid="{00000000-0005-0000-0000-0000984F0000}"/>
    <cellStyle name="Normal 3 4 2 3 2 6" xfId="19416" xr:uid="{00000000-0005-0000-0000-0000994F0000}"/>
    <cellStyle name="Normal 3 4 2 3 3" xfId="2544" xr:uid="{00000000-0005-0000-0000-00009A4F0000}"/>
    <cellStyle name="Normal 3 4 2 3 3 2" xfId="7130" xr:uid="{00000000-0005-0000-0000-00009B4F0000}"/>
    <cellStyle name="Normal 3 4 2 3 3 2 2" xfId="16230" xr:uid="{00000000-0005-0000-0000-00009C4F0000}"/>
    <cellStyle name="Normal 3 4 2 3 3 2 2 2" xfId="34412" xr:uid="{00000000-0005-0000-0000-00009D4F0000}"/>
    <cellStyle name="Normal 3 4 2 3 3 2 3" xfId="25322" xr:uid="{00000000-0005-0000-0000-00009E4F0000}"/>
    <cellStyle name="Normal 3 4 2 3 3 3" xfId="11694" xr:uid="{00000000-0005-0000-0000-00009F4F0000}"/>
    <cellStyle name="Normal 3 4 2 3 3 3 2" xfId="29876" xr:uid="{00000000-0005-0000-0000-0000A04F0000}"/>
    <cellStyle name="Normal 3 4 2 3 3 4" xfId="20786" xr:uid="{00000000-0005-0000-0000-0000A14F0000}"/>
    <cellStyle name="Normal 3 4 2 3 4" xfId="4119" xr:uid="{00000000-0005-0000-0000-0000A24F0000}"/>
    <cellStyle name="Normal 3 4 2 3 4 2" xfId="8675" xr:uid="{00000000-0005-0000-0000-0000A34F0000}"/>
    <cellStyle name="Normal 3 4 2 3 4 2 2" xfId="17771" xr:uid="{00000000-0005-0000-0000-0000A44F0000}"/>
    <cellStyle name="Normal 3 4 2 3 4 2 2 2" xfId="35953" xr:uid="{00000000-0005-0000-0000-0000A54F0000}"/>
    <cellStyle name="Normal 3 4 2 3 4 2 3" xfId="26863" xr:uid="{00000000-0005-0000-0000-0000A64F0000}"/>
    <cellStyle name="Normal 3 4 2 3 4 3" xfId="13231" xr:uid="{00000000-0005-0000-0000-0000A74F0000}"/>
    <cellStyle name="Normal 3 4 2 3 4 3 2" xfId="31413" xr:uid="{00000000-0005-0000-0000-0000A84F0000}"/>
    <cellStyle name="Normal 3 4 2 3 4 4" xfId="22323" xr:uid="{00000000-0005-0000-0000-0000A94F0000}"/>
    <cellStyle name="Normal 3 4 2 3 5" xfId="5758" xr:uid="{00000000-0005-0000-0000-0000AA4F0000}"/>
    <cellStyle name="Normal 3 4 2 3 5 2" xfId="14858" xr:uid="{00000000-0005-0000-0000-0000AB4F0000}"/>
    <cellStyle name="Normal 3 4 2 3 5 2 2" xfId="33040" xr:uid="{00000000-0005-0000-0000-0000AC4F0000}"/>
    <cellStyle name="Normal 3 4 2 3 5 3" xfId="23950" xr:uid="{00000000-0005-0000-0000-0000AD4F0000}"/>
    <cellStyle name="Normal 3 4 2 3 6" xfId="10324" xr:uid="{00000000-0005-0000-0000-0000AE4F0000}"/>
    <cellStyle name="Normal 3 4 2 3 6 2" xfId="28506" xr:uid="{00000000-0005-0000-0000-0000AF4F0000}"/>
    <cellStyle name="Normal 3 4 2 3 7" xfId="19415" xr:uid="{00000000-0005-0000-0000-0000B04F0000}"/>
    <cellStyle name="Normal 3 4 2 4" xfId="1119" xr:uid="{00000000-0005-0000-0000-0000B14F0000}"/>
    <cellStyle name="Normal 3 4 2 4 2" xfId="2545" xr:uid="{00000000-0005-0000-0000-0000B24F0000}"/>
    <cellStyle name="Normal 3 4 2 4 2 2" xfId="7131" xr:uid="{00000000-0005-0000-0000-0000B34F0000}"/>
    <cellStyle name="Normal 3 4 2 4 2 2 2" xfId="16231" xr:uid="{00000000-0005-0000-0000-0000B44F0000}"/>
    <cellStyle name="Normal 3 4 2 4 2 2 2 2" xfId="34413" xr:uid="{00000000-0005-0000-0000-0000B54F0000}"/>
    <cellStyle name="Normal 3 4 2 4 2 2 3" xfId="25323" xr:uid="{00000000-0005-0000-0000-0000B64F0000}"/>
    <cellStyle name="Normal 3 4 2 4 2 3" xfId="11695" xr:uid="{00000000-0005-0000-0000-0000B74F0000}"/>
    <cellStyle name="Normal 3 4 2 4 2 3 2" xfId="29877" xr:uid="{00000000-0005-0000-0000-0000B84F0000}"/>
    <cellStyle name="Normal 3 4 2 4 2 4" xfId="20787" xr:uid="{00000000-0005-0000-0000-0000B94F0000}"/>
    <cellStyle name="Normal 3 4 2 4 3" xfId="4121" xr:uid="{00000000-0005-0000-0000-0000BA4F0000}"/>
    <cellStyle name="Normal 3 4 2 4 3 2" xfId="8677" xr:uid="{00000000-0005-0000-0000-0000BB4F0000}"/>
    <cellStyle name="Normal 3 4 2 4 3 2 2" xfId="17773" xr:uid="{00000000-0005-0000-0000-0000BC4F0000}"/>
    <cellStyle name="Normal 3 4 2 4 3 2 2 2" xfId="35955" xr:uid="{00000000-0005-0000-0000-0000BD4F0000}"/>
    <cellStyle name="Normal 3 4 2 4 3 2 3" xfId="26865" xr:uid="{00000000-0005-0000-0000-0000BE4F0000}"/>
    <cellStyle name="Normal 3 4 2 4 3 3" xfId="13233" xr:uid="{00000000-0005-0000-0000-0000BF4F0000}"/>
    <cellStyle name="Normal 3 4 2 4 3 3 2" xfId="31415" xr:uid="{00000000-0005-0000-0000-0000C04F0000}"/>
    <cellStyle name="Normal 3 4 2 4 3 4" xfId="22325" xr:uid="{00000000-0005-0000-0000-0000C14F0000}"/>
    <cellStyle name="Normal 3 4 2 4 4" xfId="5760" xr:uid="{00000000-0005-0000-0000-0000C24F0000}"/>
    <cellStyle name="Normal 3 4 2 4 4 2" xfId="14860" xr:uid="{00000000-0005-0000-0000-0000C34F0000}"/>
    <cellStyle name="Normal 3 4 2 4 4 2 2" xfId="33042" xr:uid="{00000000-0005-0000-0000-0000C44F0000}"/>
    <cellStyle name="Normal 3 4 2 4 4 3" xfId="23952" xr:uid="{00000000-0005-0000-0000-0000C54F0000}"/>
    <cellStyle name="Normal 3 4 2 4 5" xfId="10326" xr:uid="{00000000-0005-0000-0000-0000C64F0000}"/>
    <cellStyle name="Normal 3 4 2 4 5 2" xfId="28508" xr:uid="{00000000-0005-0000-0000-0000C74F0000}"/>
    <cellStyle name="Normal 3 4 2 4 6" xfId="19417" xr:uid="{00000000-0005-0000-0000-0000C84F0000}"/>
    <cellStyle name="Normal 3 4 2 5" xfId="1120" xr:uid="{00000000-0005-0000-0000-0000C94F0000}"/>
    <cellStyle name="Normal 3 4 2 5 2" xfId="4122" xr:uid="{00000000-0005-0000-0000-0000CA4F0000}"/>
    <cellStyle name="Normal 3 4 2 5 2 2" xfId="8678" xr:uid="{00000000-0005-0000-0000-0000CB4F0000}"/>
    <cellStyle name="Normal 3 4 2 5 2 2 2" xfId="17774" xr:uid="{00000000-0005-0000-0000-0000CC4F0000}"/>
    <cellStyle name="Normal 3 4 2 5 2 2 2 2" xfId="35956" xr:uid="{00000000-0005-0000-0000-0000CD4F0000}"/>
    <cellStyle name="Normal 3 4 2 5 2 2 3" xfId="26866" xr:uid="{00000000-0005-0000-0000-0000CE4F0000}"/>
    <cellStyle name="Normal 3 4 2 5 2 3" xfId="13234" xr:uid="{00000000-0005-0000-0000-0000CF4F0000}"/>
    <cellStyle name="Normal 3 4 2 5 2 3 2" xfId="31416" xr:uid="{00000000-0005-0000-0000-0000D04F0000}"/>
    <cellStyle name="Normal 3 4 2 5 2 4" xfId="22326" xr:uid="{00000000-0005-0000-0000-0000D14F0000}"/>
    <cellStyle name="Normal 3 4 2 5 3" xfId="5761" xr:uid="{00000000-0005-0000-0000-0000D24F0000}"/>
    <cellStyle name="Normal 3 4 2 5 3 2" xfId="14861" xr:uid="{00000000-0005-0000-0000-0000D34F0000}"/>
    <cellStyle name="Normal 3 4 2 5 3 2 2" xfId="33043" xr:uid="{00000000-0005-0000-0000-0000D44F0000}"/>
    <cellStyle name="Normal 3 4 2 5 3 3" xfId="23953" xr:uid="{00000000-0005-0000-0000-0000D54F0000}"/>
    <cellStyle name="Normal 3 4 2 5 4" xfId="10327" xr:uid="{00000000-0005-0000-0000-0000D64F0000}"/>
    <cellStyle name="Normal 3 4 2 5 4 2" xfId="28509" xr:uid="{00000000-0005-0000-0000-0000D74F0000}"/>
    <cellStyle name="Normal 3 4 2 5 5" xfId="19418" xr:uid="{00000000-0005-0000-0000-0000D84F0000}"/>
    <cellStyle name="Normal 3 4 2 6" xfId="2546" xr:uid="{00000000-0005-0000-0000-0000D94F0000}"/>
    <cellStyle name="Normal 3 4 2 6 2" xfId="7132" xr:uid="{00000000-0005-0000-0000-0000DA4F0000}"/>
    <cellStyle name="Normal 3 4 2 6 2 2" xfId="16232" xr:uid="{00000000-0005-0000-0000-0000DB4F0000}"/>
    <cellStyle name="Normal 3 4 2 6 2 2 2" xfId="34414" xr:uid="{00000000-0005-0000-0000-0000DC4F0000}"/>
    <cellStyle name="Normal 3 4 2 6 2 3" xfId="25324" xr:uid="{00000000-0005-0000-0000-0000DD4F0000}"/>
    <cellStyle name="Normal 3 4 2 6 3" xfId="11696" xr:uid="{00000000-0005-0000-0000-0000DE4F0000}"/>
    <cellStyle name="Normal 3 4 2 6 3 2" xfId="29878" xr:uid="{00000000-0005-0000-0000-0000DF4F0000}"/>
    <cellStyle name="Normal 3 4 2 6 4" xfId="20788" xr:uid="{00000000-0005-0000-0000-0000E04F0000}"/>
    <cellStyle name="Normal 3 4 2 7" xfId="4113" xr:uid="{00000000-0005-0000-0000-0000E14F0000}"/>
    <cellStyle name="Normal 3 4 2 7 2" xfId="8669" xr:uid="{00000000-0005-0000-0000-0000E24F0000}"/>
    <cellStyle name="Normal 3 4 2 7 2 2" xfId="17765" xr:uid="{00000000-0005-0000-0000-0000E34F0000}"/>
    <cellStyle name="Normal 3 4 2 7 2 2 2" xfId="35947" xr:uid="{00000000-0005-0000-0000-0000E44F0000}"/>
    <cellStyle name="Normal 3 4 2 7 2 3" xfId="26857" xr:uid="{00000000-0005-0000-0000-0000E54F0000}"/>
    <cellStyle name="Normal 3 4 2 7 3" xfId="13225" xr:uid="{00000000-0005-0000-0000-0000E64F0000}"/>
    <cellStyle name="Normal 3 4 2 7 3 2" xfId="31407" xr:uid="{00000000-0005-0000-0000-0000E74F0000}"/>
    <cellStyle name="Normal 3 4 2 7 4" xfId="22317" xr:uid="{00000000-0005-0000-0000-0000E84F0000}"/>
    <cellStyle name="Normal 3 4 2 8" xfId="5752" xr:uid="{00000000-0005-0000-0000-0000E94F0000}"/>
    <cellStyle name="Normal 3 4 2 8 2" xfId="14852" xr:uid="{00000000-0005-0000-0000-0000EA4F0000}"/>
    <cellStyle name="Normal 3 4 2 8 2 2" xfId="33034" xr:uid="{00000000-0005-0000-0000-0000EB4F0000}"/>
    <cellStyle name="Normal 3 4 2 8 3" xfId="23944" xr:uid="{00000000-0005-0000-0000-0000EC4F0000}"/>
    <cellStyle name="Normal 3 4 2 9" xfId="10318" xr:uid="{00000000-0005-0000-0000-0000ED4F0000}"/>
    <cellStyle name="Normal 3 4 2 9 2" xfId="28500" xr:uid="{00000000-0005-0000-0000-0000EE4F0000}"/>
    <cellStyle name="Normal 3 4 3" xfId="1121" xr:uid="{00000000-0005-0000-0000-0000EF4F0000}"/>
    <cellStyle name="Normal 3 4 3 2" xfId="1122" xr:uid="{00000000-0005-0000-0000-0000F04F0000}"/>
    <cellStyle name="Normal 3 4 3 2 2" xfId="1123" xr:uid="{00000000-0005-0000-0000-0000F14F0000}"/>
    <cellStyle name="Normal 3 4 3 2 2 2" xfId="2547" xr:uid="{00000000-0005-0000-0000-0000F24F0000}"/>
    <cellStyle name="Normal 3 4 3 2 2 2 2" xfId="7133" xr:uid="{00000000-0005-0000-0000-0000F34F0000}"/>
    <cellStyle name="Normal 3 4 3 2 2 2 2 2" xfId="16233" xr:uid="{00000000-0005-0000-0000-0000F44F0000}"/>
    <cellStyle name="Normal 3 4 3 2 2 2 2 2 2" xfId="34415" xr:uid="{00000000-0005-0000-0000-0000F54F0000}"/>
    <cellStyle name="Normal 3 4 3 2 2 2 2 3" xfId="25325" xr:uid="{00000000-0005-0000-0000-0000F64F0000}"/>
    <cellStyle name="Normal 3 4 3 2 2 2 3" xfId="11697" xr:uid="{00000000-0005-0000-0000-0000F74F0000}"/>
    <cellStyle name="Normal 3 4 3 2 2 2 3 2" xfId="29879" xr:uid="{00000000-0005-0000-0000-0000F84F0000}"/>
    <cellStyle name="Normal 3 4 3 2 2 2 4" xfId="20789" xr:uid="{00000000-0005-0000-0000-0000F94F0000}"/>
    <cellStyle name="Normal 3 4 3 2 2 3" xfId="4125" xr:uid="{00000000-0005-0000-0000-0000FA4F0000}"/>
    <cellStyle name="Normal 3 4 3 2 2 3 2" xfId="8681" xr:uid="{00000000-0005-0000-0000-0000FB4F0000}"/>
    <cellStyle name="Normal 3 4 3 2 2 3 2 2" xfId="17777" xr:uid="{00000000-0005-0000-0000-0000FC4F0000}"/>
    <cellStyle name="Normal 3 4 3 2 2 3 2 2 2" xfId="35959" xr:uid="{00000000-0005-0000-0000-0000FD4F0000}"/>
    <cellStyle name="Normal 3 4 3 2 2 3 2 3" xfId="26869" xr:uid="{00000000-0005-0000-0000-0000FE4F0000}"/>
    <cellStyle name="Normal 3 4 3 2 2 3 3" xfId="13237" xr:uid="{00000000-0005-0000-0000-0000FF4F0000}"/>
    <cellStyle name="Normal 3 4 3 2 2 3 3 2" xfId="31419" xr:uid="{00000000-0005-0000-0000-000000500000}"/>
    <cellStyle name="Normal 3 4 3 2 2 3 4" xfId="22329" xr:uid="{00000000-0005-0000-0000-000001500000}"/>
    <cellStyle name="Normal 3 4 3 2 2 4" xfId="5764" xr:uid="{00000000-0005-0000-0000-000002500000}"/>
    <cellStyle name="Normal 3 4 3 2 2 4 2" xfId="14864" xr:uid="{00000000-0005-0000-0000-000003500000}"/>
    <cellStyle name="Normal 3 4 3 2 2 4 2 2" xfId="33046" xr:uid="{00000000-0005-0000-0000-000004500000}"/>
    <cellStyle name="Normal 3 4 3 2 2 4 3" xfId="23956" xr:uid="{00000000-0005-0000-0000-000005500000}"/>
    <cellStyle name="Normal 3 4 3 2 2 5" xfId="10330" xr:uid="{00000000-0005-0000-0000-000006500000}"/>
    <cellStyle name="Normal 3 4 3 2 2 5 2" xfId="28512" xr:uid="{00000000-0005-0000-0000-000007500000}"/>
    <cellStyle name="Normal 3 4 3 2 2 6" xfId="19421" xr:uid="{00000000-0005-0000-0000-000008500000}"/>
    <cellStyle name="Normal 3 4 3 2 3" xfId="2548" xr:uid="{00000000-0005-0000-0000-000009500000}"/>
    <cellStyle name="Normal 3 4 3 2 3 2" xfId="7134" xr:uid="{00000000-0005-0000-0000-00000A500000}"/>
    <cellStyle name="Normal 3 4 3 2 3 2 2" xfId="16234" xr:uid="{00000000-0005-0000-0000-00000B500000}"/>
    <cellStyle name="Normal 3 4 3 2 3 2 2 2" xfId="34416" xr:uid="{00000000-0005-0000-0000-00000C500000}"/>
    <cellStyle name="Normal 3 4 3 2 3 2 3" xfId="25326" xr:uid="{00000000-0005-0000-0000-00000D500000}"/>
    <cellStyle name="Normal 3 4 3 2 3 3" xfId="11698" xr:uid="{00000000-0005-0000-0000-00000E500000}"/>
    <cellStyle name="Normal 3 4 3 2 3 3 2" xfId="29880" xr:uid="{00000000-0005-0000-0000-00000F500000}"/>
    <cellStyle name="Normal 3 4 3 2 3 4" xfId="20790" xr:uid="{00000000-0005-0000-0000-000010500000}"/>
    <cellStyle name="Normal 3 4 3 2 4" xfId="4124" xr:uid="{00000000-0005-0000-0000-000011500000}"/>
    <cellStyle name="Normal 3 4 3 2 4 2" xfId="8680" xr:uid="{00000000-0005-0000-0000-000012500000}"/>
    <cellStyle name="Normal 3 4 3 2 4 2 2" xfId="17776" xr:uid="{00000000-0005-0000-0000-000013500000}"/>
    <cellStyle name="Normal 3 4 3 2 4 2 2 2" xfId="35958" xr:uid="{00000000-0005-0000-0000-000014500000}"/>
    <cellStyle name="Normal 3 4 3 2 4 2 3" xfId="26868" xr:uid="{00000000-0005-0000-0000-000015500000}"/>
    <cellStyle name="Normal 3 4 3 2 4 3" xfId="13236" xr:uid="{00000000-0005-0000-0000-000016500000}"/>
    <cellStyle name="Normal 3 4 3 2 4 3 2" xfId="31418" xr:uid="{00000000-0005-0000-0000-000017500000}"/>
    <cellStyle name="Normal 3 4 3 2 4 4" xfId="22328" xr:uid="{00000000-0005-0000-0000-000018500000}"/>
    <cellStyle name="Normal 3 4 3 2 5" xfId="5763" xr:uid="{00000000-0005-0000-0000-000019500000}"/>
    <cellStyle name="Normal 3 4 3 2 5 2" xfId="14863" xr:uid="{00000000-0005-0000-0000-00001A500000}"/>
    <cellStyle name="Normal 3 4 3 2 5 2 2" xfId="33045" xr:uid="{00000000-0005-0000-0000-00001B500000}"/>
    <cellStyle name="Normal 3 4 3 2 5 3" xfId="23955" xr:uid="{00000000-0005-0000-0000-00001C500000}"/>
    <cellStyle name="Normal 3 4 3 2 6" xfId="10329" xr:uid="{00000000-0005-0000-0000-00001D500000}"/>
    <cellStyle name="Normal 3 4 3 2 6 2" xfId="28511" xr:uid="{00000000-0005-0000-0000-00001E500000}"/>
    <cellStyle name="Normal 3 4 3 2 7" xfId="19420" xr:uid="{00000000-0005-0000-0000-00001F500000}"/>
    <cellStyle name="Normal 3 4 3 3" xfId="1124" xr:uid="{00000000-0005-0000-0000-000020500000}"/>
    <cellStyle name="Normal 3 4 3 3 2" xfId="2549" xr:uid="{00000000-0005-0000-0000-000021500000}"/>
    <cellStyle name="Normal 3 4 3 3 2 2" xfId="7135" xr:uid="{00000000-0005-0000-0000-000022500000}"/>
    <cellStyle name="Normal 3 4 3 3 2 2 2" xfId="16235" xr:uid="{00000000-0005-0000-0000-000023500000}"/>
    <cellStyle name="Normal 3 4 3 3 2 2 2 2" xfId="34417" xr:uid="{00000000-0005-0000-0000-000024500000}"/>
    <cellStyle name="Normal 3 4 3 3 2 2 3" xfId="25327" xr:uid="{00000000-0005-0000-0000-000025500000}"/>
    <cellStyle name="Normal 3 4 3 3 2 3" xfId="11699" xr:uid="{00000000-0005-0000-0000-000026500000}"/>
    <cellStyle name="Normal 3 4 3 3 2 3 2" xfId="29881" xr:uid="{00000000-0005-0000-0000-000027500000}"/>
    <cellStyle name="Normal 3 4 3 3 2 4" xfId="20791" xr:uid="{00000000-0005-0000-0000-000028500000}"/>
    <cellStyle name="Normal 3 4 3 3 3" xfId="4126" xr:uid="{00000000-0005-0000-0000-000029500000}"/>
    <cellStyle name="Normal 3 4 3 3 3 2" xfId="8682" xr:uid="{00000000-0005-0000-0000-00002A500000}"/>
    <cellStyle name="Normal 3 4 3 3 3 2 2" xfId="17778" xr:uid="{00000000-0005-0000-0000-00002B500000}"/>
    <cellStyle name="Normal 3 4 3 3 3 2 2 2" xfId="35960" xr:uid="{00000000-0005-0000-0000-00002C500000}"/>
    <cellStyle name="Normal 3 4 3 3 3 2 3" xfId="26870" xr:uid="{00000000-0005-0000-0000-00002D500000}"/>
    <cellStyle name="Normal 3 4 3 3 3 3" xfId="13238" xr:uid="{00000000-0005-0000-0000-00002E500000}"/>
    <cellStyle name="Normal 3 4 3 3 3 3 2" xfId="31420" xr:uid="{00000000-0005-0000-0000-00002F500000}"/>
    <cellStyle name="Normal 3 4 3 3 3 4" xfId="22330" xr:uid="{00000000-0005-0000-0000-000030500000}"/>
    <cellStyle name="Normal 3 4 3 3 4" xfId="5765" xr:uid="{00000000-0005-0000-0000-000031500000}"/>
    <cellStyle name="Normal 3 4 3 3 4 2" xfId="14865" xr:uid="{00000000-0005-0000-0000-000032500000}"/>
    <cellStyle name="Normal 3 4 3 3 4 2 2" xfId="33047" xr:uid="{00000000-0005-0000-0000-000033500000}"/>
    <cellStyle name="Normal 3 4 3 3 4 3" xfId="23957" xr:uid="{00000000-0005-0000-0000-000034500000}"/>
    <cellStyle name="Normal 3 4 3 3 5" xfId="10331" xr:uid="{00000000-0005-0000-0000-000035500000}"/>
    <cellStyle name="Normal 3 4 3 3 5 2" xfId="28513" xr:uid="{00000000-0005-0000-0000-000036500000}"/>
    <cellStyle name="Normal 3 4 3 3 6" xfId="19422" xr:uid="{00000000-0005-0000-0000-000037500000}"/>
    <cellStyle name="Normal 3 4 3 4" xfId="1125" xr:uid="{00000000-0005-0000-0000-000038500000}"/>
    <cellStyle name="Normal 3 4 3 4 2" xfId="4127" xr:uid="{00000000-0005-0000-0000-000039500000}"/>
    <cellStyle name="Normal 3 4 3 4 2 2" xfId="8683" xr:uid="{00000000-0005-0000-0000-00003A500000}"/>
    <cellStyle name="Normal 3 4 3 4 2 2 2" xfId="17779" xr:uid="{00000000-0005-0000-0000-00003B500000}"/>
    <cellStyle name="Normal 3 4 3 4 2 2 2 2" xfId="35961" xr:uid="{00000000-0005-0000-0000-00003C500000}"/>
    <cellStyle name="Normal 3 4 3 4 2 2 3" xfId="26871" xr:uid="{00000000-0005-0000-0000-00003D500000}"/>
    <cellStyle name="Normal 3 4 3 4 2 3" xfId="13239" xr:uid="{00000000-0005-0000-0000-00003E500000}"/>
    <cellStyle name="Normal 3 4 3 4 2 3 2" xfId="31421" xr:uid="{00000000-0005-0000-0000-00003F500000}"/>
    <cellStyle name="Normal 3 4 3 4 2 4" xfId="22331" xr:uid="{00000000-0005-0000-0000-000040500000}"/>
    <cellStyle name="Normal 3 4 3 4 3" xfId="5766" xr:uid="{00000000-0005-0000-0000-000041500000}"/>
    <cellStyle name="Normal 3 4 3 4 3 2" xfId="14866" xr:uid="{00000000-0005-0000-0000-000042500000}"/>
    <cellStyle name="Normal 3 4 3 4 3 2 2" xfId="33048" xr:uid="{00000000-0005-0000-0000-000043500000}"/>
    <cellStyle name="Normal 3 4 3 4 3 3" xfId="23958" xr:uid="{00000000-0005-0000-0000-000044500000}"/>
    <cellStyle name="Normal 3 4 3 4 4" xfId="10332" xr:uid="{00000000-0005-0000-0000-000045500000}"/>
    <cellStyle name="Normal 3 4 3 4 4 2" xfId="28514" xr:uid="{00000000-0005-0000-0000-000046500000}"/>
    <cellStyle name="Normal 3 4 3 4 5" xfId="19423" xr:uid="{00000000-0005-0000-0000-000047500000}"/>
    <cellStyle name="Normal 3 4 3 5" xfId="2550" xr:uid="{00000000-0005-0000-0000-000048500000}"/>
    <cellStyle name="Normal 3 4 3 5 2" xfId="7136" xr:uid="{00000000-0005-0000-0000-000049500000}"/>
    <cellStyle name="Normal 3 4 3 5 2 2" xfId="16236" xr:uid="{00000000-0005-0000-0000-00004A500000}"/>
    <cellStyle name="Normal 3 4 3 5 2 2 2" xfId="34418" xr:uid="{00000000-0005-0000-0000-00004B500000}"/>
    <cellStyle name="Normal 3 4 3 5 2 3" xfId="25328" xr:uid="{00000000-0005-0000-0000-00004C500000}"/>
    <cellStyle name="Normal 3 4 3 5 3" xfId="11700" xr:uid="{00000000-0005-0000-0000-00004D500000}"/>
    <cellStyle name="Normal 3 4 3 5 3 2" xfId="29882" xr:uid="{00000000-0005-0000-0000-00004E500000}"/>
    <cellStyle name="Normal 3 4 3 5 4" xfId="20792" xr:uid="{00000000-0005-0000-0000-00004F500000}"/>
    <cellStyle name="Normal 3 4 3 6" xfId="4123" xr:uid="{00000000-0005-0000-0000-000050500000}"/>
    <cellStyle name="Normal 3 4 3 6 2" xfId="8679" xr:uid="{00000000-0005-0000-0000-000051500000}"/>
    <cellStyle name="Normal 3 4 3 6 2 2" xfId="17775" xr:uid="{00000000-0005-0000-0000-000052500000}"/>
    <cellStyle name="Normal 3 4 3 6 2 2 2" xfId="35957" xr:uid="{00000000-0005-0000-0000-000053500000}"/>
    <cellStyle name="Normal 3 4 3 6 2 3" xfId="26867" xr:uid="{00000000-0005-0000-0000-000054500000}"/>
    <cellStyle name="Normal 3 4 3 6 3" xfId="13235" xr:uid="{00000000-0005-0000-0000-000055500000}"/>
    <cellStyle name="Normal 3 4 3 6 3 2" xfId="31417" xr:uid="{00000000-0005-0000-0000-000056500000}"/>
    <cellStyle name="Normal 3 4 3 6 4" xfId="22327" xr:uid="{00000000-0005-0000-0000-000057500000}"/>
    <cellStyle name="Normal 3 4 3 7" xfId="5762" xr:uid="{00000000-0005-0000-0000-000058500000}"/>
    <cellStyle name="Normal 3 4 3 7 2" xfId="14862" xr:uid="{00000000-0005-0000-0000-000059500000}"/>
    <cellStyle name="Normal 3 4 3 7 2 2" xfId="33044" xr:uid="{00000000-0005-0000-0000-00005A500000}"/>
    <cellStyle name="Normal 3 4 3 7 3" xfId="23954" xr:uid="{00000000-0005-0000-0000-00005B500000}"/>
    <cellStyle name="Normal 3 4 3 8" xfId="10328" xr:uid="{00000000-0005-0000-0000-00005C500000}"/>
    <cellStyle name="Normal 3 4 3 8 2" xfId="28510" xr:uid="{00000000-0005-0000-0000-00005D500000}"/>
    <cellStyle name="Normal 3 4 3 9" xfId="19419" xr:uid="{00000000-0005-0000-0000-00005E500000}"/>
    <cellStyle name="Normal 3 4 4" xfId="1126" xr:uid="{00000000-0005-0000-0000-00005F500000}"/>
    <cellStyle name="Normal 3 4 4 2" xfId="1127" xr:uid="{00000000-0005-0000-0000-000060500000}"/>
    <cellStyle name="Normal 3 4 4 2 2" xfId="2551" xr:uid="{00000000-0005-0000-0000-000061500000}"/>
    <cellStyle name="Normal 3 4 4 2 2 2" xfId="7137" xr:uid="{00000000-0005-0000-0000-000062500000}"/>
    <cellStyle name="Normal 3 4 4 2 2 2 2" xfId="16237" xr:uid="{00000000-0005-0000-0000-000063500000}"/>
    <cellStyle name="Normal 3 4 4 2 2 2 2 2" xfId="34419" xr:uid="{00000000-0005-0000-0000-000064500000}"/>
    <cellStyle name="Normal 3 4 4 2 2 2 3" xfId="25329" xr:uid="{00000000-0005-0000-0000-000065500000}"/>
    <cellStyle name="Normal 3 4 4 2 2 3" xfId="11701" xr:uid="{00000000-0005-0000-0000-000066500000}"/>
    <cellStyle name="Normal 3 4 4 2 2 3 2" xfId="29883" xr:uid="{00000000-0005-0000-0000-000067500000}"/>
    <cellStyle name="Normal 3 4 4 2 2 4" xfId="20793" xr:uid="{00000000-0005-0000-0000-000068500000}"/>
    <cellStyle name="Normal 3 4 4 2 3" xfId="4129" xr:uid="{00000000-0005-0000-0000-000069500000}"/>
    <cellStyle name="Normal 3 4 4 2 3 2" xfId="8685" xr:uid="{00000000-0005-0000-0000-00006A500000}"/>
    <cellStyle name="Normal 3 4 4 2 3 2 2" xfId="17781" xr:uid="{00000000-0005-0000-0000-00006B500000}"/>
    <cellStyle name="Normal 3 4 4 2 3 2 2 2" xfId="35963" xr:uid="{00000000-0005-0000-0000-00006C500000}"/>
    <cellStyle name="Normal 3 4 4 2 3 2 3" xfId="26873" xr:uid="{00000000-0005-0000-0000-00006D500000}"/>
    <cellStyle name="Normal 3 4 4 2 3 3" xfId="13241" xr:uid="{00000000-0005-0000-0000-00006E500000}"/>
    <cellStyle name="Normal 3 4 4 2 3 3 2" xfId="31423" xr:uid="{00000000-0005-0000-0000-00006F500000}"/>
    <cellStyle name="Normal 3 4 4 2 3 4" xfId="22333" xr:uid="{00000000-0005-0000-0000-000070500000}"/>
    <cellStyle name="Normal 3 4 4 2 4" xfId="5768" xr:uid="{00000000-0005-0000-0000-000071500000}"/>
    <cellStyle name="Normal 3 4 4 2 4 2" xfId="14868" xr:uid="{00000000-0005-0000-0000-000072500000}"/>
    <cellStyle name="Normal 3 4 4 2 4 2 2" xfId="33050" xr:uid="{00000000-0005-0000-0000-000073500000}"/>
    <cellStyle name="Normal 3 4 4 2 4 3" xfId="23960" xr:uid="{00000000-0005-0000-0000-000074500000}"/>
    <cellStyle name="Normal 3 4 4 2 5" xfId="10334" xr:uid="{00000000-0005-0000-0000-000075500000}"/>
    <cellStyle name="Normal 3 4 4 2 5 2" xfId="28516" xr:uid="{00000000-0005-0000-0000-000076500000}"/>
    <cellStyle name="Normal 3 4 4 2 6" xfId="19425" xr:uid="{00000000-0005-0000-0000-000077500000}"/>
    <cellStyle name="Normal 3 4 4 3" xfId="2552" xr:uid="{00000000-0005-0000-0000-000078500000}"/>
    <cellStyle name="Normal 3 4 4 3 2" xfId="7138" xr:uid="{00000000-0005-0000-0000-000079500000}"/>
    <cellStyle name="Normal 3 4 4 3 2 2" xfId="16238" xr:uid="{00000000-0005-0000-0000-00007A500000}"/>
    <cellStyle name="Normal 3 4 4 3 2 2 2" xfId="34420" xr:uid="{00000000-0005-0000-0000-00007B500000}"/>
    <cellStyle name="Normal 3 4 4 3 2 3" xfId="25330" xr:uid="{00000000-0005-0000-0000-00007C500000}"/>
    <cellStyle name="Normal 3 4 4 3 3" xfId="11702" xr:uid="{00000000-0005-0000-0000-00007D500000}"/>
    <cellStyle name="Normal 3 4 4 3 3 2" xfId="29884" xr:uid="{00000000-0005-0000-0000-00007E500000}"/>
    <cellStyle name="Normal 3 4 4 3 4" xfId="20794" xr:uid="{00000000-0005-0000-0000-00007F500000}"/>
    <cellStyle name="Normal 3 4 4 4" xfId="4128" xr:uid="{00000000-0005-0000-0000-000080500000}"/>
    <cellStyle name="Normal 3 4 4 4 2" xfId="8684" xr:uid="{00000000-0005-0000-0000-000081500000}"/>
    <cellStyle name="Normal 3 4 4 4 2 2" xfId="17780" xr:uid="{00000000-0005-0000-0000-000082500000}"/>
    <cellStyle name="Normal 3 4 4 4 2 2 2" xfId="35962" xr:uid="{00000000-0005-0000-0000-000083500000}"/>
    <cellStyle name="Normal 3 4 4 4 2 3" xfId="26872" xr:uid="{00000000-0005-0000-0000-000084500000}"/>
    <cellStyle name="Normal 3 4 4 4 3" xfId="13240" xr:uid="{00000000-0005-0000-0000-000085500000}"/>
    <cellStyle name="Normal 3 4 4 4 3 2" xfId="31422" xr:uid="{00000000-0005-0000-0000-000086500000}"/>
    <cellStyle name="Normal 3 4 4 4 4" xfId="22332" xr:uid="{00000000-0005-0000-0000-000087500000}"/>
    <cellStyle name="Normal 3 4 4 5" xfId="5767" xr:uid="{00000000-0005-0000-0000-000088500000}"/>
    <cellStyle name="Normal 3 4 4 5 2" xfId="14867" xr:uid="{00000000-0005-0000-0000-000089500000}"/>
    <cellStyle name="Normal 3 4 4 5 2 2" xfId="33049" xr:uid="{00000000-0005-0000-0000-00008A500000}"/>
    <cellStyle name="Normal 3 4 4 5 3" xfId="23959" xr:uid="{00000000-0005-0000-0000-00008B500000}"/>
    <cellStyle name="Normal 3 4 4 6" xfId="10333" xr:uid="{00000000-0005-0000-0000-00008C500000}"/>
    <cellStyle name="Normal 3 4 4 6 2" xfId="28515" xr:uid="{00000000-0005-0000-0000-00008D500000}"/>
    <cellStyle name="Normal 3 4 4 7" xfId="19424" xr:uid="{00000000-0005-0000-0000-00008E500000}"/>
    <cellStyle name="Normal 3 4 5" xfId="1128" xr:uid="{00000000-0005-0000-0000-00008F500000}"/>
    <cellStyle name="Normal 3 4 5 2" xfId="2553" xr:uid="{00000000-0005-0000-0000-000090500000}"/>
    <cellStyle name="Normal 3 4 5 2 2" xfId="7139" xr:uid="{00000000-0005-0000-0000-000091500000}"/>
    <cellStyle name="Normal 3 4 5 2 2 2" xfId="16239" xr:uid="{00000000-0005-0000-0000-000092500000}"/>
    <cellStyle name="Normal 3 4 5 2 2 2 2" xfId="34421" xr:uid="{00000000-0005-0000-0000-000093500000}"/>
    <cellStyle name="Normal 3 4 5 2 2 3" xfId="25331" xr:uid="{00000000-0005-0000-0000-000094500000}"/>
    <cellStyle name="Normal 3 4 5 2 3" xfId="11703" xr:uid="{00000000-0005-0000-0000-000095500000}"/>
    <cellStyle name="Normal 3 4 5 2 3 2" xfId="29885" xr:uid="{00000000-0005-0000-0000-000096500000}"/>
    <cellStyle name="Normal 3 4 5 2 4" xfId="20795" xr:uid="{00000000-0005-0000-0000-000097500000}"/>
    <cellStyle name="Normal 3 4 5 3" xfId="4130" xr:uid="{00000000-0005-0000-0000-000098500000}"/>
    <cellStyle name="Normal 3 4 5 3 2" xfId="8686" xr:uid="{00000000-0005-0000-0000-000099500000}"/>
    <cellStyle name="Normal 3 4 5 3 2 2" xfId="17782" xr:uid="{00000000-0005-0000-0000-00009A500000}"/>
    <cellStyle name="Normal 3 4 5 3 2 2 2" xfId="35964" xr:uid="{00000000-0005-0000-0000-00009B500000}"/>
    <cellStyle name="Normal 3 4 5 3 2 3" xfId="26874" xr:uid="{00000000-0005-0000-0000-00009C500000}"/>
    <cellStyle name="Normal 3 4 5 3 3" xfId="13242" xr:uid="{00000000-0005-0000-0000-00009D500000}"/>
    <cellStyle name="Normal 3 4 5 3 3 2" xfId="31424" xr:uid="{00000000-0005-0000-0000-00009E500000}"/>
    <cellStyle name="Normal 3 4 5 3 4" xfId="22334" xr:uid="{00000000-0005-0000-0000-00009F500000}"/>
    <cellStyle name="Normal 3 4 5 4" xfId="5769" xr:uid="{00000000-0005-0000-0000-0000A0500000}"/>
    <cellStyle name="Normal 3 4 5 4 2" xfId="14869" xr:uid="{00000000-0005-0000-0000-0000A1500000}"/>
    <cellStyle name="Normal 3 4 5 4 2 2" xfId="33051" xr:uid="{00000000-0005-0000-0000-0000A2500000}"/>
    <cellStyle name="Normal 3 4 5 4 3" xfId="23961" xr:uid="{00000000-0005-0000-0000-0000A3500000}"/>
    <cellStyle name="Normal 3 4 5 5" xfId="10335" xr:uid="{00000000-0005-0000-0000-0000A4500000}"/>
    <cellStyle name="Normal 3 4 5 5 2" xfId="28517" xr:uid="{00000000-0005-0000-0000-0000A5500000}"/>
    <cellStyle name="Normal 3 4 5 6" xfId="19426" xr:uid="{00000000-0005-0000-0000-0000A6500000}"/>
    <cellStyle name="Normal 3 4 6" xfId="1129" xr:uid="{00000000-0005-0000-0000-0000A7500000}"/>
    <cellStyle name="Normal 3 4 6 2" xfId="4131" xr:uid="{00000000-0005-0000-0000-0000A8500000}"/>
    <cellStyle name="Normal 3 4 6 2 2" xfId="8687" xr:uid="{00000000-0005-0000-0000-0000A9500000}"/>
    <cellStyle name="Normal 3 4 6 2 2 2" xfId="17783" xr:uid="{00000000-0005-0000-0000-0000AA500000}"/>
    <cellStyle name="Normal 3 4 6 2 2 2 2" xfId="35965" xr:uid="{00000000-0005-0000-0000-0000AB500000}"/>
    <cellStyle name="Normal 3 4 6 2 2 3" xfId="26875" xr:uid="{00000000-0005-0000-0000-0000AC500000}"/>
    <cellStyle name="Normal 3 4 6 2 3" xfId="13243" xr:uid="{00000000-0005-0000-0000-0000AD500000}"/>
    <cellStyle name="Normal 3 4 6 2 3 2" xfId="31425" xr:uid="{00000000-0005-0000-0000-0000AE500000}"/>
    <cellStyle name="Normal 3 4 6 2 4" xfId="22335" xr:uid="{00000000-0005-0000-0000-0000AF500000}"/>
    <cellStyle name="Normal 3 4 6 3" xfId="5770" xr:uid="{00000000-0005-0000-0000-0000B0500000}"/>
    <cellStyle name="Normal 3 4 6 3 2" xfId="14870" xr:uid="{00000000-0005-0000-0000-0000B1500000}"/>
    <cellStyle name="Normal 3 4 6 3 2 2" xfId="33052" xr:uid="{00000000-0005-0000-0000-0000B2500000}"/>
    <cellStyle name="Normal 3 4 6 3 3" xfId="23962" xr:uid="{00000000-0005-0000-0000-0000B3500000}"/>
    <cellStyle name="Normal 3 4 6 4" xfId="10336" xr:uid="{00000000-0005-0000-0000-0000B4500000}"/>
    <cellStyle name="Normal 3 4 6 4 2" xfId="28518" xr:uid="{00000000-0005-0000-0000-0000B5500000}"/>
    <cellStyle name="Normal 3 4 6 5" xfId="19427" xr:uid="{00000000-0005-0000-0000-0000B6500000}"/>
    <cellStyle name="Normal 3 4 7" xfId="2554" xr:uid="{00000000-0005-0000-0000-0000B7500000}"/>
    <cellStyle name="Normal 3 4 7 2" xfId="7140" xr:uid="{00000000-0005-0000-0000-0000B8500000}"/>
    <cellStyle name="Normal 3 4 7 2 2" xfId="16240" xr:uid="{00000000-0005-0000-0000-0000B9500000}"/>
    <cellStyle name="Normal 3 4 7 2 2 2" xfId="34422" xr:uid="{00000000-0005-0000-0000-0000BA500000}"/>
    <cellStyle name="Normal 3 4 7 2 3" xfId="25332" xr:uid="{00000000-0005-0000-0000-0000BB500000}"/>
    <cellStyle name="Normal 3 4 7 3" xfId="11704" xr:uid="{00000000-0005-0000-0000-0000BC500000}"/>
    <cellStyle name="Normal 3 4 7 3 2" xfId="29886" xr:uid="{00000000-0005-0000-0000-0000BD500000}"/>
    <cellStyle name="Normal 3 4 7 4" xfId="20796" xr:uid="{00000000-0005-0000-0000-0000BE500000}"/>
    <cellStyle name="Normal 3 4 8" xfId="3190" xr:uid="{00000000-0005-0000-0000-0000BF500000}"/>
    <cellStyle name="Normal 3 4 8 2" xfId="7750" xr:uid="{00000000-0005-0000-0000-0000C0500000}"/>
    <cellStyle name="Normal 3 4 8 2 2" xfId="16846" xr:uid="{00000000-0005-0000-0000-0000C1500000}"/>
    <cellStyle name="Normal 3 4 8 2 2 2" xfId="35028" xr:uid="{00000000-0005-0000-0000-0000C2500000}"/>
    <cellStyle name="Normal 3 4 8 2 3" xfId="25938" xr:uid="{00000000-0005-0000-0000-0000C3500000}"/>
    <cellStyle name="Normal 3 4 8 3" xfId="12306" xr:uid="{00000000-0005-0000-0000-0000C4500000}"/>
    <cellStyle name="Normal 3 4 8 3 2" xfId="30488" xr:uid="{00000000-0005-0000-0000-0000C5500000}"/>
    <cellStyle name="Normal 3 4 8 4" xfId="21398" xr:uid="{00000000-0005-0000-0000-0000C6500000}"/>
    <cellStyle name="Normal 3 4 9" xfId="4840" xr:uid="{00000000-0005-0000-0000-0000C7500000}"/>
    <cellStyle name="Normal 3 4 9 2" xfId="13940" xr:uid="{00000000-0005-0000-0000-0000C8500000}"/>
    <cellStyle name="Normal 3 4 9 2 2" xfId="32122" xr:uid="{00000000-0005-0000-0000-0000C9500000}"/>
    <cellStyle name="Normal 3 4 9 3" xfId="23032" xr:uid="{00000000-0005-0000-0000-0000CA500000}"/>
    <cellStyle name="Normal 3 5" xfId="119" xr:uid="{00000000-0005-0000-0000-0000CB500000}"/>
    <cellStyle name="Normal 3 6" xfId="132" xr:uid="{00000000-0005-0000-0000-0000CC500000}"/>
    <cellStyle name="Normal 3 7" xfId="151" xr:uid="{00000000-0005-0000-0000-0000CD500000}"/>
    <cellStyle name="Normal 3 7 10" xfId="9441" xr:uid="{00000000-0005-0000-0000-0000CE500000}"/>
    <cellStyle name="Normal 3 7 10 2" xfId="27623" xr:uid="{00000000-0005-0000-0000-0000CF500000}"/>
    <cellStyle name="Normal 3 7 11" xfId="18532" xr:uid="{00000000-0005-0000-0000-0000D0500000}"/>
    <cellStyle name="Normal 3 7 2" xfId="152" xr:uid="{00000000-0005-0000-0000-0000D1500000}"/>
    <cellStyle name="Normal 3 7 2 10" xfId="18533" xr:uid="{00000000-0005-0000-0000-0000D2500000}"/>
    <cellStyle name="Normal 3 7 2 2" xfId="1130" xr:uid="{00000000-0005-0000-0000-0000D3500000}"/>
    <cellStyle name="Normal 3 7 2 2 2" xfId="1131" xr:uid="{00000000-0005-0000-0000-0000D4500000}"/>
    <cellStyle name="Normal 3 7 2 2 2 2" xfId="1132" xr:uid="{00000000-0005-0000-0000-0000D5500000}"/>
    <cellStyle name="Normal 3 7 2 2 2 2 2" xfId="2555" xr:uid="{00000000-0005-0000-0000-0000D6500000}"/>
    <cellStyle name="Normal 3 7 2 2 2 2 2 2" xfId="7141" xr:uid="{00000000-0005-0000-0000-0000D7500000}"/>
    <cellStyle name="Normal 3 7 2 2 2 2 2 2 2" xfId="16241" xr:uid="{00000000-0005-0000-0000-0000D8500000}"/>
    <cellStyle name="Normal 3 7 2 2 2 2 2 2 2 2" xfId="34423" xr:uid="{00000000-0005-0000-0000-0000D9500000}"/>
    <cellStyle name="Normal 3 7 2 2 2 2 2 2 3" xfId="25333" xr:uid="{00000000-0005-0000-0000-0000DA500000}"/>
    <cellStyle name="Normal 3 7 2 2 2 2 2 3" xfId="11705" xr:uid="{00000000-0005-0000-0000-0000DB500000}"/>
    <cellStyle name="Normal 3 7 2 2 2 2 2 3 2" xfId="29887" xr:uid="{00000000-0005-0000-0000-0000DC500000}"/>
    <cellStyle name="Normal 3 7 2 2 2 2 2 4" xfId="20797" xr:uid="{00000000-0005-0000-0000-0000DD500000}"/>
    <cellStyle name="Normal 3 7 2 2 2 2 3" xfId="4134" xr:uid="{00000000-0005-0000-0000-0000DE500000}"/>
    <cellStyle name="Normal 3 7 2 2 2 2 3 2" xfId="8690" xr:uid="{00000000-0005-0000-0000-0000DF500000}"/>
    <cellStyle name="Normal 3 7 2 2 2 2 3 2 2" xfId="17786" xr:uid="{00000000-0005-0000-0000-0000E0500000}"/>
    <cellStyle name="Normal 3 7 2 2 2 2 3 2 2 2" xfId="35968" xr:uid="{00000000-0005-0000-0000-0000E1500000}"/>
    <cellStyle name="Normal 3 7 2 2 2 2 3 2 3" xfId="26878" xr:uid="{00000000-0005-0000-0000-0000E2500000}"/>
    <cellStyle name="Normal 3 7 2 2 2 2 3 3" xfId="13246" xr:uid="{00000000-0005-0000-0000-0000E3500000}"/>
    <cellStyle name="Normal 3 7 2 2 2 2 3 3 2" xfId="31428" xr:uid="{00000000-0005-0000-0000-0000E4500000}"/>
    <cellStyle name="Normal 3 7 2 2 2 2 3 4" xfId="22338" xr:uid="{00000000-0005-0000-0000-0000E5500000}"/>
    <cellStyle name="Normal 3 7 2 2 2 2 4" xfId="5773" xr:uid="{00000000-0005-0000-0000-0000E6500000}"/>
    <cellStyle name="Normal 3 7 2 2 2 2 4 2" xfId="14873" xr:uid="{00000000-0005-0000-0000-0000E7500000}"/>
    <cellStyle name="Normal 3 7 2 2 2 2 4 2 2" xfId="33055" xr:uid="{00000000-0005-0000-0000-0000E8500000}"/>
    <cellStyle name="Normal 3 7 2 2 2 2 4 3" xfId="23965" xr:uid="{00000000-0005-0000-0000-0000E9500000}"/>
    <cellStyle name="Normal 3 7 2 2 2 2 5" xfId="10339" xr:uid="{00000000-0005-0000-0000-0000EA500000}"/>
    <cellStyle name="Normal 3 7 2 2 2 2 5 2" xfId="28521" xr:uid="{00000000-0005-0000-0000-0000EB500000}"/>
    <cellStyle name="Normal 3 7 2 2 2 2 6" xfId="19430" xr:uid="{00000000-0005-0000-0000-0000EC500000}"/>
    <cellStyle name="Normal 3 7 2 2 2 3" xfId="2556" xr:uid="{00000000-0005-0000-0000-0000ED500000}"/>
    <cellStyle name="Normal 3 7 2 2 2 3 2" xfId="7142" xr:uid="{00000000-0005-0000-0000-0000EE500000}"/>
    <cellStyle name="Normal 3 7 2 2 2 3 2 2" xfId="16242" xr:uid="{00000000-0005-0000-0000-0000EF500000}"/>
    <cellStyle name="Normal 3 7 2 2 2 3 2 2 2" xfId="34424" xr:uid="{00000000-0005-0000-0000-0000F0500000}"/>
    <cellStyle name="Normal 3 7 2 2 2 3 2 3" xfId="25334" xr:uid="{00000000-0005-0000-0000-0000F1500000}"/>
    <cellStyle name="Normal 3 7 2 2 2 3 3" xfId="11706" xr:uid="{00000000-0005-0000-0000-0000F2500000}"/>
    <cellStyle name="Normal 3 7 2 2 2 3 3 2" xfId="29888" xr:uid="{00000000-0005-0000-0000-0000F3500000}"/>
    <cellStyle name="Normal 3 7 2 2 2 3 4" xfId="20798" xr:uid="{00000000-0005-0000-0000-0000F4500000}"/>
    <cellStyle name="Normal 3 7 2 2 2 4" xfId="4133" xr:uid="{00000000-0005-0000-0000-0000F5500000}"/>
    <cellStyle name="Normal 3 7 2 2 2 4 2" xfId="8689" xr:uid="{00000000-0005-0000-0000-0000F6500000}"/>
    <cellStyle name="Normal 3 7 2 2 2 4 2 2" xfId="17785" xr:uid="{00000000-0005-0000-0000-0000F7500000}"/>
    <cellStyle name="Normal 3 7 2 2 2 4 2 2 2" xfId="35967" xr:uid="{00000000-0005-0000-0000-0000F8500000}"/>
    <cellStyle name="Normal 3 7 2 2 2 4 2 3" xfId="26877" xr:uid="{00000000-0005-0000-0000-0000F9500000}"/>
    <cellStyle name="Normal 3 7 2 2 2 4 3" xfId="13245" xr:uid="{00000000-0005-0000-0000-0000FA500000}"/>
    <cellStyle name="Normal 3 7 2 2 2 4 3 2" xfId="31427" xr:uid="{00000000-0005-0000-0000-0000FB500000}"/>
    <cellStyle name="Normal 3 7 2 2 2 4 4" xfId="22337" xr:uid="{00000000-0005-0000-0000-0000FC500000}"/>
    <cellStyle name="Normal 3 7 2 2 2 5" xfId="5772" xr:uid="{00000000-0005-0000-0000-0000FD500000}"/>
    <cellStyle name="Normal 3 7 2 2 2 5 2" xfId="14872" xr:uid="{00000000-0005-0000-0000-0000FE500000}"/>
    <cellStyle name="Normal 3 7 2 2 2 5 2 2" xfId="33054" xr:uid="{00000000-0005-0000-0000-0000FF500000}"/>
    <cellStyle name="Normal 3 7 2 2 2 5 3" xfId="23964" xr:uid="{00000000-0005-0000-0000-000000510000}"/>
    <cellStyle name="Normal 3 7 2 2 2 6" xfId="10338" xr:uid="{00000000-0005-0000-0000-000001510000}"/>
    <cellStyle name="Normal 3 7 2 2 2 6 2" xfId="28520" xr:uid="{00000000-0005-0000-0000-000002510000}"/>
    <cellStyle name="Normal 3 7 2 2 2 7" xfId="19429" xr:uid="{00000000-0005-0000-0000-000003510000}"/>
    <cellStyle name="Normal 3 7 2 2 3" xfId="1133" xr:uid="{00000000-0005-0000-0000-000004510000}"/>
    <cellStyle name="Normal 3 7 2 2 3 2" xfId="2557" xr:uid="{00000000-0005-0000-0000-000005510000}"/>
    <cellStyle name="Normal 3 7 2 2 3 2 2" xfId="7143" xr:uid="{00000000-0005-0000-0000-000006510000}"/>
    <cellStyle name="Normal 3 7 2 2 3 2 2 2" xfId="16243" xr:uid="{00000000-0005-0000-0000-000007510000}"/>
    <cellStyle name="Normal 3 7 2 2 3 2 2 2 2" xfId="34425" xr:uid="{00000000-0005-0000-0000-000008510000}"/>
    <cellStyle name="Normal 3 7 2 2 3 2 2 3" xfId="25335" xr:uid="{00000000-0005-0000-0000-000009510000}"/>
    <cellStyle name="Normal 3 7 2 2 3 2 3" xfId="11707" xr:uid="{00000000-0005-0000-0000-00000A510000}"/>
    <cellStyle name="Normal 3 7 2 2 3 2 3 2" xfId="29889" xr:uid="{00000000-0005-0000-0000-00000B510000}"/>
    <cellStyle name="Normal 3 7 2 2 3 2 4" xfId="20799" xr:uid="{00000000-0005-0000-0000-00000C510000}"/>
    <cellStyle name="Normal 3 7 2 2 3 3" xfId="4135" xr:uid="{00000000-0005-0000-0000-00000D510000}"/>
    <cellStyle name="Normal 3 7 2 2 3 3 2" xfId="8691" xr:uid="{00000000-0005-0000-0000-00000E510000}"/>
    <cellStyle name="Normal 3 7 2 2 3 3 2 2" xfId="17787" xr:uid="{00000000-0005-0000-0000-00000F510000}"/>
    <cellStyle name="Normal 3 7 2 2 3 3 2 2 2" xfId="35969" xr:uid="{00000000-0005-0000-0000-000010510000}"/>
    <cellStyle name="Normal 3 7 2 2 3 3 2 3" xfId="26879" xr:uid="{00000000-0005-0000-0000-000011510000}"/>
    <cellStyle name="Normal 3 7 2 2 3 3 3" xfId="13247" xr:uid="{00000000-0005-0000-0000-000012510000}"/>
    <cellStyle name="Normal 3 7 2 2 3 3 3 2" xfId="31429" xr:uid="{00000000-0005-0000-0000-000013510000}"/>
    <cellStyle name="Normal 3 7 2 2 3 3 4" xfId="22339" xr:uid="{00000000-0005-0000-0000-000014510000}"/>
    <cellStyle name="Normal 3 7 2 2 3 4" xfId="5774" xr:uid="{00000000-0005-0000-0000-000015510000}"/>
    <cellStyle name="Normal 3 7 2 2 3 4 2" xfId="14874" xr:uid="{00000000-0005-0000-0000-000016510000}"/>
    <cellStyle name="Normal 3 7 2 2 3 4 2 2" xfId="33056" xr:uid="{00000000-0005-0000-0000-000017510000}"/>
    <cellStyle name="Normal 3 7 2 2 3 4 3" xfId="23966" xr:uid="{00000000-0005-0000-0000-000018510000}"/>
    <cellStyle name="Normal 3 7 2 2 3 5" xfId="10340" xr:uid="{00000000-0005-0000-0000-000019510000}"/>
    <cellStyle name="Normal 3 7 2 2 3 5 2" xfId="28522" xr:uid="{00000000-0005-0000-0000-00001A510000}"/>
    <cellStyle name="Normal 3 7 2 2 3 6" xfId="19431" xr:uid="{00000000-0005-0000-0000-00001B510000}"/>
    <cellStyle name="Normal 3 7 2 2 4" xfId="1134" xr:uid="{00000000-0005-0000-0000-00001C510000}"/>
    <cellStyle name="Normal 3 7 2 2 4 2" xfId="4136" xr:uid="{00000000-0005-0000-0000-00001D510000}"/>
    <cellStyle name="Normal 3 7 2 2 4 2 2" xfId="8692" xr:uid="{00000000-0005-0000-0000-00001E510000}"/>
    <cellStyle name="Normal 3 7 2 2 4 2 2 2" xfId="17788" xr:uid="{00000000-0005-0000-0000-00001F510000}"/>
    <cellStyle name="Normal 3 7 2 2 4 2 2 2 2" xfId="35970" xr:uid="{00000000-0005-0000-0000-000020510000}"/>
    <cellStyle name="Normal 3 7 2 2 4 2 2 3" xfId="26880" xr:uid="{00000000-0005-0000-0000-000021510000}"/>
    <cellStyle name="Normal 3 7 2 2 4 2 3" xfId="13248" xr:uid="{00000000-0005-0000-0000-000022510000}"/>
    <cellStyle name="Normal 3 7 2 2 4 2 3 2" xfId="31430" xr:uid="{00000000-0005-0000-0000-000023510000}"/>
    <cellStyle name="Normal 3 7 2 2 4 2 4" xfId="22340" xr:uid="{00000000-0005-0000-0000-000024510000}"/>
    <cellStyle name="Normal 3 7 2 2 4 3" xfId="5775" xr:uid="{00000000-0005-0000-0000-000025510000}"/>
    <cellStyle name="Normal 3 7 2 2 4 3 2" xfId="14875" xr:uid="{00000000-0005-0000-0000-000026510000}"/>
    <cellStyle name="Normal 3 7 2 2 4 3 2 2" xfId="33057" xr:uid="{00000000-0005-0000-0000-000027510000}"/>
    <cellStyle name="Normal 3 7 2 2 4 3 3" xfId="23967" xr:uid="{00000000-0005-0000-0000-000028510000}"/>
    <cellStyle name="Normal 3 7 2 2 4 4" xfId="10341" xr:uid="{00000000-0005-0000-0000-000029510000}"/>
    <cellStyle name="Normal 3 7 2 2 4 4 2" xfId="28523" xr:uid="{00000000-0005-0000-0000-00002A510000}"/>
    <cellStyle name="Normal 3 7 2 2 4 5" xfId="19432" xr:uid="{00000000-0005-0000-0000-00002B510000}"/>
    <cellStyle name="Normal 3 7 2 2 5" xfId="2558" xr:uid="{00000000-0005-0000-0000-00002C510000}"/>
    <cellStyle name="Normal 3 7 2 2 5 2" xfId="7144" xr:uid="{00000000-0005-0000-0000-00002D510000}"/>
    <cellStyle name="Normal 3 7 2 2 5 2 2" xfId="16244" xr:uid="{00000000-0005-0000-0000-00002E510000}"/>
    <cellStyle name="Normal 3 7 2 2 5 2 2 2" xfId="34426" xr:uid="{00000000-0005-0000-0000-00002F510000}"/>
    <cellStyle name="Normal 3 7 2 2 5 2 3" xfId="25336" xr:uid="{00000000-0005-0000-0000-000030510000}"/>
    <cellStyle name="Normal 3 7 2 2 5 3" xfId="11708" xr:uid="{00000000-0005-0000-0000-000031510000}"/>
    <cellStyle name="Normal 3 7 2 2 5 3 2" xfId="29890" xr:uid="{00000000-0005-0000-0000-000032510000}"/>
    <cellStyle name="Normal 3 7 2 2 5 4" xfId="20800" xr:uid="{00000000-0005-0000-0000-000033510000}"/>
    <cellStyle name="Normal 3 7 2 2 6" xfId="4132" xr:uid="{00000000-0005-0000-0000-000034510000}"/>
    <cellStyle name="Normal 3 7 2 2 6 2" xfId="8688" xr:uid="{00000000-0005-0000-0000-000035510000}"/>
    <cellStyle name="Normal 3 7 2 2 6 2 2" xfId="17784" xr:uid="{00000000-0005-0000-0000-000036510000}"/>
    <cellStyle name="Normal 3 7 2 2 6 2 2 2" xfId="35966" xr:uid="{00000000-0005-0000-0000-000037510000}"/>
    <cellStyle name="Normal 3 7 2 2 6 2 3" xfId="26876" xr:uid="{00000000-0005-0000-0000-000038510000}"/>
    <cellStyle name="Normal 3 7 2 2 6 3" xfId="13244" xr:uid="{00000000-0005-0000-0000-000039510000}"/>
    <cellStyle name="Normal 3 7 2 2 6 3 2" xfId="31426" xr:uid="{00000000-0005-0000-0000-00003A510000}"/>
    <cellStyle name="Normal 3 7 2 2 6 4" xfId="22336" xr:uid="{00000000-0005-0000-0000-00003B510000}"/>
    <cellStyle name="Normal 3 7 2 2 7" xfId="5771" xr:uid="{00000000-0005-0000-0000-00003C510000}"/>
    <cellStyle name="Normal 3 7 2 2 7 2" xfId="14871" xr:uid="{00000000-0005-0000-0000-00003D510000}"/>
    <cellStyle name="Normal 3 7 2 2 7 2 2" xfId="33053" xr:uid="{00000000-0005-0000-0000-00003E510000}"/>
    <cellStyle name="Normal 3 7 2 2 7 3" xfId="23963" xr:uid="{00000000-0005-0000-0000-00003F510000}"/>
    <cellStyle name="Normal 3 7 2 2 8" xfId="10337" xr:uid="{00000000-0005-0000-0000-000040510000}"/>
    <cellStyle name="Normal 3 7 2 2 8 2" xfId="28519" xr:uid="{00000000-0005-0000-0000-000041510000}"/>
    <cellStyle name="Normal 3 7 2 2 9" xfId="19428" xr:uid="{00000000-0005-0000-0000-000042510000}"/>
    <cellStyle name="Normal 3 7 2 3" xfId="1135" xr:uid="{00000000-0005-0000-0000-000043510000}"/>
    <cellStyle name="Normal 3 7 2 3 2" xfId="1136" xr:uid="{00000000-0005-0000-0000-000044510000}"/>
    <cellStyle name="Normal 3 7 2 3 2 2" xfId="2559" xr:uid="{00000000-0005-0000-0000-000045510000}"/>
    <cellStyle name="Normal 3 7 2 3 2 2 2" xfId="7145" xr:uid="{00000000-0005-0000-0000-000046510000}"/>
    <cellStyle name="Normal 3 7 2 3 2 2 2 2" xfId="16245" xr:uid="{00000000-0005-0000-0000-000047510000}"/>
    <cellStyle name="Normal 3 7 2 3 2 2 2 2 2" xfId="34427" xr:uid="{00000000-0005-0000-0000-000048510000}"/>
    <cellStyle name="Normal 3 7 2 3 2 2 2 3" xfId="25337" xr:uid="{00000000-0005-0000-0000-000049510000}"/>
    <cellStyle name="Normal 3 7 2 3 2 2 3" xfId="11709" xr:uid="{00000000-0005-0000-0000-00004A510000}"/>
    <cellStyle name="Normal 3 7 2 3 2 2 3 2" xfId="29891" xr:uid="{00000000-0005-0000-0000-00004B510000}"/>
    <cellStyle name="Normal 3 7 2 3 2 2 4" xfId="20801" xr:uid="{00000000-0005-0000-0000-00004C510000}"/>
    <cellStyle name="Normal 3 7 2 3 2 3" xfId="4138" xr:uid="{00000000-0005-0000-0000-00004D510000}"/>
    <cellStyle name="Normal 3 7 2 3 2 3 2" xfId="8694" xr:uid="{00000000-0005-0000-0000-00004E510000}"/>
    <cellStyle name="Normal 3 7 2 3 2 3 2 2" xfId="17790" xr:uid="{00000000-0005-0000-0000-00004F510000}"/>
    <cellStyle name="Normal 3 7 2 3 2 3 2 2 2" xfId="35972" xr:uid="{00000000-0005-0000-0000-000050510000}"/>
    <cellStyle name="Normal 3 7 2 3 2 3 2 3" xfId="26882" xr:uid="{00000000-0005-0000-0000-000051510000}"/>
    <cellStyle name="Normal 3 7 2 3 2 3 3" xfId="13250" xr:uid="{00000000-0005-0000-0000-000052510000}"/>
    <cellStyle name="Normal 3 7 2 3 2 3 3 2" xfId="31432" xr:uid="{00000000-0005-0000-0000-000053510000}"/>
    <cellStyle name="Normal 3 7 2 3 2 3 4" xfId="22342" xr:uid="{00000000-0005-0000-0000-000054510000}"/>
    <cellStyle name="Normal 3 7 2 3 2 4" xfId="5777" xr:uid="{00000000-0005-0000-0000-000055510000}"/>
    <cellStyle name="Normal 3 7 2 3 2 4 2" xfId="14877" xr:uid="{00000000-0005-0000-0000-000056510000}"/>
    <cellStyle name="Normal 3 7 2 3 2 4 2 2" xfId="33059" xr:uid="{00000000-0005-0000-0000-000057510000}"/>
    <cellStyle name="Normal 3 7 2 3 2 4 3" xfId="23969" xr:uid="{00000000-0005-0000-0000-000058510000}"/>
    <cellStyle name="Normal 3 7 2 3 2 5" xfId="10343" xr:uid="{00000000-0005-0000-0000-000059510000}"/>
    <cellStyle name="Normal 3 7 2 3 2 5 2" xfId="28525" xr:uid="{00000000-0005-0000-0000-00005A510000}"/>
    <cellStyle name="Normal 3 7 2 3 2 6" xfId="19434" xr:uid="{00000000-0005-0000-0000-00005B510000}"/>
    <cellStyle name="Normal 3 7 2 3 3" xfId="2560" xr:uid="{00000000-0005-0000-0000-00005C510000}"/>
    <cellStyle name="Normal 3 7 2 3 3 2" xfId="7146" xr:uid="{00000000-0005-0000-0000-00005D510000}"/>
    <cellStyle name="Normal 3 7 2 3 3 2 2" xfId="16246" xr:uid="{00000000-0005-0000-0000-00005E510000}"/>
    <cellStyle name="Normal 3 7 2 3 3 2 2 2" xfId="34428" xr:uid="{00000000-0005-0000-0000-00005F510000}"/>
    <cellStyle name="Normal 3 7 2 3 3 2 3" xfId="25338" xr:uid="{00000000-0005-0000-0000-000060510000}"/>
    <cellStyle name="Normal 3 7 2 3 3 3" xfId="11710" xr:uid="{00000000-0005-0000-0000-000061510000}"/>
    <cellStyle name="Normal 3 7 2 3 3 3 2" xfId="29892" xr:uid="{00000000-0005-0000-0000-000062510000}"/>
    <cellStyle name="Normal 3 7 2 3 3 4" xfId="20802" xr:uid="{00000000-0005-0000-0000-000063510000}"/>
    <cellStyle name="Normal 3 7 2 3 4" xfId="4137" xr:uid="{00000000-0005-0000-0000-000064510000}"/>
    <cellStyle name="Normal 3 7 2 3 4 2" xfId="8693" xr:uid="{00000000-0005-0000-0000-000065510000}"/>
    <cellStyle name="Normal 3 7 2 3 4 2 2" xfId="17789" xr:uid="{00000000-0005-0000-0000-000066510000}"/>
    <cellStyle name="Normal 3 7 2 3 4 2 2 2" xfId="35971" xr:uid="{00000000-0005-0000-0000-000067510000}"/>
    <cellStyle name="Normal 3 7 2 3 4 2 3" xfId="26881" xr:uid="{00000000-0005-0000-0000-000068510000}"/>
    <cellStyle name="Normal 3 7 2 3 4 3" xfId="13249" xr:uid="{00000000-0005-0000-0000-000069510000}"/>
    <cellStyle name="Normal 3 7 2 3 4 3 2" xfId="31431" xr:uid="{00000000-0005-0000-0000-00006A510000}"/>
    <cellStyle name="Normal 3 7 2 3 4 4" xfId="22341" xr:uid="{00000000-0005-0000-0000-00006B510000}"/>
    <cellStyle name="Normal 3 7 2 3 5" xfId="5776" xr:uid="{00000000-0005-0000-0000-00006C510000}"/>
    <cellStyle name="Normal 3 7 2 3 5 2" xfId="14876" xr:uid="{00000000-0005-0000-0000-00006D510000}"/>
    <cellStyle name="Normal 3 7 2 3 5 2 2" xfId="33058" xr:uid="{00000000-0005-0000-0000-00006E510000}"/>
    <cellStyle name="Normal 3 7 2 3 5 3" xfId="23968" xr:uid="{00000000-0005-0000-0000-00006F510000}"/>
    <cellStyle name="Normal 3 7 2 3 6" xfId="10342" xr:uid="{00000000-0005-0000-0000-000070510000}"/>
    <cellStyle name="Normal 3 7 2 3 6 2" xfId="28524" xr:uid="{00000000-0005-0000-0000-000071510000}"/>
    <cellStyle name="Normal 3 7 2 3 7" xfId="19433" xr:uid="{00000000-0005-0000-0000-000072510000}"/>
    <cellStyle name="Normal 3 7 2 4" xfId="1137" xr:uid="{00000000-0005-0000-0000-000073510000}"/>
    <cellStyle name="Normal 3 7 2 4 2" xfId="2561" xr:uid="{00000000-0005-0000-0000-000074510000}"/>
    <cellStyle name="Normal 3 7 2 4 2 2" xfId="7147" xr:uid="{00000000-0005-0000-0000-000075510000}"/>
    <cellStyle name="Normal 3 7 2 4 2 2 2" xfId="16247" xr:uid="{00000000-0005-0000-0000-000076510000}"/>
    <cellStyle name="Normal 3 7 2 4 2 2 2 2" xfId="34429" xr:uid="{00000000-0005-0000-0000-000077510000}"/>
    <cellStyle name="Normal 3 7 2 4 2 2 3" xfId="25339" xr:uid="{00000000-0005-0000-0000-000078510000}"/>
    <cellStyle name="Normal 3 7 2 4 2 3" xfId="11711" xr:uid="{00000000-0005-0000-0000-000079510000}"/>
    <cellStyle name="Normal 3 7 2 4 2 3 2" xfId="29893" xr:uid="{00000000-0005-0000-0000-00007A510000}"/>
    <cellStyle name="Normal 3 7 2 4 2 4" xfId="20803" xr:uid="{00000000-0005-0000-0000-00007B510000}"/>
    <cellStyle name="Normal 3 7 2 4 3" xfId="4139" xr:uid="{00000000-0005-0000-0000-00007C510000}"/>
    <cellStyle name="Normal 3 7 2 4 3 2" xfId="8695" xr:uid="{00000000-0005-0000-0000-00007D510000}"/>
    <cellStyle name="Normal 3 7 2 4 3 2 2" xfId="17791" xr:uid="{00000000-0005-0000-0000-00007E510000}"/>
    <cellStyle name="Normal 3 7 2 4 3 2 2 2" xfId="35973" xr:uid="{00000000-0005-0000-0000-00007F510000}"/>
    <cellStyle name="Normal 3 7 2 4 3 2 3" xfId="26883" xr:uid="{00000000-0005-0000-0000-000080510000}"/>
    <cellStyle name="Normal 3 7 2 4 3 3" xfId="13251" xr:uid="{00000000-0005-0000-0000-000081510000}"/>
    <cellStyle name="Normal 3 7 2 4 3 3 2" xfId="31433" xr:uid="{00000000-0005-0000-0000-000082510000}"/>
    <cellStyle name="Normal 3 7 2 4 3 4" xfId="22343" xr:uid="{00000000-0005-0000-0000-000083510000}"/>
    <cellStyle name="Normal 3 7 2 4 4" xfId="5778" xr:uid="{00000000-0005-0000-0000-000084510000}"/>
    <cellStyle name="Normal 3 7 2 4 4 2" xfId="14878" xr:uid="{00000000-0005-0000-0000-000085510000}"/>
    <cellStyle name="Normal 3 7 2 4 4 2 2" xfId="33060" xr:uid="{00000000-0005-0000-0000-000086510000}"/>
    <cellStyle name="Normal 3 7 2 4 4 3" xfId="23970" xr:uid="{00000000-0005-0000-0000-000087510000}"/>
    <cellStyle name="Normal 3 7 2 4 5" xfId="10344" xr:uid="{00000000-0005-0000-0000-000088510000}"/>
    <cellStyle name="Normal 3 7 2 4 5 2" xfId="28526" xr:uid="{00000000-0005-0000-0000-000089510000}"/>
    <cellStyle name="Normal 3 7 2 4 6" xfId="19435" xr:uid="{00000000-0005-0000-0000-00008A510000}"/>
    <cellStyle name="Normal 3 7 2 5" xfId="1138" xr:uid="{00000000-0005-0000-0000-00008B510000}"/>
    <cellStyle name="Normal 3 7 2 5 2" xfId="4140" xr:uid="{00000000-0005-0000-0000-00008C510000}"/>
    <cellStyle name="Normal 3 7 2 5 2 2" xfId="8696" xr:uid="{00000000-0005-0000-0000-00008D510000}"/>
    <cellStyle name="Normal 3 7 2 5 2 2 2" xfId="17792" xr:uid="{00000000-0005-0000-0000-00008E510000}"/>
    <cellStyle name="Normal 3 7 2 5 2 2 2 2" xfId="35974" xr:uid="{00000000-0005-0000-0000-00008F510000}"/>
    <cellStyle name="Normal 3 7 2 5 2 2 3" xfId="26884" xr:uid="{00000000-0005-0000-0000-000090510000}"/>
    <cellStyle name="Normal 3 7 2 5 2 3" xfId="13252" xr:uid="{00000000-0005-0000-0000-000091510000}"/>
    <cellStyle name="Normal 3 7 2 5 2 3 2" xfId="31434" xr:uid="{00000000-0005-0000-0000-000092510000}"/>
    <cellStyle name="Normal 3 7 2 5 2 4" xfId="22344" xr:uid="{00000000-0005-0000-0000-000093510000}"/>
    <cellStyle name="Normal 3 7 2 5 3" xfId="5779" xr:uid="{00000000-0005-0000-0000-000094510000}"/>
    <cellStyle name="Normal 3 7 2 5 3 2" xfId="14879" xr:uid="{00000000-0005-0000-0000-000095510000}"/>
    <cellStyle name="Normal 3 7 2 5 3 2 2" xfId="33061" xr:uid="{00000000-0005-0000-0000-000096510000}"/>
    <cellStyle name="Normal 3 7 2 5 3 3" xfId="23971" xr:uid="{00000000-0005-0000-0000-000097510000}"/>
    <cellStyle name="Normal 3 7 2 5 4" xfId="10345" xr:uid="{00000000-0005-0000-0000-000098510000}"/>
    <cellStyle name="Normal 3 7 2 5 4 2" xfId="28527" xr:uid="{00000000-0005-0000-0000-000099510000}"/>
    <cellStyle name="Normal 3 7 2 5 5" xfId="19436" xr:uid="{00000000-0005-0000-0000-00009A510000}"/>
    <cellStyle name="Normal 3 7 2 6" xfId="2562" xr:uid="{00000000-0005-0000-0000-00009B510000}"/>
    <cellStyle name="Normal 3 7 2 6 2" xfId="7148" xr:uid="{00000000-0005-0000-0000-00009C510000}"/>
    <cellStyle name="Normal 3 7 2 6 2 2" xfId="16248" xr:uid="{00000000-0005-0000-0000-00009D510000}"/>
    <cellStyle name="Normal 3 7 2 6 2 2 2" xfId="34430" xr:uid="{00000000-0005-0000-0000-00009E510000}"/>
    <cellStyle name="Normal 3 7 2 6 2 3" xfId="25340" xr:uid="{00000000-0005-0000-0000-00009F510000}"/>
    <cellStyle name="Normal 3 7 2 6 3" xfId="11712" xr:uid="{00000000-0005-0000-0000-0000A0510000}"/>
    <cellStyle name="Normal 3 7 2 6 3 2" xfId="29894" xr:uid="{00000000-0005-0000-0000-0000A1510000}"/>
    <cellStyle name="Normal 3 7 2 6 4" xfId="20804" xr:uid="{00000000-0005-0000-0000-0000A2510000}"/>
    <cellStyle name="Normal 3 7 2 7" xfId="3229" xr:uid="{00000000-0005-0000-0000-0000A3510000}"/>
    <cellStyle name="Normal 3 7 2 7 2" xfId="7789" xr:uid="{00000000-0005-0000-0000-0000A4510000}"/>
    <cellStyle name="Normal 3 7 2 7 2 2" xfId="16885" xr:uid="{00000000-0005-0000-0000-0000A5510000}"/>
    <cellStyle name="Normal 3 7 2 7 2 2 2" xfId="35067" xr:uid="{00000000-0005-0000-0000-0000A6510000}"/>
    <cellStyle name="Normal 3 7 2 7 2 3" xfId="25977" xr:uid="{00000000-0005-0000-0000-0000A7510000}"/>
    <cellStyle name="Normal 3 7 2 7 3" xfId="12345" xr:uid="{00000000-0005-0000-0000-0000A8510000}"/>
    <cellStyle name="Normal 3 7 2 7 3 2" xfId="30527" xr:uid="{00000000-0005-0000-0000-0000A9510000}"/>
    <cellStyle name="Normal 3 7 2 7 4" xfId="21437" xr:uid="{00000000-0005-0000-0000-0000AA510000}"/>
    <cellStyle name="Normal 3 7 2 8" xfId="4876" xr:uid="{00000000-0005-0000-0000-0000AB510000}"/>
    <cellStyle name="Normal 3 7 2 8 2" xfId="13976" xr:uid="{00000000-0005-0000-0000-0000AC510000}"/>
    <cellStyle name="Normal 3 7 2 8 2 2" xfId="32158" xr:uid="{00000000-0005-0000-0000-0000AD510000}"/>
    <cellStyle name="Normal 3 7 2 8 3" xfId="23068" xr:uid="{00000000-0005-0000-0000-0000AE510000}"/>
    <cellStyle name="Normal 3 7 2 9" xfId="9442" xr:uid="{00000000-0005-0000-0000-0000AF510000}"/>
    <cellStyle name="Normal 3 7 2 9 2" xfId="27624" xr:uid="{00000000-0005-0000-0000-0000B0510000}"/>
    <cellStyle name="Normal 3 7 3" xfId="1139" xr:uid="{00000000-0005-0000-0000-0000B1510000}"/>
    <cellStyle name="Normal 3 7 3 2" xfId="1140" xr:uid="{00000000-0005-0000-0000-0000B2510000}"/>
    <cellStyle name="Normal 3 7 3 2 2" xfId="1141" xr:uid="{00000000-0005-0000-0000-0000B3510000}"/>
    <cellStyle name="Normal 3 7 3 2 2 2" xfId="2563" xr:uid="{00000000-0005-0000-0000-0000B4510000}"/>
    <cellStyle name="Normal 3 7 3 2 2 2 2" xfId="7149" xr:uid="{00000000-0005-0000-0000-0000B5510000}"/>
    <cellStyle name="Normal 3 7 3 2 2 2 2 2" xfId="16249" xr:uid="{00000000-0005-0000-0000-0000B6510000}"/>
    <cellStyle name="Normal 3 7 3 2 2 2 2 2 2" xfId="34431" xr:uid="{00000000-0005-0000-0000-0000B7510000}"/>
    <cellStyle name="Normal 3 7 3 2 2 2 2 3" xfId="25341" xr:uid="{00000000-0005-0000-0000-0000B8510000}"/>
    <cellStyle name="Normal 3 7 3 2 2 2 3" xfId="11713" xr:uid="{00000000-0005-0000-0000-0000B9510000}"/>
    <cellStyle name="Normal 3 7 3 2 2 2 3 2" xfId="29895" xr:uid="{00000000-0005-0000-0000-0000BA510000}"/>
    <cellStyle name="Normal 3 7 3 2 2 2 4" xfId="20805" xr:uid="{00000000-0005-0000-0000-0000BB510000}"/>
    <cellStyle name="Normal 3 7 3 2 2 3" xfId="4143" xr:uid="{00000000-0005-0000-0000-0000BC510000}"/>
    <cellStyle name="Normal 3 7 3 2 2 3 2" xfId="8699" xr:uid="{00000000-0005-0000-0000-0000BD510000}"/>
    <cellStyle name="Normal 3 7 3 2 2 3 2 2" xfId="17795" xr:uid="{00000000-0005-0000-0000-0000BE510000}"/>
    <cellStyle name="Normal 3 7 3 2 2 3 2 2 2" xfId="35977" xr:uid="{00000000-0005-0000-0000-0000BF510000}"/>
    <cellStyle name="Normal 3 7 3 2 2 3 2 3" xfId="26887" xr:uid="{00000000-0005-0000-0000-0000C0510000}"/>
    <cellStyle name="Normal 3 7 3 2 2 3 3" xfId="13255" xr:uid="{00000000-0005-0000-0000-0000C1510000}"/>
    <cellStyle name="Normal 3 7 3 2 2 3 3 2" xfId="31437" xr:uid="{00000000-0005-0000-0000-0000C2510000}"/>
    <cellStyle name="Normal 3 7 3 2 2 3 4" xfId="22347" xr:uid="{00000000-0005-0000-0000-0000C3510000}"/>
    <cellStyle name="Normal 3 7 3 2 2 4" xfId="5782" xr:uid="{00000000-0005-0000-0000-0000C4510000}"/>
    <cellStyle name="Normal 3 7 3 2 2 4 2" xfId="14882" xr:uid="{00000000-0005-0000-0000-0000C5510000}"/>
    <cellStyle name="Normal 3 7 3 2 2 4 2 2" xfId="33064" xr:uid="{00000000-0005-0000-0000-0000C6510000}"/>
    <cellStyle name="Normal 3 7 3 2 2 4 3" xfId="23974" xr:uid="{00000000-0005-0000-0000-0000C7510000}"/>
    <cellStyle name="Normal 3 7 3 2 2 5" xfId="10348" xr:uid="{00000000-0005-0000-0000-0000C8510000}"/>
    <cellStyle name="Normal 3 7 3 2 2 5 2" xfId="28530" xr:uid="{00000000-0005-0000-0000-0000C9510000}"/>
    <cellStyle name="Normal 3 7 3 2 2 6" xfId="19439" xr:uid="{00000000-0005-0000-0000-0000CA510000}"/>
    <cellStyle name="Normal 3 7 3 2 3" xfId="2564" xr:uid="{00000000-0005-0000-0000-0000CB510000}"/>
    <cellStyle name="Normal 3 7 3 2 3 2" xfId="7150" xr:uid="{00000000-0005-0000-0000-0000CC510000}"/>
    <cellStyle name="Normal 3 7 3 2 3 2 2" xfId="16250" xr:uid="{00000000-0005-0000-0000-0000CD510000}"/>
    <cellStyle name="Normal 3 7 3 2 3 2 2 2" xfId="34432" xr:uid="{00000000-0005-0000-0000-0000CE510000}"/>
    <cellStyle name="Normal 3 7 3 2 3 2 3" xfId="25342" xr:uid="{00000000-0005-0000-0000-0000CF510000}"/>
    <cellStyle name="Normal 3 7 3 2 3 3" xfId="11714" xr:uid="{00000000-0005-0000-0000-0000D0510000}"/>
    <cellStyle name="Normal 3 7 3 2 3 3 2" xfId="29896" xr:uid="{00000000-0005-0000-0000-0000D1510000}"/>
    <cellStyle name="Normal 3 7 3 2 3 4" xfId="20806" xr:uid="{00000000-0005-0000-0000-0000D2510000}"/>
    <cellStyle name="Normal 3 7 3 2 4" xfId="4142" xr:uid="{00000000-0005-0000-0000-0000D3510000}"/>
    <cellStyle name="Normal 3 7 3 2 4 2" xfId="8698" xr:uid="{00000000-0005-0000-0000-0000D4510000}"/>
    <cellStyle name="Normal 3 7 3 2 4 2 2" xfId="17794" xr:uid="{00000000-0005-0000-0000-0000D5510000}"/>
    <cellStyle name="Normal 3 7 3 2 4 2 2 2" xfId="35976" xr:uid="{00000000-0005-0000-0000-0000D6510000}"/>
    <cellStyle name="Normal 3 7 3 2 4 2 3" xfId="26886" xr:uid="{00000000-0005-0000-0000-0000D7510000}"/>
    <cellStyle name="Normal 3 7 3 2 4 3" xfId="13254" xr:uid="{00000000-0005-0000-0000-0000D8510000}"/>
    <cellStyle name="Normal 3 7 3 2 4 3 2" xfId="31436" xr:uid="{00000000-0005-0000-0000-0000D9510000}"/>
    <cellStyle name="Normal 3 7 3 2 4 4" xfId="22346" xr:uid="{00000000-0005-0000-0000-0000DA510000}"/>
    <cellStyle name="Normal 3 7 3 2 5" xfId="5781" xr:uid="{00000000-0005-0000-0000-0000DB510000}"/>
    <cellStyle name="Normal 3 7 3 2 5 2" xfId="14881" xr:uid="{00000000-0005-0000-0000-0000DC510000}"/>
    <cellStyle name="Normal 3 7 3 2 5 2 2" xfId="33063" xr:uid="{00000000-0005-0000-0000-0000DD510000}"/>
    <cellStyle name="Normal 3 7 3 2 5 3" xfId="23973" xr:uid="{00000000-0005-0000-0000-0000DE510000}"/>
    <cellStyle name="Normal 3 7 3 2 6" xfId="10347" xr:uid="{00000000-0005-0000-0000-0000DF510000}"/>
    <cellStyle name="Normal 3 7 3 2 6 2" xfId="28529" xr:uid="{00000000-0005-0000-0000-0000E0510000}"/>
    <cellStyle name="Normal 3 7 3 2 7" xfId="19438" xr:uid="{00000000-0005-0000-0000-0000E1510000}"/>
    <cellStyle name="Normal 3 7 3 3" xfId="1142" xr:uid="{00000000-0005-0000-0000-0000E2510000}"/>
    <cellStyle name="Normal 3 7 3 3 2" xfId="2565" xr:uid="{00000000-0005-0000-0000-0000E3510000}"/>
    <cellStyle name="Normal 3 7 3 3 2 2" xfId="7151" xr:uid="{00000000-0005-0000-0000-0000E4510000}"/>
    <cellStyle name="Normal 3 7 3 3 2 2 2" xfId="16251" xr:uid="{00000000-0005-0000-0000-0000E5510000}"/>
    <cellStyle name="Normal 3 7 3 3 2 2 2 2" xfId="34433" xr:uid="{00000000-0005-0000-0000-0000E6510000}"/>
    <cellStyle name="Normal 3 7 3 3 2 2 3" xfId="25343" xr:uid="{00000000-0005-0000-0000-0000E7510000}"/>
    <cellStyle name="Normal 3 7 3 3 2 3" xfId="11715" xr:uid="{00000000-0005-0000-0000-0000E8510000}"/>
    <cellStyle name="Normal 3 7 3 3 2 3 2" xfId="29897" xr:uid="{00000000-0005-0000-0000-0000E9510000}"/>
    <cellStyle name="Normal 3 7 3 3 2 4" xfId="20807" xr:uid="{00000000-0005-0000-0000-0000EA510000}"/>
    <cellStyle name="Normal 3 7 3 3 3" xfId="4144" xr:uid="{00000000-0005-0000-0000-0000EB510000}"/>
    <cellStyle name="Normal 3 7 3 3 3 2" xfId="8700" xr:uid="{00000000-0005-0000-0000-0000EC510000}"/>
    <cellStyle name="Normal 3 7 3 3 3 2 2" xfId="17796" xr:uid="{00000000-0005-0000-0000-0000ED510000}"/>
    <cellStyle name="Normal 3 7 3 3 3 2 2 2" xfId="35978" xr:uid="{00000000-0005-0000-0000-0000EE510000}"/>
    <cellStyle name="Normal 3 7 3 3 3 2 3" xfId="26888" xr:uid="{00000000-0005-0000-0000-0000EF510000}"/>
    <cellStyle name="Normal 3 7 3 3 3 3" xfId="13256" xr:uid="{00000000-0005-0000-0000-0000F0510000}"/>
    <cellStyle name="Normal 3 7 3 3 3 3 2" xfId="31438" xr:uid="{00000000-0005-0000-0000-0000F1510000}"/>
    <cellStyle name="Normal 3 7 3 3 3 4" xfId="22348" xr:uid="{00000000-0005-0000-0000-0000F2510000}"/>
    <cellStyle name="Normal 3 7 3 3 4" xfId="5783" xr:uid="{00000000-0005-0000-0000-0000F3510000}"/>
    <cellStyle name="Normal 3 7 3 3 4 2" xfId="14883" xr:uid="{00000000-0005-0000-0000-0000F4510000}"/>
    <cellStyle name="Normal 3 7 3 3 4 2 2" xfId="33065" xr:uid="{00000000-0005-0000-0000-0000F5510000}"/>
    <cellStyle name="Normal 3 7 3 3 4 3" xfId="23975" xr:uid="{00000000-0005-0000-0000-0000F6510000}"/>
    <cellStyle name="Normal 3 7 3 3 5" xfId="10349" xr:uid="{00000000-0005-0000-0000-0000F7510000}"/>
    <cellStyle name="Normal 3 7 3 3 5 2" xfId="28531" xr:uid="{00000000-0005-0000-0000-0000F8510000}"/>
    <cellStyle name="Normal 3 7 3 3 6" xfId="19440" xr:uid="{00000000-0005-0000-0000-0000F9510000}"/>
    <cellStyle name="Normal 3 7 3 4" xfId="1143" xr:uid="{00000000-0005-0000-0000-0000FA510000}"/>
    <cellStyle name="Normal 3 7 3 4 2" xfId="4145" xr:uid="{00000000-0005-0000-0000-0000FB510000}"/>
    <cellStyle name="Normal 3 7 3 4 2 2" xfId="8701" xr:uid="{00000000-0005-0000-0000-0000FC510000}"/>
    <cellStyle name="Normal 3 7 3 4 2 2 2" xfId="17797" xr:uid="{00000000-0005-0000-0000-0000FD510000}"/>
    <cellStyle name="Normal 3 7 3 4 2 2 2 2" xfId="35979" xr:uid="{00000000-0005-0000-0000-0000FE510000}"/>
    <cellStyle name="Normal 3 7 3 4 2 2 3" xfId="26889" xr:uid="{00000000-0005-0000-0000-0000FF510000}"/>
    <cellStyle name="Normal 3 7 3 4 2 3" xfId="13257" xr:uid="{00000000-0005-0000-0000-000000520000}"/>
    <cellStyle name="Normal 3 7 3 4 2 3 2" xfId="31439" xr:uid="{00000000-0005-0000-0000-000001520000}"/>
    <cellStyle name="Normal 3 7 3 4 2 4" xfId="22349" xr:uid="{00000000-0005-0000-0000-000002520000}"/>
    <cellStyle name="Normal 3 7 3 4 3" xfId="5784" xr:uid="{00000000-0005-0000-0000-000003520000}"/>
    <cellStyle name="Normal 3 7 3 4 3 2" xfId="14884" xr:uid="{00000000-0005-0000-0000-000004520000}"/>
    <cellStyle name="Normal 3 7 3 4 3 2 2" xfId="33066" xr:uid="{00000000-0005-0000-0000-000005520000}"/>
    <cellStyle name="Normal 3 7 3 4 3 3" xfId="23976" xr:uid="{00000000-0005-0000-0000-000006520000}"/>
    <cellStyle name="Normal 3 7 3 4 4" xfId="10350" xr:uid="{00000000-0005-0000-0000-000007520000}"/>
    <cellStyle name="Normal 3 7 3 4 4 2" xfId="28532" xr:uid="{00000000-0005-0000-0000-000008520000}"/>
    <cellStyle name="Normal 3 7 3 4 5" xfId="19441" xr:uid="{00000000-0005-0000-0000-000009520000}"/>
    <cellStyle name="Normal 3 7 3 5" xfId="2566" xr:uid="{00000000-0005-0000-0000-00000A520000}"/>
    <cellStyle name="Normal 3 7 3 5 2" xfId="7152" xr:uid="{00000000-0005-0000-0000-00000B520000}"/>
    <cellStyle name="Normal 3 7 3 5 2 2" xfId="16252" xr:uid="{00000000-0005-0000-0000-00000C520000}"/>
    <cellStyle name="Normal 3 7 3 5 2 2 2" xfId="34434" xr:uid="{00000000-0005-0000-0000-00000D520000}"/>
    <cellStyle name="Normal 3 7 3 5 2 3" xfId="25344" xr:uid="{00000000-0005-0000-0000-00000E520000}"/>
    <cellStyle name="Normal 3 7 3 5 3" xfId="11716" xr:uid="{00000000-0005-0000-0000-00000F520000}"/>
    <cellStyle name="Normal 3 7 3 5 3 2" xfId="29898" xr:uid="{00000000-0005-0000-0000-000010520000}"/>
    <cellStyle name="Normal 3 7 3 5 4" xfId="20808" xr:uid="{00000000-0005-0000-0000-000011520000}"/>
    <cellStyle name="Normal 3 7 3 6" xfId="4141" xr:uid="{00000000-0005-0000-0000-000012520000}"/>
    <cellStyle name="Normal 3 7 3 6 2" xfId="8697" xr:uid="{00000000-0005-0000-0000-000013520000}"/>
    <cellStyle name="Normal 3 7 3 6 2 2" xfId="17793" xr:uid="{00000000-0005-0000-0000-000014520000}"/>
    <cellStyle name="Normal 3 7 3 6 2 2 2" xfId="35975" xr:uid="{00000000-0005-0000-0000-000015520000}"/>
    <cellStyle name="Normal 3 7 3 6 2 3" xfId="26885" xr:uid="{00000000-0005-0000-0000-000016520000}"/>
    <cellStyle name="Normal 3 7 3 6 3" xfId="13253" xr:uid="{00000000-0005-0000-0000-000017520000}"/>
    <cellStyle name="Normal 3 7 3 6 3 2" xfId="31435" xr:uid="{00000000-0005-0000-0000-000018520000}"/>
    <cellStyle name="Normal 3 7 3 6 4" xfId="22345" xr:uid="{00000000-0005-0000-0000-000019520000}"/>
    <cellStyle name="Normal 3 7 3 7" xfId="5780" xr:uid="{00000000-0005-0000-0000-00001A520000}"/>
    <cellStyle name="Normal 3 7 3 7 2" xfId="14880" xr:uid="{00000000-0005-0000-0000-00001B520000}"/>
    <cellStyle name="Normal 3 7 3 7 2 2" xfId="33062" xr:uid="{00000000-0005-0000-0000-00001C520000}"/>
    <cellStyle name="Normal 3 7 3 7 3" xfId="23972" xr:uid="{00000000-0005-0000-0000-00001D520000}"/>
    <cellStyle name="Normal 3 7 3 8" xfId="10346" xr:uid="{00000000-0005-0000-0000-00001E520000}"/>
    <cellStyle name="Normal 3 7 3 8 2" xfId="28528" xr:uid="{00000000-0005-0000-0000-00001F520000}"/>
    <cellStyle name="Normal 3 7 3 9" xfId="19437" xr:uid="{00000000-0005-0000-0000-000020520000}"/>
    <cellStyle name="Normal 3 7 4" xfId="1144" xr:uid="{00000000-0005-0000-0000-000021520000}"/>
    <cellStyle name="Normal 3 7 4 2" xfId="1145" xr:uid="{00000000-0005-0000-0000-000022520000}"/>
    <cellStyle name="Normal 3 7 4 2 2" xfId="2567" xr:uid="{00000000-0005-0000-0000-000023520000}"/>
    <cellStyle name="Normal 3 7 4 2 2 2" xfId="7153" xr:uid="{00000000-0005-0000-0000-000024520000}"/>
    <cellStyle name="Normal 3 7 4 2 2 2 2" xfId="16253" xr:uid="{00000000-0005-0000-0000-000025520000}"/>
    <cellStyle name="Normal 3 7 4 2 2 2 2 2" xfId="34435" xr:uid="{00000000-0005-0000-0000-000026520000}"/>
    <cellStyle name="Normal 3 7 4 2 2 2 3" xfId="25345" xr:uid="{00000000-0005-0000-0000-000027520000}"/>
    <cellStyle name="Normal 3 7 4 2 2 3" xfId="11717" xr:uid="{00000000-0005-0000-0000-000028520000}"/>
    <cellStyle name="Normal 3 7 4 2 2 3 2" xfId="29899" xr:uid="{00000000-0005-0000-0000-000029520000}"/>
    <cellStyle name="Normal 3 7 4 2 2 4" xfId="20809" xr:uid="{00000000-0005-0000-0000-00002A520000}"/>
    <cellStyle name="Normal 3 7 4 2 3" xfId="4147" xr:uid="{00000000-0005-0000-0000-00002B520000}"/>
    <cellStyle name="Normal 3 7 4 2 3 2" xfId="8703" xr:uid="{00000000-0005-0000-0000-00002C520000}"/>
    <cellStyle name="Normal 3 7 4 2 3 2 2" xfId="17799" xr:uid="{00000000-0005-0000-0000-00002D520000}"/>
    <cellStyle name="Normal 3 7 4 2 3 2 2 2" xfId="35981" xr:uid="{00000000-0005-0000-0000-00002E520000}"/>
    <cellStyle name="Normal 3 7 4 2 3 2 3" xfId="26891" xr:uid="{00000000-0005-0000-0000-00002F520000}"/>
    <cellStyle name="Normal 3 7 4 2 3 3" xfId="13259" xr:uid="{00000000-0005-0000-0000-000030520000}"/>
    <cellStyle name="Normal 3 7 4 2 3 3 2" xfId="31441" xr:uid="{00000000-0005-0000-0000-000031520000}"/>
    <cellStyle name="Normal 3 7 4 2 3 4" xfId="22351" xr:uid="{00000000-0005-0000-0000-000032520000}"/>
    <cellStyle name="Normal 3 7 4 2 4" xfId="5786" xr:uid="{00000000-0005-0000-0000-000033520000}"/>
    <cellStyle name="Normal 3 7 4 2 4 2" xfId="14886" xr:uid="{00000000-0005-0000-0000-000034520000}"/>
    <cellStyle name="Normal 3 7 4 2 4 2 2" xfId="33068" xr:uid="{00000000-0005-0000-0000-000035520000}"/>
    <cellStyle name="Normal 3 7 4 2 4 3" xfId="23978" xr:uid="{00000000-0005-0000-0000-000036520000}"/>
    <cellStyle name="Normal 3 7 4 2 5" xfId="10352" xr:uid="{00000000-0005-0000-0000-000037520000}"/>
    <cellStyle name="Normal 3 7 4 2 5 2" xfId="28534" xr:uid="{00000000-0005-0000-0000-000038520000}"/>
    <cellStyle name="Normal 3 7 4 2 6" xfId="19443" xr:uid="{00000000-0005-0000-0000-000039520000}"/>
    <cellStyle name="Normal 3 7 4 3" xfId="2568" xr:uid="{00000000-0005-0000-0000-00003A520000}"/>
    <cellStyle name="Normal 3 7 4 3 2" xfId="7154" xr:uid="{00000000-0005-0000-0000-00003B520000}"/>
    <cellStyle name="Normal 3 7 4 3 2 2" xfId="16254" xr:uid="{00000000-0005-0000-0000-00003C520000}"/>
    <cellStyle name="Normal 3 7 4 3 2 2 2" xfId="34436" xr:uid="{00000000-0005-0000-0000-00003D520000}"/>
    <cellStyle name="Normal 3 7 4 3 2 3" xfId="25346" xr:uid="{00000000-0005-0000-0000-00003E520000}"/>
    <cellStyle name="Normal 3 7 4 3 3" xfId="11718" xr:uid="{00000000-0005-0000-0000-00003F520000}"/>
    <cellStyle name="Normal 3 7 4 3 3 2" xfId="29900" xr:uid="{00000000-0005-0000-0000-000040520000}"/>
    <cellStyle name="Normal 3 7 4 3 4" xfId="20810" xr:uid="{00000000-0005-0000-0000-000041520000}"/>
    <cellStyle name="Normal 3 7 4 4" xfId="4146" xr:uid="{00000000-0005-0000-0000-000042520000}"/>
    <cellStyle name="Normal 3 7 4 4 2" xfId="8702" xr:uid="{00000000-0005-0000-0000-000043520000}"/>
    <cellStyle name="Normal 3 7 4 4 2 2" xfId="17798" xr:uid="{00000000-0005-0000-0000-000044520000}"/>
    <cellStyle name="Normal 3 7 4 4 2 2 2" xfId="35980" xr:uid="{00000000-0005-0000-0000-000045520000}"/>
    <cellStyle name="Normal 3 7 4 4 2 3" xfId="26890" xr:uid="{00000000-0005-0000-0000-000046520000}"/>
    <cellStyle name="Normal 3 7 4 4 3" xfId="13258" xr:uid="{00000000-0005-0000-0000-000047520000}"/>
    <cellStyle name="Normal 3 7 4 4 3 2" xfId="31440" xr:uid="{00000000-0005-0000-0000-000048520000}"/>
    <cellStyle name="Normal 3 7 4 4 4" xfId="22350" xr:uid="{00000000-0005-0000-0000-000049520000}"/>
    <cellStyle name="Normal 3 7 4 5" xfId="5785" xr:uid="{00000000-0005-0000-0000-00004A520000}"/>
    <cellStyle name="Normal 3 7 4 5 2" xfId="14885" xr:uid="{00000000-0005-0000-0000-00004B520000}"/>
    <cellStyle name="Normal 3 7 4 5 2 2" xfId="33067" xr:uid="{00000000-0005-0000-0000-00004C520000}"/>
    <cellStyle name="Normal 3 7 4 5 3" xfId="23977" xr:uid="{00000000-0005-0000-0000-00004D520000}"/>
    <cellStyle name="Normal 3 7 4 6" xfId="10351" xr:uid="{00000000-0005-0000-0000-00004E520000}"/>
    <cellStyle name="Normal 3 7 4 6 2" xfId="28533" xr:uid="{00000000-0005-0000-0000-00004F520000}"/>
    <cellStyle name="Normal 3 7 4 7" xfId="19442" xr:uid="{00000000-0005-0000-0000-000050520000}"/>
    <cellStyle name="Normal 3 7 5" xfId="1146" xr:uid="{00000000-0005-0000-0000-000051520000}"/>
    <cellStyle name="Normal 3 7 5 2" xfId="2569" xr:uid="{00000000-0005-0000-0000-000052520000}"/>
    <cellStyle name="Normal 3 7 5 2 2" xfId="7155" xr:uid="{00000000-0005-0000-0000-000053520000}"/>
    <cellStyle name="Normal 3 7 5 2 2 2" xfId="16255" xr:uid="{00000000-0005-0000-0000-000054520000}"/>
    <cellStyle name="Normal 3 7 5 2 2 2 2" xfId="34437" xr:uid="{00000000-0005-0000-0000-000055520000}"/>
    <cellStyle name="Normal 3 7 5 2 2 3" xfId="25347" xr:uid="{00000000-0005-0000-0000-000056520000}"/>
    <cellStyle name="Normal 3 7 5 2 3" xfId="11719" xr:uid="{00000000-0005-0000-0000-000057520000}"/>
    <cellStyle name="Normal 3 7 5 2 3 2" xfId="29901" xr:uid="{00000000-0005-0000-0000-000058520000}"/>
    <cellStyle name="Normal 3 7 5 2 4" xfId="20811" xr:uid="{00000000-0005-0000-0000-000059520000}"/>
    <cellStyle name="Normal 3 7 5 3" xfId="4148" xr:uid="{00000000-0005-0000-0000-00005A520000}"/>
    <cellStyle name="Normal 3 7 5 3 2" xfId="8704" xr:uid="{00000000-0005-0000-0000-00005B520000}"/>
    <cellStyle name="Normal 3 7 5 3 2 2" xfId="17800" xr:uid="{00000000-0005-0000-0000-00005C520000}"/>
    <cellStyle name="Normal 3 7 5 3 2 2 2" xfId="35982" xr:uid="{00000000-0005-0000-0000-00005D520000}"/>
    <cellStyle name="Normal 3 7 5 3 2 3" xfId="26892" xr:uid="{00000000-0005-0000-0000-00005E520000}"/>
    <cellStyle name="Normal 3 7 5 3 3" xfId="13260" xr:uid="{00000000-0005-0000-0000-00005F520000}"/>
    <cellStyle name="Normal 3 7 5 3 3 2" xfId="31442" xr:uid="{00000000-0005-0000-0000-000060520000}"/>
    <cellStyle name="Normal 3 7 5 3 4" xfId="22352" xr:uid="{00000000-0005-0000-0000-000061520000}"/>
    <cellStyle name="Normal 3 7 5 4" xfId="5787" xr:uid="{00000000-0005-0000-0000-000062520000}"/>
    <cellStyle name="Normal 3 7 5 4 2" xfId="14887" xr:uid="{00000000-0005-0000-0000-000063520000}"/>
    <cellStyle name="Normal 3 7 5 4 2 2" xfId="33069" xr:uid="{00000000-0005-0000-0000-000064520000}"/>
    <cellStyle name="Normal 3 7 5 4 3" xfId="23979" xr:uid="{00000000-0005-0000-0000-000065520000}"/>
    <cellStyle name="Normal 3 7 5 5" xfId="10353" xr:uid="{00000000-0005-0000-0000-000066520000}"/>
    <cellStyle name="Normal 3 7 5 5 2" xfId="28535" xr:uid="{00000000-0005-0000-0000-000067520000}"/>
    <cellStyle name="Normal 3 7 5 6" xfId="19444" xr:uid="{00000000-0005-0000-0000-000068520000}"/>
    <cellStyle name="Normal 3 7 6" xfId="1147" xr:uid="{00000000-0005-0000-0000-000069520000}"/>
    <cellStyle name="Normal 3 7 6 2" xfId="4149" xr:uid="{00000000-0005-0000-0000-00006A520000}"/>
    <cellStyle name="Normal 3 7 6 2 2" xfId="8705" xr:uid="{00000000-0005-0000-0000-00006B520000}"/>
    <cellStyle name="Normal 3 7 6 2 2 2" xfId="17801" xr:uid="{00000000-0005-0000-0000-00006C520000}"/>
    <cellStyle name="Normal 3 7 6 2 2 2 2" xfId="35983" xr:uid="{00000000-0005-0000-0000-00006D520000}"/>
    <cellStyle name="Normal 3 7 6 2 2 3" xfId="26893" xr:uid="{00000000-0005-0000-0000-00006E520000}"/>
    <cellStyle name="Normal 3 7 6 2 3" xfId="13261" xr:uid="{00000000-0005-0000-0000-00006F520000}"/>
    <cellStyle name="Normal 3 7 6 2 3 2" xfId="31443" xr:uid="{00000000-0005-0000-0000-000070520000}"/>
    <cellStyle name="Normal 3 7 6 2 4" xfId="22353" xr:uid="{00000000-0005-0000-0000-000071520000}"/>
    <cellStyle name="Normal 3 7 6 3" xfId="5788" xr:uid="{00000000-0005-0000-0000-000072520000}"/>
    <cellStyle name="Normal 3 7 6 3 2" xfId="14888" xr:uid="{00000000-0005-0000-0000-000073520000}"/>
    <cellStyle name="Normal 3 7 6 3 2 2" xfId="33070" xr:uid="{00000000-0005-0000-0000-000074520000}"/>
    <cellStyle name="Normal 3 7 6 3 3" xfId="23980" xr:uid="{00000000-0005-0000-0000-000075520000}"/>
    <cellStyle name="Normal 3 7 6 4" xfId="10354" xr:uid="{00000000-0005-0000-0000-000076520000}"/>
    <cellStyle name="Normal 3 7 6 4 2" xfId="28536" xr:uid="{00000000-0005-0000-0000-000077520000}"/>
    <cellStyle name="Normal 3 7 6 5" xfId="19445" xr:uid="{00000000-0005-0000-0000-000078520000}"/>
    <cellStyle name="Normal 3 7 7" xfId="2570" xr:uid="{00000000-0005-0000-0000-000079520000}"/>
    <cellStyle name="Normal 3 7 7 2" xfId="7156" xr:uid="{00000000-0005-0000-0000-00007A520000}"/>
    <cellStyle name="Normal 3 7 7 2 2" xfId="16256" xr:uid="{00000000-0005-0000-0000-00007B520000}"/>
    <cellStyle name="Normal 3 7 7 2 2 2" xfId="34438" xr:uid="{00000000-0005-0000-0000-00007C520000}"/>
    <cellStyle name="Normal 3 7 7 2 3" xfId="25348" xr:uid="{00000000-0005-0000-0000-00007D520000}"/>
    <cellStyle name="Normal 3 7 7 3" xfId="11720" xr:uid="{00000000-0005-0000-0000-00007E520000}"/>
    <cellStyle name="Normal 3 7 7 3 2" xfId="29902" xr:uid="{00000000-0005-0000-0000-00007F520000}"/>
    <cellStyle name="Normal 3 7 7 4" xfId="20812" xr:uid="{00000000-0005-0000-0000-000080520000}"/>
    <cellStyle name="Normal 3 7 8" xfId="3228" xr:uid="{00000000-0005-0000-0000-000081520000}"/>
    <cellStyle name="Normal 3 7 8 2" xfId="7788" xr:uid="{00000000-0005-0000-0000-000082520000}"/>
    <cellStyle name="Normal 3 7 8 2 2" xfId="16884" xr:uid="{00000000-0005-0000-0000-000083520000}"/>
    <cellStyle name="Normal 3 7 8 2 2 2" xfId="35066" xr:uid="{00000000-0005-0000-0000-000084520000}"/>
    <cellStyle name="Normal 3 7 8 2 3" xfId="25976" xr:uid="{00000000-0005-0000-0000-000085520000}"/>
    <cellStyle name="Normal 3 7 8 3" xfId="12344" xr:uid="{00000000-0005-0000-0000-000086520000}"/>
    <cellStyle name="Normal 3 7 8 3 2" xfId="30526" xr:uid="{00000000-0005-0000-0000-000087520000}"/>
    <cellStyle name="Normal 3 7 8 4" xfId="21436" xr:uid="{00000000-0005-0000-0000-000088520000}"/>
    <cellStyle name="Normal 3 7 9" xfId="4875" xr:uid="{00000000-0005-0000-0000-000089520000}"/>
    <cellStyle name="Normal 3 7 9 2" xfId="13975" xr:uid="{00000000-0005-0000-0000-00008A520000}"/>
    <cellStyle name="Normal 3 7 9 2 2" xfId="32157" xr:uid="{00000000-0005-0000-0000-00008B520000}"/>
    <cellStyle name="Normal 3 7 9 3" xfId="23067" xr:uid="{00000000-0005-0000-0000-00008C520000}"/>
    <cellStyle name="Normal 3 8" xfId="1148" xr:uid="{00000000-0005-0000-0000-00008D520000}"/>
    <cellStyle name="Normal 3 8 10" xfId="19446" xr:uid="{00000000-0005-0000-0000-00008E520000}"/>
    <cellStyle name="Normal 3 8 2" xfId="1149" xr:uid="{00000000-0005-0000-0000-00008F520000}"/>
    <cellStyle name="Normal 3 8 2 2" xfId="1150" xr:uid="{00000000-0005-0000-0000-000090520000}"/>
    <cellStyle name="Normal 3 8 2 2 2" xfId="1151" xr:uid="{00000000-0005-0000-0000-000091520000}"/>
    <cellStyle name="Normal 3 8 2 2 2 2" xfId="2571" xr:uid="{00000000-0005-0000-0000-000092520000}"/>
    <cellStyle name="Normal 3 8 2 2 2 2 2" xfId="7157" xr:uid="{00000000-0005-0000-0000-000093520000}"/>
    <cellStyle name="Normal 3 8 2 2 2 2 2 2" xfId="16257" xr:uid="{00000000-0005-0000-0000-000094520000}"/>
    <cellStyle name="Normal 3 8 2 2 2 2 2 2 2" xfId="34439" xr:uid="{00000000-0005-0000-0000-000095520000}"/>
    <cellStyle name="Normal 3 8 2 2 2 2 2 3" xfId="25349" xr:uid="{00000000-0005-0000-0000-000096520000}"/>
    <cellStyle name="Normal 3 8 2 2 2 2 3" xfId="11721" xr:uid="{00000000-0005-0000-0000-000097520000}"/>
    <cellStyle name="Normal 3 8 2 2 2 2 3 2" xfId="29903" xr:uid="{00000000-0005-0000-0000-000098520000}"/>
    <cellStyle name="Normal 3 8 2 2 2 2 4" xfId="20813" xr:uid="{00000000-0005-0000-0000-000099520000}"/>
    <cellStyle name="Normal 3 8 2 2 2 3" xfId="4153" xr:uid="{00000000-0005-0000-0000-00009A520000}"/>
    <cellStyle name="Normal 3 8 2 2 2 3 2" xfId="8709" xr:uid="{00000000-0005-0000-0000-00009B520000}"/>
    <cellStyle name="Normal 3 8 2 2 2 3 2 2" xfId="17805" xr:uid="{00000000-0005-0000-0000-00009C520000}"/>
    <cellStyle name="Normal 3 8 2 2 2 3 2 2 2" xfId="35987" xr:uid="{00000000-0005-0000-0000-00009D520000}"/>
    <cellStyle name="Normal 3 8 2 2 2 3 2 3" xfId="26897" xr:uid="{00000000-0005-0000-0000-00009E520000}"/>
    <cellStyle name="Normal 3 8 2 2 2 3 3" xfId="13265" xr:uid="{00000000-0005-0000-0000-00009F520000}"/>
    <cellStyle name="Normal 3 8 2 2 2 3 3 2" xfId="31447" xr:uid="{00000000-0005-0000-0000-0000A0520000}"/>
    <cellStyle name="Normal 3 8 2 2 2 3 4" xfId="22357" xr:uid="{00000000-0005-0000-0000-0000A1520000}"/>
    <cellStyle name="Normal 3 8 2 2 2 4" xfId="5792" xr:uid="{00000000-0005-0000-0000-0000A2520000}"/>
    <cellStyle name="Normal 3 8 2 2 2 4 2" xfId="14892" xr:uid="{00000000-0005-0000-0000-0000A3520000}"/>
    <cellStyle name="Normal 3 8 2 2 2 4 2 2" xfId="33074" xr:uid="{00000000-0005-0000-0000-0000A4520000}"/>
    <cellStyle name="Normal 3 8 2 2 2 4 3" xfId="23984" xr:uid="{00000000-0005-0000-0000-0000A5520000}"/>
    <cellStyle name="Normal 3 8 2 2 2 5" xfId="10358" xr:uid="{00000000-0005-0000-0000-0000A6520000}"/>
    <cellStyle name="Normal 3 8 2 2 2 5 2" xfId="28540" xr:uid="{00000000-0005-0000-0000-0000A7520000}"/>
    <cellStyle name="Normal 3 8 2 2 2 6" xfId="19449" xr:uid="{00000000-0005-0000-0000-0000A8520000}"/>
    <cellStyle name="Normal 3 8 2 2 3" xfId="2572" xr:uid="{00000000-0005-0000-0000-0000A9520000}"/>
    <cellStyle name="Normal 3 8 2 2 3 2" xfId="7158" xr:uid="{00000000-0005-0000-0000-0000AA520000}"/>
    <cellStyle name="Normal 3 8 2 2 3 2 2" xfId="16258" xr:uid="{00000000-0005-0000-0000-0000AB520000}"/>
    <cellStyle name="Normal 3 8 2 2 3 2 2 2" xfId="34440" xr:uid="{00000000-0005-0000-0000-0000AC520000}"/>
    <cellStyle name="Normal 3 8 2 2 3 2 3" xfId="25350" xr:uid="{00000000-0005-0000-0000-0000AD520000}"/>
    <cellStyle name="Normal 3 8 2 2 3 3" xfId="11722" xr:uid="{00000000-0005-0000-0000-0000AE520000}"/>
    <cellStyle name="Normal 3 8 2 2 3 3 2" xfId="29904" xr:uid="{00000000-0005-0000-0000-0000AF520000}"/>
    <cellStyle name="Normal 3 8 2 2 3 4" xfId="20814" xr:uid="{00000000-0005-0000-0000-0000B0520000}"/>
    <cellStyle name="Normal 3 8 2 2 4" xfId="4152" xr:uid="{00000000-0005-0000-0000-0000B1520000}"/>
    <cellStyle name="Normal 3 8 2 2 4 2" xfId="8708" xr:uid="{00000000-0005-0000-0000-0000B2520000}"/>
    <cellStyle name="Normal 3 8 2 2 4 2 2" xfId="17804" xr:uid="{00000000-0005-0000-0000-0000B3520000}"/>
    <cellStyle name="Normal 3 8 2 2 4 2 2 2" xfId="35986" xr:uid="{00000000-0005-0000-0000-0000B4520000}"/>
    <cellStyle name="Normal 3 8 2 2 4 2 3" xfId="26896" xr:uid="{00000000-0005-0000-0000-0000B5520000}"/>
    <cellStyle name="Normal 3 8 2 2 4 3" xfId="13264" xr:uid="{00000000-0005-0000-0000-0000B6520000}"/>
    <cellStyle name="Normal 3 8 2 2 4 3 2" xfId="31446" xr:uid="{00000000-0005-0000-0000-0000B7520000}"/>
    <cellStyle name="Normal 3 8 2 2 4 4" xfId="22356" xr:uid="{00000000-0005-0000-0000-0000B8520000}"/>
    <cellStyle name="Normal 3 8 2 2 5" xfId="5791" xr:uid="{00000000-0005-0000-0000-0000B9520000}"/>
    <cellStyle name="Normal 3 8 2 2 5 2" xfId="14891" xr:uid="{00000000-0005-0000-0000-0000BA520000}"/>
    <cellStyle name="Normal 3 8 2 2 5 2 2" xfId="33073" xr:uid="{00000000-0005-0000-0000-0000BB520000}"/>
    <cellStyle name="Normal 3 8 2 2 5 3" xfId="23983" xr:uid="{00000000-0005-0000-0000-0000BC520000}"/>
    <cellStyle name="Normal 3 8 2 2 6" xfId="10357" xr:uid="{00000000-0005-0000-0000-0000BD520000}"/>
    <cellStyle name="Normal 3 8 2 2 6 2" xfId="28539" xr:uid="{00000000-0005-0000-0000-0000BE520000}"/>
    <cellStyle name="Normal 3 8 2 2 7" xfId="19448" xr:uid="{00000000-0005-0000-0000-0000BF520000}"/>
    <cellStyle name="Normal 3 8 2 3" xfId="1152" xr:uid="{00000000-0005-0000-0000-0000C0520000}"/>
    <cellStyle name="Normal 3 8 2 3 2" xfId="2573" xr:uid="{00000000-0005-0000-0000-0000C1520000}"/>
    <cellStyle name="Normal 3 8 2 3 2 2" xfId="7159" xr:uid="{00000000-0005-0000-0000-0000C2520000}"/>
    <cellStyle name="Normal 3 8 2 3 2 2 2" xfId="16259" xr:uid="{00000000-0005-0000-0000-0000C3520000}"/>
    <cellStyle name="Normal 3 8 2 3 2 2 2 2" xfId="34441" xr:uid="{00000000-0005-0000-0000-0000C4520000}"/>
    <cellStyle name="Normal 3 8 2 3 2 2 3" xfId="25351" xr:uid="{00000000-0005-0000-0000-0000C5520000}"/>
    <cellStyle name="Normal 3 8 2 3 2 3" xfId="11723" xr:uid="{00000000-0005-0000-0000-0000C6520000}"/>
    <cellStyle name="Normal 3 8 2 3 2 3 2" xfId="29905" xr:uid="{00000000-0005-0000-0000-0000C7520000}"/>
    <cellStyle name="Normal 3 8 2 3 2 4" xfId="20815" xr:uid="{00000000-0005-0000-0000-0000C8520000}"/>
    <cellStyle name="Normal 3 8 2 3 3" xfId="4154" xr:uid="{00000000-0005-0000-0000-0000C9520000}"/>
    <cellStyle name="Normal 3 8 2 3 3 2" xfId="8710" xr:uid="{00000000-0005-0000-0000-0000CA520000}"/>
    <cellStyle name="Normal 3 8 2 3 3 2 2" xfId="17806" xr:uid="{00000000-0005-0000-0000-0000CB520000}"/>
    <cellStyle name="Normal 3 8 2 3 3 2 2 2" xfId="35988" xr:uid="{00000000-0005-0000-0000-0000CC520000}"/>
    <cellStyle name="Normal 3 8 2 3 3 2 3" xfId="26898" xr:uid="{00000000-0005-0000-0000-0000CD520000}"/>
    <cellStyle name="Normal 3 8 2 3 3 3" xfId="13266" xr:uid="{00000000-0005-0000-0000-0000CE520000}"/>
    <cellStyle name="Normal 3 8 2 3 3 3 2" xfId="31448" xr:uid="{00000000-0005-0000-0000-0000CF520000}"/>
    <cellStyle name="Normal 3 8 2 3 3 4" xfId="22358" xr:uid="{00000000-0005-0000-0000-0000D0520000}"/>
    <cellStyle name="Normal 3 8 2 3 4" xfId="5793" xr:uid="{00000000-0005-0000-0000-0000D1520000}"/>
    <cellStyle name="Normal 3 8 2 3 4 2" xfId="14893" xr:uid="{00000000-0005-0000-0000-0000D2520000}"/>
    <cellStyle name="Normal 3 8 2 3 4 2 2" xfId="33075" xr:uid="{00000000-0005-0000-0000-0000D3520000}"/>
    <cellStyle name="Normal 3 8 2 3 4 3" xfId="23985" xr:uid="{00000000-0005-0000-0000-0000D4520000}"/>
    <cellStyle name="Normal 3 8 2 3 5" xfId="10359" xr:uid="{00000000-0005-0000-0000-0000D5520000}"/>
    <cellStyle name="Normal 3 8 2 3 5 2" xfId="28541" xr:uid="{00000000-0005-0000-0000-0000D6520000}"/>
    <cellStyle name="Normal 3 8 2 3 6" xfId="19450" xr:uid="{00000000-0005-0000-0000-0000D7520000}"/>
    <cellStyle name="Normal 3 8 2 4" xfId="1153" xr:uid="{00000000-0005-0000-0000-0000D8520000}"/>
    <cellStyle name="Normal 3 8 2 4 2" xfId="4155" xr:uid="{00000000-0005-0000-0000-0000D9520000}"/>
    <cellStyle name="Normal 3 8 2 4 2 2" xfId="8711" xr:uid="{00000000-0005-0000-0000-0000DA520000}"/>
    <cellStyle name="Normal 3 8 2 4 2 2 2" xfId="17807" xr:uid="{00000000-0005-0000-0000-0000DB520000}"/>
    <cellStyle name="Normal 3 8 2 4 2 2 2 2" xfId="35989" xr:uid="{00000000-0005-0000-0000-0000DC520000}"/>
    <cellStyle name="Normal 3 8 2 4 2 2 3" xfId="26899" xr:uid="{00000000-0005-0000-0000-0000DD520000}"/>
    <cellStyle name="Normal 3 8 2 4 2 3" xfId="13267" xr:uid="{00000000-0005-0000-0000-0000DE520000}"/>
    <cellStyle name="Normal 3 8 2 4 2 3 2" xfId="31449" xr:uid="{00000000-0005-0000-0000-0000DF520000}"/>
    <cellStyle name="Normal 3 8 2 4 2 4" xfId="22359" xr:uid="{00000000-0005-0000-0000-0000E0520000}"/>
    <cellStyle name="Normal 3 8 2 4 3" xfId="5794" xr:uid="{00000000-0005-0000-0000-0000E1520000}"/>
    <cellStyle name="Normal 3 8 2 4 3 2" xfId="14894" xr:uid="{00000000-0005-0000-0000-0000E2520000}"/>
    <cellStyle name="Normal 3 8 2 4 3 2 2" xfId="33076" xr:uid="{00000000-0005-0000-0000-0000E3520000}"/>
    <cellStyle name="Normal 3 8 2 4 3 3" xfId="23986" xr:uid="{00000000-0005-0000-0000-0000E4520000}"/>
    <cellStyle name="Normal 3 8 2 4 4" xfId="10360" xr:uid="{00000000-0005-0000-0000-0000E5520000}"/>
    <cellStyle name="Normal 3 8 2 4 4 2" xfId="28542" xr:uid="{00000000-0005-0000-0000-0000E6520000}"/>
    <cellStyle name="Normal 3 8 2 4 5" xfId="19451" xr:uid="{00000000-0005-0000-0000-0000E7520000}"/>
    <cellStyle name="Normal 3 8 2 5" xfId="2574" xr:uid="{00000000-0005-0000-0000-0000E8520000}"/>
    <cellStyle name="Normal 3 8 2 5 2" xfId="7160" xr:uid="{00000000-0005-0000-0000-0000E9520000}"/>
    <cellStyle name="Normal 3 8 2 5 2 2" xfId="16260" xr:uid="{00000000-0005-0000-0000-0000EA520000}"/>
    <cellStyle name="Normal 3 8 2 5 2 2 2" xfId="34442" xr:uid="{00000000-0005-0000-0000-0000EB520000}"/>
    <cellStyle name="Normal 3 8 2 5 2 3" xfId="25352" xr:uid="{00000000-0005-0000-0000-0000EC520000}"/>
    <cellStyle name="Normal 3 8 2 5 3" xfId="11724" xr:uid="{00000000-0005-0000-0000-0000ED520000}"/>
    <cellStyle name="Normal 3 8 2 5 3 2" xfId="29906" xr:uid="{00000000-0005-0000-0000-0000EE520000}"/>
    <cellStyle name="Normal 3 8 2 5 4" xfId="20816" xr:uid="{00000000-0005-0000-0000-0000EF520000}"/>
    <cellStyle name="Normal 3 8 2 6" xfId="4151" xr:uid="{00000000-0005-0000-0000-0000F0520000}"/>
    <cellStyle name="Normal 3 8 2 6 2" xfId="8707" xr:uid="{00000000-0005-0000-0000-0000F1520000}"/>
    <cellStyle name="Normal 3 8 2 6 2 2" xfId="17803" xr:uid="{00000000-0005-0000-0000-0000F2520000}"/>
    <cellStyle name="Normal 3 8 2 6 2 2 2" xfId="35985" xr:uid="{00000000-0005-0000-0000-0000F3520000}"/>
    <cellStyle name="Normal 3 8 2 6 2 3" xfId="26895" xr:uid="{00000000-0005-0000-0000-0000F4520000}"/>
    <cellStyle name="Normal 3 8 2 6 3" xfId="13263" xr:uid="{00000000-0005-0000-0000-0000F5520000}"/>
    <cellStyle name="Normal 3 8 2 6 3 2" xfId="31445" xr:uid="{00000000-0005-0000-0000-0000F6520000}"/>
    <cellStyle name="Normal 3 8 2 6 4" xfId="22355" xr:uid="{00000000-0005-0000-0000-0000F7520000}"/>
    <cellStyle name="Normal 3 8 2 7" xfId="5790" xr:uid="{00000000-0005-0000-0000-0000F8520000}"/>
    <cellStyle name="Normal 3 8 2 7 2" xfId="14890" xr:uid="{00000000-0005-0000-0000-0000F9520000}"/>
    <cellStyle name="Normal 3 8 2 7 2 2" xfId="33072" xr:uid="{00000000-0005-0000-0000-0000FA520000}"/>
    <cellStyle name="Normal 3 8 2 7 3" xfId="23982" xr:uid="{00000000-0005-0000-0000-0000FB520000}"/>
    <cellStyle name="Normal 3 8 2 8" xfId="10356" xr:uid="{00000000-0005-0000-0000-0000FC520000}"/>
    <cellStyle name="Normal 3 8 2 8 2" xfId="28538" xr:uid="{00000000-0005-0000-0000-0000FD520000}"/>
    <cellStyle name="Normal 3 8 2 9" xfId="19447" xr:uid="{00000000-0005-0000-0000-0000FE520000}"/>
    <cellStyle name="Normal 3 8 3" xfId="1154" xr:uid="{00000000-0005-0000-0000-0000FF520000}"/>
    <cellStyle name="Normal 3 8 3 2" xfId="1155" xr:uid="{00000000-0005-0000-0000-000000530000}"/>
    <cellStyle name="Normal 3 8 3 2 2" xfId="2575" xr:uid="{00000000-0005-0000-0000-000001530000}"/>
    <cellStyle name="Normal 3 8 3 2 2 2" xfId="7161" xr:uid="{00000000-0005-0000-0000-000002530000}"/>
    <cellStyle name="Normal 3 8 3 2 2 2 2" xfId="16261" xr:uid="{00000000-0005-0000-0000-000003530000}"/>
    <cellStyle name="Normal 3 8 3 2 2 2 2 2" xfId="34443" xr:uid="{00000000-0005-0000-0000-000004530000}"/>
    <cellStyle name="Normal 3 8 3 2 2 2 3" xfId="25353" xr:uid="{00000000-0005-0000-0000-000005530000}"/>
    <cellStyle name="Normal 3 8 3 2 2 3" xfId="11725" xr:uid="{00000000-0005-0000-0000-000006530000}"/>
    <cellStyle name="Normal 3 8 3 2 2 3 2" xfId="29907" xr:uid="{00000000-0005-0000-0000-000007530000}"/>
    <cellStyle name="Normal 3 8 3 2 2 4" xfId="20817" xr:uid="{00000000-0005-0000-0000-000008530000}"/>
    <cellStyle name="Normal 3 8 3 2 3" xfId="4157" xr:uid="{00000000-0005-0000-0000-000009530000}"/>
    <cellStyle name="Normal 3 8 3 2 3 2" xfId="8713" xr:uid="{00000000-0005-0000-0000-00000A530000}"/>
    <cellStyle name="Normal 3 8 3 2 3 2 2" xfId="17809" xr:uid="{00000000-0005-0000-0000-00000B530000}"/>
    <cellStyle name="Normal 3 8 3 2 3 2 2 2" xfId="35991" xr:uid="{00000000-0005-0000-0000-00000C530000}"/>
    <cellStyle name="Normal 3 8 3 2 3 2 3" xfId="26901" xr:uid="{00000000-0005-0000-0000-00000D530000}"/>
    <cellStyle name="Normal 3 8 3 2 3 3" xfId="13269" xr:uid="{00000000-0005-0000-0000-00000E530000}"/>
    <cellStyle name="Normal 3 8 3 2 3 3 2" xfId="31451" xr:uid="{00000000-0005-0000-0000-00000F530000}"/>
    <cellStyle name="Normal 3 8 3 2 3 4" xfId="22361" xr:uid="{00000000-0005-0000-0000-000010530000}"/>
    <cellStyle name="Normal 3 8 3 2 4" xfId="5796" xr:uid="{00000000-0005-0000-0000-000011530000}"/>
    <cellStyle name="Normal 3 8 3 2 4 2" xfId="14896" xr:uid="{00000000-0005-0000-0000-000012530000}"/>
    <cellStyle name="Normal 3 8 3 2 4 2 2" xfId="33078" xr:uid="{00000000-0005-0000-0000-000013530000}"/>
    <cellStyle name="Normal 3 8 3 2 4 3" xfId="23988" xr:uid="{00000000-0005-0000-0000-000014530000}"/>
    <cellStyle name="Normal 3 8 3 2 5" xfId="10362" xr:uid="{00000000-0005-0000-0000-000015530000}"/>
    <cellStyle name="Normal 3 8 3 2 5 2" xfId="28544" xr:uid="{00000000-0005-0000-0000-000016530000}"/>
    <cellStyle name="Normal 3 8 3 2 6" xfId="19453" xr:uid="{00000000-0005-0000-0000-000017530000}"/>
    <cellStyle name="Normal 3 8 3 3" xfId="2576" xr:uid="{00000000-0005-0000-0000-000018530000}"/>
    <cellStyle name="Normal 3 8 3 3 2" xfId="7162" xr:uid="{00000000-0005-0000-0000-000019530000}"/>
    <cellStyle name="Normal 3 8 3 3 2 2" xfId="16262" xr:uid="{00000000-0005-0000-0000-00001A530000}"/>
    <cellStyle name="Normal 3 8 3 3 2 2 2" xfId="34444" xr:uid="{00000000-0005-0000-0000-00001B530000}"/>
    <cellStyle name="Normal 3 8 3 3 2 3" xfId="25354" xr:uid="{00000000-0005-0000-0000-00001C530000}"/>
    <cellStyle name="Normal 3 8 3 3 3" xfId="11726" xr:uid="{00000000-0005-0000-0000-00001D530000}"/>
    <cellStyle name="Normal 3 8 3 3 3 2" xfId="29908" xr:uid="{00000000-0005-0000-0000-00001E530000}"/>
    <cellStyle name="Normal 3 8 3 3 4" xfId="20818" xr:uid="{00000000-0005-0000-0000-00001F530000}"/>
    <cellStyle name="Normal 3 8 3 4" xfId="4156" xr:uid="{00000000-0005-0000-0000-000020530000}"/>
    <cellStyle name="Normal 3 8 3 4 2" xfId="8712" xr:uid="{00000000-0005-0000-0000-000021530000}"/>
    <cellStyle name="Normal 3 8 3 4 2 2" xfId="17808" xr:uid="{00000000-0005-0000-0000-000022530000}"/>
    <cellStyle name="Normal 3 8 3 4 2 2 2" xfId="35990" xr:uid="{00000000-0005-0000-0000-000023530000}"/>
    <cellStyle name="Normal 3 8 3 4 2 3" xfId="26900" xr:uid="{00000000-0005-0000-0000-000024530000}"/>
    <cellStyle name="Normal 3 8 3 4 3" xfId="13268" xr:uid="{00000000-0005-0000-0000-000025530000}"/>
    <cellStyle name="Normal 3 8 3 4 3 2" xfId="31450" xr:uid="{00000000-0005-0000-0000-000026530000}"/>
    <cellStyle name="Normal 3 8 3 4 4" xfId="22360" xr:uid="{00000000-0005-0000-0000-000027530000}"/>
    <cellStyle name="Normal 3 8 3 5" xfId="5795" xr:uid="{00000000-0005-0000-0000-000028530000}"/>
    <cellStyle name="Normal 3 8 3 5 2" xfId="14895" xr:uid="{00000000-0005-0000-0000-000029530000}"/>
    <cellStyle name="Normal 3 8 3 5 2 2" xfId="33077" xr:uid="{00000000-0005-0000-0000-00002A530000}"/>
    <cellStyle name="Normal 3 8 3 5 3" xfId="23987" xr:uid="{00000000-0005-0000-0000-00002B530000}"/>
    <cellStyle name="Normal 3 8 3 6" xfId="10361" xr:uid="{00000000-0005-0000-0000-00002C530000}"/>
    <cellStyle name="Normal 3 8 3 6 2" xfId="28543" xr:uid="{00000000-0005-0000-0000-00002D530000}"/>
    <cellStyle name="Normal 3 8 3 7" xfId="19452" xr:uid="{00000000-0005-0000-0000-00002E530000}"/>
    <cellStyle name="Normal 3 8 4" xfId="1156" xr:uid="{00000000-0005-0000-0000-00002F530000}"/>
    <cellStyle name="Normal 3 8 4 2" xfId="2577" xr:uid="{00000000-0005-0000-0000-000030530000}"/>
    <cellStyle name="Normal 3 8 4 2 2" xfId="7163" xr:uid="{00000000-0005-0000-0000-000031530000}"/>
    <cellStyle name="Normal 3 8 4 2 2 2" xfId="16263" xr:uid="{00000000-0005-0000-0000-000032530000}"/>
    <cellStyle name="Normal 3 8 4 2 2 2 2" xfId="34445" xr:uid="{00000000-0005-0000-0000-000033530000}"/>
    <cellStyle name="Normal 3 8 4 2 2 3" xfId="25355" xr:uid="{00000000-0005-0000-0000-000034530000}"/>
    <cellStyle name="Normal 3 8 4 2 3" xfId="11727" xr:uid="{00000000-0005-0000-0000-000035530000}"/>
    <cellStyle name="Normal 3 8 4 2 3 2" xfId="29909" xr:uid="{00000000-0005-0000-0000-000036530000}"/>
    <cellStyle name="Normal 3 8 4 2 4" xfId="20819" xr:uid="{00000000-0005-0000-0000-000037530000}"/>
    <cellStyle name="Normal 3 8 4 3" xfId="4158" xr:uid="{00000000-0005-0000-0000-000038530000}"/>
    <cellStyle name="Normal 3 8 4 3 2" xfId="8714" xr:uid="{00000000-0005-0000-0000-000039530000}"/>
    <cellStyle name="Normal 3 8 4 3 2 2" xfId="17810" xr:uid="{00000000-0005-0000-0000-00003A530000}"/>
    <cellStyle name="Normal 3 8 4 3 2 2 2" xfId="35992" xr:uid="{00000000-0005-0000-0000-00003B530000}"/>
    <cellStyle name="Normal 3 8 4 3 2 3" xfId="26902" xr:uid="{00000000-0005-0000-0000-00003C530000}"/>
    <cellStyle name="Normal 3 8 4 3 3" xfId="13270" xr:uid="{00000000-0005-0000-0000-00003D530000}"/>
    <cellStyle name="Normal 3 8 4 3 3 2" xfId="31452" xr:uid="{00000000-0005-0000-0000-00003E530000}"/>
    <cellStyle name="Normal 3 8 4 3 4" xfId="22362" xr:uid="{00000000-0005-0000-0000-00003F530000}"/>
    <cellStyle name="Normal 3 8 4 4" xfId="5797" xr:uid="{00000000-0005-0000-0000-000040530000}"/>
    <cellStyle name="Normal 3 8 4 4 2" xfId="14897" xr:uid="{00000000-0005-0000-0000-000041530000}"/>
    <cellStyle name="Normal 3 8 4 4 2 2" xfId="33079" xr:uid="{00000000-0005-0000-0000-000042530000}"/>
    <cellStyle name="Normal 3 8 4 4 3" xfId="23989" xr:uid="{00000000-0005-0000-0000-000043530000}"/>
    <cellStyle name="Normal 3 8 4 5" xfId="10363" xr:uid="{00000000-0005-0000-0000-000044530000}"/>
    <cellStyle name="Normal 3 8 4 5 2" xfId="28545" xr:uid="{00000000-0005-0000-0000-000045530000}"/>
    <cellStyle name="Normal 3 8 4 6" xfId="19454" xr:uid="{00000000-0005-0000-0000-000046530000}"/>
    <cellStyle name="Normal 3 8 5" xfId="1157" xr:uid="{00000000-0005-0000-0000-000047530000}"/>
    <cellStyle name="Normal 3 8 5 2" xfId="4159" xr:uid="{00000000-0005-0000-0000-000048530000}"/>
    <cellStyle name="Normal 3 8 5 2 2" xfId="8715" xr:uid="{00000000-0005-0000-0000-000049530000}"/>
    <cellStyle name="Normal 3 8 5 2 2 2" xfId="17811" xr:uid="{00000000-0005-0000-0000-00004A530000}"/>
    <cellStyle name="Normal 3 8 5 2 2 2 2" xfId="35993" xr:uid="{00000000-0005-0000-0000-00004B530000}"/>
    <cellStyle name="Normal 3 8 5 2 2 3" xfId="26903" xr:uid="{00000000-0005-0000-0000-00004C530000}"/>
    <cellStyle name="Normal 3 8 5 2 3" xfId="13271" xr:uid="{00000000-0005-0000-0000-00004D530000}"/>
    <cellStyle name="Normal 3 8 5 2 3 2" xfId="31453" xr:uid="{00000000-0005-0000-0000-00004E530000}"/>
    <cellStyle name="Normal 3 8 5 2 4" xfId="22363" xr:uid="{00000000-0005-0000-0000-00004F530000}"/>
    <cellStyle name="Normal 3 8 5 3" xfId="5798" xr:uid="{00000000-0005-0000-0000-000050530000}"/>
    <cellStyle name="Normal 3 8 5 3 2" xfId="14898" xr:uid="{00000000-0005-0000-0000-000051530000}"/>
    <cellStyle name="Normal 3 8 5 3 2 2" xfId="33080" xr:uid="{00000000-0005-0000-0000-000052530000}"/>
    <cellStyle name="Normal 3 8 5 3 3" xfId="23990" xr:uid="{00000000-0005-0000-0000-000053530000}"/>
    <cellStyle name="Normal 3 8 5 4" xfId="10364" xr:uid="{00000000-0005-0000-0000-000054530000}"/>
    <cellStyle name="Normal 3 8 5 4 2" xfId="28546" xr:uid="{00000000-0005-0000-0000-000055530000}"/>
    <cellStyle name="Normal 3 8 5 5" xfId="19455" xr:uid="{00000000-0005-0000-0000-000056530000}"/>
    <cellStyle name="Normal 3 8 6" xfId="2578" xr:uid="{00000000-0005-0000-0000-000057530000}"/>
    <cellStyle name="Normal 3 8 7" xfId="4150" xr:uid="{00000000-0005-0000-0000-000058530000}"/>
    <cellStyle name="Normal 3 8 7 2" xfId="8706" xr:uid="{00000000-0005-0000-0000-000059530000}"/>
    <cellStyle name="Normal 3 8 7 2 2" xfId="17802" xr:uid="{00000000-0005-0000-0000-00005A530000}"/>
    <cellStyle name="Normal 3 8 7 2 2 2" xfId="35984" xr:uid="{00000000-0005-0000-0000-00005B530000}"/>
    <cellStyle name="Normal 3 8 7 2 3" xfId="26894" xr:uid="{00000000-0005-0000-0000-00005C530000}"/>
    <cellStyle name="Normal 3 8 7 3" xfId="13262" xr:uid="{00000000-0005-0000-0000-00005D530000}"/>
    <cellStyle name="Normal 3 8 7 3 2" xfId="31444" xr:uid="{00000000-0005-0000-0000-00005E530000}"/>
    <cellStyle name="Normal 3 8 7 4" xfId="22354" xr:uid="{00000000-0005-0000-0000-00005F530000}"/>
    <cellStyle name="Normal 3 8 8" xfId="5789" xr:uid="{00000000-0005-0000-0000-000060530000}"/>
    <cellStyle name="Normal 3 8 8 2" xfId="14889" xr:uid="{00000000-0005-0000-0000-000061530000}"/>
    <cellStyle name="Normal 3 8 8 2 2" xfId="33071" xr:uid="{00000000-0005-0000-0000-000062530000}"/>
    <cellStyle name="Normal 3 8 8 3" xfId="23981" xr:uid="{00000000-0005-0000-0000-000063530000}"/>
    <cellStyle name="Normal 3 8 9" xfId="10355" xr:uid="{00000000-0005-0000-0000-000064530000}"/>
    <cellStyle name="Normal 3 8 9 2" xfId="28537" xr:uid="{00000000-0005-0000-0000-000065530000}"/>
    <cellStyle name="Normal 3 9" xfId="1158" xr:uid="{00000000-0005-0000-0000-000066530000}"/>
    <cellStyle name="Normal 3 9 2" xfId="1159" xr:uid="{00000000-0005-0000-0000-000067530000}"/>
    <cellStyle name="Normal 3 9 2 2" xfId="1160" xr:uid="{00000000-0005-0000-0000-000068530000}"/>
    <cellStyle name="Normal 3 9 2 2 2" xfId="2579" xr:uid="{00000000-0005-0000-0000-000069530000}"/>
    <cellStyle name="Normal 3 9 2 2 2 2" xfId="7164" xr:uid="{00000000-0005-0000-0000-00006A530000}"/>
    <cellStyle name="Normal 3 9 2 2 2 2 2" xfId="16264" xr:uid="{00000000-0005-0000-0000-00006B530000}"/>
    <cellStyle name="Normal 3 9 2 2 2 2 2 2" xfId="34446" xr:uid="{00000000-0005-0000-0000-00006C530000}"/>
    <cellStyle name="Normal 3 9 2 2 2 2 3" xfId="25356" xr:uid="{00000000-0005-0000-0000-00006D530000}"/>
    <cellStyle name="Normal 3 9 2 2 2 3" xfId="11728" xr:uid="{00000000-0005-0000-0000-00006E530000}"/>
    <cellStyle name="Normal 3 9 2 2 2 3 2" xfId="29910" xr:uid="{00000000-0005-0000-0000-00006F530000}"/>
    <cellStyle name="Normal 3 9 2 2 2 4" xfId="20820" xr:uid="{00000000-0005-0000-0000-000070530000}"/>
    <cellStyle name="Normal 3 9 2 2 3" xfId="4162" xr:uid="{00000000-0005-0000-0000-000071530000}"/>
    <cellStyle name="Normal 3 9 2 2 3 2" xfId="8718" xr:uid="{00000000-0005-0000-0000-000072530000}"/>
    <cellStyle name="Normal 3 9 2 2 3 2 2" xfId="17814" xr:uid="{00000000-0005-0000-0000-000073530000}"/>
    <cellStyle name="Normal 3 9 2 2 3 2 2 2" xfId="35996" xr:uid="{00000000-0005-0000-0000-000074530000}"/>
    <cellStyle name="Normal 3 9 2 2 3 2 3" xfId="26906" xr:uid="{00000000-0005-0000-0000-000075530000}"/>
    <cellStyle name="Normal 3 9 2 2 3 3" xfId="13274" xr:uid="{00000000-0005-0000-0000-000076530000}"/>
    <cellStyle name="Normal 3 9 2 2 3 3 2" xfId="31456" xr:uid="{00000000-0005-0000-0000-000077530000}"/>
    <cellStyle name="Normal 3 9 2 2 3 4" xfId="22366" xr:uid="{00000000-0005-0000-0000-000078530000}"/>
    <cellStyle name="Normal 3 9 2 2 4" xfId="5801" xr:uid="{00000000-0005-0000-0000-000079530000}"/>
    <cellStyle name="Normal 3 9 2 2 4 2" xfId="14901" xr:uid="{00000000-0005-0000-0000-00007A530000}"/>
    <cellStyle name="Normal 3 9 2 2 4 2 2" xfId="33083" xr:uid="{00000000-0005-0000-0000-00007B530000}"/>
    <cellStyle name="Normal 3 9 2 2 4 3" xfId="23993" xr:uid="{00000000-0005-0000-0000-00007C530000}"/>
    <cellStyle name="Normal 3 9 2 2 5" xfId="10367" xr:uid="{00000000-0005-0000-0000-00007D530000}"/>
    <cellStyle name="Normal 3 9 2 2 5 2" xfId="28549" xr:uid="{00000000-0005-0000-0000-00007E530000}"/>
    <cellStyle name="Normal 3 9 2 2 6" xfId="19458" xr:uid="{00000000-0005-0000-0000-00007F530000}"/>
    <cellStyle name="Normal 3 9 2 3" xfId="2580" xr:uid="{00000000-0005-0000-0000-000080530000}"/>
    <cellStyle name="Normal 3 9 2 3 2" xfId="7165" xr:uid="{00000000-0005-0000-0000-000081530000}"/>
    <cellStyle name="Normal 3 9 2 3 2 2" xfId="16265" xr:uid="{00000000-0005-0000-0000-000082530000}"/>
    <cellStyle name="Normal 3 9 2 3 2 2 2" xfId="34447" xr:uid="{00000000-0005-0000-0000-000083530000}"/>
    <cellStyle name="Normal 3 9 2 3 2 3" xfId="25357" xr:uid="{00000000-0005-0000-0000-000084530000}"/>
    <cellStyle name="Normal 3 9 2 3 3" xfId="11729" xr:uid="{00000000-0005-0000-0000-000085530000}"/>
    <cellStyle name="Normal 3 9 2 3 3 2" xfId="29911" xr:uid="{00000000-0005-0000-0000-000086530000}"/>
    <cellStyle name="Normal 3 9 2 3 4" xfId="20821" xr:uid="{00000000-0005-0000-0000-000087530000}"/>
    <cellStyle name="Normal 3 9 2 4" xfId="4161" xr:uid="{00000000-0005-0000-0000-000088530000}"/>
    <cellStyle name="Normal 3 9 2 4 2" xfId="8717" xr:uid="{00000000-0005-0000-0000-000089530000}"/>
    <cellStyle name="Normal 3 9 2 4 2 2" xfId="17813" xr:uid="{00000000-0005-0000-0000-00008A530000}"/>
    <cellStyle name="Normal 3 9 2 4 2 2 2" xfId="35995" xr:uid="{00000000-0005-0000-0000-00008B530000}"/>
    <cellStyle name="Normal 3 9 2 4 2 3" xfId="26905" xr:uid="{00000000-0005-0000-0000-00008C530000}"/>
    <cellStyle name="Normal 3 9 2 4 3" xfId="13273" xr:uid="{00000000-0005-0000-0000-00008D530000}"/>
    <cellStyle name="Normal 3 9 2 4 3 2" xfId="31455" xr:uid="{00000000-0005-0000-0000-00008E530000}"/>
    <cellStyle name="Normal 3 9 2 4 4" xfId="22365" xr:uid="{00000000-0005-0000-0000-00008F530000}"/>
    <cellStyle name="Normal 3 9 2 5" xfId="5800" xr:uid="{00000000-0005-0000-0000-000090530000}"/>
    <cellStyle name="Normal 3 9 2 5 2" xfId="14900" xr:uid="{00000000-0005-0000-0000-000091530000}"/>
    <cellStyle name="Normal 3 9 2 5 2 2" xfId="33082" xr:uid="{00000000-0005-0000-0000-000092530000}"/>
    <cellStyle name="Normal 3 9 2 5 3" xfId="23992" xr:uid="{00000000-0005-0000-0000-000093530000}"/>
    <cellStyle name="Normal 3 9 2 6" xfId="10366" xr:uid="{00000000-0005-0000-0000-000094530000}"/>
    <cellStyle name="Normal 3 9 2 6 2" xfId="28548" xr:uid="{00000000-0005-0000-0000-000095530000}"/>
    <cellStyle name="Normal 3 9 2 7" xfId="19457" xr:uid="{00000000-0005-0000-0000-000096530000}"/>
    <cellStyle name="Normal 3 9 3" xfId="1161" xr:uid="{00000000-0005-0000-0000-000097530000}"/>
    <cellStyle name="Normal 3 9 3 2" xfId="2581" xr:uid="{00000000-0005-0000-0000-000098530000}"/>
    <cellStyle name="Normal 3 9 3 2 2" xfId="7166" xr:uid="{00000000-0005-0000-0000-000099530000}"/>
    <cellStyle name="Normal 3 9 3 2 2 2" xfId="16266" xr:uid="{00000000-0005-0000-0000-00009A530000}"/>
    <cellStyle name="Normal 3 9 3 2 2 2 2" xfId="34448" xr:uid="{00000000-0005-0000-0000-00009B530000}"/>
    <cellStyle name="Normal 3 9 3 2 2 3" xfId="25358" xr:uid="{00000000-0005-0000-0000-00009C530000}"/>
    <cellStyle name="Normal 3 9 3 2 3" xfId="11730" xr:uid="{00000000-0005-0000-0000-00009D530000}"/>
    <cellStyle name="Normal 3 9 3 2 3 2" xfId="29912" xr:uid="{00000000-0005-0000-0000-00009E530000}"/>
    <cellStyle name="Normal 3 9 3 2 4" xfId="20822" xr:uid="{00000000-0005-0000-0000-00009F530000}"/>
    <cellStyle name="Normal 3 9 3 3" xfId="4163" xr:uid="{00000000-0005-0000-0000-0000A0530000}"/>
    <cellStyle name="Normal 3 9 3 3 2" xfId="8719" xr:uid="{00000000-0005-0000-0000-0000A1530000}"/>
    <cellStyle name="Normal 3 9 3 3 2 2" xfId="17815" xr:uid="{00000000-0005-0000-0000-0000A2530000}"/>
    <cellStyle name="Normal 3 9 3 3 2 2 2" xfId="35997" xr:uid="{00000000-0005-0000-0000-0000A3530000}"/>
    <cellStyle name="Normal 3 9 3 3 2 3" xfId="26907" xr:uid="{00000000-0005-0000-0000-0000A4530000}"/>
    <cellStyle name="Normal 3 9 3 3 3" xfId="13275" xr:uid="{00000000-0005-0000-0000-0000A5530000}"/>
    <cellStyle name="Normal 3 9 3 3 3 2" xfId="31457" xr:uid="{00000000-0005-0000-0000-0000A6530000}"/>
    <cellStyle name="Normal 3 9 3 3 4" xfId="22367" xr:uid="{00000000-0005-0000-0000-0000A7530000}"/>
    <cellStyle name="Normal 3 9 3 4" xfId="5802" xr:uid="{00000000-0005-0000-0000-0000A8530000}"/>
    <cellStyle name="Normal 3 9 3 4 2" xfId="14902" xr:uid="{00000000-0005-0000-0000-0000A9530000}"/>
    <cellStyle name="Normal 3 9 3 4 2 2" xfId="33084" xr:uid="{00000000-0005-0000-0000-0000AA530000}"/>
    <cellStyle name="Normal 3 9 3 4 3" xfId="23994" xr:uid="{00000000-0005-0000-0000-0000AB530000}"/>
    <cellStyle name="Normal 3 9 3 5" xfId="10368" xr:uid="{00000000-0005-0000-0000-0000AC530000}"/>
    <cellStyle name="Normal 3 9 3 5 2" xfId="28550" xr:uid="{00000000-0005-0000-0000-0000AD530000}"/>
    <cellStyle name="Normal 3 9 3 6" xfId="19459" xr:uid="{00000000-0005-0000-0000-0000AE530000}"/>
    <cellStyle name="Normal 3 9 4" xfId="1162" xr:uid="{00000000-0005-0000-0000-0000AF530000}"/>
    <cellStyle name="Normal 3 9 4 2" xfId="4164" xr:uid="{00000000-0005-0000-0000-0000B0530000}"/>
    <cellStyle name="Normal 3 9 4 2 2" xfId="8720" xr:uid="{00000000-0005-0000-0000-0000B1530000}"/>
    <cellStyle name="Normal 3 9 4 2 2 2" xfId="17816" xr:uid="{00000000-0005-0000-0000-0000B2530000}"/>
    <cellStyle name="Normal 3 9 4 2 2 2 2" xfId="35998" xr:uid="{00000000-0005-0000-0000-0000B3530000}"/>
    <cellStyle name="Normal 3 9 4 2 2 3" xfId="26908" xr:uid="{00000000-0005-0000-0000-0000B4530000}"/>
    <cellStyle name="Normal 3 9 4 2 3" xfId="13276" xr:uid="{00000000-0005-0000-0000-0000B5530000}"/>
    <cellStyle name="Normal 3 9 4 2 3 2" xfId="31458" xr:uid="{00000000-0005-0000-0000-0000B6530000}"/>
    <cellStyle name="Normal 3 9 4 2 4" xfId="22368" xr:uid="{00000000-0005-0000-0000-0000B7530000}"/>
    <cellStyle name="Normal 3 9 4 3" xfId="5803" xr:uid="{00000000-0005-0000-0000-0000B8530000}"/>
    <cellStyle name="Normal 3 9 4 3 2" xfId="14903" xr:uid="{00000000-0005-0000-0000-0000B9530000}"/>
    <cellStyle name="Normal 3 9 4 3 2 2" xfId="33085" xr:uid="{00000000-0005-0000-0000-0000BA530000}"/>
    <cellStyle name="Normal 3 9 4 3 3" xfId="23995" xr:uid="{00000000-0005-0000-0000-0000BB530000}"/>
    <cellStyle name="Normal 3 9 4 4" xfId="10369" xr:uid="{00000000-0005-0000-0000-0000BC530000}"/>
    <cellStyle name="Normal 3 9 4 4 2" xfId="28551" xr:uid="{00000000-0005-0000-0000-0000BD530000}"/>
    <cellStyle name="Normal 3 9 4 5" xfId="19460" xr:uid="{00000000-0005-0000-0000-0000BE530000}"/>
    <cellStyle name="Normal 3 9 5" xfId="2582" xr:uid="{00000000-0005-0000-0000-0000BF530000}"/>
    <cellStyle name="Normal 3 9 5 2" xfId="7167" xr:uid="{00000000-0005-0000-0000-0000C0530000}"/>
    <cellStyle name="Normal 3 9 5 2 2" xfId="16267" xr:uid="{00000000-0005-0000-0000-0000C1530000}"/>
    <cellStyle name="Normal 3 9 5 2 2 2" xfId="34449" xr:uid="{00000000-0005-0000-0000-0000C2530000}"/>
    <cellStyle name="Normal 3 9 5 2 3" xfId="25359" xr:uid="{00000000-0005-0000-0000-0000C3530000}"/>
    <cellStyle name="Normal 3 9 5 3" xfId="11731" xr:uid="{00000000-0005-0000-0000-0000C4530000}"/>
    <cellStyle name="Normal 3 9 5 3 2" xfId="29913" xr:uid="{00000000-0005-0000-0000-0000C5530000}"/>
    <cellStyle name="Normal 3 9 5 4" xfId="20823" xr:uid="{00000000-0005-0000-0000-0000C6530000}"/>
    <cellStyle name="Normal 3 9 6" xfId="4160" xr:uid="{00000000-0005-0000-0000-0000C7530000}"/>
    <cellStyle name="Normal 3 9 6 2" xfId="8716" xr:uid="{00000000-0005-0000-0000-0000C8530000}"/>
    <cellStyle name="Normal 3 9 6 2 2" xfId="17812" xr:uid="{00000000-0005-0000-0000-0000C9530000}"/>
    <cellStyle name="Normal 3 9 6 2 2 2" xfId="35994" xr:uid="{00000000-0005-0000-0000-0000CA530000}"/>
    <cellStyle name="Normal 3 9 6 2 3" xfId="26904" xr:uid="{00000000-0005-0000-0000-0000CB530000}"/>
    <cellStyle name="Normal 3 9 6 3" xfId="13272" xr:uid="{00000000-0005-0000-0000-0000CC530000}"/>
    <cellStyle name="Normal 3 9 6 3 2" xfId="31454" xr:uid="{00000000-0005-0000-0000-0000CD530000}"/>
    <cellStyle name="Normal 3 9 6 4" xfId="22364" xr:uid="{00000000-0005-0000-0000-0000CE530000}"/>
    <cellStyle name="Normal 3 9 7" xfId="5799" xr:uid="{00000000-0005-0000-0000-0000CF530000}"/>
    <cellStyle name="Normal 3 9 7 2" xfId="14899" xr:uid="{00000000-0005-0000-0000-0000D0530000}"/>
    <cellStyle name="Normal 3 9 7 2 2" xfId="33081" xr:uid="{00000000-0005-0000-0000-0000D1530000}"/>
    <cellStyle name="Normal 3 9 7 3" xfId="23991" xr:uid="{00000000-0005-0000-0000-0000D2530000}"/>
    <cellStyle name="Normal 3 9 8" xfId="10365" xr:uid="{00000000-0005-0000-0000-0000D3530000}"/>
    <cellStyle name="Normal 3 9 8 2" xfId="28547" xr:uid="{00000000-0005-0000-0000-0000D4530000}"/>
    <cellStyle name="Normal 3 9 9" xfId="19456" xr:uid="{00000000-0005-0000-0000-0000D5530000}"/>
    <cellStyle name="Normal 30" xfId="165" xr:uid="{00000000-0005-0000-0000-0000D6530000}"/>
    <cellStyle name="Normal 30 10" xfId="18544" xr:uid="{00000000-0005-0000-0000-0000D7530000}"/>
    <cellStyle name="Normal 30 2" xfId="1163" xr:uid="{00000000-0005-0000-0000-0000D8530000}"/>
    <cellStyle name="Normal 30 2 2" xfId="1164" xr:uid="{00000000-0005-0000-0000-0000D9530000}"/>
    <cellStyle name="Normal 30 2 2 2" xfId="1165" xr:uid="{00000000-0005-0000-0000-0000DA530000}"/>
    <cellStyle name="Normal 30 2 2 2 2" xfId="2583" xr:uid="{00000000-0005-0000-0000-0000DB530000}"/>
    <cellStyle name="Normal 30 2 2 2 2 2" xfId="7168" xr:uid="{00000000-0005-0000-0000-0000DC530000}"/>
    <cellStyle name="Normal 30 2 2 2 2 2 2" xfId="16268" xr:uid="{00000000-0005-0000-0000-0000DD530000}"/>
    <cellStyle name="Normal 30 2 2 2 2 2 2 2" xfId="34450" xr:uid="{00000000-0005-0000-0000-0000DE530000}"/>
    <cellStyle name="Normal 30 2 2 2 2 2 3" xfId="25360" xr:uid="{00000000-0005-0000-0000-0000DF530000}"/>
    <cellStyle name="Normal 30 2 2 2 2 3" xfId="11732" xr:uid="{00000000-0005-0000-0000-0000E0530000}"/>
    <cellStyle name="Normal 30 2 2 2 2 3 2" xfId="29914" xr:uid="{00000000-0005-0000-0000-0000E1530000}"/>
    <cellStyle name="Normal 30 2 2 2 2 4" xfId="20824" xr:uid="{00000000-0005-0000-0000-0000E2530000}"/>
    <cellStyle name="Normal 30 2 2 2 3" xfId="4167" xr:uid="{00000000-0005-0000-0000-0000E3530000}"/>
    <cellStyle name="Normal 30 2 2 2 3 2" xfId="8723" xr:uid="{00000000-0005-0000-0000-0000E4530000}"/>
    <cellStyle name="Normal 30 2 2 2 3 2 2" xfId="17819" xr:uid="{00000000-0005-0000-0000-0000E5530000}"/>
    <cellStyle name="Normal 30 2 2 2 3 2 2 2" xfId="36001" xr:uid="{00000000-0005-0000-0000-0000E6530000}"/>
    <cellStyle name="Normal 30 2 2 2 3 2 3" xfId="26911" xr:uid="{00000000-0005-0000-0000-0000E7530000}"/>
    <cellStyle name="Normal 30 2 2 2 3 3" xfId="13279" xr:uid="{00000000-0005-0000-0000-0000E8530000}"/>
    <cellStyle name="Normal 30 2 2 2 3 3 2" xfId="31461" xr:uid="{00000000-0005-0000-0000-0000E9530000}"/>
    <cellStyle name="Normal 30 2 2 2 3 4" xfId="22371" xr:uid="{00000000-0005-0000-0000-0000EA530000}"/>
    <cellStyle name="Normal 30 2 2 2 4" xfId="5806" xr:uid="{00000000-0005-0000-0000-0000EB530000}"/>
    <cellStyle name="Normal 30 2 2 2 4 2" xfId="14906" xr:uid="{00000000-0005-0000-0000-0000EC530000}"/>
    <cellStyle name="Normal 30 2 2 2 4 2 2" xfId="33088" xr:uid="{00000000-0005-0000-0000-0000ED530000}"/>
    <cellStyle name="Normal 30 2 2 2 4 3" xfId="23998" xr:uid="{00000000-0005-0000-0000-0000EE530000}"/>
    <cellStyle name="Normal 30 2 2 2 5" xfId="10372" xr:uid="{00000000-0005-0000-0000-0000EF530000}"/>
    <cellStyle name="Normal 30 2 2 2 5 2" xfId="28554" xr:uid="{00000000-0005-0000-0000-0000F0530000}"/>
    <cellStyle name="Normal 30 2 2 2 6" xfId="19463" xr:uid="{00000000-0005-0000-0000-0000F1530000}"/>
    <cellStyle name="Normal 30 2 2 3" xfId="2584" xr:uid="{00000000-0005-0000-0000-0000F2530000}"/>
    <cellStyle name="Normal 30 2 2 3 2" xfId="7169" xr:uid="{00000000-0005-0000-0000-0000F3530000}"/>
    <cellStyle name="Normal 30 2 2 3 2 2" xfId="16269" xr:uid="{00000000-0005-0000-0000-0000F4530000}"/>
    <cellStyle name="Normal 30 2 2 3 2 2 2" xfId="34451" xr:uid="{00000000-0005-0000-0000-0000F5530000}"/>
    <cellStyle name="Normal 30 2 2 3 2 3" xfId="25361" xr:uid="{00000000-0005-0000-0000-0000F6530000}"/>
    <cellStyle name="Normal 30 2 2 3 3" xfId="11733" xr:uid="{00000000-0005-0000-0000-0000F7530000}"/>
    <cellStyle name="Normal 30 2 2 3 3 2" xfId="29915" xr:uid="{00000000-0005-0000-0000-0000F8530000}"/>
    <cellStyle name="Normal 30 2 2 3 4" xfId="20825" xr:uid="{00000000-0005-0000-0000-0000F9530000}"/>
    <cellStyle name="Normal 30 2 2 4" xfId="4166" xr:uid="{00000000-0005-0000-0000-0000FA530000}"/>
    <cellStyle name="Normal 30 2 2 4 2" xfId="8722" xr:uid="{00000000-0005-0000-0000-0000FB530000}"/>
    <cellStyle name="Normal 30 2 2 4 2 2" xfId="17818" xr:uid="{00000000-0005-0000-0000-0000FC530000}"/>
    <cellStyle name="Normal 30 2 2 4 2 2 2" xfId="36000" xr:uid="{00000000-0005-0000-0000-0000FD530000}"/>
    <cellStyle name="Normal 30 2 2 4 2 3" xfId="26910" xr:uid="{00000000-0005-0000-0000-0000FE530000}"/>
    <cellStyle name="Normal 30 2 2 4 3" xfId="13278" xr:uid="{00000000-0005-0000-0000-0000FF530000}"/>
    <cellStyle name="Normal 30 2 2 4 3 2" xfId="31460" xr:uid="{00000000-0005-0000-0000-000000540000}"/>
    <cellStyle name="Normal 30 2 2 4 4" xfId="22370" xr:uid="{00000000-0005-0000-0000-000001540000}"/>
    <cellStyle name="Normal 30 2 2 5" xfId="5805" xr:uid="{00000000-0005-0000-0000-000002540000}"/>
    <cellStyle name="Normal 30 2 2 5 2" xfId="14905" xr:uid="{00000000-0005-0000-0000-000003540000}"/>
    <cellStyle name="Normal 30 2 2 5 2 2" xfId="33087" xr:uid="{00000000-0005-0000-0000-000004540000}"/>
    <cellStyle name="Normal 30 2 2 5 3" xfId="23997" xr:uid="{00000000-0005-0000-0000-000005540000}"/>
    <cellStyle name="Normal 30 2 2 6" xfId="10371" xr:uid="{00000000-0005-0000-0000-000006540000}"/>
    <cellStyle name="Normal 30 2 2 6 2" xfId="28553" xr:uid="{00000000-0005-0000-0000-000007540000}"/>
    <cellStyle name="Normal 30 2 2 7" xfId="19462" xr:uid="{00000000-0005-0000-0000-000008540000}"/>
    <cellStyle name="Normal 30 2 3" xfId="1166" xr:uid="{00000000-0005-0000-0000-000009540000}"/>
    <cellStyle name="Normal 30 2 3 2" xfId="2585" xr:uid="{00000000-0005-0000-0000-00000A540000}"/>
    <cellStyle name="Normal 30 2 3 2 2" xfId="7170" xr:uid="{00000000-0005-0000-0000-00000B540000}"/>
    <cellStyle name="Normal 30 2 3 2 2 2" xfId="16270" xr:uid="{00000000-0005-0000-0000-00000C540000}"/>
    <cellStyle name="Normal 30 2 3 2 2 2 2" xfId="34452" xr:uid="{00000000-0005-0000-0000-00000D540000}"/>
    <cellStyle name="Normal 30 2 3 2 2 3" xfId="25362" xr:uid="{00000000-0005-0000-0000-00000E540000}"/>
    <cellStyle name="Normal 30 2 3 2 3" xfId="11734" xr:uid="{00000000-0005-0000-0000-00000F540000}"/>
    <cellStyle name="Normal 30 2 3 2 3 2" xfId="29916" xr:uid="{00000000-0005-0000-0000-000010540000}"/>
    <cellStyle name="Normal 30 2 3 2 4" xfId="20826" xr:uid="{00000000-0005-0000-0000-000011540000}"/>
    <cellStyle name="Normal 30 2 3 3" xfId="4168" xr:uid="{00000000-0005-0000-0000-000012540000}"/>
    <cellStyle name="Normal 30 2 3 3 2" xfId="8724" xr:uid="{00000000-0005-0000-0000-000013540000}"/>
    <cellStyle name="Normal 30 2 3 3 2 2" xfId="17820" xr:uid="{00000000-0005-0000-0000-000014540000}"/>
    <cellStyle name="Normal 30 2 3 3 2 2 2" xfId="36002" xr:uid="{00000000-0005-0000-0000-000015540000}"/>
    <cellStyle name="Normal 30 2 3 3 2 3" xfId="26912" xr:uid="{00000000-0005-0000-0000-000016540000}"/>
    <cellStyle name="Normal 30 2 3 3 3" xfId="13280" xr:uid="{00000000-0005-0000-0000-000017540000}"/>
    <cellStyle name="Normal 30 2 3 3 3 2" xfId="31462" xr:uid="{00000000-0005-0000-0000-000018540000}"/>
    <cellStyle name="Normal 30 2 3 3 4" xfId="22372" xr:uid="{00000000-0005-0000-0000-000019540000}"/>
    <cellStyle name="Normal 30 2 3 4" xfId="5807" xr:uid="{00000000-0005-0000-0000-00001A540000}"/>
    <cellStyle name="Normal 30 2 3 4 2" xfId="14907" xr:uid="{00000000-0005-0000-0000-00001B540000}"/>
    <cellStyle name="Normal 30 2 3 4 2 2" xfId="33089" xr:uid="{00000000-0005-0000-0000-00001C540000}"/>
    <cellStyle name="Normal 30 2 3 4 3" xfId="23999" xr:uid="{00000000-0005-0000-0000-00001D540000}"/>
    <cellStyle name="Normal 30 2 3 5" xfId="10373" xr:uid="{00000000-0005-0000-0000-00001E540000}"/>
    <cellStyle name="Normal 30 2 3 5 2" xfId="28555" xr:uid="{00000000-0005-0000-0000-00001F540000}"/>
    <cellStyle name="Normal 30 2 3 6" xfId="19464" xr:uid="{00000000-0005-0000-0000-000020540000}"/>
    <cellStyle name="Normal 30 2 4" xfId="1167" xr:uid="{00000000-0005-0000-0000-000021540000}"/>
    <cellStyle name="Normal 30 2 4 2" xfId="4169" xr:uid="{00000000-0005-0000-0000-000022540000}"/>
    <cellStyle name="Normal 30 2 4 2 2" xfId="8725" xr:uid="{00000000-0005-0000-0000-000023540000}"/>
    <cellStyle name="Normal 30 2 4 2 2 2" xfId="17821" xr:uid="{00000000-0005-0000-0000-000024540000}"/>
    <cellStyle name="Normal 30 2 4 2 2 2 2" xfId="36003" xr:uid="{00000000-0005-0000-0000-000025540000}"/>
    <cellStyle name="Normal 30 2 4 2 2 3" xfId="26913" xr:uid="{00000000-0005-0000-0000-000026540000}"/>
    <cellStyle name="Normal 30 2 4 2 3" xfId="13281" xr:uid="{00000000-0005-0000-0000-000027540000}"/>
    <cellStyle name="Normal 30 2 4 2 3 2" xfId="31463" xr:uid="{00000000-0005-0000-0000-000028540000}"/>
    <cellStyle name="Normal 30 2 4 2 4" xfId="22373" xr:uid="{00000000-0005-0000-0000-000029540000}"/>
    <cellStyle name="Normal 30 2 4 3" xfId="5808" xr:uid="{00000000-0005-0000-0000-00002A540000}"/>
    <cellStyle name="Normal 30 2 4 3 2" xfId="14908" xr:uid="{00000000-0005-0000-0000-00002B540000}"/>
    <cellStyle name="Normal 30 2 4 3 2 2" xfId="33090" xr:uid="{00000000-0005-0000-0000-00002C540000}"/>
    <cellStyle name="Normal 30 2 4 3 3" xfId="24000" xr:uid="{00000000-0005-0000-0000-00002D540000}"/>
    <cellStyle name="Normal 30 2 4 4" xfId="10374" xr:uid="{00000000-0005-0000-0000-00002E540000}"/>
    <cellStyle name="Normal 30 2 4 4 2" xfId="28556" xr:uid="{00000000-0005-0000-0000-00002F540000}"/>
    <cellStyle name="Normal 30 2 4 5" xfId="19465" xr:uid="{00000000-0005-0000-0000-000030540000}"/>
    <cellStyle name="Normal 30 2 5" xfId="2586" xr:uid="{00000000-0005-0000-0000-000031540000}"/>
    <cellStyle name="Normal 30 2 5 2" xfId="7171" xr:uid="{00000000-0005-0000-0000-000032540000}"/>
    <cellStyle name="Normal 30 2 5 2 2" xfId="16271" xr:uid="{00000000-0005-0000-0000-000033540000}"/>
    <cellStyle name="Normal 30 2 5 2 2 2" xfId="34453" xr:uid="{00000000-0005-0000-0000-000034540000}"/>
    <cellStyle name="Normal 30 2 5 2 3" xfId="25363" xr:uid="{00000000-0005-0000-0000-000035540000}"/>
    <cellStyle name="Normal 30 2 5 3" xfId="11735" xr:uid="{00000000-0005-0000-0000-000036540000}"/>
    <cellStyle name="Normal 30 2 5 3 2" xfId="29917" xr:uid="{00000000-0005-0000-0000-000037540000}"/>
    <cellStyle name="Normal 30 2 5 4" xfId="20827" xr:uid="{00000000-0005-0000-0000-000038540000}"/>
    <cellStyle name="Normal 30 2 6" xfId="4165" xr:uid="{00000000-0005-0000-0000-000039540000}"/>
    <cellStyle name="Normal 30 2 6 2" xfId="8721" xr:uid="{00000000-0005-0000-0000-00003A540000}"/>
    <cellStyle name="Normal 30 2 6 2 2" xfId="17817" xr:uid="{00000000-0005-0000-0000-00003B540000}"/>
    <cellStyle name="Normal 30 2 6 2 2 2" xfId="35999" xr:uid="{00000000-0005-0000-0000-00003C540000}"/>
    <cellStyle name="Normal 30 2 6 2 3" xfId="26909" xr:uid="{00000000-0005-0000-0000-00003D540000}"/>
    <cellStyle name="Normal 30 2 6 3" xfId="13277" xr:uid="{00000000-0005-0000-0000-00003E540000}"/>
    <cellStyle name="Normal 30 2 6 3 2" xfId="31459" xr:uid="{00000000-0005-0000-0000-00003F540000}"/>
    <cellStyle name="Normal 30 2 6 4" xfId="22369" xr:uid="{00000000-0005-0000-0000-000040540000}"/>
    <cellStyle name="Normal 30 2 7" xfId="5804" xr:uid="{00000000-0005-0000-0000-000041540000}"/>
    <cellStyle name="Normal 30 2 7 2" xfId="14904" xr:uid="{00000000-0005-0000-0000-000042540000}"/>
    <cellStyle name="Normal 30 2 7 2 2" xfId="33086" xr:uid="{00000000-0005-0000-0000-000043540000}"/>
    <cellStyle name="Normal 30 2 7 3" xfId="23996" xr:uid="{00000000-0005-0000-0000-000044540000}"/>
    <cellStyle name="Normal 30 2 8" xfId="10370" xr:uid="{00000000-0005-0000-0000-000045540000}"/>
    <cellStyle name="Normal 30 2 8 2" xfId="28552" xr:uid="{00000000-0005-0000-0000-000046540000}"/>
    <cellStyle name="Normal 30 2 9" xfId="19461" xr:uid="{00000000-0005-0000-0000-000047540000}"/>
    <cellStyle name="Normal 30 3" xfId="1168" xr:uid="{00000000-0005-0000-0000-000048540000}"/>
    <cellStyle name="Normal 30 3 2" xfId="1169" xr:uid="{00000000-0005-0000-0000-000049540000}"/>
    <cellStyle name="Normal 30 3 2 2" xfId="2587" xr:uid="{00000000-0005-0000-0000-00004A540000}"/>
    <cellStyle name="Normal 30 3 2 2 2" xfId="7172" xr:uid="{00000000-0005-0000-0000-00004B540000}"/>
    <cellStyle name="Normal 30 3 2 2 2 2" xfId="16272" xr:uid="{00000000-0005-0000-0000-00004C540000}"/>
    <cellStyle name="Normal 30 3 2 2 2 2 2" xfId="34454" xr:uid="{00000000-0005-0000-0000-00004D540000}"/>
    <cellStyle name="Normal 30 3 2 2 2 3" xfId="25364" xr:uid="{00000000-0005-0000-0000-00004E540000}"/>
    <cellStyle name="Normal 30 3 2 2 3" xfId="11736" xr:uid="{00000000-0005-0000-0000-00004F540000}"/>
    <cellStyle name="Normal 30 3 2 2 3 2" xfId="29918" xr:uid="{00000000-0005-0000-0000-000050540000}"/>
    <cellStyle name="Normal 30 3 2 2 4" xfId="20828" xr:uid="{00000000-0005-0000-0000-000051540000}"/>
    <cellStyle name="Normal 30 3 2 3" xfId="4171" xr:uid="{00000000-0005-0000-0000-000052540000}"/>
    <cellStyle name="Normal 30 3 2 3 2" xfId="8727" xr:uid="{00000000-0005-0000-0000-000053540000}"/>
    <cellStyle name="Normal 30 3 2 3 2 2" xfId="17823" xr:uid="{00000000-0005-0000-0000-000054540000}"/>
    <cellStyle name="Normal 30 3 2 3 2 2 2" xfId="36005" xr:uid="{00000000-0005-0000-0000-000055540000}"/>
    <cellStyle name="Normal 30 3 2 3 2 3" xfId="26915" xr:uid="{00000000-0005-0000-0000-000056540000}"/>
    <cellStyle name="Normal 30 3 2 3 3" xfId="13283" xr:uid="{00000000-0005-0000-0000-000057540000}"/>
    <cellStyle name="Normal 30 3 2 3 3 2" xfId="31465" xr:uid="{00000000-0005-0000-0000-000058540000}"/>
    <cellStyle name="Normal 30 3 2 3 4" xfId="22375" xr:uid="{00000000-0005-0000-0000-000059540000}"/>
    <cellStyle name="Normal 30 3 2 4" xfId="5810" xr:uid="{00000000-0005-0000-0000-00005A540000}"/>
    <cellStyle name="Normal 30 3 2 4 2" xfId="14910" xr:uid="{00000000-0005-0000-0000-00005B540000}"/>
    <cellStyle name="Normal 30 3 2 4 2 2" xfId="33092" xr:uid="{00000000-0005-0000-0000-00005C540000}"/>
    <cellStyle name="Normal 30 3 2 4 3" xfId="24002" xr:uid="{00000000-0005-0000-0000-00005D540000}"/>
    <cellStyle name="Normal 30 3 2 5" xfId="10376" xr:uid="{00000000-0005-0000-0000-00005E540000}"/>
    <cellStyle name="Normal 30 3 2 5 2" xfId="28558" xr:uid="{00000000-0005-0000-0000-00005F540000}"/>
    <cellStyle name="Normal 30 3 2 6" xfId="19467" xr:uid="{00000000-0005-0000-0000-000060540000}"/>
    <cellStyle name="Normal 30 3 3" xfId="2588" xr:uid="{00000000-0005-0000-0000-000061540000}"/>
    <cellStyle name="Normal 30 3 3 2" xfId="7173" xr:uid="{00000000-0005-0000-0000-000062540000}"/>
    <cellStyle name="Normal 30 3 3 2 2" xfId="16273" xr:uid="{00000000-0005-0000-0000-000063540000}"/>
    <cellStyle name="Normal 30 3 3 2 2 2" xfId="34455" xr:uid="{00000000-0005-0000-0000-000064540000}"/>
    <cellStyle name="Normal 30 3 3 2 3" xfId="25365" xr:uid="{00000000-0005-0000-0000-000065540000}"/>
    <cellStyle name="Normal 30 3 3 3" xfId="11737" xr:uid="{00000000-0005-0000-0000-000066540000}"/>
    <cellStyle name="Normal 30 3 3 3 2" xfId="29919" xr:uid="{00000000-0005-0000-0000-000067540000}"/>
    <cellStyle name="Normal 30 3 3 4" xfId="20829" xr:uid="{00000000-0005-0000-0000-000068540000}"/>
    <cellStyle name="Normal 30 3 4" xfId="4170" xr:uid="{00000000-0005-0000-0000-000069540000}"/>
    <cellStyle name="Normal 30 3 4 2" xfId="8726" xr:uid="{00000000-0005-0000-0000-00006A540000}"/>
    <cellStyle name="Normal 30 3 4 2 2" xfId="17822" xr:uid="{00000000-0005-0000-0000-00006B540000}"/>
    <cellStyle name="Normal 30 3 4 2 2 2" xfId="36004" xr:uid="{00000000-0005-0000-0000-00006C540000}"/>
    <cellStyle name="Normal 30 3 4 2 3" xfId="26914" xr:uid="{00000000-0005-0000-0000-00006D540000}"/>
    <cellStyle name="Normal 30 3 4 3" xfId="13282" xr:uid="{00000000-0005-0000-0000-00006E540000}"/>
    <cellStyle name="Normal 30 3 4 3 2" xfId="31464" xr:uid="{00000000-0005-0000-0000-00006F540000}"/>
    <cellStyle name="Normal 30 3 4 4" xfId="22374" xr:uid="{00000000-0005-0000-0000-000070540000}"/>
    <cellStyle name="Normal 30 3 5" xfId="5809" xr:uid="{00000000-0005-0000-0000-000071540000}"/>
    <cellStyle name="Normal 30 3 5 2" xfId="14909" xr:uid="{00000000-0005-0000-0000-000072540000}"/>
    <cellStyle name="Normal 30 3 5 2 2" xfId="33091" xr:uid="{00000000-0005-0000-0000-000073540000}"/>
    <cellStyle name="Normal 30 3 5 3" xfId="24001" xr:uid="{00000000-0005-0000-0000-000074540000}"/>
    <cellStyle name="Normal 30 3 6" xfId="10375" xr:uid="{00000000-0005-0000-0000-000075540000}"/>
    <cellStyle name="Normal 30 3 6 2" xfId="28557" xr:uid="{00000000-0005-0000-0000-000076540000}"/>
    <cellStyle name="Normal 30 3 7" xfId="19466" xr:uid="{00000000-0005-0000-0000-000077540000}"/>
    <cellStyle name="Normal 30 4" xfId="1170" xr:uid="{00000000-0005-0000-0000-000078540000}"/>
    <cellStyle name="Normal 30 4 2" xfId="2589" xr:uid="{00000000-0005-0000-0000-000079540000}"/>
    <cellStyle name="Normal 30 4 2 2" xfId="7174" xr:uid="{00000000-0005-0000-0000-00007A540000}"/>
    <cellStyle name="Normal 30 4 2 2 2" xfId="16274" xr:uid="{00000000-0005-0000-0000-00007B540000}"/>
    <cellStyle name="Normal 30 4 2 2 2 2" xfId="34456" xr:uid="{00000000-0005-0000-0000-00007C540000}"/>
    <cellStyle name="Normal 30 4 2 2 3" xfId="25366" xr:uid="{00000000-0005-0000-0000-00007D540000}"/>
    <cellStyle name="Normal 30 4 2 3" xfId="11738" xr:uid="{00000000-0005-0000-0000-00007E540000}"/>
    <cellStyle name="Normal 30 4 2 3 2" xfId="29920" xr:uid="{00000000-0005-0000-0000-00007F540000}"/>
    <cellStyle name="Normal 30 4 2 4" xfId="20830" xr:uid="{00000000-0005-0000-0000-000080540000}"/>
    <cellStyle name="Normal 30 4 3" xfId="4172" xr:uid="{00000000-0005-0000-0000-000081540000}"/>
    <cellStyle name="Normal 30 4 3 2" xfId="8728" xr:uid="{00000000-0005-0000-0000-000082540000}"/>
    <cellStyle name="Normal 30 4 3 2 2" xfId="17824" xr:uid="{00000000-0005-0000-0000-000083540000}"/>
    <cellStyle name="Normal 30 4 3 2 2 2" xfId="36006" xr:uid="{00000000-0005-0000-0000-000084540000}"/>
    <cellStyle name="Normal 30 4 3 2 3" xfId="26916" xr:uid="{00000000-0005-0000-0000-000085540000}"/>
    <cellStyle name="Normal 30 4 3 3" xfId="13284" xr:uid="{00000000-0005-0000-0000-000086540000}"/>
    <cellStyle name="Normal 30 4 3 3 2" xfId="31466" xr:uid="{00000000-0005-0000-0000-000087540000}"/>
    <cellStyle name="Normal 30 4 3 4" xfId="22376" xr:uid="{00000000-0005-0000-0000-000088540000}"/>
    <cellStyle name="Normal 30 4 4" xfId="5811" xr:uid="{00000000-0005-0000-0000-000089540000}"/>
    <cellStyle name="Normal 30 4 4 2" xfId="14911" xr:uid="{00000000-0005-0000-0000-00008A540000}"/>
    <cellStyle name="Normal 30 4 4 2 2" xfId="33093" xr:uid="{00000000-0005-0000-0000-00008B540000}"/>
    <cellStyle name="Normal 30 4 4 3" xfId="24003" xr:uid="{00000000-0005-0000-0000-00008C540000}"/>
    <cellStyle name="Normal 30 4 5" xfId="10377" xr:uid="{00000000-0005-0000-0000-00008D540000}"/>
    <cellStyle name="Normal 30 4 5 2" xfId="28559" xr:uid="{00000000-0005-0000-0000-00008E540000}"/>
    <cellStyle name="Normal 30 4 6" xfId="19468" xr:uid="{00000000-0005-0000-0000-00008F540000}"/>
    <cellStyle name="Normal 30 5" xfId="1171" xr:uid="{00000000-0005-0000-0000-000090540000}"/>
    <cellStyle name="Normal 30 5 2" xfId="4173" xr:uid="{00000000-0005-0000-0000-000091540000}"/>
    <cellStyle name="Normal 30 5 2 2" xfId="8729" xr:uid="{00000000-0005-0000-0000-000092540000}"/>
    <cellStyle name="Normal 30 5 2 2 2" xfId="17825" xr:uid="{00000000-0005-0000-0000-000093540000}"/>
    <cellStyle name="Normal 30 5 2 2 2 2" xfId="36007" xr:uid="{00000000-0005-0000-0000-000094540000}"/>
    <cellStyle name="Normal 30 5 2 2 3" xfId="26917" xr:uid="{00000000-0005-0000-0000-000095540000}"/>
    <cellStyle name="Normal 30 5 2 3" xfId="13285" xr:uid="{00000000-0005-0000-0000-000096540000}"/>
    <cellStyle name="Normal 30 5 2 3 2" xfId="31467" xr:uid="{00000000-0005-0000-0000-000097540000}"/>
    <cellStyle name="Normal 30 5 2 4" xfId="22377" xr:uid="{00000000-0005-0000-0000-000098540000}"/>
    <cellStyle name="Normal 30 5 3" xfId="5812" xr:uid="{00000000-0005-0000-0000-000099540000}"/>
    <cellStyle name="Normal 30 5 3 2" xfId="14912" xr:uid="{00000000-0005-0000-0000-00009A540000}"/>
    <cellStyle name="Normal 30 5 3 2 2" xfId="33094" xr:uid="{00000000-0005-0000-0000-00009B540000}"/>
    <cellStyle name="Normal 30 5 3 3" xfId="24004" xr:uid="{00000000-0005-0000-0000-00009C540000}"/>
    <cellStyle name="Normal 30 5 4" xfId="10378" xr:uid="{00000000-0005-0000-0000-00009D540000}"/>
    <cellStyle name="Normal 30 5 4 2" xfId="28560" xr:uid="{00000000-0005-0000-0000-00009E540000}"/>
    <cellStyle name="Normal 30 5 5" xfId="19469" xr:uid="{00000000-0005-0000-0000-00009F540000}"/>
    <cellStyle name="Normal 30 6" xfId="2590" xr:uid="{00000000-0005-0000-0000-0000A0540000}"/>
    <cellStyle name="Normal 30 6 2" xfId="7175" xr:uid="{00000000-0005-0000-0000-0000A1540000}"/>
    <cellStyle name="Normal 30 6 2 2" xfId="16275" xr:uid="{00000000-0005-0000-0000-0000A2540000}"/>
    <cellStyle name="Normal 30 6 2 2 2" xfId="34457" xr:uid="{00000000-0005-0000-0000-0000A3540000}"/>
    <cellStyle name="Normal 30 6 2 3" xfId="25367" xr:uid="{00000000-0005-0000-0000-0000A4540000}"/>
    <cellStyle name="Normal 30 6 3" xfId="11739" xr:uid="{00000000-0005-0000-0000-0000A5540000}"/>
    <cellStyle name="Normal 30 6 3 2" xfId="29921" xr:uid="{00000000-0005-0000-0000-0000A6540000}"/>
    <cellStyle name="Normal 30 6 4" xfId="20831" xr:uid="{00000000-0005-0000-0000-0000A7540000}"/>
    <cellStyle name="Normal 30 7" xfId="3240" xr:uid="{00000000-0005-0000-0000-0000A8540000}"/>
    <cellStyle name="Normal 30 7 2" xfId="7800" xr:uid="{00000000-0005-0000-0000-0000A9540000}"/>
    <cellStyle name="Normal 30 7 2 2" xfId="16896" xr:uid="{00000000-0005-0000-0000-0000AA540000}"/>
    <cellStyle name="Normal 30 7 2 2 2" xfId="35078" xr:uid="{00000000-0005-0000-0000-0000AB540000}"/>
    <cellStyle name="Normal 30 7 2 3" xfId="25988" xr:uid="{00000000-0005-0000-0000-0000AC540000}"/>
    <cellStyle name="Normal 30 7 3" xfId="12356" xr:uid="{00000000-0005-0000-0000-0000AD540000}"/>
    <cellStyle name="Normal 30 7 3 2" xfId="30538" xr:uid="{00000000-0005-0000-0000-0000AE540000}"/>
    <cellStyle name="Normal 30 7 4" xfId="21448" xr:uid="{00000000-0005-0000-0000-0000AF540000}"/>
    <cellStyle name="Normal 30 8" xfId="4887" xr:uid="{00000000-0005-0000-0000-0000B0540000}"/>
    <cellStyle name="Normal 30 8 2" xfId="13987" xr:uid="{00000000-0005-0000-0000-0000B1540000}"/>
    <cellStyle name="Normal 30 8 2 2" xfId="32169" xr:uid="{00000000-0005-0000-0000-0000B2540000}"/>
    <cellStyle name="Normal 30 8 3" xfId="23079" xr:uid="{00000000-0005-0000-0000-0000B3540000}"/>
    <cellStyle name="Normal 30 9" xfId="9453" xr:uid="{00000000-0005-0000-0000-0000B4540000}"/>
    <cellStyle name="Normal 30 9 2" xfId="27635" xr:uid="{00000000-0005-0000-0000-0000B5540000}"/>
    <cellStyle name="Normal 31" xfId="167" xr:uid="{00000000-0005-0000-0000-0000B6540000}"/>
    <cellStyle name="Normal 31 10" xfId="2591" xr:uid="{00000000-0005-0000-0000-0000B7540000}"/>
    <cellStyle name="Normal 31 10 2" xfId="7176" xr:uid="{00000000-0005-0000-0000-0000B8540000}"/>
    <cellStyle name="Normal 31 10 2 2" xfId="16276" xr:uid="{00000000-0005-0000-0000-0000B9540000}"/>
    <cellStyle name="Normal 31 10 2 2 2" xfId="34458" xr:uid="{00000000-0005-0000-0000-0000BA540000}"/>
    <cellStyle name="Normal 31 10 2 3" xfId="25368" xr:uid="{00000000-0005-0000-0000-0000BB540000}"/>
    <cellStyle name="Normal 31 10 3" xfId="11740" xr:uid="{00000000-0005-0000-0000-0000BC540000}"/>
    <cellStyle name="Normal 31 10 3 2" xfId="29922" xr:uid="{00000000-0005-0000-0000-0000BD540000}"/>
    <cellStyle name="Normal 31 10 4" xfId="20832" xr:uid="{00000000-0005-0000-0000-0000BE540000}"/>
    <cellStyle name="Normal 31 11" xfId="3242" xr:uid="{00000000-0005-0000-0000-0000BF540000}"/>
    <cellStyle name="Normal 31 11 2" xfId="7802" xr:uid="{00000000-0005-0000-0000-0000C0540000}"/>
    <cellStyle name="Normal 31 11 2 2" xfId="16898" xr:uid="{00000000-0005-0000-0000-0000C1540000}"/>
    <cellStyle name="Normal 31 11 2 2 2" xfId="35080" xr:uid="{00000000-0005-0000-0000-0000C2540000}"/>
    <cellStyle name="Normal 31 11 2 3" xfId="25990" xr:uid="{00000000-0005-0000-0000-0000C3540000}"/>
    <cellStyle name="Normal 31 11 3" xfId="12358" xr:uid="{00000000-0005-0000-0000-0000C4540000}"/>
    <cellStyle name="Normal 31 11 3 2" xfId="30540" xr:uid="{00000000-0005-0000-0000-0000C5540000}"/>
    <cellStyle name="Normal 31 11 4" xfId="21450" xr:uid="{00000000-0005-0000-0000-0000C6540000}"/>
    <cellStyle name="Normal 31 12" xfId="4889" xr:uid="{00000000-0005-0000-0000-0000C7540000}"/>
    <cellStyle name="Normal 31 12 2" xfId="13989" xr:uid="{00000000-0005-0000-0000-0000C8540000}"/>
    <cellStyle name="Normal 31 12 2 2" xfId="32171" xr:uid="{00000000-0005-0000-0000-0000C9540000}"/>
    <cellStyle name="Normal 31 12 3" xfId="23081" xr:uid="{00000000-0005-0000-0000-0000CA540000}"/>
    <cellStyle name="Normal 31 13" xfId="9455" xr:uid="{00000000-0005-0000-0000-0000CB540000}"/>
    <cellStyle name="Normal 31 13 2" xfId="27637" xr:uid="{00000000-0005-0000-0000-0000CC540000}"/>
    <cellStyle name="Normal 31 14" xfId="18546" xr:uid="{00000000-0005-0000-0000-0000CD540000}"/>
    <cellStyle name="Normal 31 2" xfId="169" xr:uid="{00000000-0005-0000-0000-0000CE540000}"/>
    <cellStyle name="Normal 31 2 10" xfId="9457" xr:uid="{00000000-0005-0000-0000-0000CF540000}"/>
    <cellStyle name="Normal 31 2 10 2" xfId="27639" xr:uid="{00000000-0005-0000-0000-0000D0540000}"/>
    <cellStyle name="Normal 31 2 11" xfId="18548" xr:uid="{00000000-0005-0000-0000-0000D1540000}"/>
    <cellStyle name="Normal 31 2 2" xfId="185" xr:uid="{00000000-0005-0000-0000-0000D2540000}"/>
    <cellStyle name="Normal 31 2 2 10" xfId="18562" xr:uid="{00000000-0005-0000-0000-0000D3540000}"/>
    <cellStyle name="Normal 31 2 2 2" xfId="1172" xr:uid="{00000000-0005-0000-0000-0000D4540000}"/>
    <cellStyle name="Normal 31 2 2 2 2" xfId="1173" xr:uid="{00000000-0005-0000-0000-0000D5540000}"/>
    <cellStyle name="Normal 31 2 2 2 2 2" xfId="1174" xr:uid="{00000000-0005-0000-0000-0000D6540000}"/>
    <cellStyle name="Normal 31 2 2 2 2 2 2" xfId="2592" xr:uid="{00000000-0005-0000-0000-0000D7540000}"/>
    <cellStyle name="Normal 31 2 2 2 2 2 2 2" xfId="7177" xr:uid="{00000000-0005-0000-0000-0000D8540000}"/>
    <cellStyle name="Normal 31 2 2 2 2 2 2 2 2" xfId="16277" xr:uid="{00000000-0005-0000-0000-0000D9540000}"/>
    <cellStyle name="Normal 31 2 2 2 2 2 2 2 2 2" xfId="34459" xr:uid="{00000000-0005-0000-0000-0000DA540000}"/>
    <cellStyle name="Normal 31 2 2 2 2 2 2 2 3" xfId="25369" xr:uid="{00000000-0005-0000-0000-0000DB540000}"/>
    <cellStyle name="Normal 31 2 2 2 2 2 2 3" xfId="11741" xr:uid="{00000000-0005-0000-0000-0000DC540000}"/>
    <cellStyle name="Normal 31 2 2 2 2 2 2 3 2" xfId="29923" xr:uid="{00000000-0005-0000-0000-0000DD540000}"/>
    <cellStyle name="Normal 31 2 2 2 2 2 2 4" xfId="20833" xr:uid="{00000000-0005-0000-0000-0000DE540000}"/>
    <cellStyle name="Normal 31 2 2 2 2 2 3" xfId="4176" xr:uid="{00000000-0005-0000-0000-0000DF540000}"/>
    <cellStyle name="Normal 31 2 2 2 2 2 3 2" xfId="8732" xr:uid="{00000000-0005-0000-0000-0000E0540000}"/>
    <cellStyle name="Normal 31 2 2 2 2 2 3 2 2" xfId="17828" xr:uid="{00000000-0005-0000-0000-0000E1540000}"/>
    <cellStyle name="Normal 31 2 2 2 2 2 3 2 2 2" xfId="36010" xr:uid="{00000000-0005-0000-0000-0000E2540000}"/>
    <cellStyle name="Normal 31 2 2 2 2 2 3 2 3" xfId="26920" xr:uid="{00000000-0005-0000-0000-0000E3540000}"/>
    <cellStyle name="Normal 31 2 2 2 2 2 3 3" xfId="13288" xr:uid="{00000000-0005-0000-0000-0000E4540000}"/>
    <cellStyle name="Normal 31 2 2 2 2 2 3 3 2" xfId="31470" xr:uid="{00000000-0005-0000-0000-0000E5540000}"/>
    <cellStyle name="Normal 31 2 2 2 2 2 3 4" xfId="22380" xr:uid="{00000000-0005-0000-0000-0000E6540000}"/>
    <cellStyle name="Normal 31 2 2 2 2 2 4" xfId="5815" xr:uid="{00000000-0005-0000-0000-0000E7540000}"/>
    <cellStyle name="Normal 31 2 2 2 2 2 4 2" xfId="14915" xr:uid="{00000000-0005-0000-0000-0000E8540000}"/>
    <cellStyle name="Normal 31 2 2 2 2 2 4 2 2" xfId="33097" xr:uid="{00000000-0005-0000-0000-0000E9540000}"/>
    <cellStyle name="Normal 31 2 2 2 2 2 4 3" xfId="24007" xr:uid="{00000000-0005-0000-0000-0000EA540000}"/>
    <cellStyle name="Normal 31 2 2 2 2 2 5" xfId="10381" xr:uid="{00000000-0005-0000-0000-0000EB540000}"/>
    <cellStyle name="Normal 31 2 2 2 2 2 5 2" xfId="28563" xr:uid="{00000000-0005-0000-0000-0000EC540000}"/>
    <cellStyle name="Normal 31 2 2 2 2 2 6" xfId="19472" xr:uid="{00000000-0005-0000-0000-0000ED540000}"/>
    <cellStyle name="Normal 31 2 2 2 2 3" xfId="2593" xr:uid="{00000000-0005-0000-0000-0000EE540000}"/>
    <cellStyle name="Normal 31 2 2 2 2 3 2" xfId="7178" xr:uid="{00000000-0005-0000-0000-0000EF540000}"/>
    <cellStyle name="Normal 31 2 2 2 2 3 2 2" xfId="16278" xr:uid="{00000000-0005-0000-0000-0000F0540000}"/>
    <cellStyle name="Normal 31 2 2 2 2 3 2 2 2" xfId="34460" xr:uid="{00000000-0005-0000-0000-0000F1540000}"/>
    <cellStyle name="Normal 31 2 2 2 2 3 2 3" xfId="25370" xr:uid="{00000000-0005-0000-0000-0000F2540000}"/>
    <cellStyle name="Normal 31 2 2 2 2 3 3" xfId="11742" xr:uid="{00000000-0005-0000-0000-0000F3540000}"/>
    <cellStyle name="Normal 31 2 2 2 2 3 3 2" xfId="29924" xr:uid="{00000000-0005-0000-0000-0000F4540000}"/>
    <cellStyle name="Normal 31 2 2 2 2 3 4" xfId="20834" xr:uid="{00000000-0005-0000-0000-0000F5540000}"/>
    <cellStyle name="Normal 31 2 2 2 2 4" xfId="4175" xr:uid="{00000000-0005-0000-0000-0000F6540000}"/>
    <cellStyle name="Normal 31 2 2 2 2 4 2" xfId="8731" xr:uid="{00000000-0005-0000-0000-0000F7540000}"/>
    <cellStyle name="Normal 31 2 2 2 2 4 2 2" xfId="17827" xr:uid="{00000000-0005-0000-0000-0000F8540000}"/>
    <cellStyle name="Normal 31 2 2 2 2 4 2 2 2" xfId="36009" xr:uid="{00000000-0005-0000-0000-0000F9540000}"/>
    <cellStyle name="Normal 31 2 2 2 2 4 2 3" xfId="26919" xr:uid="{00000000-0005-0000-0000-0000FA540000}"/>
    <cellStyle name="Normal 31 2 2 2 2 4 3" xfId="13287" xr:uid="{00000000-0005-0000-0000-0000FB540000}"/>
    <cellStyle name="Normal 31 2 2 2 2 4 3 2" xfId="31469" xr:uid="{00000000-0005-0000-0000-0000FC540000}"/>
    <cellStyle name="Normal 31 2 2 2 2 4 4" xfId="22379" xr:uid="{00000000-0005-0000-0000-0000FD540000}"/>
    <cellStyle name="Normal 31 2 2 2 2 5" xfId="5814" xr:uid="{00000000-0005-0000-0000-0000FE540000}"/>
    <cellStyle name="Normal 31 2 2 2 2 5 2" xfId="14914" xr:uid="{00000000-0005-0000-0000-0000FF540000}"/>
    <cellStyle name="Normal 31 2 2 2 2 5 2 2" xfId="33096" xr:uid="{00000000-0005-0000-0000-000000550000}"/>
    <cellStyle name="Normal 31 2 2 2 2 5 3" xfId="24006" xr:uid="{00000000-0005-0000-0000-000001550000}"/>
    <cellStyle name="Normal 31 2 2 2 2 6" xfId="10380" xr:uid="{00000000-0005-0000-0000-000002550000}"/>
    <cellStyle name="Normal 31 2 2 2 2 6 2" xfId="28562" xr:uid="{00000000-0005-0000-0000-000003550000}"/>
    <cellStyle name="Normal 31 2 2 2 2 7" xfId="19471" xr:uid="{00000000-0005-0000-0000-000004550000}"/>
    <cellStyle name="Normal 31 2 2 2 3" xfId="1175" xr:uid="{00000000-0005-0000-0000-000005550000}"/>
    <cellStyle name="Normal 31 2 2 2 3 2" xfId="2594" xr:uid="{00000000-0005-0000-0000-000006550000}"/>
    <cellStyle name="Normal 31 2 2 2 3 2 2" xfId="7179" xr:uid="{00000000-0005-0000-0000-000007550000}"/>
    <cellStyle name="Normal 31 2 2 2 3 2 2 2" xfId="16279" xr:uid="{00000000-0005-0000-0000-000008550000}"/>
    <cellStyle name="Normal 31 2 2 2 3 2 2 2 2" xfId="34461" xr:uid="{00000000-0005-0000-0000-000009550000}"/>
    <cellStyle name="Normal 31 2 2 2 3 2 2 3" xfId="25371" xr:uid="{00000000-0005-0000-0000-00000A550000}"/>
    <cellStyle name="Normal 31 2 2 2 3 2 3" xfId="11743" xr:uid="{00000000-0005-0000-0000-00000B550000}"/>
    <cellStyle name="Normal 31 2 2 2 3 2 3 2" xfId="29925" xr:uid="{00000000-0005-0000-0000-00000C550000}"/>
    <cellStyle name="Normal 31 2 2 2 3 2 4" xfId="20835" xr:uid="{00000000-0005-0000-0000-00000D550000}"/>
    <cellStyle name="Normal 31 2 2 2 3 3" xfId="4177" xr:uid="{00000000-0005-0000-0000-00000E550000}"/>
    <cellStyle name="Normal 31 2 2 2 3 3 2" xfId="8733" xr:uid="{00000000-0005-0000-0000-00000F550000}"/>
    <cellStyle name="Normal 31 2 2 2 3 3 2 2" xfId="17829" xr:uid="{00000000-0005-0000-0000-000010550000}"/>
    <cellStyle name="Normal 31 2 2 2 3 3 2 2 2" xfId="36011" xr:uid="{00000000-0005-0000-0000-000011550000}"/>
    <cellStyle name="Normal 31 2 2 2 3 3 2 3" xfId="26921" xr:uid="{00000000-0005-0000-0000-000012550000}"/>
    <cellStyle name="Normal 31 2 2 2 3 3 3" xfId="13289" xr:uid="{00000000-0005-0000-0000-000013550000}"/>
    <cellStyle name="Normal 31 2 2 2 3 3 3 2" xfId="31471" xr:uid="{00000000-0005-0000-0000-000014550000}"/>
    <cellStyle name="Normal 31 2 2 2 3 3 4" xfId="22381" xr:uid="{00000000-0005-0000-0000-000015550000}"/>
    <cellStyle name="Normal 31 2 2 2 3 4" xfId="5816" xr:uid="{00000000-0005-0000-0000-000016550000}"/>
    <cellStyle name="Normal 31 2 2 2 3 4 2" xfId="14916" xr:uid="{00000000-0005-0000-0000-000017550000}"/>
    <cellStyle name="Normal 31 2 2 2 3 4 2 2" xfId="33098" xr:uid="{00000000-0005-0000-0000-000018550000}"/>
    <cellStyle name="Normal 31 2 2 2 3 4 3" xfId="24008" xr:uid="{00000000-0005-0000-0000-000019550000}"/>
    <cellStyle name="Normal 31 2 2 2 3 5" xfId="10382" xr:uid="{00000000-0005-0000-0000-00001A550000}"/>
    <cellStyle name="Normal 31 2 2 2 3 5 2" xfId="28564" xr:uid="{00000000-0005-0000-0000-00001B550000}"/>
    <cellStyle name="Normal 31 2 2 2 3 6" xfId="19473" xr:uid="{00000000-0005-0000-0000-00001C550000}"/>
    <cellStyle name="Normal 31 2 2 2 4" xfId="1176" xr:uid="{00000000-0005-0000-0000-00001D550000}"/>
    <cellStyle name="Normal 31 2 2 2 4 2" xfId="4178" xr:uid="{00000000-0005-0000-0000-00001E550000}"/>
    <cellStyle name="Normal 31 2 2 2 4 2 2" xfId="8734" xr:uid="{00000000-0005-0000-0000-00001F550000}"/>
    <cellStyle name="Normal 31 2 2 2 4 2 2 2" xfId="17830" xr:uid="{00000000-0005-0000-0000-000020550000}"/>
    <cellStyle name="Normal 31 2 2 2 4 2 2 2 2" xfId="36012" xr:uid="{00000000-0005-0000-0000-000021550000}"/>
    <cellStyle name="Normal 31 2 2 2 4 2 2 3" xfId="26922" xr:uid="{00000000-0005-0000-0000-000022550000}"/>
    <cellStyle name="Normal 31 2 2 2 4 2 3" xfId="13290" xr:uid="{00000000-0005-0000-0000-000023550000}"/>
    <cellStyle name="Normal 31 2 2 2 4 2 3 2" xfId="31472" xr:uid="{00000000-0005-0000-0000-000024550000}"/>
    <cellStyle name="Normal 31 2 2 2 4 2 4" xfId="22382" xr:uid="{00000000-0005-0000-0000-000025550000}"/>
    <cellStyle name="Normal 31 2 2 2 4 3" xfId="5817" xr:uid="{00000000-0005-0000-0000-000026550000}"/>
    <cellStyle name="Normal 31 2 2 2 4 3 2" xfId="14917" xr:uid="{00000000-0005-0000-0000-000027550000}"/>
    <cellStyle name="Normal 31 2 2 2 4 3 2 2" xfId="33099" xr:uid="{00000000-0005-0000-0000-000028550000}"/>
    <cellStyle name="Normal 31 2 2 2 4 3 3" xfId="24009" xr:uid="{00000000-0005-0000-0000-000029550000}"/>
    <cellStyle name="Normal 31 2 2 2 4 4" xfId="10383" xr:uid="{00000000-0005-0000-0000-00002A550000}"/>
    <cellStyle name="Normal 31 2 2 2 4 4 2" xfId="28565" xr:uid="{00000000-0005-0000-0000-00002B550000}"/>
    <cellStyle name="Normal 31 2 2 2 4 5" xfId="19474" xr:uid="{00000000-0005-0000-0000-00002C550000}"/>
    <cellStyle name="Normal 31 2 2 2 5" xfId="2595" xr:uid="{00000000-0005-0000-0000-00002D550000}"/>
    <cellStyle name="Normal 31 2 2 2 5 2" xfId="7180" xr:uid="{00000000-0005-0000-0000-00002E550000}"/>
    <cellStyle name="Normal 31 2 2 2 5 2 2" xfId="16280" xr:uid="{00000000-0005-0000-0000-00002F550000}"/>
    <cellStyle name="Normal 31 2 2 2 5 2 2 2" xfId="34462" xr:uid="{00000000-0005-0000-0000-000030550000}"/>
    <cellStyle name="Normal 31 2 2 2 5 2 3" xfId="25372" xr:uid="{00000000-0005-0000-0000-000031550000}"/>
    <cellStyle name="Normal 31 2 2 2 5 3" xfId="11744" xr:uid="{00000000-0005-0000-0000-000032550000}"/>
    <cellStyle name="Normal 31 2 2 2 5 3 2" xfId="29926" xr:uid="{00000000-0005-0000-0000-000033550000}"/>
    <cellStyle name="Normal 31 2 2 2 5 4" xfId="20836" xr:uid="{00000000-0005-0000-0000-000034550000}"/>
    <cellStyle name="Normal 31 2 2 2 6" xfId="4174" xr:uid="{00000000-0005-0000-0000-000035550000}"/>
    <cellStyle name="Normal 31 2 2 2 6 2" xfId="8730" xr:uid="{00000000-0005-0000-0000-000036550000}"/>
    <cellStyle name="Normal 31 2 2 2 6 2 2" xfId="17826" xr:uid="{00000000-0005-0000-0000-000037550000}"/>
    <cellStyle name="Normal 31 2 2 2 6 2 2 2" xfId="36008" xr:uid="{00000000-0005-0000-0000-000038550000}"/>
    <cellStyle name="Normal 31 2 2 2 6 2 3" xfId="26918" xr:uid="{00000000-0005-0000-0000-000039550000}"/>
    <cellStyle name="Normal 31 2 2 2 6 3" xfId="13286" xr:uid="{00000000-0005-0000-0000-00003A550000}"/>
    <cellStyle name="Normal 31 2 2 2 6 3 2" xfId="31468" xr:uid="{00000000-0005-0000-0000-00003B550000}"/>
    <cellStyle name="Normal 31 2 2 2 6 4" xfId="22378" xr:uid="{00000000-0005-0000-0000-00003C550000}"/>
    <cellStyle name="Normal 31 2 2 2 7" xfId="5813" xr:uid="{00000000-0005-0000-0000-00003D550000}"/>
    <cellStyle name="Normal 31 2 2 2 7 2" xfId="14913" xr:uid="{00000000-0005-0000-0000-00003E550000}"/>
    <cellStyle name="Normal 31 2 2 2 7 2 2" xfId="33095" xr:uid="{00000000-0005-0000-0000-00003F550000}"/>
    <cellStyle name="Normal 31 2 2 2 7 3" xfId="24005" xr:uid="{00000000-0005-0000-0000-000040550000}"/>
    <cellStyle name="Normal 31 2 2 2 8" xfId="10379" xr:uid="{00000000-0005-0000-0000-000041550000}"/>
    <cellStyle name="Normal 31 2 2 2 8 2" xfId="28561" xr:uid="{00000000-0005-0000-0000-000042550000}"/>
    <cellStyle name="Normal 31 2 2 2 9" xfId="19470" xr:uid="{00000000-0005-0000-0000-000043550000}"/>
    <cellStyle name="Normal 31 2 2 3" xfId="1177" xr:uid="{00000000-0005-0000-0000-000044550000}"/>
    <cellStyle name="Normal 31 2 2 3 2" xfId="1178" xr:uid="{00000000-0005-0000-0000-000045550000}"/>
    <cellStyle name="Normal 31 2 2 3 2 2" xfId="2596" xr:uid="{00000000-0005-0000-0000-000046550000}"/>
    <cellStyle name="Normal 31 2 2 3 2 2 2" xfId="7181" xr:uid="{00000000-0005-0000-0000-000047550000}"/>
    <cellStyle name="Normal 31 2 2 3 2 2 2 2" xfId="16281" xr:uid="{00000000-0005-0000-0000-000048550000}"/>
    <cellStyle name="Normal 31 2 2 3 2 2 2 2 2" xfId="34463" xr:uid="{00000000-0005-0000-0000-000049550000}"/>
    <cellStyle name="Normal 31 2 2 3 2 2 2 3" xfId="25373" xr:uid="{00000000-0005-0000-0000-00004A550000}"/>
    <cellStyle name="Normal 31 2 2 3 2 2 3" xfId="11745" xr:uid="{00000000-0005-0000-0000-00004B550000}"/>
    <cellStyle name="Normal 31 2 2 3 2 2 3 2" xfId="29927" xr:uid="{00000000-0005-0000-0000-00004C550000}"/>
    <cellStyle name="Normal 31 2 2 3 2 2 4" xfId="20837" xr:uid="{00000000-0005-0000-0000-00004D550000}"/>
    <cellStyle name="Normal 31 2 2 3 2 3" xfId="4180" xr:uid="{00000000-0005-0000-0000-00004E550000}"/>
    <cellStyle name="Normal 31 2 2 3 2 3 2" xfId="8736" xr:uid="{00000000-0005-0000-0000-00004F550000}"/>
    <cellStyle name="Normal 31 2 2 3 2 3 2 2" xfId="17832" xr:uid="{00000000-0005-0000-0000-000050550000}"/>
    <cellStyle name="Normal 31 2 2 3 2 3 2 2 2" xfId="36014" xr:uid="{00000000-0005-0000-0000-000051550000}"/>
    <cellStyle name="Normal 31 2 2 3 2 3 2 3" xfId="26924" xr:uid="{00000000-0005-0000-0000-000052550000}"/>
    <cellStyle name="Normal 31 2 2 3 2 3 3" xfId="13292" xr:uid="{00000000-0005-0000-0000-000053550000}"/>
    <cellStyle name="Normal 31 2 2 3 2 3 3 2" xfId="31474" xr:uid="{00000000-0005-0000-0000-000054550000}"/>
    <cellStyle name="Normal 31 2 2 3 2 3 4" xfId="22384" xr:uid="{00000000-0005-0000-0000-000055550000}"/>
    <cellStyle name="Normal 31 2 2 3 2 4" xfId="5819" xr:uid="{00000000-0005-0000-0000-000056550000}"/>
    <cellStyle name="Normal 31 2 2 3 2 4 2" xfId="14919" xr:uid="{00000000-0005-0000-0000-000057550000}"/>
    <cellStyle name="Normal 31 2 2 3 2 4 2 2" xfId="33101" xr:uid="{00000000-0005-0000-0000-000058550000}"/>
    <cellStyle name="Normal 31 2 2 3 2 4 3" xfId="24011" xr:uid="{00000000-0005-0000-0000-000059550000}"/>
    <cellStyle name="Normal 31 2 2 3 2 5" xfId="10385" xr:uid="{00000000-0005-0000-0000-00005A550000}"/>
    <cellStyle name="Normal 31 2 2 3 2 5 2" xfId="28567" xr:uid="{00000000-0005-0000-0000-00005B550000}"/>
    <cellStyle name="Normal 31 2 2 3 2 6" xfId="19476" xr:uid="{00000000-0005-0000-0000-00005C550000}"/>
    <cellStyle name="Normal 31 2 2 3 3" xfId="2597" xr:uid="{00000000-0005-0000-0000-00005D550000}"/>
    <cellStyle name="Normal 31 2 2 3 3 2" xfId="7182" xr:uid="{00000000-0005-0000-0000-00005E550000}"/>
    <cellStyle name="Normal 31 2 2 3 3 2 2" xfId="16282" xr:uid="{00000000-0005-0000-0000-00005F550000}"/>
    <cellStyle name="Normal 31 2 2 3 3 2 2 2" xfId="34464" xr:uid="{00000000-0005-0000-0000-000060550000}"/>
    <cellStyle name="Normal 31 2 2 3 3 2 3" xfId="25374" xr:uid="{00000000-0005-0000-0000-000061550000}"/>
    <cellStyle name="Normal 31 2 2 3 3 3" xfId="11746" xr:uid="{00000000-0005-0000-0000-000062550000}"/>
    <cellStyle name="Normal 31 2 2 3 3 3 2" xfId="29928" xr:uid="{00000000-0005-0000-0000-000063550000}"/>
    <cellStyle name="Normal 31 2 2 3 3 4" xfId="20838" xr:uid="{00000000-0005-0000-0000-000064550000}"/>
    <cellStyle name="Normal 31 2 2 3 4" xfId="4179" xr:uid="{00000000-0005-0000-0000-000065550000}"/>
    <cellStyle name="Normal 31 2 2 3 4 2" xfId="8735" xr:uid="{00000000-0005-0000-0000-000066550000}"/>
    <cellStyle name="Normal 31 2 2 3 4 2 2" xfId="17831" xr:uid="{00000000-0005-0000-0000-000067550000}"/>
    <cellStyle name="Normal 31 2 2 3 4 2 2 2" xfId="36013" xr:uid="{00000000-0005-0000-0000-000068550000}"/>
    <cellStyle name="Normal 31 2 2 3 4 2 3" xfId="26923" xr:uid="{00000000-0005-0000-0000-000069550000}"/>
    <cellStyle name="Normal 31 2 2 3 4 3" xfId="13291" xr:uid="{00000000-0005-0000-0000-00006A550000}"/>
    <cellStyle name="Normal 31 2 2 3 4 3 2" xfId="31473" xr:uid="{00000000-0005-0000-0000-00006B550000}"/>
    <cellStyle name="Normal 31 2 2 3 4 4" xfId="22383" xr:uid="{00000000-0005-0000-0000-00006C550000}"/>
    <cellStyle name="Normal 31 2 2 3 5" xfId="5818" xr:uid="{00000000-0005-0000-0000-00006D550000}"/>
    <cellStyle name="Normal 31 2 2 3 5 2" xfId="14918" xr:uid="{00000000-0005-0000-0000-00006E550000}"/>
    <cellStyle name="Normal 31 2 2 3 5 2 2" xfId="33100" xr:uid="{00000000-0005-0000-0000-00006F550000}"/>
    <cellStyle name="Normal 31 2 2 3 5 3" xfId="24010" xr:uid="{00000000-0005-0000-0000-000070550000}"/>
    <cellStyle name="Normal 31 2 2 3 6" xfId="10384" xr:uid="{00000000-0005-0000-0000-000071550000}"/>
    <cellStyle name="Normal 31 2 2 3 6 2" xfId="28566" xr:uid="{00000000-0005-0000-0000-000072550000}"/>
    <cellStyle name="Normal 31 2 2 3 7" xfId="19475" xr:uid="{00000000-0005-0000-0000-000073550000}"/>
    <cellStyle name="Normal 31 2 2 4" xfId="1179" xr:uid="{00000000-0005-0000-0000-000074550000}"/>
    <cellStyle name="Normal 31 2 2 4 2" xfId="2598" xr:uid="{00000000-0005-0000-0000-000075550000}"/>
    <cellStyle name="Normal 31 2 2 4 2 2" xfId="7183" xr:uid="{00000000-0005-0000-0000-000076550000}"/>
    <cellStyle name="Normal 31 2 2 4 2 2 2" xfId="16283" xr:uid="{00000000-0005-0000-0000-000077550000}"/>
    <cellStyle name="Normal 31 2 2 4 2 2 2 2" xfId="34465" xr:uid="{00000000-0005-0000-0000-000078550000}"/>
    <cellStyle name="Normal 31 2 2 4 2 2 3" xfId="25375" xr:uid="{00000000-0005-0000-0000-000079550000}"/>
    <cellStyle name="Normal 31 2 2 4 2 3" xfId="11747" xr:uid="{00000000-0005-0000-0000-00007A550000}"/>
    <cellStyle name="Normal 31 2 2 4 2 3 2" xfId="29929" xr:uid="{00000000-0005-0000-0000-00007B550000}"/>
    <cellStyle name="Normal 31 2 2 4 2 4" xfId="20839" xr:uid="{00000000-0005-0000-0000-00007C550000}"/>
    <cellStyle name="Normal 31 2 2 4 3" xfId="4181" xr:uid="{00000000-0005-0000-0000-00007D550000}"/>
    <cellStyle name="Normal 31 2 2 4 3 2" xfId="8737" xr:uid="{00000000-0005-0000-0000-00007E550000}"/>
    <cellStyle name="Normal 31 2 2 4 3 2 2" xfId="17833" xr:uid="{00000000-0005-0000-0000-00007F550000}"/>
    <cellStyle name="Normal 31 2 2 4 3 2 2 2" xfId="36015" xr:uid="{00000000-0005-0000-0000-000080550000}"/>
    <cellStyle name="Normal 31 2 2 4 3 2 3" xfId="26925" xr:uid="{00000000-0005-0000-0000-000081550000}"/>
    <cellStyle name="Normal 31 2 2 4 3 3" xfId="13293" xr:uid="{00000000-0005-0000-0000-000082550000}"/>
    <cellStyle name="Normal 31 2 2 4 3 3 2" xfId="31475" xr:uid="{00000000-0005-0000-0000-000083550000}"/>
    <cellStyle name="Normal 31 2 2 4 3 4" xfId="22385" xr:uid="{00000000-0005-0000-0000-000084550000}"/>
    <cellStyle name="Normal 31 2 2 4 4" xfId="5820" xr:uid="{00000000-0005-0000-0000-000085550000}"/>
    <cellStyle name="Normal 31 2 2 4 4 2" xfId="14920" xr:uid="{00000000-0005-0000-0000-000086550000}"/>
    <cellStyle name="Normal 31 2 2 4 4 2 2" xfId="33102" xr:uid="{00000000-0005-0000-0000-000087550000}"/>
    <cellStyle name="Normal 31 2 2 4 4 3" xfId="24012" xr:uid="{00000000-0005-0000-0000-000088550000}"/>
    <cellStyle name="Normal 31 2 2 4 5" xfId="10386" xr:uid="{00000000-0005-0000-0000-000089550000}"/>
    <cellStyle name="Normal 31 2 2 4 5 2" xfId="28568" xr:uid="{00000000-0005-0000-0000-00008A550000}"/>
    <cellStyle name="Normal 31 2 2 4 6" xfId="19477" xr:uid="{00000000-0005-0000-0000-00008B550000}"/>
    <cellStyle name="Normal 31 2 2 5" xfId="1180" xr:uid="{00000000-0005-0000-0000-00008C550000}"/>
    <cellStyle name="Normal 31 2 2 5 2" xfId="4182" xr:uid="{00000000-0005-0000-0000-00008D550000}"/>
    <cellStyle name="Normal 31 2 2 5 2 2" xfId="8738" xr:uid="{00000000-0005-0000-0000-00008E550000}"/>
    <cellStyle name="Normal 31 2 2 5 2 2 2" xfId="17834" xr:uid="{00000000-0005-0000-0000-00008F550000}"/>
    <cellStyle name="Normal 31 2 2 5 2 2 2 2" xfId="36016" xr:uid="{00000000-0005-0000-0000-000090550000}"/>
    <cellStyle name="Normal 31 2 2 5 2 2 3" xfId="26926" xr:uid="{00000000-0005-0000-0000-000091550000}"/>
    <cellStyle name="Normal 31 2 2 5 2 3" xfId="13294" xr:uid="{00000000-0005-0000-0000-000092550000}"/>
    <cellStyle name="Normal 31 2 2 5 2 3 2" xfId="31476" xr:uid="{00000000-0005-0000-0000-000093550000}"/>
    <cellStyle name="Normal 31 2 2 5 2 4" xfId="22386" xr:uid="{00000000-0005-0000-0000-000094550000}"/>
    <cellStyle name="Normal 31 2 2 5 3" xfId="5821" xr:uid="{00000000-0005-0000-0000-000095550000}"/>
    <cellStyle name="Normal 31 2 2 5 3 2" xfId="14921" xr:uid="{00000000-0005-0000-0000-000096550000}"/>
    <cellStyle name="Normal 31 2 2 5 3 2 2" xfId="33103" xr:uid="{00000000-0005-0000-0000-000097550000}"/>
    <cellStyle name="Normal 31 2 2 5 3 3" xfId="24013" xr:uid="{00000000-0005-0000-0000-000098550000}"/>
    <cellStyle name="Normal 31 2 2 5 4" xfId="10387" xr:uid="{00000000-0005-0000-0000-000099550000}"/>
    <cellStyle name="Normal 31 2 2 5 4 2" xfId="28569" xr:uid="{00000000-0005-0000-0000-00009A550000}"/>
    <cellStyle name="Normal 31 2 2 5 5" xfId="19478" xr:uid="{00000000-0005-0000-0000-00009B550000}"/>
    <cellStyle name="Normal 31 2 2 6" xfId="2599" xr:uid="{00000000-0005-0000-0000-00009C550000}"/>
    <cellStyle name="Normal 31 2 2 6 2" xfId="7184" xr:uid="{00000000-0005-0000-0000-00009D550000}"/>
    <cellStyle name="Normal 31 2 2 6 2 2" xfId="16284" xr:uid="{00000000-0005-0000-0000-00009E550000}"/>
    <cellStyle name="Normal 31 2 2 6 2 2 2" xfId="34466" xr:uid="{00000000-0005-0000-0000-00009F550000}"/>
    <cellStyle name="Normal 31 2 2 6 2 3" xfId="25376" xr:uid="{00000000-0005-0000-0000-0000A0550000}"/>
    <cellStyle name="Normal 31 2 2 6 3" xfId="11748" xr:uid="{00000000-0005-0000-0000-0000A1550000}"/>
    <cellStyle name="Normal 31 2 2 6 3 2" xfId="29930" xr:uid="{00000000-0005-0000-0000-0000A2550000}"/>
    <cellStyle name="Normal 31 2 2 6 4" xfId="20840" xr:uid="{00000000-0005-0000-0000-0000A3550000}"/>
    <cellStyle name="Normal 31 2 2 7" xfId="3258" xr:uid="{00000000-0005-0000-0000-0000A4550000}"/>
    <cellStyle name="Normal 31 2 2 7 2" xfId="7818" xr:uid="{00000000-0005-0000-0000-0000A5550000}"/>
    <cellStyle name="Normal 31 2 2 7 2 2" xfId="16914" xr:uid="{00000000-0005-0000-0000-0000A6550000}"/>
    <cellStyle name="Normal 31 2 2 7 2 2 2" xfId="35096" xr:uid="{00000000-0005-0000-0000-0000A7550000}"/>
    <cellStyle name="Normal 31 2 2 7 2 3" xfId="26006" xr:uid="{00000000-0005-0000-0000-0000A8550000}"/>
    <cellStyle name="Normal 31 2 2 7 3" xfId="12374" xr:uid="{00000000-0005-0000-0000-0000A9550000}"/>
    <cellStyle name="Normal 31 2 2 7 3 2" xfId="30556" xr:uid="{00000000-0005-0000-0000-0000AA550000}"/>
    <cellStyle name="Normal 31 2 2 7 4" xfId="21466" xr:uid="{00000000-0005-0000-0000-0000AB550000}"/>
    <cellStyle name="Normal 31 2 2 8" xfId="4905" xr:uid="{00000000-0005-0000-0000-0000AC550000}"/>
    <cellStyle name="Normal 31 2 2 8 2" xfId="14005" xr:uid="{00000000-0005-0000-0000-0000AD550000}"/>
    <cellStyle name="Normal 31 2 2 8 2 2" xfId="32187" xr:uid="{00000000-0005-0000-0000-0000AE550000}"/>
    <cellStyle name="Normal 31 2 2 8 3" xfId="23097" xr:uid="{00000000-0005-0000-0000-0000AF550000}"/>
    <cellStyle name="Normal 31 2 2 9" xfId="9471" xr:uid="{00000000-0005-0000-0000-0000B0550000}"/>
    <cellStyle name="Normal 31 2 2 9 2" xfId="27653" xr:uid="{00000000-0005-0000-0000-0000B1550000}"/>
    <cellStyle name="Normal 31 2 3" xfId="1181" xr:uid="{00000000-0005-0000-0000-0000B2550000}"/>
    <cellStyle name="Normal 31 2 3 2" xfId="1182" xr:uid="{00000000-0005-0000-0000-0000B3550000}"/>
    <cellStyle name="Normal 31 2 3 2 2" xfId="1183" xr:uid="{00000000-0005-0000-0000-0000B4550000}"/>
    <cellStyle name="Normal 31 2 3 2 2 2" xfId="2600" xr:uid="{00000000-0005-0000-0000-0000B5550000}"/>
    <cellStyle name="Normal 31 2 3 2 2 2 2" xfId="7185" xr:uid="{00000000-0005-0000-0000-0000B6550000}"/>
    <cellStyle name="Normal 31 2 3 2 2 2 2 2" xfId="16285" xr:uid="{00000000-0005-0000-0000-0000B7550000}"/>
    <cellStyle name="Normal 31 2 3 2 2 2 2 2 2" xfId="34467" xr:uid="{00000000-0005-0000-0000-0000B8550000}"/>
    <cellStyle name="Normal 31 2 3 2 2 2 2 3" xfId="25377" xr:uid="{00000000-0005-0000-0000-0000B9550000}"/>
    <cellStyle name="Normal 31 2 3 2 2 2 3" xfId="11749" xr:uid="{00000000-0005-0000-0000-0000BA550000}"/>
    <cellStyle name="Normal 31 2 3 2 2 2 3 2" xfId="29931" xr:uid="{00000000-0005-0000-0000-0000BB550000}"/>
    <cellStyle name="Normal 31 2 3 2 2 2 4" xfId="20841" xr:uid="{00000000-0005-0000-0000-0000BC550000}"/>
    <cellStyle name="Normal 31 2 3 2 2 3" xfId="4185" xr:uid="{00000000-0005-0000-0000-0000BD550000}"/>
    <cellStyle name="Normal 31 2 3 2 2 3 2" xfId="8741" xr:uid="{00000000-0005-0000-0000-0000BE550000}"/>
    <cellStyle name="Normal 31 2 3 2 2 3 2 2" xfId="17837" xr:uid="{00000000-0005-0000-0000-0000BF550000}"/>
    <cellStyle name="Normal 31 2 3 2 2 3 2 2 2" xfId="36019" xr:uid="{00000000-0005-0000-0000-0000C0550000}"/>
    <cellStyle name="Normal 31 2 3 2 2 3 2 3" xfId="26929" xr:uid="{00000000-0005-0000-0000-0000C1550000}"/>
    <cellStyle name="Normal 31 2 3 2 2 3 3" xfId="13297" xr:uid="{00000000-0005-0000-0000-0000C2550000}"/>
    <cellStyle name="Normal 31 2 3 2 2 3 3 2" xfId="31479" xr:uid="{00000000-0005-0000-0000-0000C3550000}"/>
    <cellStyle name="Normal 31 2 3 2 2 3 4" xfId="22389" xr:uid="{00000000-0005-0000-0000-0000C4550000}"/>
    <cellStyle name="Normal 31 2 3 2 2 4" xfId="5824" xr:uid="{00000000-0005-0000-0000-0000C5550000}"/>
    <cellStyle name="Normal 31 2 3 2 2 4 2" xfId="14924" xr:uid="{00000000-0005-0000-0000-0000C6550000}"/>
    <cellStyle name="Normal 31 2 3 2 2 4 2 2" xfId="33106" xr:uid="{00000000-0005-0000-0000-0000C7550000}"/>
    <cellStyle name="Normal 31 2 3 2 2 4 3" xfId="24016" xr:uid="{00000000-0005-0000-0000-0000C8550000}"/>
    <cellStyle name="Normal 31 2 3 2 2 5" xfId="10390" xr:uid="{00000000-0005-0000-0000-0000C9550000}"/>
    <cellStyle name="Normal 31 2 3 2 2 5 2" xfId="28572" xr:uid="{00000000-0005-0000-0000-0000CA550000}"/>
    <cellStyle name="Normal 31 2 3 2 2 6" xfId="19481" xr:uid="{00000000-0005-0000-0000-0000CB550000}"/>
    <cellStyle name="Normal 31 2 3 2 3" xfId="2601" xr:uid="{00000000-0005-0000-0000-0000CC550000}"/>
    <cellStyle name="Normal 31 2 3 2 3 2" xfId="7186" xr:uid="{00000000-0005-0000-0000-0000CD550000}"/>
    <cellStyle name="Normal 31 2 3 2 3 2 2" xfId="16286" xr:uid="{00000000-0005-0000-0000-0000CE550000}"/>
    <cellStyle name="Normal 31 2 3 2 3 2 2 2" xfId="34468" xr:uid="{00000000-0005-0000-0000-0000CF550000}"/>
    <cellStyle name="Normal 31 2 3 2 3 2 3" xfId="25378" xr:uid="{00000000-0005-0000-0000-0000D0550000}"/>
    <cellStyle name="Normal 31 2 3 2 3 3" xfId="11750" xr:uid="{00000000-0005-0000-0000-0000D1550000}"/>
    <cellStyle name="Normal 31 2 3 2 3 3 2" xfId="29932" xr:uid="{00000000-0005-0000-0000-0000D2550000}"/>
    <cellStyle name="Normal 31 2 3 2 3 4" xfId="20842" xr:uid="{00000000-0005-0000-0000-0000D3550000}"/>
    <cellStyle name="Normal 31 2 3 2 4" xfId="4184" xr:uid="{00000000-0005-0000-0000-0000D4550000}"/>
    <cellStyle name="Normal 31 2 3 2 4 2" xfId="8740" xr:uid="{00000000-0005-0000-0000-0000D5550000}"/>
    <cellStyle name="Normal 31 2 3 2 4 2 2" xfId="17836" xr:uid="{00000000-0005-0000-0000-0000D6550000}"/>
    <cellStyle name="Normal 31 2 3 2 4 2 2 2" xfId="36018" xr:uid="{00000000-0005-0000-0000-0000D7550000}"/>
    <cellStyle name="Normal 31 2 3 2 4 2 3" xfId="26928" xr:uid="{00000000-0005-0000-0000-0000D8550000}"/>
    <cellStyle name="Normal 31 2 3 2 4 3" xfId="13296" xr:uid="{00000000-0005-0000-0000-0000D9550000}"/>
    <cellStyle name="Normal 31 2 3 2 4 3 2" xfId="31478" xr:uid="{00000000-0005-0000-0000-0000DA550000}"/>
    <cellStyle name="Normal 31 2 3 2 4 4" xfId="22388" xr:uid="{00000000-0005-0000-0000-0000DB550000}"/>
    <cellStyle name="Normal 31 2 3 2 5" xfId="5823" xr:uid="{00000000-0005-0000-0000-0000DC550000}"/>
    <cellStyle name="Normal 31 2 3 2 5 2" xfId="14923" xr:uid="{00000000-0005-0000-0000-0000DD550000}"/>
    <cellStyle name="Normal 31 2 3 2 5 2 2" xfId="33105" xr:uid="{00000000-0005-0000-0000-0000DE550000}"/>
    <cellStyle name="Normal 31 2 3 2 5 3" xfId="24015" xr:uid="{00000000-0005-0000-0000-0000DF550000}"/>
    <cellStyle name="Normal 31 2 3 2 6" xfId="10389" xr:uid="{00000000-0005-0000-0000-0000E0550000}"/>
    <cellStyle name="Normal 31 2 3 2 6 2" xfId="28571" xr:uid="{00000000-0005-0000-0000-0000E1550000}"/>
    <cellStyle name="Normal 31 2 3 2 7" xfId="19480" xr:uid="{00000000-0005-0000-0000-0000E2550000}"/>
    <cellStyle name="Normal 31 2 3 3" xfId="1184" xr:uid="{00000000-0005-0000-0000-0000E3550000}"/>
    <cellStyle name="Normal 31 2 3 3 2" xfId="2602" xr:uid="{00000000-0005-0000-0000-0000E4550000}"/>
    <cellStyle name="Normal 31 2 3 3 2 2" xfId="7187" xr:uid="{00000000-0005-0000-0000-0000E5550000}"/>
    <cellStyle name="Normal 31 2 3 3 2 2 2" xfId="16287" xr:uid="{00000000-0005-0000-0000-0000E6550000}"/>
    <cellStyle name="Normal 31 2 3 3 2 2 2 2" xfId="34469" xr:uid="{00000000-0005-0000-0000-0000E7550000}"/>
    <cellStyle name="Normal 31 2 3 3 2 2 3" xfId="25379" xr:uid="{00000000-0005-0000-0000-0000E8550000}"/>
    <cellStyle name="Normal 31 2 3 3 2 3" xfId="11751" xr:uid="{00000000-0005-0000-0000-0000E9550000}"/>
    <cellStyle name="Normal 31 2 3 3 2 3 2" xfId="29933" xr:uid="{00000000-0005-0000-0000-0000EA550000}"/>
    <cellStyle name="Normal 31 2 3 3 2 4" xfId="20843" xr:uid="{00000000-0005-0000-0000-0000EB550000}"/>
    <cellStyle name="Normal 31 2 3 3 3" xfId="4186" xr:uid="{00000000-0005-0000-0000-0000EC550000}"/>
    <cellStyle name="Normal 31 2 3 3 3 2" xfId="8742" xr:uid="{00000000-0005-0000-0000-0000ED550000}"/>
    <cellStyle name="Normal 31 2 3 3 3 2 2" xfId="17838" xr:uid="{00000000-0005-0000-0000-0000EE550000}"/>
    <cellStyle name="Normal 31 2 3 3 3 2 2 2" xfId="36020" xr:uid="{00000000-0005-0000-0000-0000EF550000}"/>
    <cellStyle name="Normal 31 2 3 3 3 2 3" xfId="26930" xr:uid="{00000000-0005-0000-0000-0000F0550000}"/>
    <cellStyle name="Normal 31 2 3 3 3 3" xfId="13298" xr:uid="{00000000-0005-0000-0000-0000F1550000}"/>
    <cellStyle name="Normal 31 2 3 3 3 3 2" xfId="31480" xr:uid="{00000000-0005-0000-0000-0000F2550000}"/>
    <cellStyle name="Normal 31 2 3 3 3 4" xfId="22390" xr:uid="{00000000-0005-0000-0000-0000F3550000}"/>
    <cellStyle name="Normal 31 2 3 3 4" xfId="5825" xr:uid="{00000000-0005-0000-0000-0000F4550000}"/>
    <cellStyle name="Normal 31 2 3 3 4 2" xfId="14925" xr:uid="{00000000-0005-0000-0000-0000F5550000}"/>
    <cellStyle name="Normal 31 2 3 3 4 2 2" xfId="33107" xr:uid="{00000000-0005-0000-0000-0000F6550000}"/>
    <cellStyle name="Normal 31 2 3 3 4 3" xfId="24017" xr:uid="{00000000-0005-0000-0000-0000F7550000}"/>
    <cellStyle name="Normal 31 2 3 3 5" xfId="10391" xr:uid="{00000000-0005-0000-0000-0000F8550000}"/>
    <cellStyle name="Normal 31 2 3 3 5 2" xfId="28573" xr:uid="{00000000-0005-0000-0000-0000F9550000}"/>
    <cellStyle name="Normal 31 2 3 3 6" xfId="19482" xr:uid="{00000000-0005-0000-0000-0000FA550000}"/>
    <cellStyle name="Normal 31 2 3 4" xfId="1185" xr:uid="{00000000-0005-0000-0000-0000FB550000}"/>
    <cellStyle name="Normal 31 2 3 4 2" xfId="4187" xr:uid="{00000000-0005-0000-0000-0000FC550000}"/>
    <cellStyle name="Normal 31 2 3 4 2 2" xfId="8743" xr:uid="{00000000-0005-0000-0000-0000FD550000}"/>
    <cellStyle name="Normal 31 2 3 4 2 2 2" xfId="17839" xr:uid="{00000000-0005-0000-0000-0000FE550000}"/>
    <cellStyle name="Normal 31 2 3 4 2 2 2 2" xfId="36021" xr:uid="{00000000-0005-0000-0000-0000FF550000}"/>
    <cellStyle name="Normal 31 2 3 4 2 2 3" xfId="26931" xr:uid="{00000000-0005-0000-0000-000000560000}"/>
    <cellStyle name="Normal 31 2 3 4 2 3" xfId="13299" xr:uid="{00000000-0005-0000-0000-000001560000}"/>
    <cellStyle name="Normal 31 2 3 4 2 3 2" xfId="31481" xr:uid="{00000000-0005-0000-0000-000002560000}"/>
    <cellStyle name="Normal 31 2 3 4 2 4" xfId="22391" xr:uid="{00000000-0005-0000-0000-000003560000}"/>
    <cellStyle name="Normal 31 2 3 4 3" xfId="5826" xr:uid="{00000000-0005-0000-0000-000004560000}"/>
    <cellStyle name="Normal 31 2 3 4 3 2" xfId="14926" xr:uid="{00000000-0005-0000-0000-000005560000}"/>
    <cellStyle name="Normal 31 2 3 4 3 2 2" xfId="33108" xr:uid="{00000000-0005-0000-0000-000006560000}"/>
    <cellStyle name="Normal 31 2 3 4 3 3" xfId="24018" xr:uid="{00000000-0005-0000-0000-000007560000}"/>
    <cellStyle name="Normal 31 2 3 4 4" xfId="10392" xr:uid="{00000000-0005-0000-0000-000008560000}"/>
    <cellStyle name="Normal 31 2 3 4 4 2" xfId="28574" xr:uid="{00000000-0005-0000-0000-000009560000}"/>
    <cellStyle name="Normal 31 2 3 4 5" xfId="19483" xr:uid="{00000000-0005-0000-0000-00000A560000}"/>
    <cellStyle name="Normal 31 2 3 5" xfId="2603" xr:uid="{00000000-0005-0000-0000-00000B560000}"/>
    <cellStyle name="Normal 31 2 3 5 2" xfId="7188" xr:uid="{00000000-0005-0000-0000-00000C560000}"/>
    <cellStyle name="Normal 31 2 3 5 2 2" xfId="16288" xr:uid="{00000000-0005-0000-0000-00000D560000}"/>
    <cellStyle name="Normal 31 2 3 5 2 2 2" xfId="34470" xr:uid="{00000000-0005-0000-0000-00000E560000}"/>
    <cellStyle name="Normal 31 2 3 5 2 3" xfId="25380" xr:uid="{00000000-0005-0000-0000-00000F560000}"/>
    <cellStyle name="Normal 31 2 3 5 3" xfId="11752" xr:uid="{00000000-0005-0000-0000-000010560000}"/>
    <cellStyle name="Normal 31 2 3 5 3 2" xfId="29934" xr:uid="{00000000-0005-0000-0000-000011560000}"/>
    <cellStyle name="Normal 31 2 3 5 4" xfId="20844" xr:uid="{00000000-0005-0000-0000-000012560000}"/>
    <cellStyle name="Normal 31 2 3 6" xfId="4183" xr:uid="{00000000-0005-0000-0000-000013560000}"/>
    <cellStyle name="Normal 31 2 3 6 2" xfId="8739" xr:uid="{00000000-0005-0000-0000-000014560000}"/>
    <cellStyle name="Normal 31 2 3 6 2 2" xfId="17835" xr:uid="{00000000-0005-0000-0000-000015560000}"/>
    <cellStyle name="Normal 31 2 3 6 2 2 2" xfId="36017" xr:uid="{00000000-0005-0000-0000-000016560000}"/>
    <cellStyle name="Normal 31 2 3 6 2 3" xfId="26927" xr:uid="{00000000-0005-0000-0000-000017560000}"/>
    <cellStyle name="Normal 31 2 3 6 3" xfId="13295" xr:uid="{00000000-0005-0000-0000-000018560000}"/>
    <cellStyle name="Normal 31 2 3 6 3 2" xfId="31477" xr:uid="{00000000-0005-0000-0000-000019560000}"/>
    <cellStyle name="Normal 31 2 3 6 4" xfId="22387" xr:uid="{00000000-0005-0000-0000-00001A560000}"/>
    <cellStyle name="Normal 31 2 3 7" xfId="5822" xr:uid="{00000000-0005-0000-0000-00001B560000}"/>
    <cellStyle name="Normal 31 2 3 7 2" xfId="14922" xr:uid="{00000000-0005-0000-0000-00001C560000}"/>
    <cellStyle name="Normal 31 2 3 7 2 2" xfId="33104" xr:uid="{00000000-0005-0000-0000-00001D560000}"/>
    <cellStyle name="Normal 31 2 3 7 3" xfId="24014" xr:uid="{00000000-0005-0000-0000-00001E560000}"/>
    <cellStyle name="Normal 31 2 3 8" xfId="10388" xr:uid="{00000000-0005-0000-0000-00001F560000}"/>
    <cellStyle name="Normal 31 2 3 8 2" xfId="28570" xr:uid="{00000000-0005-0000-0000-000020560000}"/>
    <cellStyle name="Normal 31 2 3 9" xfId="19479" xr:uid="{00000000-0005-0000-0000-000021560000}"/>
    <cellStyle name="Normal 31 2 4" xfId="1186" xr:uid="{00000000-0005-0000-0000-000022560000}"/>
    <cellStyle name="Normal 31 2 4 2" xfId="1187" xr:uid="{00000000-0005-0000-0000-000023560000}"/>
    <cellStyle name="Normal 31 2 4 2 2" xfId="2604" xr:uid="{00000000-0005-0000-0000-000024560000}"/>
    <cellStyle name="Normal 31 2 4 2 2 2" xfId="7189" xr:uid="{00000000-0005-0000-0000-000025560000}"/>
    <cellStyle name="Normal 31 2 4 2 2 2 2" xfId="16289" xr:uid="{00000000-0005-0000-0000-000026560000}"/>
    <cellStyle name="Normal 31 2 4 2 2 2 2 2" xfId="34471" xr:uid="{00000000-0005-0000-0000-000027560000}"/>
    <cellStyle name="Normal 31 2 4 2 2 2 3" xfId="25381" xr:uid="{00000000-0005-0000-0000-000028560000}"/>
    <cellStyle name="Normal 31 2 4 2 2 3" xfId="11753" xr:uid="{00000000-0005-0000-0000-000029560000}"/>
    <cellStyle name="Normal 31 2 4 2 2 3 2" xfId="29935" xr:uid="{00000000-0005-0000-0000-00002A560000}"/>
    <cellStyle name="Normal 31 2 4 2 2 4" xfId="20845" xr:uid="{00000000-0005-0000-0000-00002B560000}"/>
    <cellStyle name="Normal 31 2 4 2 3" xfId="4189" xr:uid="{00000000-0005-0000-0000-00002C560000}"/>
    <cellStyle name="Normal 31 2 4 2 3 2" xfId="8745" xr:uid="{00000000-0005-0000-0000-00002D560000}"/>
    <cellStyle name="Normal 31 2 4 2 3 2 2" xfId="17841" xr:uid="{00000000-0005-0000-0000-00002E560000}"/>
    <cellStyle name="Normal 31 2 4 2 3 2 2 2" xfId="36023" xr:uid="{00000000-0005-0000-0000-00002F560000}"/>
    <cellStyle name="Normal 31 2 4 2 3 2 3" xfId="26933" xr:uid="{00000000-0005-0000-0000-000030560000}"/>
    <cellStyle name="Normal 31 2 4 2 3 3" xfId="13301" xr:uid="{00000000-0005-0000-0000-000031560000}"/>
    <cellStyle name="Normal 31 2 4 2 3 3 2" xfId="31483" xr:uid="{00000000-0005-0000-0000-000032560000}"/>
    <cellStyle name="Normal 31 2 4 2 3 4" xfId="22393" xr:uid="{00000000-0005-0000-0000-000033560000}"/>
    <cellStyle name="Normal 31 2 4 2 4" xfId="5828" xr:uid="{00000000-0005-0000-0000-000034560000}"/>
    <cellStyle name="Normal 31 2 4 2 4 2" xfId="14928" xr:uid="{00000000-0005-0000-0000-000035560000}"/>
    <cellStyle name="Normal 31 2 4 2 4 2 2" xfId="33110" xr:uid="{00000000-0005-0000-0000-000036560000}"/>
    <cellStyle name="Normal 31 2 4 2 4 3" xfId="24020" xr:uid="{00000000-0005-0000-0000-000037560000}"/>
    <cellStyle name="Normal 31 2 4 2 5" xfId="10394" xr:uid="{00000000-0005-0000-0000-000038560000}"/>
    <cellStyle name="Normal 31 2 4 2 5 2" xfId="28576" xr:uid="{00000000-0005-0000-0000-000039560000}"/>
    <cellStyle name="Normal 31 2 4 2 6" xfId="19485" xr:uid="{00000000-0005-0000-0000-00003A560000}"/>
    <cellStyle name="Normal 31 2 4 3" xfId="2605" xr:uid="{00000000-0005-0000-0000-00003B560000}"/>
    <cellStyle name="Normal 31 2 4 3 2" xfId="7190" xr:uid="{00000000-0005-0000-0000-00003C560000}"/>
    <cellStyle name="Normal 31 2 4 3 2 2" xfId="16290" xr:uid="{00000000-0005-0000-0000-00003D560000}"/>
    <cellStyle name="Normal 31 2 4 3 2 2 2" xfId="34472" xr:uid="{00000000-0005-0000-0000-00003E560000}"/>
    <cellStyle name="Normal 31 2 4 3 2 3" xfId="25382" xr:uid="{00000000-0005-0000-0000-00003F560000}"/>
    <cellStyle name="Normal 31 2 4 3 3" xfId="11754" xr:uid="{00000000-0005-0000-0000-000040560000}"/>
    <cellStyle name="Normal 31 2 4 3 3 2" xfId="29936" xr:uid="{00000000-0005-0000-0000-000041560000}"/>
    <cellStyle name="Normal 31 2 4 3 4" xfId="20846" xr:uid="{00000000-0005-0000-0000-000042560000}"/>
    <cellStyle name="Normal 31 2 4 4" xfId="4188" xr:uid="{00000000-0005-0000-0000-000043560000}"/>
    <cellStyle name="Normal 31 2 4 4 2" xfId="8744" xr:uid="{00000000-0005-0000-0000-000044560000}"/>
    <cellStyle name="Normal 31 2 4 4 2 2" xfId="17840" xr:uid="{00000000-0005-0000-0000-000045560000}"/>
    <cellStyle name="Normal 31 2 4 4 2 2 2" xfId="36022" xr:uid="{00000000-0005-0000-0000-000046560000}"/>
    <cellStyle name="Normal 31 2 4 4 2 3" xfId="26932" xr:uid="{00000000-0005-0000-0000-000047560000}"/>
    <cellStyle name="Normal 31 2 4 4 3" xfId="13300" xr:uid="{00000000-0005-0000-0000-000048560000}"/>
    <cellStyle name="Normal 31 2 4 4 3 2" xfId="31482" xr:uid="{00000000-0005-0000-0000-000049560000}"/>
    <cellStyle name="Normal 31 2 4 4 4" xfId="22392" xr:uid="{00000000-0005-0000-0000-00004A560000}"/>
    <cellStyle name="Normal 31 2 4 5" xfId="5827" xr:uid="{00000000-0005-0000-0000-00004B560000}"/>
    <cellStyle name="Normal 31 2 4 5 2" xfId="14927" xr:uid="{00000000-0005-0000-0000-00004C560000}"/>
    <cellStyle name="Normal 31 2 4 5 2 2" xfId="33109" xr:uid="{00000000-0005-0000-0000-00004D560000}"/>
    <cellStyle name="Normal 31 2 4 5 3" xfId="24019" xr:uid="{00000000-0005-0000-0000-00004E560000}"/>
    <cellStyle name="Normal 31 2 4 6" xfId="10393" xr:uid="{00000000-0005-0000-0000-00004F560000}"/>
    <cellStyle name="Normal 31 2 4 6 2" xfId="28575" xr:uid="{00000000-0005-0000-0000-000050560000}"/>
    <cellStyle name="Normal 31 2 4 7" xfId="19484" xr:uid="{00000000-0005-0000-0000-000051560000}"/>
    <cellStyle name="Normal 31 2 5" xfId="1188" xr:uid="{00000000-0005-0000-0000-000052560000}"/>
    <cellStyle name="Normal 31 2 5 2" xfId="2606" xr:uid="{00000000-0005-0000-0000-000053560000}"/>
    <cellStyle name="Normal 31 2 5 2 2" xfId="7191" xr:uid="{00000000-0005-0000-0000-000054560000}"/>
    <cellStyle name="Normal 31 2 5 2 2 2" xfId="16291" xr:uid="{00000000-0005-0000-0000-000055560000}"/>
    <cellStyle name="Normal 31 2 5 2 2 2 2" xfId="34473" xr:uid="{00000000-0005-0000-0000-000056560000}"/>
    <cellStyle name="Normal 31 2 5 2 2 3" xfId="25383" xr:uid="{00000000-0005-0000-0000-000057560000}"/>
    <cellStyle name="Normal 31 2 5 2 3" xfId="11755" xr:uid="{00000000-0005-0000-0000-000058560000}"/>
    <cellStyle name="Normal 31 2 5 2 3 2" xfId="29937" xr:uid="{00000000-0005-0000-0000-000059560000}"/>
    <cellStyle name="Normal 31 2 5 2 4" xfId="20847" xr:uid="{00000000-0005-0000-0000-00005A560000}"/>
    <cellStyle name="Normal 31 2 5 3" xfId="4190" xr:uid="{00000000-0005-0000-0000-00005B560000}"/>
    <cellStyle name="Normal 31 2 5 3 2" xfId="8746" xr:uid="{00000000-0005-0000-0000-00005C560000}"/>
    <cellStyle name="Normal 31 2 5 3 2 2" xfId="17842" xr:uid="{00000000-0005-0000-0000-00005D560000}"/>
    <cellStyle name="Normal 31 2 5 3 2 2 2" xfId="36024" xr:uid="{00000000-0005-0000-0000-00005E560000}"/>
    <cellStyle name="Normal 31 2 5 3 2 3" xfId="26934" xr:uid="{00000000-0005-0000-0000-00005F560000}"/>
    <cellStyle name="Normal 31 2 5 3 3" xfId="13302" xr:uid="{00000000-0005-0000-0000-000060560000}"/>
    <cellStyle name="Normal 31 2 5 3 3 2" xfId="31484" xr:uid="{00000000-0005-0000-0000-000061560000}"/>
    <cellStyle name="Normal 31 2 5 3 4" xfId="22394" xr:uid="{00000000-0005-0000-0000-000062560000}"/>
    <cellStyle name="Normal 31 2 5 4" xfId="5829" xr:uid="{00000000-0005-0000-0000-000063560000}"/>
    <cellStyle name="Normal 31 2 5 4 2" xfId="14929" xr:uid="{00000000-0005-0000-0000-000064560000}"/>
    <cellStyle name="Normal 31 2 5 4 2 2" xfId="33111" xr:uid="{00000000-0005-0000-0000-000065560000}"/>
    <cellStyle name="Normal 31 2 5 4 3" xfId="24021" xr:uid="{00000000-0005-0000-0000-000066560000}"/>
    <cellStyle name="Normal 31 2 5 5" xfId="10395" xr:uid="{00000000-0005-0000-0000-000067560000}"/>
    <cellStyle name="Normal 31 2 5 5 2" xfId="28577" xr:uid="{00000000-0005-0000-0000-000068560000}"/>
    <cellStyle name="Normal 31 2 5 6" xfId="19486" xr:uid="{00000000-0005-0000-0000-000069560000}"/>
    <cellStyle name="Normal 31 2 6" xfId="1189" xr:uid="{00000000-0005-0000-0000-00006A560000}"/>
    <cellStyle name="Normal 31 2 6 2" xfId="4191" xr:uid="{00000000-0005-0000-0000-00006B560000}"/>
    <cellStyle name="Normal 31 2 6 2 2" xfId="8747" xr:uid="{00000000-0005-0000-0000-00006C560000}"/>
    <cellStyle name="Normal 31 2 6 2 2 2" xfId="17843" xr:uid="{00000000-0005-0000-0000-00006D560000}"/>
    <cellStyle name="Normal 31 2 6 2 2 2 2" xfId="36025" xr:uid="{00000000-0005-0000-0000-00006E560000}"/>
    <cellStyle name="Normal 31 2 6 2 2 3" xfId="26935" xr:uid="{00000000-0005-0000-0000-00006F560000}"/>
    <cellStyle name="Normal 31 2 6 2 3" xfId="13303" xr:uid="{00000000-0005-0000-0000-000070560000}"/>
    <cellStyle name="Normal 31 2 6 2 3 2" xfId="31485" xr:uid="{00000000-0005-0000-0000-000071560000}"/>
    <cellStyle name="Normal 31 2 6 2 4" xfId="22395" xr:uid="{00000000-0005-0000-0000-000072560000}"/>
    <cellStyle name="Normal 31 2 6 3" xfId="5830" xr:uid="{00000000-0005-0000-0000-000073560000}"/>
    <cellStyle name="Normal 31 2 6 3 2" xfId="14930" xr:uid="{00000000-0005-0000-0000-000074560000}"/>
    <cellStyle name="Normal 31 2 6 3 2 2" xfId="33112" xr:uid="{00000000-0005-0000-0000-000075560000}"/>
    <cellStyle name="Normal 31 2 6 3 3" xfId="24022" xr:uid="{00000000-0005-0000-0000-000076560000}"/>
    <cellStyle name="Normal 31 2 6 4" xfId="10396" xr:uid="{00000000-0005-0000-0000-000077560000}"/>
    <cellStyle name="Normal 31 2 6 4 2" xfId="28578" xr:uid="{00000000-0005-0000-0000-000078560000}"/>
    <cellStyle name="Normal 31 2 6 5" xfId="19487" xr:uid="{00000000-0005-0000-0000-000079560000}"/>
    <cellStyle name="Normal 31 2 7" xfId="2607" xr:uid="{00000000-0005-0000-0000-00007A560000}"/>
    <cellStyle name="Normal 31 2 7 2" xfId="7192" xr:uid="{00000000-0005-0000-0000-00007B560000}"/>
    <cellStyle name="Normal 31 2 7 2 2" xfId="16292" xr:uid="{00000000-0005-0000-0000-00007C560000}"/>
    <cellStyle name="Normal 31 2 7 2 2 2" xfId="34474" xr:uid="{00000000-0005-0000-0000-00007D560000}"/>
    <cellStyle name="Normal 31 2 7 2 3" xfId="25384" xr:uid="{00000000-0005-0000-0000-00007E560000}"/>
    <cellStyle name="Normal 31 2 7 3" xfId="11756" xr:uid="{00000000-0005-0000-0000-00007F560000}"/>
    <cellStyle name="Normal 31 2 7 3 2" xfId="29938" xr:uid="{00000000-0005-0000-0000-000080560000}"/>
    <cellStyle name="Normal 31 2 7 4" xfId="20848" xr:uid="{00000000-0005-0000-0000-000081560000}"/>
    <cellStyle name="Normal 31 2 8" xfId="3244" xr:uid="{00000000-0005-0000-0000-000082560000}"/>
    <cellStyle name="Normal 31 2 8 2" xfId="7804" xr:uid="{00000000-0005-0000-0000-000083560000}"/>
    <cellStyle name="Normal 31 2 8 2 2" xfId="16900" xr:uid="{00000000-0005-0000-0000-000084560000}"/>
    <cellStyle name="Normal 31 2 8 2 2 2" xfId="35082" xr:uid="{00000000-0005-0000-0000-000085560000}"/>
    <cellStyle name="Normal 31 2 8 2 3" xfId="25992" xr:uid="{00000000-0005-0000-0000-000086560000}"/>
    <cellStyle name="Normal 31 2 8 3" xfId="12360" xr:uid="{00000000-0005-0000-0000-000087560000}"/>
    <cellStyle name="Normal 31 2 8 3 2" xfId="30542" xr:uid="{00000000-0005-0000-0000-000088560000}"/>
    <cellStyle name="Normal 31 2 8 4" xfId="21452" xr:uid="{00000000-0005-0000-0000-000089560000}"/>
    <cellStyle name="Normal 31 2 9" xfId="4891" xr:uid="{00000000-0005-0000-0000-00008A560000}"/>
    <cellStyle name="Normal 31 2 9 2" xfId="13991" xr:uid="{00000000-0005-0000-0000-00008B560000}"/>
    <cellStyle name="Normal 31 2 9 2 2" xfId="32173" xr:uid="{00000000-0005-0000-0000-00008C560000}"/>
    <cellStyle name="Normal 31 2 9 3" xfId="23083" xr:uid="{00000000-0005-0000-0000-00008D560000}"/>
    <cellStyle name="Normal 31 3" xfId="172" xr:uid="{00000000-0005-0000-0000-00008E560000}"/>
    <cellStyle name="Normal 31 3 10" xfId="18551" xr:uid="{00000000-0005-0000-0000-00008F560000}"/>
    <cellStyle name="Normal 31 3 2" xfId="1190" xr:uid="{00000000-0005-0000-0000-000090560000}"/>
    <cellStyle name="Normal 31 3 2 2" xfId="1191" xr:uid="{00000000-0005-0000-0000-000091560000}"/>
    <cellStyle name="Normal 31 3 2 2 2" xfId="1192" xr:uid="{00000000-0005-0000-0000-000092560000}"/>
    <cellStyle name="Normal 31 3 2 2 2 2" xfId="2608" xr:uid="{00000000-0005-0000-0000-000093560000}"/>
    <cellStyle name="Normal 31 3 2 2 2 2 2" xfId="7193" xr:uid="{00000000-0005-0000-0000-000094560000}"/>
    <cellStyle name="Normal 31 3 2 2 2 2 2 2" xfId="16293" xr:uid="{00000000-0005-0000-0000-000095560000}"/>
    <cellStyle name="Normal 31 3 2 2 2 2 2 2 2" xfId="34475" xr:uid="{00000000-0005-0000-0000-000096560000}"/>
    <cellStyle name="Normal 31 3 2 2 2 2 2 3" xfId="25385" xr:uid="{00000000-0005-0000-0000-000097560000}"/>
    <cellStyle name="Normal 31 3 2 2 2 2 3" xfId="11757" xr:uid="{00000000-0005-0000-0000-000098560000}"/>
    <cellStyle name="Normal 31 3 2 2 2 2 3 2" xfId="29939" xr:uid="{00000000-0005-0000-0000-000099560000}"/>
    <cellStyle name="Normal 31 3 2 2 2 2 4" xfId="20849" xr:uid="{00000000-0005-0000-0000-00009A560000}"/>
    <cellStyle name="Normal 31 3 2 2 2 3" xfId="4194" xr:uid="{00000000-0005-0000-0000-00009B560000}"/>
    <cellStyle name="Normal 31 3 2 2 2 3 2" xfId="8750" xr:uid="{00000000-0005-0000-0000-00009C560000}"/>
    <cellStyle name="Normal 31 3 2 2 2 3 2 2" xfId="17846" xr:uid="{00000000-0005-0000-0000-00009D560000}"/>
    <cellStyle name="Normal 31 3 2 2 2 3 2 2 2" xfId="36028" xr:uid="{00000000-0005-0000-0000-00009E560000}"/>
    <cellStyle name="Normal 31 3 2 2 2 3 2 3" xfId="26938" xr:uid="{00000000-0005-0000-0000-00009F560000}"/>
    <cellStyle name="Normal 31 3 2 2 2 3 3" xfId="13306" xr:uid="{00000000-0005-0000-0000-0000A0560000}"/>
    <cellStyle name="Normal 31 3 2 2 2 3 3 2" xfId="31488" xr:uid="{00000000-0005-0000-0000-0000A1560000}"/>
    <cellStyle name="Normal 31 3 2 2 2 3 4" xfId="22398" xr:uid="{00000000-0005-0000-0000-0000A2560000}"/>
    <cellStyle name="Normal 31 3 2 2 2 4" xfId="5833" xr:uid="{00000000-0005-0000-0000-0000A3560000}"/>
    <cellStyle name="Normal 31 3 2 2 2 4 2" xfId="14933" xr:uid="{00000000-0005-0000-0000-0000A4560000}"/>
    <cellStyle name="Normal 31 3 2 2 2 4 2 2" xfId="33115" xr:uid="{00000000-0005-0000-0000-0000A5560000}"/>
    <cellStyle name="Normal 31 3 2 2 2 4 3" xfId="24025" xr:uid="{00000000-0005-0000-0000-0000A6560000}"/>
    <cellStyle name="Normal 31 3 2 2 2 5" xfId="10399" xr:uid="{00000000-0005-0000-0000-0000A7560000}"/>
    <cellStyle name="Normal 31 3 2 2 2 5 2" xfId="28581" xr:uid="{00000000-0005-0000-0000-0000A8560000}"/>
    <cellStyle name="Normal 31 3 2 2 2 6" xfId="19490" xr:uid="{00000000-0005-0000-0000-0000A9560000}"/>
    <cellStyle name="Normal 31 3 2 2 3" xfId="2609" xr:uid="{00000000-0005-0000-0000-0000AA560000}"/>
    <cellStyle name="Normal 31 3 2 2 3 2" xfId="7194" xr:uid="{00000000-0005-0000-0000-0000AB560000}"/>
    <cellStyle name="Normal 31 3 2 2 3 2 2" xfId="16294" xr:uid="{00000000-0005-0000-0000-0000AC560000}"/>
    <cellStyle name="Normal 31 3 2 2 3 2 2 2" xfId="34476" xr:uid="{00000000-0005-0000-0000-0000AD560000}"/>
    <cellStyle name="Normal 31 3 2 2 3 2 3" xfId="25386" xr:uid="{00000000-0005-0000-0000-0000AE560000}"/>
    <cellStyle name="Normal 31 3 2 2 3 3" xfId="11758" xr:uid="{00000000-0005-0000-0000-0000AF560000}"/>
    <cellStyle name="Normal 31 3 2 2 3 3 2" xfId="29940" xr:uid="{00000000-0005-0000-0000-0000B0560000}"/>
    <cellStyle name="Normal 31 3 2 2 3 4" xfId="20850" xr:uid="{00000000-0005-0000-0000-0000B1560000}"/>
    <cellStyle name="Normal 31 3 2 2 4" xfId="4193" xr:uid="{00000000-0005-0000-0000-0000B2560000}"/>
    <cellStyle name="Normal 31 3 2 2 4 2" xfId="8749" xr:uid="{00000000-0005-0000-0000-0000B3560000}"/>
    <cellStyle name="Normal 31 3 2 2 4 2 2" xfId="17845" xr:uid="{00000000-0005-0000-0000-0000B4560000}"/>
    <cellStyle name="Normal 31 3 2 2 4 2 2 2" xfId="36027" xr:uid="{00000000-0005-0000-0000-0000B5560000}"/>
    <cellStyle name="Normal 31 3 2 2 4 2 3" xfId="26937" xr:uid="{00000000-0005-0000-0000-0000B6560000}"/>
    <cellStyle name="Normal 31 3 2 2 4 3" xfId="13305" xr:uid="{00000000-0005-0000-0000-0000B7560000}"/>
    <cellStyle name="Normal 31 3 2 2 4 3 2" xfId="31487" xr:uid="{00000000-0005-0000-0000-0000B8560000}"/>
    <cellStyle name="Normal 31 3 2 2 4 4" xfId="22397" xr:uid="{00000000-0005-0000-0000-0000B9560000}"/>
    <cellStyle name="Normal 31 3 2 2 5" xfId="5832" xr:uid="{00000000-0005-0000-0000-0000BA560000}"/>
    <cellStyle name="Normal 31 3 2 2 5 2" xfId="14932" xr:uid="{00000000-0005-0000-0000-0000BB560000}"/>
    <cellStyle name="Normal 31 3 2 2 5 2 2" xfId="33114" xr:uid="{00000000-0005-0000-0000-0000BC560000}"/>
    <cellStyle name="Normal 31 3 2 2 5 3" xfId="24024" xr:uid="{00000000-0005-0000-0000-0000BD560000}"/>
    <cellStyle name="Normal 31 3 2 2 6" xfId="10398" xr:uid="{00000000-0005-0000-0000-0000BE560000}"/>
    <cellStyle name="Normal 31 3 2 2 6 2" xfId="28580" xr:uid="{00000000-0005-0000-0000-0000BF560000}"/>
    <cellStyle name="Normal 31 3 2 2 7" xfId="19489" xr:uid="{00000000-0005-0000-0000-0000C0560000}"/>
    <cellStyle name="Normal 31 3 2 3" xfId="1193" xr:uid="{00000000-0005-0000-0000-0000C1560000}"/>
    <cellStyle name="Normal 31 3 2 3 2" xfId="2610" xr:uid="{00000000-0005-0000-0000-0000C2560000}"/>
    <cellStyle name="Normal 31 3 2 3 2 2" xfId="7195" xr:uid="{00000000-0005-0000-0000-0000C3560000}"/>
    <cellStyle name="Normal 31 3 2 3 2 2 2" xfId="16295" xr:uid="{00000000-0005-0000-0000-0000C4560000}"/>
    <cellStyle name="Normal 31 3 2 3 2 2 2 2" xfId="34477" xr:uid="{00000000-0005-0000-0000-0000C5560000}"/>
    <cellStyle name="Normal 31 3 2 3 2 2 3" xfId="25387" xr:uid="{00000000-0005-0000-0000-0000C6560000}"/>
    <cellStyle name="Normal 31 3 2 3 2 3" xfId="11759" xr:uid="{00000000-0005-0000-0000-0000C7560000}"/>
    <cellStyle name="Normal 31 3 2 3 2 3 2" xfId="29941" xr:uid="{00000000-0005-0000-0000-0000C8560000}"/>
    <cellStyle name="Normal 31 3 2 3 2 4" xfId="20851" xr:uid="{00000000-0005-0000-0000-0000C9560000}"/>
    <cellStyle name="Normal 31 3 2 3 3" xfId="4195" xr:uid="{00000000-0005-0000-0000-0000CA560000}"/>
    <cellStyle name="Normal 31 3 2 3 3 2" xfId="8751" xr:uid="{00000000-0005-0000-0000-0000CB560000}"/>
    <cellStyle name="Normal 31 3 2 3 3 2 2" xfId="17847" xr:uid="{00000000-0005-0000-0000-0000CC560000}"/>
    <cellStyle name="Normal 31 3 2 3 3 2 2 2" xfId="36029" xr:uid="{00000000-0005-0000-0000-0000CD560000}"/>
    <cellStyle name="Normal 31 3 2 3 3 2 3" xfId="26939" xr:uid="{00000000-0005-0000-0000-0000CE560000}"/>
    <cellStyle name="Normal 31 3 2 3 3 3" xfId="13307" xr:uid="{00000000-0005-0000-0000-0000CF560000}"/>
    <cellStyle name="Normal 31 3 2 3 3 3 2" xfId="31489" xr:uid="{00000000-0005-0000-0000-0000D0560000}"/>
    <cellStyle name="Normal 31 3 2 3 3 4" xfId="22399" xr:uid="{00000000-0005-0000-0000-0000D1560000}"/>
    <cellStyle name="Normal 31 3 2 3 4" xfId="5834" xr:uid="{00000000-0005-0000-0000-0000D2560000}"/>
    <cellStyle name="Normal 31 3 2 3 4 2" xfId="14934" xr:uid="{00000000-0005-0000-0000-0000D3560000}"/>
    <cellStyle name="Normal 31 3 2 3 4 2 2" xfId="33116" xr:uid="{00000000-0005-0000-0000-0000D4560000}"/>
    <cellStyle name="Normal 31 3 2 3 4 3" xfId="24026" xr:uid="{00000000-0005-0000-0000-0000D5560000}"/>
    <cellStyle name="Normal 31 3 2 3 5" xfId="10400" xr:uid="{00000000-0005-0000-0000-0000D6560000}"/>
    <cellStyle name="Normal 31 3 2 3 5 2" xfId="28582" xr:uid="{00000000-0005-0000-0000-0000D7560000}"/>
    <cellStyle name="Normal 31 3 2 3 6" xfId="19491" xr:uid="{00000000-0005-0000-0000-0000D8560000}"/>
    <cellStyle name="Normal 31 3 2 4" xfId="1194" xr:uid="{00000000-0005-0000-0000-0000D9560000}"/>
    <cellStyle name="Normal 31 3 2 4 2" xfId="4196" xr:uid="{00000000-0005-0000-0000-0000DA560000}"/>
    <cellStyle name="Normal 31 3 2 4 2 2" xfId="8752" xr:uid="{00000000-0005-0000-0000-0000DB560000}"/>
    <cellStyle name="Normal 31 3 2 4 2 2 2" xfId="17848" xr:uid="{00000000-0005-0000-0000-0000DC560000}"/>
    <cellStyle name="Normal 31 3 2 4 2 2 2 2" xfId="36030" xr:uid="{00000000-0005-0000-0000-0000DD560000}"/>
    <cellStyle name="Normal 31 3 2 4 2 2 3" xfId="26940" xr:uid="{00000000-0005-0000-0000-0000DE560000}"/>
    <cellStyle name="Normal 31 3 2 4 2 3" xfId="13308" xr:uid="{00000000-0005-0000-0000-0000DF560000}"/>
    <cellStyle name="Normal 31 3 2 4 2 3 2" xfId="31490" xr:uid="{00000000-0005-0000-0000-0000E0560000}"/>
    <cellStyle name="Normal 31 3 2 4 2 4" xfId="22400" xr:uid="{00000000-0005-0000-0000-0000E1560000}"/>
    <cellStyle name="Normal 31 3 2 4 3" xfId="5835" xr:uid="{00000000-0005-0000-0000-0000E2560000}"/>
    <cellStyle name="Normal 31 3 2 4 3 2" xfId="14935" xr:uid="{00000000-0005-0000-0000-0000E3560000}"/>
    <cellStyle name="Normal 31 3 2 4 3 2 2" xfId="33117" xr:uid="{00000000-0005-0000-0000-0000E4560000}"/>
    <cellStyle name="Normal 31 3 2 4 3 3" xfId="24027" xr:uid="{00000000-0005-0000-0000-0000E5560000}"/>
    <cellStyle name="Normal 31 3 2 4 4" xfId="10401" xr:uid="{00000000-0005-0000-0000-0000E6560000}"/>
    <cellStyle name="Normal 31 3 2 4 4 2" xfId="28583" xr:uid="{00000000-0005-0000-0000-0000E7560000}"/>
    <cellStyle name="Normal 31 3 2 4 5" xfId="19492" xr:uid="{00000000-0005-0000-0000-0000E8560000}"/>
    <cellStyle name="Normal 31 3 2 5" xfId="2611" xr:uid="{00000000-0005-0000-0000-0000E9560000}"/>
    <cellStyle name="Normal 31 3 2 5 2" xfId="7196" xr:uid="{00000000-0005-0000-0000-0000EA560000}"/>
    <cellStyle name="Normal 31 3 2 5 2 2" xfId="16296" xr:uid="{00000000-0005-0000-0000-0000EB560000}"/>
    <cellStyle name="Normal 31 3 2 5 2 2 2" xfId="34478" xr:uid="{00000000-0005-0000-0000-0000EC560000}"/>
    <cellStyle name="Normal 31 3 2 5 2 3" xfId="25388" xr:uid="{00000000-0005-0000-0000-0000ED560000}"/>
    <cellStyle name="Normal 31 3 2 5 3" xfId="11760" xr:uid="{00000000-0005-0000-0000-0000EE560000}"/>
    <cellStyle name="Normal 31 3 2 5 3 2" xfId="29942" xr:uid="{00000000-0005-0000-0000-0000EF560000}"/>
    <cellStyle name="Normal 31 3 2 5 4" xfId="20852" xr:uid="{00000000-0005-0000-0000-0000F0560000}"/>
    <cellStyle name="Normal 31 3 2 6" xfId="4192" xr:uid="{00000000-0005-0000-0000-0000F1560000}"/>
    <cellStyle name="Normal 31 3 2 6 2" xfId="8748" xr:uid="{00000000-0005-0000-0000-0000F2560000}"/>
    <cellStyle name="Normal 31 3 2 6 2 2" xfId="17844" xr:uid="{00000000-0005-0000-0000-0000F3560000}"/>
    <cellStyle name="Normal 31 3 2 6 2 2 2" xfId="36026" xr:uid="{00000000-0005-0000-0000-0000F4560000}"/>
    <cellStyle name="Normal 31 3 2 6 2 3" xfId="26936" xr:uid="{00000000-0005-0000-0000-0000F5560000}"/>
    <cellStyle name="Normal 31 3 2 6 3" xfId="13304" xr:uid="{00000000-0005-0000-0000-0000F6560000}"/>
    <cellStyle name="Normal 31 3 2 6 3 2" xfId="31486" xr:uid="{00000000-0005-0000-0000-0000F7560000}"/>
    <cellStyle name="Normal 31 3 2 6 4" xfId="22396" xr:uid="{00000000-0005-0000-0000-0000F8560000}"/>
    <cellStyle name="Normal 31 3 2 7" xfId="5831" xr:uid="{00000000-0005-0000-0000-0000F9560000}"/>
    <cellStyle name="Normal 31 3 2 7 2" xfId="14931" xr:uid="{00000000-0005-0000-0000-0000FA560000}"/>
    <cellStyle name="Normal 31 3 2 7 2 2" xfId="33113" xr:uid="{00000000-0005-0000-0000-0000FB560000}"/>
    <cellStyle name="Normal 31 3 2 7 3" xfId="24023" xr:uid="{00000000-0005-0000-0000-0000FC560000}"/>
    <cellStyle name="Normal 31 3 2 8" xfId="10397" xr:uid="{00000000-0005-0000-0000-0000FD560000}"/>
    <cellStyle name="Normal 31 3 2 8 2" xfId="28579" xr:uid="{00000000-0005-0000-0000-0000FE560000}"/>
    <cellStyle name="Normal 31 3 2 9" xfId="19488" xr:uid="{00000000-0005-0000-0000-0000FF560000}"/>
    <cellStyle name="Normal 31 3 3" xfId="1195" xr:uid="{00000000-0005-0000-0000-000000570000}"/>
    <cellStyle name="Normal 31 3 3 2" xfId="1196" xr:uid="{00000000-0005-0000-0000-000001570000}"/>
    <cellStyle name="Normal 31 3 3 2 2" xfId="2612" xr:uid="{00000000-0005-0000-0000-000002570000}"/>
    <cellStyle name="Normal 31 3 3 2 2 2" xfId="7197" xr:uid="{00000000-0005-0000-0000-000003570000}"/>
    <cellStyle name="Normal 31 3 3 2 2 2 2" xfId="16297" xr:uid="{00000000-0005-0000-0000-000004570000}"/>
    <cellStyle name="Normal 31 3 3 2 2 2 2 2" xfId="34479" xr:uid="{00000000-0005-0000-0000-000005570000}"/>
    <cellStyle name="Normal 31 3 3 2 2 2 3" xfId="25389" xr:uid="{00000000-0005-0000-0000-000006570000}"/>
    <cellStyle name="Normal 31 3 3 2 2 3" xfId="11761" xr:uid="{00000000-0005-0000-0000-000007570000}"/>
    <cellStyle name="Normal 31 3 3 2 2 3 2" xfId="29943" xr:uid="{00000000-0005-0000-0000-000008570000}"/>
    <cellStyle name="Normal 31 3 3 2 2 4" xfId="20853" xr:uid="{00000000-0005-0000-0000-000009570000}"/>
    <cellStyle name="Normal 31 3 3 2 3" xfId="4198" xr:uid="{00000000-0005-0000-0000-00000A570000}"/>
    <cellStyle name="Normal 31 3 3 2 3 2" xfId="8754" xr:uid="{00000000-0005-0000-0000-00000B570000}"/>
    <cellStyle name="Normal 31 3 3 2 3 2 2" xfId="17850" xr:uid="{00000000-0005-0000-0000-00000C570000}"/>
    <cellStyle name="Normal 31 3 3 2 3 2 2 2" xfId="36032" xr:uid="{00000000-0005-0000-0000-00000D570000}"/>
    <cellStyle name="Normal 31 3 3 2 3 2 3" xfId="26942" xr:uid="{00000000-0005-0000-0000-00000E570000}"/>
    <cellStyle name="Normal 31 3 3 2 3 3" xfId="13310" xr:uid="{00000000-0005-0000-0000-00000F570000}"/>
    <cellStyle name="Normal 31 3 3 2 3 3 2" xfId="31492" xr:uid="{00000000-0005-0000-0000-000010570000}"/>
    <cellStyle name="Normal 31 3 3 2 3 4" xfId="22402" xr:uid="{00000000-0005-0000-0000-000011570000}"/>
    <cellStyle name="Normal 31 3 3 2 4" xfId="5837" xr:uid="{00000000-0005-0000-0000-000012570000}"/>
    <cellStyle name="Normal 31 3 3 2 4 2" xfId="14937" xr:uid="{00000000-0005-0000-0000-000013570000}"/>
    <cellStyle name="Normal 31 3 3 2 4 2 2" xfId="33119" xr:uid="{00000000-0005-0000-0000-000014570000}"/>
    <cellStyle name="Normal 31 3 3 2 4 3" xfId="24029" xr:uid="{00000000-0005-0000-0000-000015570000}"/>
    <cellStyle name="Normal 31 3 3 2 5" xfId="10403" xr:uid="{00000000-0005-0000-0000-000016570000}"/>
    <cellStyle name="Normal 31 3 3 2 5 2" xfId="28585" xr:uid="{00000000-0005-0000-0000-000017570000}"/>
    <cellStyle name="Normal 31 3 3 2 6" xfId="19494" xr:uid="{00000000-0005-0000-0000-000018570000}"/>
    <cellStyle name="Normal 31 3 3 3" xfId="2613" xr:uid="{00000000-0005-0000-0000-000019570000}"/>
    <cellStyle name="Normal 31 3 3 3 2" xfId="7198" xr:uid="{00000000-0005-0000-0000-00001A570000}"/>
    <cellStyle name="Normal 31 3 3 3 2 2" xfId="16298" xr:uid="{00000000-0005-0000-0000-00001B570000}"/>
    <cellStyle name="Normal 31 3 3 3 2 2 2" xfId="34480" xr:uid="{00000000-0005-0000-0000-00001C570000}"/>
    <cellStyle name="Normal 31 3 3 3 2 3" xfId="25390" xr:uid="{00000000-0005-0000-0000-00001D570000}"/>
    <cellStyle name="Normal 31 3 3 3 3" xfId="11762" xr:uid="{00000000-0005-0000-0000-00001E570000}"/>
    <cellStyle name="Normal 31 3 3 3 3 2" xfId="29944" xr:uid="{00000000-0005-0000-0000-00001F570000}"/>
    <cellStyle name="Normal 31 3 3 3 4" xfId="20854" xr:uid="{00000000-0005-0000-0000-000020570000}"/>
    <cellStyle name="Normal 31 3 3 4" xfId="4197" xr:uid="{00000000-0005-0000-0000-000021570000}"/>
    <cellStyle name="Normal 31 3 3 4 2" xfId="8753" xr:uid="{00000000-0005-0000-0000-000022570000}"/>
    <cellStyle name="Normal 31 3 3 4 2 2" xfId="17849" xr:uid="{00000000-0005-0000-0000-000023570000}"/>
    <cellStyle name="Normal 31 3 3 4 2 2 2" xfId="36031" xr:uid="{00000000-0005-0000-0000-000024570000}"/>
    <cellStyle name="Normal 31 3 3 4 2 3" xfId="26941" xr:uid="{00000000-0005-0000-0000-000025570000}"/>
    <cellStyle name="Normal 31 3 3 4 3" xfId="13309" xr:uid="{00000000-0005-0000-0000-000026570000}"/>
    <cellStyle name="Normal 31 3 3 4 3 2" xfId="31491" xr:uid="{00000000-0005-0000-0000-000027570000}"/>
    <cellStyle name="Normal 31 3 3 4 4" xfId="22401" xr:uid="{00000000-0005-0000-0000-000028570000}"/>
    <cellStyle name="Normal 31 3 3 5" xfId="5836" xr:uid="{00000000-0005-0000-0000-000029570000}"/>
    <cellStyle name="Normal 31 3 3 5 2" xfId="14936" xr:uid="{00000000-0005-0000-0000-00002A570000}"/>
    <cellStyle name="Normal 31 3 3 5 2 2" xfId="33118" xr:uid="{00000000-0005-0000-0000-00002B570000}"/>
    <cellStyle name="Normal 31 3 3 5 3" xfId="24028" xr:uid="{00000000-0005-0000-0000-00002C570000}"/>
    <cellStyle name="Normal 31 3 3 6" xfId="10402" xr:uid="{00000000-0005-0000-0000-00002D570000}"/>
    <cellStyle name="Normal 31 3 3 6 2" xfId="28584" xr:uid="{00000000-0005-0000-0000-00002E570000}"/>
    <cellStyle name="Normal 31 3 3 7" xfId="19493" xr:uid="{00000000-0005-0000-0000-00002F570000}"/>
    <cellStyle name="Normal 31 3 4" xfId="1197" xr:uid="{00000000-0005-0000-0000-000030570000}"/>
    <cellStyle name="Normal 31 3 4 2" xfId="2614" xr:uid="{00000000-0005-0000-0000-000031570000}"/>
    <cellStyle name="Normal 31 3 4 2 2" xfId="7199" xr:uid="{00000000-0005-0000-0000-000032570000}"/>
    <cellStyle name="Normal 31 3 4 2 2 2" xfId="16299" xr:uid="{00000000-0005-0000-0000-000033570000}"/>
    <cellStyle name="Normal 31 3 4 2 2 2 2" xfId="34481" xr:uid="{00000000-0005-0000-0000-000034570000}"/>
    <cellStyle name="Normal 31 3 4 2 2 3" xfId="25391" xr:uid="{00000000-0005-0000-0000-000035570000}"/>
    <cellStyle name="Normal 31 3 4 2 3" xfId="11763" xr:uid="{00000000-0005-0000-0000-000036570000}"/>
    <cellStyle name="Normal 31 3 4 2 3 2" xfId="29945" xr:uid="{00000000-0005-0000-0000-000037570000}"/>
    <cellStyle name="Normal 31 3 4 2 4" xfId="20855" xr:uid="{00000000-0005-0000-0000-000038570000}"/>
    <cellStyle name="Normal 31 3 4 3" xfId="4199" xr:uid="{00000000-0005-0000-0000-000039570000}"/>
    <cellStyle name="Normal 31 3 4 3 2" xfId="8755" xr:uid="{00000000-0005-0000-0000-00003A570000}"/>
    <cellStyle name="Normal 31 3 4 3 2 2" xfId="17851" xr:uid="{00000000-0005-0000-0000-00003B570000}"/>
    <cellStyle name="Normal 31 3 4 3 2 2 2" xfId="36033" xr:uid="{00000000-0005-0000-0000-00003C570000}"/>
    <cellStyle name="Normal 31 3 4 3 2 3" xfId="26943" xr:uid="{00000000-0005-0000-0000-00003D570000}"/>
    <cellStyle name="Normal 31 3 4 3 3" xfId="13311" xr:uid="{00000000-0005-0000-0000-00003E570000}"/>
    <cellStyle name="Normal 31 3 4 3 3 2" xfId="31493" xr:uid="{00000000-0005-0000-0000-00003F570000}"/>
    <cellStyle name="Normal 31 3 4 3 4" xfId="22403" xr:uid="{00000000-0005-0000-0000-000040570000}"/>
    <cellStyle name="Normal 31 3 4 4" xfId="5838" xr:uid="{00000000-0005-0000-0000-000041570000}"/>
    <cellStyle name="Normal 31 3 4 4 2" xfId="14938" xr:uid="{00000000-0005-0000-0000-000042570000}"/>
    <cellStyle name="Normal 31 3 4 4 2 2" xfId="33120" xr:uid="{00000000-0005-0000-0000-000043570000}"/>
    <cellStyle name="Normal 31 3 4 4 3" xfId="24030" xr:uid="{00000000-0005-0000-0000-000044570000}"/>
    <cellStyle name="Normal 31 3 4 5" xfId="10404" xr:uid="{00000000-0005-0000-0000-000045570000}"/>
    <cellStyle name="Normal 31 3 4 5 2" xfId="28586" xr:uid="{00000000-0005-0000-0000-000046570000}"/>
    <cellStyle name="Normal 31 3 4 6" xfId="19495" xr:uid="{00000000-0005-0000-0000-000047570000}"/>
    <cellStyle name="Normal 31 3 5" xfId="1198" xr:uid="{00000000-0005-0000-0000-000048570000}"/>
    <cellStyle name="Normal 31 3 5 2" xfId="4200" xr:uid="{00000000-0005-0000-0000-000049570000}"/>
    <cellStyle name="Normal 31 3 5 2 2" xfId="8756" xr:uid="{00000000-0005-0000-0000-00004A570000}"/>
    <cellStyle name="Normal 31 3 5 2 2 2" xfId="17852" xr:uid="{00000000-0005-0000-0000-00004B570000}"/>
    <cellStyle name="Normal 31 3 5 2 2 2 2" xfId="36034" xr:uid="{00000000-0005-0000-0000-00004C570000}"/>
    <cellStyle name="Normal 31 3 5 2 2 3" xfId="26944" xr:uid="{00000000-0005-0000-0000-00004D570000}"/>
    <cellStyle name="Normal 31 3 5 2 3" xfId="13312" xr:uid="{00000000-0005-0000-0000-00004E570000}"/>
    <cellStyle name="Normal 31 3 5 2 3 2" xfId="31494" xr:uid="{00000000-0005-0000-0000-00004F570000}"/>
    <cellStyle name="Normal 31 3 5 2 4" xfId="22404" xr:uid="{00000000-0005-0000-0000-000050570000}"/>
    <cellStyle name="Normal 31 3 5 3" xfId="5839" xr:uid="{00000000-0005-0000-0000-000051570000}"/>
    <cellStyle name="Normal 31 3 5 3 2" xfId="14939" xr:uid="{00000000-0005-0000-0000-000052570000}"/>
    <cellStyle name="Normal 31 3 5 3 2 2" xfId="33121" xr:uid="{00000000-0005-0000-0000-000053570000}"/>
    <cellStyle name="Normal 31 3 5 3 3" xfId="24031" xr:uid="{00000000-0005-0000-0000-000054570000}"/>
    <cellStyle name="Normal 31 3 5 4" xfId="10405" xr:uid="{00000000-0005-0000-0000-000055570000}"/>
    <cellStyle name="Normal 31 3 5 4 2" xfId="28587" xr:uid="{00000000-0005-0000-0000-000056570000}"/>
    <cellStyle name="Normal 31 3 5 5" xfId="19496" xr:uid="{00000000-0005-0000-0000-000057570000}"/>
    <cellStyle name="Normal 31 3 6" xfId="2615" xr:uid="{00000000-0005-0000-0000-000058570000}"/>
    <cellStyle name="Normal 31 3 6 2" xfId="7200" xr:uid="{00000000-0005-0000-0000-000059570000}"/>
    <cellStyle name="Normal 31 3 6 2 2" xfId="16300" xr:uid="{00000000-0005-0000-0000-00005A570000}"/>
    <cellStyle name="Normal 31 3 6 2 2 2" xfId="34482" xr:uid="{00000000-0005-0000-0000-00005B570000}"/>
    <cellStyle name="Normal 31 3 6 2 3" xfId="25392" xr:uid="{00000000-0005-0000-0000-00005C570000}"/>
    <cellStyle name="Normal 31 3 6 3" xfId="11764" xr:uid="{00000000-0005-0000-0000-00005D570000}"/>
    <cellStyle name="Normal 31 3 6 3 2" xfId="29946" xr:uid="{00000000-0005-0000-0000-00005E570000}"/>
    <cellStyle name="Normal 31 3 6 4" xfId="20856" xr:uid="{00000000-0005-0000-0000-00005F570000}"/>
    <cellStyle name="Normal 31 3 7" xfId="3247" xr:uid="{00000000-0005-0000-0000-000060570000}"/>
    <cellStyle name="Normal 31 3 7 2" xfId="7807" xr:uid="{00000000-0005-0000-0000-000061570000}"/>
    <cellStyle name="Normal 31 3 7 2 2" xfId="16903" xr:uid="{00000000-0005-0000-0000-000062570000}"/>
    <cellStyle name="Normal 31 3 7 2 2 2" xfId="35085" xr:uid="{00000000-0005-0000-0000-000063570000}"/>
    <cellStyle name="Normal 31 3 7 2 3" xfId="25995" xr:uid="{00000000-0005-0000-0000-000064570000}"/>
    <cellStyle name="Normal 31 3 7 3" xfId="12363" xr:uid="{00000000-0005-0000-0000-000065570000}"/>
    <cellStyle name="Normal 31 3 7 3 2" xfId="30545" xr:uid="{00000000-0005-0000-0000-000066570000}"/>
    <cellStyle name="Normal 31 3 7 4" xfId="21455" xr:uid="{00000000-0005-0000-0000-000067570000}"/>
    <cellStyle name="Normal 31 3 8" xfId="4894" xr:uid="{00000000-0005-0000-0000-000068570000}"/>
    <cellStyle name="Normal 31 3 8 2" xfId="13994" xr:uid="{00000000-0005-0000-0000-000069570000}"/>
    <cellStyle name="Normal 31 3 8 2 2" xfId="32176" xr:uid="{00000000-0005-0000-0000-00006A570000}"/>
    <cellStyle name="Normal 31 3 8 3" xfId="23086" xr:uid="{00000000-0005-0000-0000-00006B570000}"/>
    <cellStyle name="Normal 31 3 9" xfId="9460" xr:uid="{00000000-0005-0000-0000-00006C570000}"/>
    <cellStyle name="Normal 31 3 9 2" xfId="27642" xr:uid="{00000000-0005-0000-0000-00006D570000}"/>
    <cellStyle name="Normal 31 4" xfId="174" xr:uid="{00000000-0005-0000-0000-00006E570000}"/>
    <cellStyle name="Normal 31 4 10" xfId="18553" xr:uid="{00000000-0005-0000-0000-00006F570000}"/>
    <cellStyle name="Normal 31 4 2" xfId="1199" xr:uid="{00000000-0005-0000-0000-000070570000}"/>
    <cellStyle name="Normal 31 4 2 2" xfId="1200" xr:uid="{00000000-0005-0000-0000-000071570000}"/>
    <cellStyle name="Normal 31 4 2 2 2" xfId="1201" xr:uid="{00000000-0005-0000-0000-000072570000}"/>
    <cellStyle name="Normal 31 4 2 2 2 2" xfId="2616" xr:uid="{00000000-0005-0000-0000-000073570000}"/>
    <cellStyle name="Normal 31 4 2 2 2 2 2" xfId="7201" xr:uid="{00000000-0005-0000-0000-000074570000}"/>
    <cellStyle name="Normal 31 4 2 2 2 2 2 2" xfId="16301" xr:uid="{00000000-0005-0000-0000-000075570000}"/>
    <cellStyle name="Normal 31 4 2 2 2 2 2 2 2" xfId="34483" xr:uid="{00000000-0005-0000-0000-000076570000}"/>
    <cellStyle name="Normal 31 4 2 2 2 2 2 3" xfId="25393" xr:uid="{00000000-0005-0000-0000-000077570000}"/>
    <cellStyle name="Normal 31 4 2 2 2 2 3" xfId="11765" xr:uid="{00000000-0005-0000-0000-000078570000}"/>
    <cellStyle name="Normal 31 4 2 2 2 2 3 2" xfId="29947" xr:uid="{00000000-0005-0000-0000-000079570000}"/>
    <cellStyle name="Normal 31 4 2 2 2 2 4" xfId="20857" xr:uid="{00000000-0005-0000-0000-00007A570000}"/>
    <cellStyle name="Normal 31 4 2 2 2 3" xfId="4203" xr:uid="{00000000-0005-0000-0000-00007B570000}"/>
    <cellStyle name="Normal 31 4 2 2 2 3 2" xfId="8759" xr:uid="{00000000-0005-0000-0000-00007C570000}"/>
    <cellStyle name="Normal 31 4 2 2 2 3 2 2" xfId="17855" xr:uid="{00000000-0005-0000-0000-00007D570000}"/>
    <cellStyle name="Normal 31 4 2 2 2 3 2 2 2" xfId="36037" xr:uid="{00000000-0005-0000-0000-00007E570000}"/>
    <cellStyle name="Normal 31 4 2 2 2 3 2 3" xfId="26947" xr:uid="{00000000-0005-0000-0000-00007F570000}"/>
    <cellStyle name="Normal 31 4 2 2 2 3 3" xfId="13315" xr:uid="{00000000-0005-0000-0000-000080570000}"/>
    <cellStyle name="Normal 31 4 2 2 2 3 3 2" xfId="31497" xr:uid="{00000000-0005-0000-0000-000081570000}"/>
    <cellStyle name="Normal 31 4 2 2 2 3 4" xfId="22407" xr:uid="{00000000-0005-0000-0000-000082570000}"/>
    <cellStyle name="Normal 31 4 2 2 2 4" xfId="5842" xr:uid="{00000000-0005-0000-0000-000083570000}"/>
    <cellStyle name="Normal 31 4 2 2 2 4 2" xfId="14942" xr:uid="{00000000-0005-0000-0000-000084570000}"/>
    <cellStyle name="Normal 31 4 2 2 2 4 2 2" xfId="33124" xr:uid="{00000000-0005-0000-0000-000085570000}"/>
    <cellStyle name="Normal 31 4 2 2 2 4 3" xfId="24034" xr:uid="{00000000-0005-0000-0000-000086570000}"/>
    <cellStyle name="Normal 31 4 2 2 2 5" xfId="10408" xr:uid="{00000000-0005-0000-0000-000087570000}"/>
    <cellStyle name="Normal 31 4 2 2 2 5 2" xfId="28590" xr:uid="{00000000-0005-0000-0000-000088570000}"/>
    <cellStyle name="Normal 31 4 2 2 2 6" xfId="19499" xr:uid="{00000000-0005-0000-0000-000089570000}"/>
    <cellStyle name="Normal 31 4 2 2 3" xfId="2617" xr:uid="{00000000-0005-0000-0000-00008A570000}"/>
    <cellStyle name="Normal 31 4 2 2 3 2" xfId="7202" xr:uid="{00000000-0005-0000-0000-00008B570000}"/>
    <cellStyle name="Normal 31 4 2 2 3 2 2" xfId="16302" xr:uid="{00000000-0005-0000-0000-00008C570000}"/>
    <cellStyle name="Normal 31 4 2 2 3 2 2 2" xfId="34484" xr:uid="{00000000-0005-0000-0000-00008D570000}"/>
    <cellStyle name="Normal 31 4 2 2 3 2 3" xfId="25394" xr:uid="{00000000-0005-0000-0000-00008E570000}"/>
    <cellStyle name="Normal 31 4 2 2 3 3" xfId="11766" xr:uid="{00000000-0005-0000-0000-00008F570000}"/>
    <cellStyle name="Normal 31 4 2 2 3 3 2" xfId="29948" xr:uid="{00000000-0005-0000-0000-000090570000}"/>
    <cellStyle name="Normal 31 4 2 2 3 4" xfId="20858" xr:uid="{00000000-0005-0000-0000-000091570000}"/>
    <cellStyle name="Normal 31 4 2 2 4" xfId="4202" xr:uid="{00000000-0005-0000-0000-000092570000}"/>
    <cellStyle name="Normal 31 4 2 2 4 2" xfId="8758" xr:uid="{00000000-0005-0000-0000-000093570000}"/>
    <cellStyle name="Normal 31 4 2 2 4 2 2" xfId="17854" xr:uid="{00000000-0005-0000-0000-000094570000}"/>
    <cellStyle name="Normal 31 4 2 2 4 2 2 2" xfId="36036" xr:uid="{00000000-0005-0000-0000-000095570000}"/>
    <cellStyle name="Normal 31 4 2 2 4 2 3" xfId="26946" xr:uid="{00000000-0005-0000-0000-000096570000}"/>
    <cellStyle name="Normal 31 4 2 2 4 3" xfId="13314" xr:uid="{00000000-0005-0000-0000-000097570000}"/>
    <cellStyle name="Normal 31 4 2 2 4 3 2" xfId="31496" xr:uid="{00000000-0005-0000-0000-000098570000}"/>
    <cellStyle name="Normal 31 4 2 2 4 4" xfId="22406" xr:uid="{00000000-0005-0000-0000-000099570000}"/>
    <cellStyle name="Normal 31 4 2 2 5" xfId="5841" xr:uid="{00000000-0005-0000-0000-00009A570000}"/>
    <cellStyle name="Normal 31 4 2 2 5 2" xfId="14941" xr:uid="{00000000-0005-0000-0000-00009B570000}"/>
    <cellStyle name="Normal 31 4 2 2 5 2 2" xfId="33123" xr:uid="{00000000-0005-0000-0000-00009C570000}"/>
    <cellStyle name="Normal 31 4 2 2 5 3" xfId="24033" xr:uid="{00000000-0005-0000-0000-00009D570000}"/>
    <cellStyle name="Normal 31 4 2 2 6" xfId="10407" xr:uid="{00000000-0005-0000-0000-00009E570000}"/>
    <cellStyle name="Normal 31 4 2 2 6 2" xfId="28589" xr:uid="{00000000-0005-0000-0000-00009F570000}"/>
    <cellStyle name="Normal 31 4 2 2 7" xfId="19498" xr:uid="{00000000-0005-0000-0000-0000A0570000}"/>
    <cellStyle name="Normal 31 4 2 3" xfId="1202" xr:uid="{00000000-0005-0000-0000-0000A1570000}"/>
    <cellStyle name="Normal 31 4 2 3 2" xfId="2618" xr:uid="{00000000-0005-0000-0000-0000A2570000}"/>
    <cellStyle name="Normal 31 4 2 3 2 2" xfId="7203" xr:uid="{00000000-0005-0000-0000-0000A3570000}"/>
    <cellStyle name="Normal 31 4 2 3 2 2 2" xfId="16303" xr:uid="{00000000-0005-0000-0000-0000A4570000}"/>
    <cellStyle name="Normal 31 4 2 3 2 2 2 2" xfId="34485" xr:uid="{00000000-0005-0000-0000-0000A5570000}"/>
    <cellStyle name="Normal 31 4 2 3 2 2 3" xfId="25395" xr:uid="{00000000-0005-0000-0000-0000A6570000}"/>
    <cellStyle name="Normal 31 4 2 3 2 3" xfId="11767" xr:uid="{00000000-0005-0000-0000-0000A7570000}"/>
    <cellStyle name="Normal 31 4 2 3 2 3 2" xfId="29949" xr:uid="{00000000-0005-0000-0000-0000A8570000}"/>
    <cellStyle name="Normal 31 4 2 3 2 4" xfId="20859" xr:uid="{00000000-0005-0000-0000-0000A9570000}"/>
    <cellStyle name="Normal 31 4 2 3 3" xfId="4204" xr:uid="{00000000-0005-0000-0000-0000AA570000}"/>
    <cellStyle name="Normal 31 4 2 3 3 2" xfId="8760" xr:uid="{00000000-0005-0000-0000-0000AB570000}"/>
    <cellStyle name="Normal 31 4 2 3 3 2 2" xfId="17856" xr:uid="{00000000-0005-0000-0000-0000AC570000}"/>
    <cellStyle name="Normal 31 4 2 3 3 2 2 2" xfId="36038" xr:uid="{00000000-0005-0000-0000-0000AD570000}"/>
    <cellStyle name="Normal 31 4 2 3 3 2 3" xfId="26948" xr:uid="{00000000-0005-0000-0000-0000AE570000}"/>
    <cellStyle name="Normal 31 4 2 3 3 3" xfId="13316" xr:uid="{00000000-0005-0000-0000-0000AF570000}"/>
    <cellStyle name="Normal 31 4 2 3 3 3 2" xfId="31498" xr:uid="{00000000-0005-0000-0000-0000B0570000}"/>
    <cellStyle name="Normal 31 4 2 3 3 4" xfId="22408" xr:uid="{00000000-0005-0000-0000-0000B1570000}"/>
    <cellStyle name="Normal 31 4 2 3 4" xfId="5843" xr:uid="{00000000-0005-0000-0000-0000B2570000}"/>
    <cellStyle name="Normal 31 4 2 3 4 2" xfId="14943" xr:uid="{00000000-0005-0000-0000-0000B3570000}"/>
    <cellStyle name="Normal 31 4 2 3 4 2 2" xfId="33125" xr:uid="{00000000-0005-0000-0000-0000B4570000}"/>
    <cellStyle name="Normal 31 4 2 3 4 3" xfId="24035" xr:uid="{00000000-0005-0000-0000-0000B5570000}"/>
    <cellStyle name="Normal 31 4 2 3 5" xfId="10409" xr:uid="{00000000-0005-0000-0000-0000B6570000}"/>
    <cellStyle name="Normal 31 4 2 3 5 2" xfId="28591" xr:uid="{00000000-0005-0000-0000-0000B7570000}"/>
    <cellStyle name="Normal 31 4 2 3 6" xfId="19500" xr:uid="{00000000-0005-0000-0000-0000B8570000}"/>
    <cellStyle name="Normal 31 4 2 4" xfId="1203" xr:uid="{00000000-0005-0000-0000-0000B9570000}"/>
    <cellStyle name="Normal 31 4 2 4 2" xfId="4205" xr:uid="{00000000-0005-0000-0000-0000BA570000}"/>
    <cellStyle name="Normal 31 4 2 4 2 2" xfId="8761" xr:uid="{00000000-0005-0000-0000-0000BB570000}"/>
    <cellStyle name="Normal 31 4 2 4 2 2 2" xfId="17857" xr:uid="{00000000-0005-0000-0000-0000BC570000}"/>
    <cellStyle name="Normal 31 4 2 4 2 2 2 2" xfId="36039" xr:uid="{00000000-0005-0000-0000-0000BD570000}"/>
    <cellStyle name="Normal 31 4 2 4 2 2 3" xfId="26949" xr:uid="{00000000-0005-0000-0000-0000BE570000}"/>
    <cellStyle name="Normal 31 4 2 4 2 3" xfId="13317" xr:uid="{00000000-0005-0000-0000-0000BF570000}"/>
    <cellStyle name="Normal 31 4 2 4 2 3 2" xfId="31499" xr:uid="{00000000-0005-0000-0000-0000C0570000}"/>
    <cellStyle name="Normal 31 4 2 4 2 4" xfId="22409" xr:uid="{00000000-0005-0000-0000-0000C1570000}"/>
    <cellStyle name="Normal 31 4 2 4 3" xfId="5844" xr:uid="{00000000-0005-0000-0000-0000C2570000}"/>
    <cellStyle name="Normal 31 4 2 4 3 2" xfId="14944" xr:uid="{00000000-0005-0000-0000-0000C3570000}"/>
    <cellStyle name="Normal 31 4 2 4 3 2 2" xfId="33126" xr:uid="{00000000-0005-0000-0000-0000C4570000}"/>
    <cellStyle name="Normal 31 4 2 4 3 3" xfId="24036" xr:uid="{00000000-0005-0000-0000-0000C5570000}"/>
    <cellStyle name="Normal 31 4 2 4 4" xfId="10410" xr:uid="{00000000-0005-0000-0000-0000C6570000}"/>
    <cellStyle name="Normal 31 4 2 4 4 2" xfId="28592" xr:uid="{00000000-0005-0000-0000-0000C7570000}"/>
    <cellStyle name="Normal 31 4 2 4 5" xfId="19501" xr:uid="{00000000-0005-0000-0000-0000C8570000}"/>
    <cellStyle name="Normal 31 4 2 5" xfId="2619" xr:uid="{00000000-0005-0000-0000-0000C9570000}"/>
    <cellStyle name="Normal 31 4 2 5 2" xfId="7204" xr:uid="{00000000-0005-0000-0000-0000CA570000}"/>
    <cellStyle name="Normal 31 4 2 5 2 2" xfId="16304" xr:uid="{00000000-0005-0000-0000-0000CB570000}"/>
    <cellStyle name="Normal 31 4 2 5 2 2 2" xfId="34486" xr:uid="{00000000-0005-0000-0000-0000CC570000}"/>
    <cellStyle name="Normal 31 4 2 5 2 3" xfId="25396" xr:uid="{00000000-0005-0000-0000-0000CD570000}"/>
    <cellStyle name="Normal 31 4 2 5 3" xfId="11768" xr:uid="{00000000-0005-0000-0000-0000CE570000}"/>
    <cellStyle name="Normal 31 4 2 5 3 2" xfId="29950" xr:uid="{00000000-0005-0000-0000-0000CF570000}"/>
    <cellStyle name="Normal 31 4 2 5 4" xfId="20860" xr:uid="{00000000-0005-0000-0000-0000D0570000}"/>
    <cellStyle name="Normal 31 4 2 6" xfId="4201" xr:uid="{00000000-0005-0000-0000-0000D1570000}"/>
    <cellStyle name="Normal 31 4 2 6 2" xfId="8757" xr:uid="{00000000-0005-0000-0000-0000D2570000}"/>
    <cellStyle name="Normal 31 4 2 6 2 2" xfId="17853" xr:uid="{00000000-0005-0000-0000-0000D3570000}"/>
    <cellStyle name="Normal 31 4 2 6 2 2 2" xfId="36035" xr:uid="{00000000-0005-0000-0000-0000D4570000}"/>
    <cellStyle name="Normal 31 4 2 6 2 3" xfId="26945" xr:uid="{00000000-0005-0000-0000-0000D5570000}"/>
    <cellStyle name="Normal 31 4 2 6 3" xfId="13313" xr:uid="{00000000-0005-0000-0000-0000D6570000}"/>
    <cellStyle name="Normal 31 4 2 6 3 2" xfId="31495" xr:uid="{00000000-0005-0000-0000-0000D7570000}"/>
    <cellStyle name="Normal 31 4 2 6 4" xfId="22405" xr:uid="{00000000-0005-0000-0000-0000D8570000}"/>
    <cellStyle name="Normal 31 4 2 7" xfId="5840" xr:uid="{00000000-0005-0000-0000-0000D9570000}"/>
    <cellStyle name="Normal 31 4 2 7 2" xfId="14940" xr:uid="{00000000-0005-0000-0000-0000DA570000}"/>
    <cellStyle name="Normal 31 4 2 7 2 2" xfId="33122" xr:uid="{00000000-0005-0000-0000-0000DB570000}"/>
    <cellStyle name="Normal 31 4 2 7 3" xfId="24032" xr:uid="{00000000-0005-0000-0000-0000DC570000}"/>
    <cellStyle name="Normal 31 4 2 8" xfId="10406" xr:uid="{00000000-0005-0000-0000-0000DD570000}"/>
    <cellStyle name="Normal 31 4 2 8 2" xfId="28588" xr:uid="{00000000-0005-0000-0000-0000DE570000}"/>
    <cellStyle name="Normal 31 4 2 9" xfId="19497" xr:uid="{00000000-0005-0000-0000-0000DF570000}"/>
    <cellStyle name="Normal 31 4 3" xfId="1204" xr:uid="{00000000-0005-0000-0000-0000E0570000}"/>
    <cellStyle name="Normal 31 4 3 2" xfId="1205" xr:uid="{00000000-0005-0000-0000-0000E1570000}"/>
    <cellStyle name="Normal 31 4 3 2 2" xfId="2620" xr:uid="{00000000-0005-0000-0000-0000E2570000}"/>
    <cellStyle name="Normal 31 4 3 2 2 2" xfId="7205" xr:uid="{00000000-0005-0000-0000-0000E3570000}"/>
    <cellStyle name="Normal 31 4 3 2 2 2 2" xfId="16305" xr:uid="{00000000-0005-0000-0000-0000E4570000}"/>
    <cellStyle name="Normal 31 4 3 2 2 2 2 2" xfId="34487" xr:uid="{00000000-0005-0000-0000-0000E5570000}"/>
    <cellStyle name="Normal 31 4 3 2 2 2 3" xfId="25397" xr:uid="{00000000-0005-0000-0000-0000E6570000}"/>
    <cellStyle name="Normal 31 4 3 2 2 3" xfId="11769" xr:uid="{00000000-0005-0000-0000-0000E7570000}"/>
    <cellStyle name="Normal 31 4 3 2 2 3 2" xfId="29951" xr:uid="{00000000-0005-0000-0000-0000E8570000}"/>
    <cellStyle name="Normal 31 4 3 2 2 4" xfId="20861" xr:uid="{00000000-0005-0000-0000-0000E9570000}"/>
    <cellStyle name="Normal 31 4 3 2 3" xfId="4207" xr:uid="{00000000-0005-0000-0000-0000EA570000}"/>
    <cellStyle name="Normal 31 4 3 2 3 2" xfId="8763" xr:uid="{00000000-0005-0000-0000-0000EB570000}"/>
    <cellStyle name="Normal 31 4 3 2 3 2 2" xfId="17859" xr:uid="{00000000-0005-0000-0000-0000EC570000}"/>
    <cellStyle name="Normal 31 4 3 2 3 2 2 2" xfId="36041" xr:uid="{00000000-0005-0000-0000-0000ED570000}"/>
    <cellStyle name="Normal 31 4 3 2 3 2 3" xfId="26951" xr:uid="{00000000-0005-0000-0000-0000EE570000}"/>
    <cellStyle name="Normal 31 4 3 2 3 3" xfId="13319" xr:uid="{00000000-0005-0000-0000-0000EF570000}"/>
    <cellStyle name="Normal 31 4 3 2 3 3 2" xfId="31501" xr:uid="{00000000-0005-0000-0000-0000F0570000}"/>
    <cellStyle name="Normal 31 4 3 2 3 4" xfId="22411" xr:uid="{00000000-0005-0000-0000-0000F1570000}"/>
    <cellStyle name="Normal 31 4 3 2 4" xfId="5846" xr:uid="{00000000-0005-0000-0000-0000F2570000}"/>
    <cellStyle name="Normal 31 4 3 2 4 2" xfId="14946" xr:uid="{00000000-0005-0000-0000-0000F3570000}"/>
    <cellStyle name="Normal 31 4 3 2 4 2 2" xfId="33128" xr:uid="{00000000-0005-0000-0000-0000F4570000}"/>
    <cellStyle name="Normal 31 4 3 2 4 3" xfId="24038" xr:uid="{00000000-0005-0000-0000-0000F5570000}"/>
    <cellStyle name="Normal 31 4 3 2 5" xfId="10412" xr:uid="{00000000-0005-0000-0000-0000F6570000}"/>
    <cellStyle name="Normal 31 4 3 2 5 2" xfId="28594" xr:uid="{00000000-0005-0000-0000-0000F7570000}"/>
    <cellStyle name="Normal 31 4 3 2 6" xfId="19503" xr:uid="{00000000-0005-0000-0000-0000F8570000}"/>
    <cellStyle name="Normal 31 4 3 3" xfId="2621" xr:uid="{00000000-0005-0000-0000-0000F9570000}"/>
    <cellStyle name="Normal 31 4 3 3 2" xfId="7206" xr:uid="{00000000-0005-0000-0000-0000FA570000}"/>
    <cellStyle name="Normal 31 4 3 3 2 2" xfId="16306" xr:uid="{00000000-0005-0000-0000-0000FB570000}"/>
    <cellStyle name="Normal 31 4 3 3 2 2 2" xfId="34488" xr:uid="{00000000-0005-0000-0000-0000FC570000}"/>
    <cellStyle name="Normal 31 4 3 3 2 3" xfId="25398" xr:uid="{00000000-0005-0000-0000-0000FD570000}"/>
    <cellStyle name="Normal 31 4 3 3 3" xfId="11770" xr:uid="{00000000-0005-0000-0000-0000FE570000}"/>
    <cellStyle name="Normal 31 4 3 3 3 2" xfId="29952" xr:uid="{00000000-0005-0000-0000-0000FF570000}"/>
    <cellStyle name="Normal 31 4 3 3 4" xfId="20862" xr:uid="{00000000-0005-0000-0000-000000580000}"/>
    <cellStyle name="Normal 31 4 3 4" xfId="4206" xr:uid="{00000000-0005-0000-0000-000001580000}"/>
    <cellStyle name="Normal 31 4 3 4 2" xfId="8762" xr:uid="{00000000-0005-0000-0000-000002580000}"/>
    <cellStyle name="Normal 31 4 3 4 2 2" xfId="17858" xr:uid="{00000000-0005-0000-0000-000003580000}"/>
    <cellStyle name="Normal 31 4 3 4 2 2 2" xfId="36040" xr:uid="{00000000-0005-0000-0000-000004580000}"/>
    <cellStyle name="Normal 31 4 3 4 2 3" xfId="26950" xr:uid="{00000000-0005-0000-0000-000005580000}"/>
    <cellStyle name="Normal 31 4 3 4 3" xfId="13318" xr:uid="{00000000-0005-0000-0000-000006580000}"/>
    <cellStyle name="Normal 31 4 3 4 3 2" xfId="31500" xr:uid="{00000000-0005-0000-0000-000007580000}"/>
    <cellStyle name="Normal 31 4 3 4 4" xfId="22410" xr:uid="{00000000-0005-0000-0000-000008580000}"/>
    <cellStyle name="Normal 31 4 3 5" xfId="5845" xr:uid="{00000000-0005-0000-0000-000009580000}"/>
    <cellStyle name="Normal 31 4 3 5 2" xfId="14945" xr:uid="{00000000-0005-0000-0000-00000A580000}"/>
    <cellStyle name="Normal 31 4 3 5 2 2" xfId="33127" xr:uid="{00000000-0005-0000-0000-00000B580000}"/>
    <cellStyle name="Normal 31 4 3 5 3" xfId="24037" xr:uid="{00000000-0005-0000-0000-00000C580000}"/>
    <cellStyle name="Normal 31 4 3 6" xfId="10411" xr:uid="{00000000-0005-0000-0000-00000D580000}"/>
    <cellStyle name="Normal 31 4 3 6 2" xfId="28593" xr:uid="{00000000-0005-0000-0000-00000E580000}"/>
    <cellStyle name="Normal 31 4 3 7" xfId="19502" xr:uid="{00000000-0005-0000-0000-00000F580000}"/>
    <cellStyle name="Normal 31 4 4" xfId="1206" xr:uid="{00000000-0005-0000-0000-000010580000}"/>
    <cellStyle name="Normal 31 4 4 2" xfId="2622" xr:uid="{00000000-0005-0000-0000-000011580000}"/>
    <cellStyle name="Normal 31 4 4 2 2" xfId="7207" xr:uid="{00000000-0005-0000-0000-000012580000}"/>
    <cellStyle name="Normal 31 4 4 2 2 2" xfId="16307" xr:uid="{00000000-0005-0000-0000-000013580000}"/>
    <cellStyle name="Normal 31 4 4 2 2 2 2" xfId="34489" xr:uid="{00000000-0005-0000-0000-000014580000}"/>
    <cellStyle name="Normal 31 4 4 2 2 3" xfId="25399" xr:uid="{00000000-0005-0000-0000-000015580000}"/>
    <cellStyle name="Normal 31 4 4 2 3" xfId="11771" xr:uid="{00000000-0005-0000-0000-000016580000}"/>
    <cellStyle name="Normal 31 4 4 2 3 2" xfId="29953" xr:uid="{00000000-0005-0000-0000-000017580000}"/>
    <cellStyle name="Normal 31 4 4 2 4" xfId="20863" xr:uid="{00000000-0005-0000-0000-000018580000}"/>
    <cellStyle name="Normal 31 4 4 3" xfId="4208" xr:uid="{00000000-0005-0000-0000-000019580000}"/>
    <cellStyle name="Normal 31 4 4 3 2" xfId="8764" xr:uid="{00000000-0005-0000-0000-00001A580000}"/>
    <cellStyle name="Normal 31 4 4 3 2 2" xfId="17860" xr:uid="{00000000-0005-0000-0000-00001B580000}"/>
    <cellStyle name="Normal 31 4 4 3 2 2 2" xfId="36042" xr:uid="{00000000-0005-0000-0000-00001C580000}"/>
    <cellStyle name="Normal 31 4 4 3 2 3" xfId="26952" xr:uid="{00000000-0005-0000-0000-00001D580000}"/>
    <cellStyle name="Normal 31 4 4 3 3" xfId="13320" xr:uid="{00000000-0005-0000-0000-00001E580000}"/>
    <cellStyle name="Normal 31 4 4 3 3 2" xfId="31502" xr:uid="{00000000-0005-0000-0000-00001F580000}"/>
    <cellStyle name="Normal 31 4 4 3 4" xfId="22412" xr:uid="{00000000-0005-0000-0000-000020580000}"/>
    <cellStyle name="Normal 31 4 4 4" xfId="5847" xr:uid="{00000000-0005-0000-0000-000021580000}"/>
    <cellStyle name="Normal 31 4 4 4 2" xfId="14947" xr:uid="{00000000-0005-0000-0000-000022580000}"/>
    <cellStyle name="Normal 31 4 4 4 2 2" xfId="33129" xr:uid="{00000000-0005-0000-0000-000023580000}"/>
    <cellStyle name="Normal 31 4 4 4 3" xfId="24039" xr:uid="{00000000-0005-0000-0000-000024580000}"/>
    <cellStyle name="Normal 31 4 4 5" xfId="10413" xr:uid="{00000000-0005-0000-0000-000025580000}"/>
    <cellStyle name="Normal 31 4 4 5 2" xfId="28595" xr:uid="{00000000-0005-0000-0000-000026580000}"/>
    <cellStyle name="Normal 31 4 4 6" xfId="19504" xr:uid="{00000000-0005-0000-0000-000027580000}"/>
    <cellStyle name="Normal 31 4 5" xfId="1207" xr:uid="{00000000-0005-0000-0000-000028580000}"/>
    <cellStyle name="Normal 31 4 5 2" xfId="4209" xr:uid="{00000000-0005-0000-0000-000029580000}"/>
    <cellStyle name="Normal 31 4 5 2 2" xfId="8765" xr:uid="{00000000-0005-0000-0000-00002A580000}"/>
    <cellStyle name="Normal 31 4 5 2 2 2" xfId="17861" xr:uid="{00000000-0005-0000-0000-00002B580000}"/>
    <cellStyle name="Normal 31 4 5 2 2 2 2" xfId="36043" xr:uid="{00000000-0005-0000-0000-00002C580000}"/>
    <cellStyle name="Normal 31 4 5 2 2 3" xfId="26953" xr:uid="{00000000-0005-0000-0000-00002D580000}"/>
    <cellStyle name="Normal 31 4 5 2 3" xfId="13321" xr:uid="{00000000-0005-0000-0000-00002E580000}"/>
    <cellStyle name="Normal 31 4 5 2 3 2" xfId="31503" xr:uid="{00000000-0005-0000-0000-00002F580000}"/>
    <cellStyle name="Normal 31 4 5 2 4" xfId="22413" xr:uid="{00000000-0005-0000-0000-000030580000}"/>
    <cellStyle name="Normal 31 4 5 3" xfId="5848" xr:uid="{00000000-0005-0000-0000-000031580000}"/>
    <cellStyle name="Normal 31 4 5 3 2" xfId="14948" xr:uid="{00000000-0005-0000-0000-000032580000}"/>
    <cellStyle name="Normal 31 4 5 3 2 2" xfId="33130" xr:uid="{00000000-0005-0000-0000-000033580000}"/>
    <cellStyle name="Normal 31 4 5 3 3" xfId="24040" xr:uid="{00000000-0005-0000-0000-000034580000}"/>
    <cellStyle name="Normal 31 4 5 4" xfId="10414" xr:uid="{00000000-0005-0000-0000-000035580000}"/>
    <cellStyle name="Normal 31 4 5 4 2" xfId="28596" xr:uid="{00000000-0005-0000-0000-000036580000}"/>
    <cellStyle name="Normal 31 4 5 5" xfId="19505" xr:uid="{00000000-0005-0000-0000-000037580000}"/>
    <cellStyle name="Normal 31 4 6" xfId="2623" xr:uid="{00000000-0005-0000-0000-000038580000}"/>
    <cellStyle name="Normal 31 4 6 2" xfId="7208" xr:uid="{00000000-0005-0000-0000-000039580000}"/>
    <cellStyle name="Normal 31 4 6 2 2" xfId="16308" xr:uid="{00000000-0005-0000-0000-00003A580000}"/>
    <cellStyle name="Normal 31 4 6 2 2 2" xfId="34490" xr:uid="{00000000-0005-0000-0000-00003B580000}"/>
    <cellStyle name="Normal 31 4 6 2 3" xfId="25400" xr:uid="{00000000-0005-0000-0000-00003C580000}"/>
    <cellStyle name="Normal 31 4 6 3" xfId="11772" xr:uid="{00000000-0005-0000-0000-00003D580000}"/>
    <cellStyle name="Normal 31 4 6 3 2" xfId="29954" xr:uid="{00000000-0005-0000-0000-00003E580000}"/>
    <cellStyle name="Normal 31 4 6 4" xfId="20864" xr:uid="{00000000-0005-0000-0000-00003F580000}"/>
    <cellStyle name="Normal 31 4 7" xfId="3249" xr:uid="{00000000-0005-0000-0000-000040580000}"/>
    <cellStyle name="Normal 31 4 7 2" xfId="7809" xr:uid="{00000000-0005-0000-0000-000041580000}"/>
    <cellStyle name="Normal 31 4 7 2 2" xfId="16905" xr:uid="{00000000-0005-0000-0000-000042580000}"/>
    <cellStyle name="Normal 31 4 7 2 2 2" xfId="35087" xr:uid="{00000000-0005-0000-0000-000043580000}"/>
    <cellStyle name="Normal 31 4 7 2 3" xfId="25997" xr:uid="{00000000-0005-0000-0000-000044580000}"/>
    <cellStyle name="Normal 31 4 7 3" xfId="12365" xr:uid="{00000000-0005-0000-0000-000045580000}"/>
    <cellStyle name="Normal 31 4 7 3 2" xfId="30547" xr:uid="{00000000-0005-0000-0000-000046580000}"/>
    <cellStyle name="Normal 31 4 7 4" xfId="21457" xr:uid="{00000000-0005-0000-0000-000047580000}"/>
    <cellStyle name="Normal 31 4 8" xfId="4896" xr:uid="{00000000-0005-0000-0000-000048580000}"/>
    <cellStyle name="Normal 31 4 8 2" xfId="13996" xr:uid="{00000000-0005-0000-0000-000049580000}"/>
    <cellStyle name="Normal 31 4 8 2 2" xfId="32178" xr:uid="{00000000-0005-0000-0000-00004A580000}"/>
    <cellStyle name="Normal 31 4 8 3" xfId="23088" xr:uid="{00000000-0005-0000-0000-00004B580000}"/>
    <cellStyle name="Normal 31 4 9" xfId="9462" xr:uid="{00000000-0005-0000-0000-00004C580000}"/>
    <cellStyle name="Normal 31 4 9 2" xfId="27644" xr:uid="{00000000-0005-0000-0000-00004D580000}"/>
    <cellStyle name="Normal 31 5" xfId="184" xr:uid="{00000000-0005-0000-0000-00004E580000}"/>
    <cellStyle name="Normal 31 5 10" xfId="9470" xr:uid="{00000000-0005-0000-0000-00004F580000}"/>
    <cellStyle name="Normal 31 5 10 2" xfId="27652" xr:uid="{00000000-0005-0000-0000-000050580000}"/>
    <cellStyle name="Normal 31 5 11" xfId="18561" xr:uid="{00000000-0005-0000-0000-000051580000}"/>
    <cellStyle name="Normal 31 5 2" xfId="189" xr:uid="{00000000-0005-0000-0000-000052580000}"/>
    <cellStyle name="Normal 31 5 2 10" xfId="18566" xr:uid="{00000000-0005-0000-0000-000053580000}"/>
    <cellStyle name="Normal 31 5 2 2" xfId="1208" xr:uid="{00000000-0005-0000-0000-000054580000}"/>
    <cellStyle name="Normal 31 5 2 2 2" xfId="1209" xr:uid="{00000000-0005-0000-0000-000055580000}"/>
    <cellStyle name="Normal 31 5 2 2 2 2" xfId="1210" xr:uid="{00000000-0005-0000-0000-000056580000}"/>
    <cellStyle name="Normal 31 5 2 2 2 2 2" xfId="2624" xr:uid="{00000000-0005-0000-0000-000057580000}"/>
    <cellStyle name="Normal 31 5 2 2 2 2 2 2" xfId="7209" xr:uid="{00000000-0005-0000-0000-000058580000}"/>
    <cellStyle name="Normal 31 5 2 2 2 2 2 2 2" xfId="16309" xr:uid="{00000000-0005-0000-0000-000059580000}"/>
    <cellStyle name="Normal 31 5 2 2 2 2 2 2 2 2" xfId="34491" xr:uid="{00000000-0005-0000-0000-00005A580000}"/>
    <cellStyle name="Normal 31 5 2 2 2 2 2 2 3" xfId="25401" xr:uid="{00000000-0005-0000-0000-00005B580000}"/>
    <cellStyle name="Normal 31 5 2 2 2 2 2 3" xfId="11773" xr:uid="{00000000-0005-0000-0000-00005C580000}"/>
    <cellStyle name="Normal 31 5 2 2 2 2 2 3 2" xfId="29955" xr:uid="{00000000-0005-0000-0000-00005D580000}"/>
    <cellStyle name="Normal 31 5 2 2 2 2 2 4" xfId="20865" xr:uid="{00000000-0005-0000-0000-00005E580000}"/>
    <cellStyle name="Normal 31 5 2 2 2 2 3" xfId="4212" xr:uid="{00000000-0005-0000-0000-00005F580000}"/>
    <cellStyle name="Normal 31 5 2 2 2 2 3 2" xfId="8768" xr:uid="{00000000-0005-0000-0000-000060580000}"/>
    <cellStyle name="Normal 31 5 2 2 2 2 3 2 2" xfId="17864" xr:uid="{00000000-0005-0000-0000-000061580000}"/>
    <cellStyle name="Normal 31 5 2 2 2 2 3 2 2 2" xfId="36046" xr:uid="{00000000-0005-0000-0000-000062580000}"/>
    <cellStyle name="Normal 31 5 2 2 2 2 3 2 3" xfId="26956" xr:uid="{00000000-0005-0000-0000-000063580000}"/>
    <cellStyle name="Normal 31 5 2 2 2 2 3 3" xfId="13324" xr:uid="{00000000-0005-0000-0000-000064580000}"/>
    <cellStyle name="Normal 31 5 2 2 2 2 3 3 2" xfId="31506" xr:uid="{00000000-0005-0000-0000-000065580000}"/>
    <cellStyle name="Normal 31 5 2 2 2 2 3 4" xfId="22416" xr:uid="{00000000-0005-0000-0000-000066580000}"/>
    <cellStyle name="Normal 31 5 2 2 2 2 4" xfId="5851" xr:uid="{00000000-0005-0000-0000-000067580000}"/>
    <cellStyle name="Normal 31 5 2 2 2 2 4 2" xfId="14951" xr:uid="{00000000-0005-0000-0000-000068580000}"/>
    <cellStyle name="Normal 31 5 2 2 2 2 4 2 2" xfId="33133" xr:uid="{00000000-0005-0000-0000-000069580000}"/>
    <cellStyle name="Normal 31 5 2 2 2 2 4 3" xfId="24043" xr:uid="{00000000-0005-0000-0000-00006A580000}"/>
    <cellStyle name="Normal 31 5 2 2 2 2 5" xfId="10417" xr:uid="{00000000-0005-0000-0000-00006B580000}"/>
    <cellStyle name="Normal 31 5 2 2 2 2 5 2" xfId="28599" xr:uid="{00000000-0005-0000-0000-00006C580000}"/>
    <cellStyle name="Normal 31 5 2 2 2 2 6" xfId="19508" xr:uid="{00000000-0005-0000-0000-00006D580000}"/>
    <cellStyle name="Normal 31 5 2 2 2 3" xfId="2625" xr:uid="{00000000-0005-0000-0000-00006E580000}"/>
    <cellStyle name="Normal 31 5 2 2 2 3 2" xfId="7210" xr:uid="{00000000-0005-0000-0000-00006F580000}"/>
    <cellStyle name="Normal 31 5 2 2 2 3 2 2" xfId="16310" xr:uid="{00000000-0005-0000-0000-000070580000}"/>
    <cellStyle name="Normal 31 5 2 2 2 3 2 2 2" xfId="34492" xr:uid="{00000000-0005-0000-0000-000071580000}"/>
    <cellStyle name="Normal 31 5 2 2 2 3 2 3" xfId="25402" xr:uid="{00000000-0005-0000-0000-000072580000}"/>
    <cellStyle name="Normal 31 5 2 2 2 3 3" xfId="11774" xr:uid="{00000000-0005-0000-0000-000073580000}"/>
    <cellStyle name="Normal 31 5 2 2 2 3 3 2" xfId="29956" xr:uid="{00000000-0005-0000-0000-000074580000}"/>
    <cellStyle name="Normal 31 5 2 2 2 3 4" xfId="20866" xr:uid="{00000000-0005-0000-0000-000075580000}"/>
    <cellStyle name="Normal 31 5 2 2 2 4" xfId="4211" xr:uid="{00000000-0005-0000-0000-000076580000}"/>
    <cellStyle name="Normal 31 5 2 2 2 4 2" xfId="8767" xr:uid="{00000000-0005-0000-0000-000077580000}"/>
    <cellStyle name="Normal 31 5 2 2 2 4 2 2" xfId="17863" xr:uid="{00000000-0005-0000-0000-000078580000}"/>
    <cellStyle name="Normal 31 5 2 2 2 4 2 2 2" xfId="36045" xr:uid="{00000000-0005-0000-0000-000079580000}"/>
    <cellStyle name="Normal 31 5 2 2 2 4 2 3" xfId="26955" xr:uid="{00000000-0005-0000-0000-00007A580000}"/>
    <cellStyle name="Normal 31 5 2 2 2 4 3" xfId="13323" xr:uid="{00000000-0005-0000-0000-00007B580000}"/>
    <cellStyle name="Normal 31 5 2 2 2 4 3 2" xfId="31505" xr:uid="{00000000-0005-0000-0000-00007C580000}"/>
    <cellStyle name="Normal 31 5 2 2 2 4 4" xfId="22415" xr:uid="{00000000-0005-0000-0000-00007D580000}"/>
    <cellStyle name="Normal 31 5 2 2 2 5" xfId="5850" xr:uid="{00000000-0005-0000-0000-00007E580000}"/>
    <cellStyle name="Normal 31 5 2 2 2 5 2" xfId="14950" xr:uid="{00000000-0005-0000-0000-00007F580000}"/>
    <cellStyle name="Normal 31 5 2 2 2 5 2 2" xfId="33132" xr:uid="{00000000-0005-0000-0000-000080580000}"/>
    <cellStyle name="Normal 31 5 2 2 2 5 3" xfId="24042" xr:uid="{00000000-0005-0000-0000-000081580000}"/>
    <cellStyle name="Normal 31 5 2 2 2 6" xfId="10416" xr:uid="{00000000-0005-0000-0000-000082580000}"/>
    <cellStyle name="Normal 31 5 2 2 2 6 2" xfId="28598" xr:uid="{00000000-0005-0000-0000-000083580000}"/>
    <cellStyle name="Normal 31 5 2 2 2 7" xfId="19507" xr:uid="{00000000-0005-0000-0000-000084580000}"/>
    <cellStyle name="Normal 31 5 2 2 3" xfId="1211" xr:uid="{00000000-0005-0000-0000-000085580000}"/>
    <cellStyle name="Normal 31 5 2 2 3 2" xfId="2626" xr:uid="{00000000-0005-0000-0000-000086580000}"/>
    <cellStyle name="Normal 31 5 2 2 3 2 2" xfId="7211" xr:uid="{00000000-0005-0000-0000-000087580000}"/>
    <cellStyle name="Normal 31 5 2 2 3 2 2 2" xfId="16311" xr:uid="{00000000-0005-0000-0000-000088580000}"/>
    <cellStyle name="Normal 31 5 2 2 3 2 2 2 2" xfId="34493" xr:uid="{00000000-0005-0000-0000-000089580000}"/>
    <cellStyle name="Normal 31 5 2 2 3 2 2 3" xfId="25403" xr:uid="{00000000-0005-0000-0000-00008A580000}"/>
    <cellStyle name="Normal 31 5 2 2 3 2 3" xfId="11775" xr:uid="{00000000-0005-0000-0000-00008B580000}"/>
    <cellStyle name="Normal 31 5 2 2 3 2 3 2" xfId="29957" xr:uid="{00000000-0005-0000-0000-00008C580000}"/>
    <cellStyle name="Normal 31 5 2 2 3 2 4" xfId="20867" xr:uid="{00000000-0005-0000-0000-00008D580000}"/>
    <cellStyle name="Normal 31 5 2 2 3 3" xfId="4213" xr:uid="{00000000-0005-0000-0000-00008E580000}"/>
    <cellStyle name="Normal 31 5 2 2 3 3 2" xfId="8769" xr:uid="{00000000-0005-0000-0000-00008F580000}"/>
    <cellStyle name="Normal 31 5 2 2 3 3 2 2" xfId="17865" xr:uid="{00000000-0005-0000-0000-000090580000}"/>
    <cellStyle name="Normal 31 5 2 2 3 3 2 2 2" xfId="36047" xr:uid="{00000000-0005-0000-0000-000091580000}"/>
    <cellStyle name="Normal 31 5 2 2 3 3 2 3" xfId="26957" xr:uid="{00000000-0005-0000-0000-000092580000}"/>
    <cellStyle name="Normal 31 5 2 2 3 3 3" xfId="13325" xr:uid="{00000000-0005-0000-0000-000093580000}"/>
    <cellStyle name="Normal 31 5 2 2 3 3 3 2" xfId="31507" xr:uid="{00000000-0005-0000-0000-000094580000}"/>
    <cellStyle name="Normal 31 5 2 2 3 3 4" xfId="22417" xr:uid="{00000000-0005-0000-0000-000095580000}"/>
    <cellStyle name="Normal 31 5 2 2 3 4" xfId="5852" xr:uid="{00000000-0005-0000-0000-000096580000}"/>
    <cellStyle name="Normal 31 5 2 2 3 4 2" xfId="14952" xr:uid="{00000000-0005-0000-0000-000097580000}"/>
    <cellStyle name="Normal 31 5 2 2 3 4 2 2" xfId="33134" xr:uid="{00000000-0005-0000-0000-000098580000}"/>
    <cellStyle name="Normal 31 5 2 2 3 4 3" xfId="24044" xr:uid="{00000000-0005-0000-0000-000099580000}"/>
    <cellStyle name="Normal 31 5 2 2 3 5" xfId="10418" xr:uid="{00000000-0005-0000-0000-00009A580000}"/>
    <cellStyle name="Normal 31 5 2 2 3 5 2" xfId="28600" xr:uid="{00000000-0005-0000-0000-00009B580000}"/>
    <cellStyle name="Normal 31 5 2 2 3 6" xfId="19509" xr:uid="{00000000-0005-0000-0000-00009C580000}"/>
    <cellStyle name="Normal 31 5 2 2 4" xfId="1212" xr:uid="{00000000-0005-0000-0000-00009D580000}"/>
    <cellStyle name="Normal 31 5 2 2 4 2" xfId="4214" xr:uid="{00000000-0005-0000-0000-00009E580000}"/>
    <cellStyle name="Normal 31 5 2 2 4 2 2" xfId="8770" xr:uid="{00000000-0005-0000-0000-00009F580000}"/>
    <cellStyle name="Normal 31 5 2 2 4 2 2 2" xfId="17866" xr:uid="{00000000-0005-0000-0000-0000A0580000}"/>
    <cellStyle name="Normal 31 5 2 2 4 2 2 2 2" xfId="36048" xr:uid="{00000000-0005-0000-0000-0000A1580000}"/>
    <cellStyle name="Normal 31 5 2 2 4 2 2 3" xfId="26958" xr:uid="{00000000-0005-0000-0000-0000A2580000}"/>
    <cellStyle name="Normal 31 5 2 2 4 2 3" xfId="13326" xr:uid="{00000000-0005-0000-0000-0000A3580000}"/>
    <cellStyle name="Normal 31 5 2 2 4 2 3 2" xfId="31508" xr:uid="{00000000-0005-0000-0000-0000A4580000}"/>
    <cellStyle name="Normal 31 5 2 2 4 2 4" xfId="22418" xr:uid="{00000000-0005-0000-0000-0000A5580000}"/>
    <cellStyle name="Normal 31 5 2 2 4 3" xfId="5853" xr:uid="{00000000-0005-0000-0000-0000A6580000}"/>
    <cellStyle name="Normal 31 5 2 2 4 3 2" xfId="14953" xr:uid="{00000000-0005-0000-0000-0000A7580000}"/>
    <cellStyle name="Normal 31 5 2 2 4 3 2 2" xfId="33135" xr:uid="{00000000-0005-0000-0000-0000A8580000}"/>
    <cellStyle name="Normal 31 5 2 2 4 3 3" xfId="24045" xr:uid="{00000000-0005-0000-0000-0000A9580000}"/>
    <cellStyle name="Normal 31 5 2 2 4 4" xfId="10419" xr:uid="{00000000-0005-0000-0000-0000AA580000}"/>
    <cellStyle name="Normal 31 5 2 2 4 4 2" xfId="28601" xr:uid="{00000000-0005-0000-0000-0000AB580000}"/>
    <cellStyle name="Normal 31 5 2 2 4 5" xfId="19510" xr:uid="{00000000-0005-0000-0000-0000AC580000}"/>
    <cellStyle name="Normal 31 5 2 2 5" xfId="2627" xr:uid="{00000000-0005-0000-0000-0000AD580000}"/>
    <cellStyle name="Normal 31 5 2 2 5 2" xfId="7212" xr:uid="{00000000-0005-0000-0000-0000AE580000}"/>
    <cellStyle name="Normal 31 5 2 2 5 2 2" xfId="16312" xr:uid="{00000000-0005-0000-0000-0000AF580000}"/>
    <cellStyle name="Normal 31 5 2 2 5 2 2 2" xfId="34494" xr:uid="{00000000-0005-0000-0000-0000B0580000}"/>
    <cellStyle name="Normal 31 5 2 2 5 2 3" xfId="25404" xr:uid="{00000000-0005-0000-0000-0000B1580000}"/>
    <cellStyle name="Normal 31 5 2 2 5 3" xfId="11776" xr:uid="{00000000-0005-0000-0000-0000B2580000}"/>
    <cellStyle name="Normal 31 5 2 2 5 3 2" xfId="29958" xr:uid="{00000000-0005-0000-0000-0000B3580000}"/>
    <cellStyle name="Normal 31 5 2 2 5 4" xfId="20868" xr:uid="{00000000-0005-0000-0000-0000B4580000}"/>
    <cellStyle name="Normal 31 5 2 2 6" xfId="4210" xr:uid="{00000000-0005-0000-0000-0000B5580000}"/>
    <cellStyle name="Normal 31 5 2 2 6 2" xfId="8766" xr:uid="{00000000-0005-0000-0000-0000B6580000}"/>
    <cellStyle name="Normal 31 5 2 2 6 2 2" xfId="17862" xr:uid="{00000000-0005-0000-0000-0000B7580000}"/>
    <cellStyle name="Normal 31 5 2 2 6 2 2 2" xfId="36044" xr:uid="{00000000-0005-0000-0000-0000B8580000}"/>
    <cellStyle name="Normal 31 5 2 2 6 2 3" xfId="26954" xr:uid="{00000000-0005-0000-0000-0000B9580000}"/>
    <cellStyle name="Normal 31 5 2 2 6 3" xfId="13322" xr:uid="{00000000-0005-0000-0000-0000BA580000}"/>
    <cellStyle name="Normal 31 5 2 2 6 3 2" xfId="31504" xr:uid="{00000000-0005-0000-0000-0000BB580000}"/>
    <cellStyle name="Normal 31 5 2 2 6 4" xfId="22414" xr:uid="{00000000-0005-0000-0000-0000BC580000}"/>
    <cellStyle name="Normal 31 5 2 2 7" xfId="5849" xr:uid="{00000000-0005-0000-0000-0000BD580000}"/>
    <cellStyle name="Normal 31 5 2 2 7 2" xfId="14949" xr:uid="{00000000-0005-0000-0000-0000BE580000}"/>
    <cellStyle name="Normal 31 5 2 2 7 2 2" xfId="33131" xr:uid="{00000000-0005-0000-0000-0000BF580000}"/>
    <cellStyle name="Normal 31 5 2 2 7 3" xfId="24041" xr:uid="{00000000-0005-0000-0000-0000C0580000}"/>
    <cellStyle name="Normal 31 5 2 2 8" xfId="10415" xr:uid="{00000000-0005-0000-0000-0000C1580000}"/>
    <cellStyle name="Normal 31 5 2 2 8 2" xfId="28597" xr:uid="{00000000-0005-0000-0000-0000C2580000}"/>
    <cellStyle name="Normal 31 5 2 2 9" xfId="19506" xr:uid="{00000000-0005-0000-0000-0000C3580000}"/>
    <cellStyle name="Normal 31 5 2 3" xfId="1213" xr:uid="{00000000-0005-0000-0000-0000C4580000}"/>
    <cellStyle name="Normal 31 5 2 3 2" xfId="1214" xr:uid="{00000000-0005-0000-0000-0000C5580000}"/>
    <cellStyle name="Normal 31 5 2 3 2 2" xfId="2628" xr:uid="{00000000-0005-0000-0000-0000C6580000}"/>
    <cellStyle name="Normal 31 5 2 3 2 2 2" xfId="7213" xr:uid="{00000000-0005-0000-0000-0000C7580000}"/>
    <cellStyle name="Normal 31 5 2 3 2 2 2 2" xfId="16313" xr:uid="{00000000-0005-0000-0000-0000C8580000}"/>
    <cellStyle name="Normal 31 5 2 3 2 2 2 2 2" xfId="34495" xr:uid="{00000000-0005-0000-0000-0000C9580000}"/>
    <cellStyle name="Normal 31 5 2 3 2 2 2 3" xfId="25405" xr:uid="{00000000-0005-0000-0000-0000CA580000}"/>
    <cellStyle name="Normal 31 5 2 3 2 2 3" xfId="11777" xr:uid="{00000000-0005-0000-0000-0000CB580000}"/>
    <cellStyle name="Normal 31 5 2 3 2 2 3 2" xfId="29959" xr:uid="{00000000-0005-0000-0000-0000CC580000}"/>
    <cellStyle name="Normal 31 5 2 3 2 2 4" xfId="20869" xr:uid="{00000000-0005-0000-0000-0000CD580000}"/>
    <cellStyle name="Normal 31 5 2 3 2 3" xfId="4216" xr:uid="{00000000-0005-0000-0000-0000CE580000}"/>
    <cellStyle name="Normal 31 5 2 3 2 3 2" xfId="8772" xr:uid="{00000000-0005-0000-0000-0000CF580000}"/>
    <cellStyle name="Normal 31 5 2 3 2 3 2 2" xfId="17868" xr:uid="{00000000-0005-0000-0000-0000D0580000}"/>
    <cellStyle name="Normal 31 5 2 3 2 3 2 2 2" xfId="36050" xr:uid="{00000000-0005-0000-0000-0000D1580000}"/>
    <cellStyle name="Normal 31 5 2 3 2 3 2 3" xfId="26960" xr:uid="{00000000-0005-0000-0000-0000D2580000}"/>
    <cellStyle name="Normal 31 5 2 3 2 3 3" xfId="13328" xr:uid="{00000000-0005-0000-0000-0000D3580000}"/>
    <cellStyle name="Normal 31 5 2 3 2 3 3 2" xfId="31510" xr:uid="{00000000-0005-0000-0000-0000D4580000}"/>
    <cellStyle name="Normal 31 5 2 3 2 3 4" xfId="22420" xr:uid="{00000000-0005-0000-0000-0000D5580000}"/>
    <cellStyle name="Normal 31 5 2 3 2 4" xfId="5855" xr:uid="{00000000-0005-0000-0000-0000D6580000}"/>
    <cellStyle name="Normal 31 5 2 3 2 4 2" xfId="14955" xr:uid="{00000000-0005-0000-0000-0000D7580000}"/>
    <cellStyle name="Normal 31 5 2 3 2 4 2 2" xfId="33137" xr:uid="{00000000-0005-0000-0000-0000D8580000}"/>
    <cellStyle name="Normal 31 5 2 3 2 4 3" xfId="24047" xr:uid="{00000000-0005-0000-0000-0000D9580000}"/>
    <cellStyle name="Normal 31 5 2 3 2 5" xfId="10421" xr:uid="{00000000-0005-0000-0000-0000DA580000}"/>
    <cellStyle name="Normal 31 5 2 3 2 5 2" xfId="28603" xr:uid="{00000000-0005-0000-0000-0000DB580000}"/>
    <cellStyle name="Normal 31 5 2 3 2 6" xfId="19512" xr:uid="{00000000-0005-0000-0000-0000DC580000}"/>
    <cellStyle name="Normal 31 5 2 3 3" xfId="2629" xr:uid="{00000000-0005-0000-0000-0000DD580000}"/>
    <cellStyle name="Normal 31 5 2 3 3 2" xfId="7214" xr:uid="{00000000-0005-0000-0000-0000DE580000}"/>
    <cellStyle name="Normal 31 5 2 3 3 2 2" xfId="16314" xr:uid="{00000000-0005-0000-0000-0000DF580000}"/>
    <cellStyle name="Normal 31 5 2 3 3 2 2 2" xfId="34496" xr:uid="{00000000-0005-0000-0000-0000E0580000}"/>
    <cellStyle name="Normal 31 5 2 3 3 2 3" xfId="25406" xr:uid="{00000000-0005-0000-0000-0000E1580000}"/>
    <cellStyle name="Normal 31 5 2 3 3 3" xfId="11778" xr:uid="{00000000-0005-0000-0000-0000E2580000}"/>
    <cellStyle name="Normal 31 5 2 3 3 3 2" xfId="29960" xr:uid="{00000000-0005-0000-0000-0000E3580000}"/>
    <cellStyle name="Normal 31 5 2 3 3 4" xfId="20870" xr:uid="{00000000-0005-0000-0000-0000E4580000}"/>
    <cellStyle name="Normal 31 5 2 3 4" xfId="4215" xr:uid="{00000000-0005-0000-0000-0000E5580000}"/>
    <cellStyle name="Normal 31 5 2 3 4 2" xfId="8771" xr:uid="{00000000-0005-0000-0000-0000E6580000}"/>
    <cellStyle name="Normal 31 5 2 3 4 2 2" xfId="17867" xr:uid="{00000000-0005-0000-0000-0000E7580000}"/>
    <cellStyle name="Normal 31 5 2 3 4 2 2 2" xfId="36049" xr:uid="{00000000-0005-0000-0000-0000E8580000}"/>
    <cellStyle name="Normal 31 5 2 3 4 2 3" xfId="26959" xr:uid="{00000000-0005-0000-0000-0000E9580000}"/>
    <cellStyle name="Normal 31 5 2 3 4 3" xfId="13327" xr:uid="{00000000-0005-0000-0000-0000EA580000}"/>
    <cellStyle name="Normal 31 5 2 3 4 3 2" xfId="31509" xr:uid="{00000000-0005-0000-0000-0000EB580000}"/>
    <cellStyle name="Normal 31 5 2 3 4 4" xfId="22419" xr:uid="{00000000-0005-0000-0000-0000EC580000}"/>
    <cellStyle name="Normal 31 5 2 3 5" xfId="5854" xr:uid="{00000000-0005-0000-0000-0000ED580000}"/>
    <cellStyle name="Normal 31 5 2 3 5 2" xfId="14954" xr:uid="{00000000-0005-0000-0000-0000EE580000}"/>
    <cellStyle name="Normal 31 5 2 3 5 2 2" xfId="33136" xr:uid="{00000000-0005-0000-0000-0000EF580000}"/>
    <cellStyle name="Normal 31 5 2 3 5 3" xfId="24046" xr:uid="{00000000-0005-0000-0000-0000F0580000}"/>
    <cellStyle name="Normal 31 5 2 3 6" xfId="10420" xr:uid="{00000000-0005-0000-0000-0000F1580000}"/>
    <cellStyle name="Normal 31 5 2 3 6 2" xfId="28602" xr:uid="{00000000-0005-0000-0000-0000F2580000}"/>
    <cellStyle name="Normal 31 5 2 3 7" xfId="19511" xr:uid="{00000000-0005-0000-0000-0000F3580000}"/>
    <cellStyle name="Normal 31 5 2 4" xfId="1215" xr:uid="{00000000-0005-0000-0000-0000F4580000}"/>
    <cellStyle name="Normal 31 5 2 4 2" xfId="2630" xr:uid="{00000000-0005-0000-0000-0000F5580000}"/>
    <cellStyle name="Normal 31 5 2 4 2 2" xfId="7215" xr:uid="{00000000-0005-0000-0000-0000F6580000}"/>
    <cellStyle name="Normal 31 5 2 4 2 2 2" xfId="16315" xr:uid="{00000000-0005-0000-0000-0000F7580000}"/>
    <cellStyle name="Normal 31 5 2 4 2 2 2 2" xfId="34497" xr:uid="{00000000-0005-0000-0000-0000F8580000}"/>
    <cellStyle name="Normal 31 5 2 4 2 2 3" xfId="25407" xr:uid="{00000000-0005-0000-0000-0000F9580000}"/>
    <cellStyle name="Normal 31 5 2 4 2 3" xfId="11779" xr:uid="{00000000-0005-0000-0000-0000FA580000}"/>
    <cellStyle name="Normal 31 5 2 4 2 3 2" xfId="29961" xr:uid="{00000000-0005-0000-0000-0000FB580000}"/>
    <cellStyle name="Normal 31 5 2 4 2 4" xfId="20871" xr:uid="{00000000-0005-0000-0000-0000FC580000}"/>
    <cellStyle name="Normal 31 5 2 4 3" xfId="4217" xr:uid="{00000000-0005-0000-0000-0000FD580000}"/>
    <cellStyle name="Normal 31 5 2 4 3 2" xfId="8773" xr:uid="{00000000-0005-0000-0000-0000FE580000}"/>
    <cellStyle name="Normal 31 5 2 4 3 2 2" xfId="17869" xr:uid="{00000000-0005-0000-0000-0000FF580000}"/>
    <cellStyle name="Normal 31 5 2 4 3 2 2 2" xfId="36051" xr:uid="{00000000-0005-0000-0000-000000590000}"/>
    <cellStyle name="Normal 31 5 2 4 3 2 3" xfId="26961" xr:uid="{00000000-0005-0000-0000-000001590000}"/>
    <cellStyle name="Normal 31 5 2 4 3 3" xfId="13329" xr:uid="{00000000-0005-0000-0000-000002590000}"/>
    <cellStyle name="Normal 31 5 2 4 3 3 2" xfId="31511" xr:uid="{00000000-0005-0000-0000-000003590000}"/>
    <cellStyle name="Normal 31 5 2 4 3 4" xfId="22421" xr:uid="{00000000-0005-0000-0000-000004590000}"/>
    <cellStyle name="Normal 31 5 2 4 4" xfId="5856" xr:uid="{00000000-0005-0000-0000-000005590000}"/>
    <cellStyle name="Normal 31 5 2 4 4 2" xfId="14956" xr:uid="{00000000-0005-0000-0000-000006590000}"/>
    <cellStyle name="Normal 31 5 2 4 4 2 2" xfId="33138" xr:uid="{00000000-0005-0000-0000-000007590000}"/>
    <cellStyle name="Normal 31 5 2 4 4 3" xfId="24048" xr:uid="{00000000-0005-0000-0000-000008590000}"/>
    <cellStyle name="Normal 31 5 2 4 5" xfId="10422" xr:uid="{00000000-0005-0000-0000-000009590000}"/>
    <cellStyle name="Normal 31 5 2 4 5 2" xfId="28604" xr:uid="{00000000-0005-0000-0000-00000A590000}"/>
    <cellStyle name="Normal 31 5 2 4 6" xfId="19513" xr:uid="{00000000-0005-0000-0000-00000B590000}"/>
    <cellStyle name="Normal 31 5 2 5" xfId="1216" xr:uid="{00000000-0005-0000-0000-00000C590000}"/>
    <cellStyle name="Normal 31 5 2 5 2" xfId="4218" xr:uid="{00000000-0005-0000-0000-00000D590000}"/>
    <cellStyle name="Normal 31 5 2 5 2 2" xfId="8774" xr:uid="{00000000-0005-0000-0000-00000E590000}"/>
    <cellStyle name="Normal 31 5 2 5 2 2 2" xfId="17870" xr:uid="{00000000-0005-0000-0000-00000F590000}"/>
    <cellStyle name="Normal 31 5 2 5 2 2 2 2" xfId="36052" xr:uid="{00000000-0005-0000-0000-000010590000}"/>
    <cellStyle name="Normal 31 5 2 5 2 2 3" xfId="26962" xr:uid="{00000000-0005-0000-0000-000011590000}"/>
    <cellStyle name="Normal 31 5 2 5 2 3" xfId="13330" xr:uid="{00000000-0005-0000-0000-000012590000}"/>
    <cellStyle name="Normal 31 5 2 5 2 3 2" xfId="31512" xr:uid="{00000000-0005-0000-0000-000013590000}"/>
    <cellStyle name="Normal 31 5 2 5 2 4" xfId="22422" xr:uid="{00000000-0005-0000-0000-000014590000}"/>
    <cellStyle name="Normal 31 5 2 5 3" xfId="5857" xr:uid="{00000000-0005-0000-0000-000015590000}"/>
    <cellStyle name="Normal 31 5 2 5 3 2" xfId="14957" xr:uid="{00000000-0005-0000-0000-000016590000}"/>
    <cellStyle name="Normal 31 5 2 5 3 2 2" xfId="33139" xr:uid="{00000000-0005-0000-0000-000017590000}"/>
    <cellStyle name="Normal 31 5 2 5 3 3" xfId="24049" xr:uid="{00000000-0005-0000-0000-000018590000}"/>
    <cellStyle name="Normal 31 5 2 5 4" xfId="10423" xr:uid="{00000000-0005-0000-0000-000019590000}"/>
    <cellStyle name="Normal 31 5 2 5 4 2" xfId="28605" xr:uid="{00000000-0005-0000-0000-00001A590000}"/>
    <cellStyle name="Normal 31 5 2 5 5" xfId="19514" xr:uid="{00000000-0005-0000-0000-00001B590000}"/>
    <cellStyle name="Normal 31 5 2 6" xfId="2631" xr:uid="{00000000-0005-0000-0000-00001C590000}"/>
    <cellStyle name="Normal 31 5 2 6 2" xfId="7216" xr:uid="{00000000-0005-0000-0000-00001D590000}"/>
    <cellStyle name="Normal 31 5 2 6 2 2" xfId="16316" xr:uid="{00000000-0005-0000-0000-00001E590000}"/>
    <cellStyle name="Normal 31 5 2 6 2 2 2" xfId="34498" xr:uid="{00000000-0005-0000-0000-00001F590000}"/>
    <cellStyle name="Normal 31 5 2 6 2 3" xfId="25408" xr:uid="{00000000-0005-0000-0000-000020590000}"/>
    <cellStyle name="Normal 31 5 2 6 3" xfId="11780" xr:uid="{00000000-0005-0000-0000-000021590000}"/>
    <cellStyle name="Normal 31 5 2 6 3 2" xfId="29962" xr:uid="{00000000-0005-0000-0000-000022590000}"/>
    <cellStyle name="Normal 31 5 2 6 4" xfId="20872" xr:uid="{00000000-0005-0000-0000-000023590000}"/>
    <cellStyle name="Normal 31 5 2 7" xfId="3262" xr:uid="{00000000-0005-0000-0000-000024590000}"/>
    <cellStyle name="Normal 31 5 2 7 2" xfId="7822" xr:uid="{00000000-0005-0000-0000-000025590000}"/>
    <cellStyle name="Normal 31 5 2 7 2 2" xfId="16918" xr:uid="{00000000-0005-0000-0000-000026590000}"/>
    <cellStyle name="Normal 31 5 2 7 2 2 2" xfId="35100" xr:uid="{00000000-0005-0000-0000-000027590000}"/>
    <cellStyle name="Normal 31 5 2 7 2 3" xfId="26010" xr:uid="{00000000-0005-0000-0000-000028590000}"/>
    <cellStyle name="Normal 31 5 2 7 3" xfId="12378" xr:uid="{00000000-0005-0000-0000-000029590000}"/>
    <cellStyle name="Normal 31 5 2 7 3 2" xfId="30560" xr:uid="{00000000-0005-0000-0000-00002A590000}"/>
    <cellStyle name="Normal 31 5 2 7 4" xfId="21470" xr:uid="{00000000-0005-0000-0000-00002B590000}"/>
    <cellStyle name="Normal 31 5 2 8" xfId="4909" xr:uid="{00000000-0005-0000-0000-00002C590000}"/>
    <cellStyle name="Normal 31 5 2 8 2" xfId="14009" xr:uid="{00000000-0005-0000-0000-00002D590000}"/>
    <cellStyle name="Normal 31 5 2 8 2 2" xfId="32191" xr:uid="{00000000-0005-0000-0000-00002E590000}"/>
    <cellStyle name="Normal 31 5 2 8 3" xfId="23101" xr:uid="{00000000-0005-0000-0000-00002F590000}"/>
    <cellStyle name="Normal 31 5 2 9" xfId="9475" xr:uid="{00000000-0005-0000-0000-000030590000}"/>
    <cellStyle name="Normal 31 5 2 9 2" xfId="27657" xr:uid="{00000000-0005-0000-0000-000031590000}"/>
    <cellStyle name="Normal 31 5 3" xfId="1217" xr:uid="{00000000-0005-0000-0000-000032590000}"/>
    <cellStyle name="Normal 31 5 3 2" xfId="1218" xr:uid="{00000000-0005-0000-0000-000033590000}"/>
    <cellStyle name="Normal 31 5 3 2 2" xfId="1219" xr:uid="{00000000-0005-0000-0000-000034590000}"/>
    <cellStyle name="Normal 31 5 3 2 2 2" xfId="2632" xr:uid="{00000000-0005-0000-0000-000035590000}"/>
    <cellStyle name="Normal 31 5 3 2 2 2 2" xfId="7217" xr:uid="{00000000-0005-0000-0000-000036590000}"/>
    <cellStyle name="Normal 31 5 3 2 2 2 2 2" xfId="16317" xr:uid="{00000000-0005-0000-0000-000037590000}"/>
    <cellStyle name="Normal 31 5 3 2 2 2 2 2 2" xfId="34499" xr:uid="{00000000-0005-0000-0000-000038590000}"/>
    <cellStyle name="Normal 31 5 3 2 2 2 2 3" xfId="25409" xr:uid="{00000000-0005-0000-0000-000039590000}"/>
    <cellStyle name="Normal 31 5 3 2 2 2 3" xfId="11781" xr:uid="{00000000-0005-0000-0000-00003A590000}"/>
    <cellStyle name="Normal 31 5 3 2 2 2 3 2" xfId="29963" xr:uid="{00000000-0005-0000-0000-00003B590000}"/>
    <cellStyle name="Normal 31 5 3 2 2 2 4" xfId="20873" xr:uid="{00000000-0005-0000-0000-00003C590000}"/>
    <cellStyle name="Normal 31 5 3 2 2 3" xfId="4221" xr:uid="{00000000-0005-0000-0000-00003D590000}"/>
    <cellStyle name="Normal 31 5 3 2 2 3 2" xfId="8777" xr:uid="{00000000-0005-0000-0000-00003E590000}"/>
    <cellStyle name="Normal 31 5 3 2 2 3 2 2" xfId="17873" xr:uid="{00000000-0005-0000-0000-00003F590000}"/>
    <cellStyle name="Normal 31 5 3 2 2 3 2 2 2" xfId="36055" xr:uid="{00000000-0005-0000-0000-000040590000}"/>
    <cellStyle name="Normal 31 5 3 2 2 3 2 3" xfId="26965" xr:uid="{00000000-0005-0000-0000-000041590000}"/>
    <cellStyle name="Normal 31 5 3 2 2 3 3" xfId="13333" xr:uid="{00000000-0005-0000-0000-000042590000}"/>
    <cellStyle name="Normal 31 5 3 2 2 3 3 2" xfId="31515" xr:uid="{00000000-0005-0000-0000-000043590000}"/>
    <cellStyle name="Normal 31 5 3 2 2 3 4" xfId="22425" xr:uid="{00000000-0005-0000-0000-000044590000}"/>
    <cellStyle name="Normal 31 5 3 2 2 4" xfId="5860" xr:uid="{00000000-0005-0000-0000-000045590000}"/>
    <cellStyle name="Normal 31 5 3 2 2 4 2" xfId="14960" xr:uid="{00000000-0005-0000-0000-000046590000}"/>
    <cellStyle name="Normal 31 5 3 2 2 4 2 2" xfId="33142" xr:uid="{00000000-0005-0000-0000-000047590000}"/>
    <cellStyle name="Normal 31 5 3 2 2 4 3" xfId="24052" xr:uid="{00000000-0005-0000-0000-000048590000}"/>
    <cellStyle name="Normal 31 5 3 2 2 5" xfId="10426" xr:uid="{00000000-0005-0000-0000-000049590000}"/>
    <cellStyle name="Normal 31 5 3 2 2 5 2" xfId="28608" xr:uid="{00000000-0005-0000-0000-00004A590000}"/>
    <cellStyle name="Normal 31 5 3 2 2 6" xfId="19517" xr:uid="{00000000-0005-0000-0000-00004B590000}"/>
    <cellStyle name="Normal 31 5 3 2 3" xfId="2633" xr:uid="{00000000-0005-0000-0000-00004C590000}"/>
    <cellStyle name="Normal 31 5 3 2 3 2" xfId="7218" xr:uid="{00000000-0005-0000-0000-00004D590000}"/>
    <cellStyle name="Normal 31 5 3 2 3 2 2" xfId="16318" xr:uid="{00000000-0005-0000-0000-00004E590000}"/>
    <cellStyle name="Normal 31 5 3 2 3 2 2 2" xfId="34500" xr:uid="{00000000-0005-0000-0000-00004F590000}"/>
    <cellStyle name="Normal 31 5 3 2 3 2 3" xfId="25410" xr:uid="{00000000-0005-0000-0000-000050590000}"/>
    <cellStyle name="Normal 31 5 3 2 3 3" xfId="11782" xr:uid="{00000000-0005-0000-0000-000051590000}"/>
    <cellStyle name="Normal 31 5 3 2 3 3 2" xfId="29964" xr:uid="{00000000-0005-0000-0000-000052590000}"/>
    <cellStyle name="Normal 31 5 3 2 3 4" xfId="20874" xr:uid="{00000000-0005-0000-0000-000053590000}"/>
    <cellStyle name="Normal 31 5 3 2 4" xfId="4220" xr:uid="{00000000-0005-0000-0000-000054590000}"/>
    <cellStyle name="Normal 31 5 3 2 4 2" xfId="8776" xr:uid="{00000000-0005-0000-0000-000055590000}"/>
    <cellStyle name="Normal 31 5 3 2 4 2 2" xfId="17872" xr:uid="{00000000-0005-0000-0000-000056590000}"/>
    <cellStyle name="Normal 31 5 3 2 4 2 2 2" xfId="36054" xr:uid="{00000000-0005-0000-0000-000057590000}"/>
    <cellStyle name="Normal 31 5 3 2 4 2 3" xfId="26964" xr:uid="{00000000-0005-0000-0000-000058590000}"/>
    <cellStyle name="Normal 31 5 3 2 4 3" xfId="13332" xr:uid="{00000000-0005-0000-0000-000059590000}"/>
    <cellStyle name="Normal 31 5 3 2 4 3 2" xfId="31514" xr:uid="{00000000-0005-0000-0000-00005A590000}"/>
    <cellStyle name="Normal 31 5 3 2 4 4" xfId="22424" xr:uid="{00000000-0005-0000-0000-00005B590000}"/>
    <cellStyle name="Normal 31 5 3 2 5" xfId="5859" xr:uid="{00000000-0005-0000-0000-00005C590000}"/>
    <cellStyle name="Normal 31 5 3 2 5 2" xfId="14959" xr:uid="{00000000-0005-0000-0000-00005D590000}"/>
    <cellStyle name="Normal 31 5 3 2 5 2 2" xfId="33141" xr:uid="{00000000-0005-0000-0000-00005E590000}"/>
    <cellStyle name="Normal 31 5 3 2 5 3" xfId="24051" xr:uid="{00000000-0005-0000-0000-00005F590000}"/>
    <cellStyle name="Normal 31 5 3 2 6" xfId="10425" xr:uid="{00000000-0005-0000-0000-000060590000}"/>
    <cellStyle name="Normal 31 5 3 2 6 2" xfId="28607" xr:uid="{00000000-0005-0000-0000-000061590000}"/>
    <cellStyle name="Normal 31 5 3 2 7" xfId="19516" xr:uid="{00000000-0005-0000-0000-000062590000}"/>
    <cellStyle name="Normal 31 5 3 3" xfId="1220" xr:uid="{00000000-0005-0000-0000-000063590000}"/>
    <cellStyle name="Normal 31 5 3 3 2" xfId="2634" xr:uid="{00000000-0005-0000-0000-000064590000}"/>
    <cellStyle name="Normal 31 5 3 3 2 2" xfId="7219" xr:uid="{00000000-0005-0000-0000-000065590000}"/>
    <cellStyle name="Normal 31 5 3 3 2 2 2" xfId="16319" xr:uid="{00000000-0005-0000-0000-000066590000}"/>
    <cellStyle name="Normal 31 5 3 3 2 2 2 2" xfId="34501" xr:uid="{00000000-0005-0000-0000-000067590000}"/>
    <cellStyle name="Normal 31 5 3 3 2 2 3" xfId="25411" xr:uid="{00000000-0005-0000-0000-000068590000}"/>
    <cellStyle name="Normal 31 5 3 3 2 3" xfId="11783" xr:uid="{00000000-0005-0000-0000-000069590000}"/>
    <cellStyle name="Normal 31 5 3 3 2 3 2" xfId="29965" xr:uid="{00000000-0005-0000-0000-00006A590000}"/>
    <cellStyle name="Normal 31 5 3 3 2 4" xfId="20875" xr:uid="{00000000-0005-0000-0000-00006B590000}"/>
    <cellStyle name="Normal 31 5 3 3 3" xfId="4222" xr:uid="{00000000-0005-0000-0000-00006C590000}"/>
    <cellStyle name="Normal 31 5 3 3 3 2" xfId="8778" xr:uid="{00000000-0005-0000-0000-00006D590000}"/>
    <cellStyle name="Normal 31 5 3 3 3 2 2" xfId="17874" xr:uid="{00000000-0005-0000-0000-00006E590000}"/>
    <cellStyle name="Normal 31 5 3 3 3 2 2 2" xfId="36056" xr:uid="{00000000-0005-0000-0000-00006F590000}"/>
    <cellStyle name="Normal 31 5 3 3 3 2 3" xfId="26966" xr:uid="{00000000-0005-0000-0000-000070590000}"/>
    <cellStyle name="Normal 31 5 3 3 3 3" xfId="13334" xr:uid="{00000000-0005-0000-0000-000071590000}"/>
    <cellStyle name="Normal 31 5 3 3 3 3 2" xfId="31516" xr:uid="{00000000-0005-0000-0000-000072590000}"/>
    <cellStyle name="Normal 31 5 3 3 3 4" xfId="22426" xr:uid="{00000000-0005-0000-0000-000073590000}"/>
    <cellStyle name="Normal 31 5 3 3 4" xfId="5861" xr:uid="{00000000-0005-0000-0000-000074590000}"/>
    <cellStyle name="Normal 31 5 3 3 4 2" xfId="14961" xr:uid="{00000000-0005-0000-0000-000075590000}"/>
    <cellStyle name="Normal 31 5 3 3 4 2 2" xfId="33143" xr:uid="{00000000-0005-0000-0000-000076590000}"/>
    <cellStyle name="Normal 31 5 3 3 4 3" xfId="24053" xr:uid="{00000000-0005-0000-0000-000077590000}"/>
    <cellStyle name="Normal 31 5 3 3 5" xfId="10427" xr:uid="{00000000-0005-0000-0000-000078590000}"/>
    <cellStyle name="Normal 31 5 3 3 5 2" xfId="28609" xr:uid="{00000000-0005-0000-0000-000079590000}"/>
    <cellStyle name="Normal 31 5 3 3 6" xfId="19518" xr:uid="{00000000-0005-0000-0000-00007A590000}"/>
    <cellStyle name="Normal 31 5 3 4" xfId="1221" xr:uid="{00000000-0005-0000-0000-00007B590000}"/>
    <cellStyle name="Normal 31 5 3 4 2" xfId="4223" xr:uid="{00000000-0005-0000-0000-00007C590000}"/>
    <cellStyle name="Normal 31 5 3 4 2 2" xfId="8779" xr:uid="{00000000-0005-0000-0000-00007D590000}"/>
    <cellStyle name="Normal 31 5 3 4 2 2 2" xfId="17875" xr:uid="{00000000-0005-0000-0000-00007E590000}"/>
    <cellStyle name="Normal 31 5 3 4 2 2 2 2" xfId="36057" xr:uid="{00000000-0005-0000-0000-00007F590000}"/>
    <cellStyle name="Normal 31 5 3 4 2 2 3" xfId="26967" xr:uid="{00000000-0005-0000-0000-000080590000}"/>
    <cellStyle name="Normal 31 5 3 4 2 3" xfId="13335" xr:uid="{00000000-0005-0000-0000-000081590000}"/>
    <cellStyle name="Normal 31 5 3 4 2 3 2" xfId="31517" xr:uid="{00000000-0005-0000-0000-000082590000}"/>
    <cellStyle name="Normal 31 5 3 4 2 4" xfId="22427" xr:uid="{00000000-0005-0000-0000-000083590000}"/>
    <cellStyle name="Normal 31 5 3 4 3" xfId="5862" xr:uid="{00000000-0005-0000-0000-000084590000}"/>
    <cellStyle name="Normal 31 5 3 4 3 2" xfId="14962" xr:uid="{00000000-0005-0000-0000-000085590000}"/>
    <cellStyle name="Normal 31 5 3 4 3 2 2" xfId="33144" xr:uid="{00000000-0005-0000-0000-000086590000}"/>
    <cellStyle name="Normal 31 5 3 4 3 3" xfId="24054" xr:uid="{00000000-0005-0000-0000-000087590000}"/>
    <cellStyle name="Normal 31 5 3 4 4" xfId="10428" xr:uid="{00000000-0005-0000-0000-000088590000}"/>
    <cellStyle name="Normal 31 5 3 4 4 2" xfId="28610" xr:uid="{00000000-0005-0000-0000-000089590000}"/>
    <cellStyle name="Normal 31 5 3 4 5" xfId="19519" xr:uid="{00000000-0005-0000-0000-00008A590000}"/>
    <cellStyle name="Normal 31 5 3 5" xfId="2635" xr:uid="{00000000-0005-0000-0000-00008B590000}"/>
    <cellStyle name="Normal 31 5 3 5 2" xfId="7220" xr:uid="{00000000-0005-0000-0000-00008C590000}"/>
    <cellStyle name="Normal 31 5 3 5 2 2" xfId="16320" xr:uid="{00000000-0005-0000-0000-00008D590000}"/>
    <cellStyle name="Normal 31 5 3 5 2 2 2" xfId="34502" xr:uid="{00000000-0005-0000-0000-00008E590000}"/>
    <cellStyle name="Normal 31 5 3 5 2 3" xfId="25412" xr:uid="{00000000-0005-0000-0000-00008F590000}"/>
    <cellStyle name="Normal 31 5 3 5 3" xfId="11784" xr:uid="{00000000-0005-0000-0000-000090590000}"/>
    <cellStyle name="Normal 31 5 3 5 3 2" xfId="29966" xr:uid="{00000000-0005-0000-0000-000091590000}"/>
    <cellStyle name="Normal 31 5 3 5 4" xfId="20876" xr:uid="{00000000-0005-0000-0000-000092590000}"/>
    <cellStyle name="Normal 31 5 3 6" xfId="4219" xr:uid="{00000000-0005-0000-0000-000093590000}"/>
    <cellStyle name="Normal 31 5 3 6 2" xfId="8775" xr:uid="{00000000-0005-0000-0000-000094590000}"/>
    <cellStyle name="Normal 31 5 3 6 2 2" xfId="17871" xr:uid="{00000000-0005-0000-0000-000095590000}"/>
    <cellStyle name="Normal 31 5 3 6 2 2 2" xfId="36053" xr:uid="{00000000-0005-0000-0000-000096590000}"/>
    <cellStyle name="Normal 31 5 3 6 2 3" xfId="26963" xr:uid="{00000000-0005-0000-0000-000097590000}"/>
    <cellStyle name="Normal 31 5 3 6 3" xfId="13331" xr:uid="{00000000-0005-0000-0000-000098590000}"/>
    <cellStyle name="Normal 31 5 3 6 3 2" xfId="31513" xr:uid="{00000000-0005-0000-0000-000099590000}"/>
    <cellStyle name="Normal 31 5 3 6 4" xfId="22423" xr:uid="{00000000-0005-0000-0000-00009A590000}"/>
    <cellStyle name="Normal 31 5 3 7" xfId="5858" xr:uid="{00000000-0005-0000-0000-00009B590000}"/>
    <cellStyle name="Normal 31 5 3 7 2" xfId="14958" xr:uid="{00000000-0005-0000-0000-00009C590000}"/>
    <cellStyle name="Normal 31 5 3 7 2 2" xfId="33140" xr:uid="{00000000-0005-0000-0000-00009D590000}"/>
    <cellStyle name="Normal 31 5 3 7 3" xfId="24050" xr:uid="{00000000-0005-0000-0000-00009E590000}"/>
    <cellStyle name="Normal 31 5 3 8" xfId="10424" xr:uid="{00000000-0005-0000-0000-00009F590000}"/>
    <cellStyle name="Normal 31 5 3 8 2" xfId="28606" xr:uid="{00000000-0005-0000-0000-0000A0590000}"/>
    <cellStyle name="Normal 31 5 3 9" xfId="19515" xr:uid="{00000000-0005-0000-0000-0000A1590000}"/>
    <cellStyle name="Normal 31 5 4" xfId="1222" xr:uid="{00000000-0005-0000-0000-0000A2590000}"/>
    <cellStyle name="Normal 31 5 4 2" xfId="1223" xr:uid="{00000000-0005-0000-0000-0000A3590000}"/>
    <cellStyle name="Normal 31 5 4 2 2" xfId="2636" xr:uid="{00000000-0005-0000-0000-0000A4590000}"/>
    <cellStyle name="Normal 31 5 4 2 2 2" xfId="7221" xr:uid="{00000000-0005-0000-0000-0000A5590000}"/>
    <cellStyle name="Normal 31 5 4 2 2 2 2" xfId="16321" xr:uid="{00000000-0005-0000-0000-0000A6590000}"/>
    <cellStyle name="Normal 31 5 4 2 2 2 2 2" xfId="34503" xr:uid="{00000000-0005-0000-0000-0000A7590000}"/>
    <cellStyle name="Normal 31 5 4 2 2 2 3" xfId="25413" xr:uid="{00000000-0005-0000-0000-0000A8590000}"/>
    <cellStyle name="Normal 31 5 4 2 2 3" xfId="11785" xr:uid="{00000000-0005-0000-0000-0000A9590000}"/>
    <cellStyle name="Normal 31 5 4 2 2 3 2" xfId="29967" xr:uid="{00000000-0005-0000-0000-0000AA590000}"/>
    <cellStyle name="Normal 31 5 4 2 2 4" xfId="20877" xr:uid="{00000000-0005-0000-0000-0000AB590000}"/>
    <cellStyle name="Normal 31 5 4 2 3" xfId="4225" xr:uid="{00000000-0005-0000-0000-0000AC590000}"/>
    <cellStyle name="Normal 31 5 4 2 3 2" xfId="8781" xr:uid="{00000000-0005-0000-0000-0000AD590000}"/>
    <cellStyle name="Normal 31 5 4 2 3 2 2" xfId="17877" xr:uid="{00000000-0005-0000-0000-0000AE590000}"/>
    <cellStyle name="Normal 31 5 4 2 3 2 2 2" xfId="36059" xr:uid="{00000000-0005-0000-0000-0000AF590000}"/>
    <cellStyle name="Normal 31 5 4 2 3 2 3" xfId="26969" xr:uid="{00000000-0005-0000-0000-0000B0590000}"/>
    <cellStyle name="Normal 31 5 4 2 3 3" xfId="13337" xr:uid="{00000000-0005-0000-0000-0000B1590000}"/>
    <cellStyle name="Normal 31 5 4 2 3 3 2" xfId="31519" xr:uid="{00000000-0005-0000-0000-0000B2590000}"/>
    <cellStyle name="Normal 31 5 4 2 3 4" xfId="22429" xr:uid="{00000000-0005-0000-0000-0000B3590000}"/>
    <cellStyle name="Normal 31 5 4 2 4" xfId="5864" xr:uid="{00000000-0005-0000-0000-0000B4590000}"/>
    <cellStyle name="Normal 31 5 4 2 4 2" xfId="14964" xr:uid="{00000000-0005-0000-0000-0000B5590000}"/>
    <cellStyle name="Normal 31 5 4 2 4 2 2" xfId="33146" xr:uid="{00000000-0005-0000-0000-0000B6590000}"/>
    <cellStyle name="Normal 31 5 4 2 4 3" xfId="24056" xr:uid="{00000000-0005-0000-0000-0000B7590000}"/>
    <cellStyle name="Normal 31 5 4 2 5" xfId="10430" xr:uid="{00000000-0005-0000-0000-0000B8590000}"/>
    <cellStyle name="Normal 31 5 4 2 5 2" xfId="28612" xr:uid="{00000000-0005-0000-0000-0000B9590000}"/>
    <cellStyle name="Normal 31 5 4 2 6" xfId="19521" xr:uid="{00000000-0005-0000-0000-0000BA590000}"/>
    <cellStyle name="Normal 31 5 4 3" xfId="2637" xr:uid="{00000000-0005-0000-0000-0000BB590000}"/>
    <cellStyle name="Normal 31 5 4 3 2" xfId="7222" xr:uid="{00000000-0005-0000-0000-0000BC590000}"/>
    <cellStyle name="Normal 31 5 4 3 2 2" xfId="16322" xr:uid="{00000000-0005-0000-0000-0000BD590000}"/>
    <cellStyle name="Normal 31 5 4 3 2 2 2" xfId="34504" xr:uid="{00000000-0005-0000-0000-0000BE590000}"/>
    <cellStyle name="Normal 31 5 4 3 2 3" xfId="25414" xr:uid="{00000000-0005-0000-0000-0000BF590000}"/>
    <cellStyle name="Normal 31 5 4 3 3" xfId="11786" xr:uid="{00000000-0005-0000-0000-0000C0590000}"/>
    <cellStyle name="Normal 31 5 4 3 3 2" xfId="29968" xr:uid="{00000000-0005-0000-0000-0000C1590000}"/>
    <cellStyle name="Normal 31 5 4 3 4" xfId="20878" xr:uid="{00000000-0005-0000-0000-0000C2590000}"/>
    <cellStyle name="Normal 31 5 4 4" xfId="4224" xr:uid="{00000000-0005-0000-0000-0000C3590000}"/>
    <cellStyle name="Normal 31 5 4 4 2" xfId="8780" xr:uid="{00000000-0005-0000-0000-0000C4590000}"/>
    <cellStyle name="Normal 31 5 4 4 2 2" xfId="17876" xr:uid="{00000000-0005-0000-0000-0000C5590000}"/>
    <cellStyle name="Normal 31 5 4 4 2 2 2" xfId="36058" xr:uid="{00000000-0005-0000-0000-0000C6590000}"/>
    <cellStyle name="Normal 31 5 4 4 2 3" xfId="26968" xr:uid="{00000000-0005-0000-0000-0000C7590000}"/>
    <cellStyle name="Normal 31 5 4 4 3" xfId="13336" xr:uid="{00000000-0005-0000-0000-0000C8590000}"/>
    <cellStyle name="Normal 31 5 4 4 3 2" xfId="31518" xr:uid="{00000000-0005-0000-0000-0000C9590000}"/>
    <cellStyle name="Normal 31 5 4 4 4" xfId="22428" xr:uid="{00000000-0005-0000-0000-0000CA590000}"/>
    <cellStyle name="Normal 31 5 4 5" xfId="5863" xr:uid="{00000000-0005-0000-0000-0000CB590000}"/>
    <cellStyle name="Normal 31 5 4 5 2" xfId="14963" xr:uid="{00000000-0005-0000-0000-0000CC590000}"/>
    <cellStyle name="Normal 31 5 4 5 2 2" xfId="33145" xr:uid="{00000000-0005-0000-0000-0000CD590000}"/>
    <cellStyle name="Normal 31 5 4 5 3" xfId="24055" xr:uid="{00000000-0005-0000-0000-0000CE590000}"/>
    <cellStyle name="Normal 31 5 4 6" xfId="10429" xr:uid="{00000000-0005-0000-0000-0000CF590000}"/>
    <cellStyle name="Normal 31 5 4 6 2" xfId="28611" xr:uid="{00000000-0005-0000-0000-0000D0590000}"/>
    <cellStyle name="Normal 31 5 4 7" xfId="19520" xr:uid="{00000000-0005-0000-0000-0000D1590000}"/>
    <cellStyle name="Normal 31 5 5" xfId="1224" xr:uid="{00000000-0005-0000-0000-0000D2590000}"/>
    <cellStyle name="Normal 31 5 5 2" xfId="2638" xr:uid="{00000000-0005-0000-0000-0000D3590000}"/>
    <cellStyle name="Normal 31 5 5 2 2" xfId="7223" xr:uid="{00000000-0005-0000-0000-0000D4590000}"/>
    <cellStyle name="Normal 31 5 5 2 2 2" xfId="16323" xr:uid="{00000000-0005-0000-0000-0000D5590000}"/>
    <cellStyle name="Normal 31 5 5 2 2 2 2" xfId="34505" xr:uid="{00000000-0005-0000-0000-0000D6590000}"/>
    <cellStyle name="Normal 31 5 5 2 2 3" xfId="25415" xr:uid="{00000000-0005-0000-0000-0000D7590000}"/>
    <cellStyle name="Normal 31 5 5 2 3" xfId="11787" xr:uid="{00000000-0005-0000-0000-0000D8590000}"/>
    <cellStyle name="Normal 31 5 5 2 3 2" xfId="29969" xr:uid="{00000000-0005-0000-0000-0000D9590000}"/>
    <cellStyle name="Normal 31 5 5 2 4" xfId="20879" xr:uid="{00000000-0005-0000-0000-0000DA590000}"/>
    <cellStyle name="Normal 31 5 5 3" xfId="4226" xr:uid="{00000000-0005-0000-0000-0000DB590000}"/>
    <cellStyle name="Normal 31 5 5 3 2" xfId="8782" xr:uid="{00000000-0005-0000-0000-0000DC590000}"/>
    <cellStyle name="Normal 31 5 5 3 2 2" xfId="17878" xr:uid="{00000000-0005-0000-0000-0000DD590000}"/>
    <cellStyle name="Normal 31 5 5 3 2 2 2" xfId="36060" xr:uid="{00000000-0005-0000-0000-0000DE590000}"/>
    <cellStyle name="Normal 31 5 5 3 2 3" xfId="26970" xr:uid="{00000000-0005-0000-0000-0000DF590000}"/>
    <cellStyle name="Normal 31 5 5 3 3" xfId="13338" xr:uid="{00000000-0005-0000-0000-0000E0590000}"/>
    <cellStyle name="Normal 31 5 5 3 3 2" xfId="31520" xr:uid="{00000000-0005-0000-0000-0000E1590000}"/>
    <cellStyle name="Normal 31 5 5 3 4" xfId="22430" xr:uid="{00000000-0005-0000-0000-0000E2590000}"/>
    <cellStyle name="Normal 31 5 5 4" xfId="5865" xr:uid="{00000000-0005-0000-0000-0000E3590000}"/>
    <cellStyle name="Normal 31 5 5 4 2" xfId="14965" xr:uid="{00000000-0005-0000-0000-0000E4590000}"/>
    <cellStyle name="Normal 31 5 5 4 2 2" xfId="33147" xr:uid="{00000000-0005-0000-0000-0000E5590000}"/>
    <cellStyle name="Normal 31 5 5 4 3" xfId="24057" xr:uid="{00000000-0005-0000-0000-0000E6590000}"/>
    <cellStyle name="Normal 31 5 5 5" xfId="10431" xr:uid="{00000000-0005-0000-0000-0000E7590000}"/>
    <cellStyle name="Normal 31 5 5 5 2" xfId="28613" xr:uid="{00000000-0005-0000-0000-0000E8590000}"/>
    <cellStyle name="Normal 31 5 5 6" xfId="19522" xr:uid="{00000000-0005-0000-0000-0000E9590000}"/>
    <cellStyle name="Normal 31 5 6" xfId="1225" xr:uid="{00000000-0005-0000-0000-0000EA590000}"/>
    <cellStyle name="Normal 31 5 6 2" xfId="4227" xr:uid="{00000000-0005-0000-0000-0000EB590000}"/>
    <cellStyle name="Normal 31 5 6 2 2" xfId="8783" xr:uid="{00000000-0005-0000-0000-0000EC590000}"/>
    <cellStyle name="Normal 31 5 6 2 2 2" xfId="17879" xr:uid="{00000000-0005-0000-0000-0000ED590000}"/>
    <cellStyle name="Normal 31 5 6 2 2 2 2" xfId="36061" xr:uid="{00000000-0005-0000-0000-0000EE590000}"/>
    <cellStyle name="Normal 31 5 6 2 2 3" xfId="26971" xr:uid="{00000000-0005-0000-0000-0000EF590000}"/>
    <cellStyle name="Normal 31 5 6 2 3" xfId="13339" xr:uid="{00000000-0005-0000-0000-0000F0590000}"/>
    <cellStyle name="Normal 31 5 6 2 3 2" xfId="31521" xr:uid="{00000000-0005-0000-0000-0000F1590000}"/>
    <cellStyle name="Normal 31 5 6 2 4" xfId="22431" xr:uid="{00000000-0005-0000-0000-0000F2590000}"/>
    <cellStyle name="Normal 31 5 6 3" xfId="5866" xr:uid="{00000000-0005-0000-0000-0000F3590000}"/>
    <cellStyle name="Normal 31 5 6 3 2" xfId="14966" xr:uid="{00000000-0005-0000-0000-0000F4590000}"/>
    <cellStyle name="Normal 31 5 6 3 2 2" xfId="33148" xr:uid="{00000000-0005-0000-0000-0000F5590000}"/>
    <cellStyle name="Normal 31 5 6 3 3" xfId="24058" xr:uid="{00000000-0005-0000-0000-0000F6590000}"/>
    <cellStyle name="Normal 31 5 6 4" xfId="10432" xr:uid="{00000000-0005-0000-0000-0000F7590000}"/>
    <cellStyle name="Normal 31 5 6 4 2" xfId="28614" xr:uid="{00000000-0005-0000-0000-0000F8590000}"/>
    <cellStyle name="Normal 31 5 6 5" xfId="19523" xr:uid="{00000000-0005-0000-0000-0000F9590000}"/>
    <cellStyle name="Normal 31 5 7" xfId="2639" xr:uid="{00000000-0005-0000-0000-0000FA590000}"/>
    <cellStyle name="Normal 31 5 7 2" xfId="7224" xr:uid="{00000000-0005-0000-0000-0000FB590000}"/>
    <cellStyle name="Normal 31 5 7 2 2" xfId="16324" xr:uid="{00000000-0005-0000-0000-0000FC590000}"/>
    <cellStyle name="Normal 31 5 7 2 2 2" xfId="34506" xr:uid="{00000000-0005-0000-0000-0000FD590000}"/>
    <cellStyle name="Normal 31 5 7 2 3" xfId="25416" xr:uid="{00000000-0005-0000-0000-0000FE590000}"/>
    <cellStyle name="Normal 31 5 7 3" xfId="11788" xr:uid="{00000000-0005-0000-0000-0000FF590000}"/>
    <cellStyle name="Normal 31 5 7 3 2" xfId="29970" xr:uid="{00000000-0005-0000-0000-0000005A0000}"/>
    <cellStyle name="Normal 31 5 7 4" xfId="20880" xr:uid="{00000000-0005-0000-0000-0000015A0000}"/>
    <cellStyle name="Normal 31 5 8" xfId="3257" xr:uid="{00000000-0005-0000-0000-0000025A0000}"/>
    <cellStyle name="Normal 31 5 8 2" xfId="7817" xr:uid="{00000000-0005-0000-0000-0000035A0000}"/>
    <cellStyle name="Normal 31 5 8 2 2" xfId="16913" xr:uid="{00000000-0005-0000-0000-0000045A0000}"/>
    <cellStyle name="Normal 31 5 8 2 2 2" xfId="35095" xr:uid="{00000000-0005-0000-0000-0000055A0000}"/>
    <cellStyle name="Normal 31 5 8 2 3" xfId="26005" xr:uid="{00000000-0005-0000-0000-0000065A0000}"/>
    <cellStyle name="Normal 31 5 8 3" xfId="12373" xr:uid="{00000000-0005-0000-0000-0000075A0000}"/>
    <cellStyle name="Normal 31 5 8 3 2" xfId="30555" xr:uid="{00000000-0005-0000-0000-0000085A0000}"/>
    <cellStyle name="Normal 31 5 8 4" xfId="21465" xr:uid="{00000000-0005-0000-0000-0000095A0000}"/>
    <cellStyle name="Normal 31 5 9" xfId="4904" xr:uid="{00000000-0005-0000-0000-00000A5A0000}"/>
    <cellStyle name="Normal 31 5 9 2" xfId="14004" xr:uid="{00000000-0005-0000-0000-00000B5A0000}"/>
    <cellStyle name="Normal 31 5 9 2 2" xfId="32186" xr:uid="{00000000-0005-0000-0000-00000C5A0000}"/>
    <cellStyle name="Normal 31 5 9 3" xfId="23096" xr:uid="{00000000-0005-0000-0000-00000D5A0000}"/>
    <cellStyle name="Normal 31 6" xfId="1226" xr:uid="{00000000-0005-0000-0000-00000E5A0000}"/>
    <cellStyle name="Normal 31 6 2" xfId="1227" xr:uid="{00000000-0005-0000-0000-00000F5A0000}"/>
    <cellStyle name="Normal 31 6 2 2" xfId="1228" xr:uid="{00000000-0005-0000-0000-0000105A0000}"/>
    <cellStyle name="Normal 31 6 2 2 2" xfId="2640" xr:uid="{00000000-0005-0000-0000-0000115A0000}"/>
    <cellStyle name="Normal 31 6 2 2 2 2" xfId="7225" xr:uid="{00000000-0005-0000-0000-0000125A0000}"/>
    <cellStyle name="Normal 31 6 2 2 2 2 2" xfId="16325" xr:uid="{00000000-0005-0000-0000-0000135A0000}"/>
    <cellStyle name="Normal 31 6 2 2 2 2 2 2" xfId="34507" xr:uid="{00000000-0005-0000-0000-0000145A0000}"/>
    <cellStyle name="Normal 31 6 2 2 2 2 3" xfId="25417" xr:uid="{00000000-0005-0000-0000-0000155A0000}"/>
    <cellStyle name="Normal 31 6 2 2 2 3" xfId="11789" xr:uid="{00000000-0005-0000-0000-0000165A0000}"/>
    <cellStyle name="Normal 31 6 2 2 2 3 2" xfId="29971" xr:uid="{00000000-0005-0000-0000-0000175A0000}"/>
    <cellStyle name="Normal 31 6 2 2 2 4" xfId="20881" xr:uid="{00000000-0005-0000-0000-0000185A0000}"/>
    <cellStyle name="Normal 31 6 2 2 3" xfId="4230" xr:uid="{00000000-0005-0000-0000-0000195A0000}"/>
    <cellStyle name="Normal 31 6 2 2 3 2" xfId="8786" xr:uid="{00000000-0005-0000-0000-00001A5A0000}"/>
    <cellStyle name="Normal 31 6 2 2 3 2 2" xfId="17882" xr:uid="{00000000-0005-0000-0000-00001B5A0000}"/>
    <cellStyle name="Normal 31 6 2 2 3 2 2 2" xfId="36064" xr:uid="{00000000-0005-0000-0000-00001C5A0000}"/>
    <cellStyle name="Normal 31 6 2 2 3 2 3" xfId="26974" xr:uid="{00000000-0005-0000-0000-00001D5A0000}"/>
    <cellStyle name="Normal 31 6 2 2 3 3" xfId="13342" xr:uid="{00000000-0005-0000-0000-00001E5A0000}"/>
    <cellStyle name="Normal 31 6 2 2 3 3 2" xfId="31524" xr:uid="{00000000-0005-0000-0000-00001F5A0000}"/>
    <cellStyle name="Normal 31 6 2 2 3 4" xfId="22434" xr:uid="{00000000-0005-0000-0000-0000205A0000}"/>
    <cellStyle name="Normal 31 6 2 2 4" xfId="5869" xr:uid="{00000000-0005-0000-0000-0000215A0000}"/>
    <cellStyle name="Normal 31 6 2 2 4 2" xfId="14969" xr:uid="{00000000-0005-0000-0000-0000225A0000}"/>
    <cellStyle name="Normal 31 6 2 2 4 2 2" xfId="33151" xr:uid="{00000000-0005-0000-0000-0000235A0000}"/>
    <cellStyle name="Normal 31 6 2 2 4 3" xfId="24061" xr:uid="{00000000-0005-0000-0000-0000245A0000}"/>
    <cellStyle name="Normal 31 6 2 2 5" xfId="10435" xr:uid="{00000000-0005-0000-0000-0000255A0000}"/>
    <cellStyle name="Normal 31 6 2 2 5 2" xfId="28617" xr:uid="{00000000-0005-0000-0000-0000265A0000}"/>
    <cellStyle name="Normal 31 6 2 2 6" xfId="19526" xr:uid="{00000000-0005-0000-0000-0000275A0000}"/>
    <cellStyle name="Normal 31 6 2 3" xfId="2641" xr:uid="{00000000-0005-0000-0000-0000285A0000}"/>
    <cellStyle name="Normal 31 6 2 3 2" xfId="7226" xr:uid="{00000000-0005-0000-0000-0000295A0000}"/>
    <cellStyle name="Normal 31 6 2 3 2 2" xfId="16326" xr:uid="{00000000-0005-0000-0000-00002A5A0000}"/>
    <cellStyle name="Normal 31 6 2 3 2 2 2" xfId="34508" xr:uid="{00000000-0005-0000-0000-00002B5A0000}"/>
    <cellStyle name="Normal 31 6 2 3 2 3" xfId="25418" xr:uid="{00000000-0005-0000-0000-00002C5A0000}"/>
    <cellStyle name="Normal 31 6 2 3 3" xfId="11790" xr:uid="{00000000-0005-0000-0000-00002D5A0000}"/>
    <cellStyle name="Normal 31 6 2 3 3 2" xfId="29972" xr:uid="{00000000-0005-0000-0000-00002E5A0000}"/>
    <cellStyle name="Normal 31 6 2 3 4" xfId="20882" xr:uid="{00000000-0005-0000-0000-00002F5A0000}"/>
    <cellStyle name="Normal 31 6 2 4" xfId="4229" xr:uid="{00000000-0005-0000-0000-0000305A0000}"/>
    <cellStyle name="Normal 31 6 2 4 2" xfId="8785" xr:uid="{00000000-0005-0000-0000-0000315A0000}"/>
    <cellStyle name="Normal 31 6 2 4 2 2" xfId="17881" xr:uid="{00000000-0005-0000-0000-0000325A0000}"/>
    <cellStyle name="Normal 31 6 2 4 2 2 2" xfId="36063" xr:uid="{00000000-0005-0000-0000-0000335A0000}"/>
    <cellStyle name="Normal 31 6 2 4 2 3" xfId="26973" xr:uid="{00000000-0005-0000-0000-0000345A0000}"/>
    <cellStyle name="Normal 31 6 2 4 3" xfId="13341" xr:uid="{00000000-0005-0000-0000-0000355A0000}"/>
    <cellStyle name="Normal 31 6 2 4 3 2" xfId="31523" xr:uid="{00000000-0005-0000-0000-0000365A0000}"/>
    <cellStyle name="Normal 31 6 2 4 4" xfId="22433" xr:uid="{00000000-0005-0000-0000-0000375A0000}"/>
    <cellStyle name="Normal 31 6 2 5" xfId="5868" xr:uid="{00000000-0005-0000-0000-0000385A0000}"/>
    <cellStyle name="Normal 31 6 2 5 2" xfId="14968" xr:uid="{00000000-0005-0000-0000-0000395A0000}"/>
    <cellStyle name="Normal 31 6 2 5 2 2" xfId="33150" xr:uid="{00000000-0005-0000-0000-00003A5A0000}"/>
    <cellStyle name="Normal 31 6 2 5 3" xfId="24060" xr:uid="{00000000-0005-0000-0000-00003B5A0000}"/>
    <cellStyle name="Normal 31 6 2 6" xfId="10434" xr:uid="{00000000-0005-0000-0000-00003C5A0000}"/>
    <cellStyle name="Normal 31 6 2 6 2" xfId="28616" xr:uid="{00000000-0005-0000-0000-00003D5A0000}"/>
    <cellStyle name="Normal 31 6 2 7" xfId="19525" xr:uid="{00000000-0005-0000-0000-00003E5A0000}"/>
    <cellStyle name="Normal 31 6 3" xfId="1229" xr:uid="{00000000-0005-0000-0000-00003F5A0000}"/>
    <cellStyle name="Normal 31 6 3 2" xfId="2642" xr:uid="{00000000-0005-0000-0000-0000405A0000}"/>
    <cellStyle name="Normal 31 6 3 2 2" xfId="7227" xr:uid="{00000000-0005-0000-0000-0000415A0000}"/>
    <cellStyle name="Normal 31 6 3 2 2 2" xfId="16327" xr:uid="{00000000-0005-0000-0000-0000425A0000}"/>
    <cellStyle name="Normal 31 6 3 2 2 2 2" xfId="34509" xr:uid="{00000000-0005-0000-0000-0000435A0000}"/>
    <cellStyle name="Normal 31 6 3 2 2 3" xfId="25419" xr:uid="{00000000-0005-0000-0000-0000445A0000}"/>
    <cellStyle name="Normal 31 6 3 2 3" xfId="11791" xr:uid="{00000000-0005-0000-0000-0000455A0000}"/>
    <cellStyle name="Normal 31 6 3 2 3 2" xfId="29973" xr:uid="{00000000-0005-0000-0000-0000465A0000}"/>
    <cellStyle name="Normal 31 6 3 2 4" xfId="20883" xr:uid="{00000000-0005-0000-0000-0000475A0000}"/>
    <cellStyle name="Normal 31 6 3 3" xfId="4231" xr:uid="{00000000-0005-0000-0000-0000485A0000}"/>
    <cellStyle name="Normal 31 6 3 3 2" xfId="8787" xr:uid="{00000000-0005-0000-0000-0000495A0000}"/>
    <cellStyle name="Normal 31 6 3 3 2 2" xfId="17883" xr:uid="{00000000-0005-0000-0000-00004A5A0000}"/>
    <cellStyle name="Normal 31 6 3 3 2 2 2" xfId="36065" xr:uid="{00000000-0005-0000-0000-00004B5A0000}"/>
    <cellStyle name="Normal 31 6 3 3 2 3" xfId="26975" xr:uid="{00000000-0005-0000-0000-00004C5A0000}"/>
    <cellStyle name="Normal 31 6 3 3 3" xfId="13343" xr:uid="{00000000-0005-0000-0000-00004D5A0000}"/>
    <cellStyle name="Normal 31 6 3 3 3 2" xfId="31525" xr:uid="{00000000-0005-0000-0000-00004E5A0000}"/>
    <cellStyle name="Normal 31 6 3 3 4" xfId="22435" xr:uid="{00000000-0005-0000-0000-00004F5A0000}"/>
    <cellStyle name="Normal 31 6 3 4" xfId="5870" xr:uid="{00000000-0005-0000-0000-0000505A0000}"/>
    <cellStyle name="Normal 31 6 3 4 2" xfId="14970" xr:uid="{00000000-0005-0000-0000-0000515A0000}"/>
    <cellStyle name="Normal 31 6 3 4 2 2" xfId="33152" xr:uid="{00000000-0005-0000-0000-0000525A0000}"/>
    <cellStyle name="Normal 31 6 3 4 3" xfId="24062" xr:uid="{00000000-0005-0000-0000-0000535A0000}"/>
    <cellStyle name="Normal 31 6 3 5" xfId="10436" xr:uid="{00000000-0005-0000-0000-0000545A0000}"/>
    <cellStyle name="Normal 31 6 3 5 2" xfId="28618" xr:uid="{00000000-0005-0000-0000-0000555A0000}"/>
    <cellStyle name="Normal 31 6 3 6" xfId="19527" xr:uid="{00000000-0005-0000-0000-0000565A0000}"/>
    <cellStyle name="Normal 31 6 4" xfId="1230" xr:uid="{00000000-0005-0000-0000-0000575A0000}"/>
    <cellStyle name="Normal 31 6 4 2" xfId="4232" xr:uid="{00000000-0005-0000-0000-0000585A0000}"/>
    <cellStyle name="Normal 31 6 4 2 2" xfId="8788" xr:uid="{00000000-0005-0000-0000-0000595A0000}"/>
    <cellStyle name="Normal 31 6 4 2 2 2" xfId="17884" xr:uid="{00000000-0005-0000-0000-00005A5A0000}"/>
    <cellStyle name="Normal 31 6 4 2 2 2 2" xfId="36066" xr:uid="{00000000-0005-0000-0000-00005B5A0000}"/>
    <cellStyle name="Normal 31 6 4 2 2 3" xfId="26976" xr:uid="{00000000-0005-0000-0000-00005C5A0000}"/>
    <cellStyle name="Normal 31 6 4 2 3" xfId="13344" xr:uid="{00000000-0005-0000-0000-00005D5A0000}"/>
    <cellStyle name="Normal 31 6 4 2 3 2" xfId="31526" xr:uid="{00000000-0005-0000-0000-00005E5A0000}"/>
    <cellStyle name="Normal 31 6 4 2 4" xfId="22436" xr:uid="{00000000-0005-0000-0000-00005F5A0000}"/>
    <cellStyle name="Normal 31 6 4 3" xfId="5871" xr:uid="{00000000-0005-0000-0000-0000605A0000}"/>
    <cellStyle name="Normal 31 6 4 3 2" xfId="14971" xr:uid="{00000000-0005-0000-0000-0000615A0000}"/>
    <cellStyle name="Normal 31 6 4 3 2 2" xfId="33153" xr:uid="{00000000-0005-0000-0000-0000625A0000}"/>
    <cellStyle name="Normal 31 6 4 3 3" xfId="24063" xr:uid="{00000000-0005-0000-0000-0000635A0000}"/>
    <cellStyle name="Normal 31 6 4 4" xfId="10437" xr:uid="{00000000-0005-0000-0000-0000645A0000}"/>
    <cellStyle name="Normal 31 6 4 4 2" xfId="28619" xr:uid="{00000000-0005-0000-0000-0000655A0000}"/>
    <cellStyle name="Normal 31 6 4 5" xfId="19528" xr:uid="{00000000-0005-0000-0000-0000665A0000}"/>
    <cellStyle name="Normal 31 6 5" xfId="2643" xr:uid="{00000000-0005-0000-0000-0000675A0000}"/>
    <cellStyle name="Normal 31 6 5 2" xfId="7228" xr:uid="{00000000-0005-0000-0000-0000685A0000}"/>
    <cellStyle name="Normal 31 6 5 2 2" xfId="16328" xr:uid="{00000000-0005-0000-0000-0000695A0000}"/>
    <cellStyle name="Normal 31 6 5 2 2 2" xfId="34510" xr:uid="{00000000-0005-0000-0000-00006A5A0000}"/>
    <cellStyle name="Normal 31 6 5 2 3" xfId="25420" xr:uid="{00000000-0005-0000-0000-00006B5A0000}"/>
    <cellStyle name="Normal 31 6 5 3" xfId="11792" xr:uid="{00000000-0005-0000-0000-00006C5A0000}"/>
    <cellStyle name="Normal 31 6 5 3 2" xfId="29974" xr:uid="{00000000-0005-0000-0000-00006D5A0000}"/>
    <cellStyle name="Normal 31 6 5 4" xfId="20884" xr:uid="{00000000-0005-0000-0000-00006E5A0000}"/>
    <cellStyle name="Normal 31 6 6" xfId="4228" xr:uid="{00000000-0005-0000-0000-00006F5A0000}"/>
    <cellStyle name="Normal 31 6 6 2" xfId="8784" xr:uid="{00000000-0005-0000-0000-0000705A0000}"/>
    <cellStyle name="Normal 31 6 6 2 2" xfId="17880" xr:uid="{00000000-0005-0000-0000-0000715A0000}"/>
    <cellStyle name="Normal 31 6 6 2 2 2" xfId="36062" xr:uid="{00000000-0005-0000-0000-0000725A0000}"/>
    <cellStyle name="Normal 31 6 6 2 3" xfId="26972" xr:uid="{00000000-0005-0000-0000-0000735A0000}"/>
    <cellStyle name="Normal 31 6 6 3" xfId="13340" xr:uid="{00000000-0005-0000-0000-0000745A0000}"/>
    <cellStyle name="Normal 31 6 6 3 2" xfId="31522" xr:uid="{00000000-0005-0000-0000-0000755A0000}"/>
    <cellStyle name="Normal 31 6 6 4" xfId="22432" xr:uid="{00000000-0005-0000-0000-0000765A0000}"/>
    <cellStyle name="Normal 31 6 7" xfId="5867" xr:uid="{00000000-0005-0000-0000-0000775A0000}"/>
    <cellStyle name="Normal 31 6 7 2" xfId="14967" xr:uid="{00000000-0005-0000-0000-0000785A0000}"/>
    <cellStyle name="Normal 31 6 7 2 2" xfId="33149" xr:uid="{00000000-0005-0000-0000-0000795A0000}"/>
    <cellStyle name="Normal 31 6 7 3" xfId="24059" xr:uid="{00000000-0005-0000-0000-00007A5A0000}"/>
    <cellStyle name="Normal 31 6 8" xfId="10433" xr:uid="{00000000-0005-0000-0000-00007B5A0000}"/>
    <cellStyle name="Normal 31 6 8 2" xfId="28615" xr:uid="{00000000-0005-0000-0000-00007C5A0000}"/>
    <cellStyle name="Normal 31 6 9" xfId="19524" xr:uid="{00000000-0005-0000-0000-00007D5A0000}"/>
    <cellStyle name="Normal 31 7" xfId="1231" xr:uid="{00000000-0005-0000-0000-00007E5A0000}"/>
    <cellStyle name="Normal 31 7 2" xfId="1232" xr:uid="{00000000-0005-0000-0000-00007F5A0000}"/>
    <cellStyle name="Normal 31 7 2 2" xfId="2644" xr:uid="{00000000-0005-0000-0000-0000805A0000}"/>
    <cellStyle name="Normal 31 7 2 2 2" xfId="7229" xr:uid="{00000000-0005-0000-0000-0000815A0000}"/>
    <cellStyle name="Normal 31 7 2 2 2 2" xfId="16329" xr:uid="{00000000-0005-0000-0000-0000825A0000}"/>
    <cellStyle name="Normal 31 7 2 2 2 2 2" xfId="34511" xr:uid="{00000000-0005-0000-0000-0000835A0000}"/>
    <cellStyle name="Normal 31 7 2 2 2 3" xfId="25421" xr:uid="{00000000-0005-0000-0000-0000845A0000}"/>
    <cellStyle name="Normal 31 7 2 2 3" xfId="11793" xr:uid="{00000000-0005-0000-0000-0000855A0000}"/>
    <cellStyle name="Normal 31 7 2 2 3 2" xfId="29975" xr:uid="{00000000-0005-0000-0000-0000865A0000}"/>
    <cellStyle name="Normal 31 7 2 2 4" xfId="20885" xr:uid="{00000000-0005-0000-0000-0000875A0000}"/>
    <cellStyle name="Normal 31 7 2 3" xfId="4234" xr:uid="{00000000-0005-0000-0000-0000885A0000}"/>
    <cellStyle name="Normal 31 7 2 3 2" xfId="8790" xr:uid="{00000000-0005-0000-0000-0000895A0000}"/>
    <cellStyle name="Normal 31 7 2 3 2 2" xfId="17886" xr:uid="{00000000-0005-0000-0000-00008A5A0000}"/>
    <cellStyle name="Normal 31 7 2 3 2 2 2" xfId="36068" xr:uid="{00000000-0005-0000-0000-00008B5A0000}"/>
    <cellStyle name="Normal 31 7 2 3 2 3" xfId="26978" xr:uid="{00000000-0005-0000-0000-00008C5A0000}"/>
    <cellStyle name="Normal 31 7 2 3 3" xfId="13346" xr:uid="{00000000-0005-0000-0000-00008D5A0000}"/>
    <cellStyle name="Normal 31 7 2 3 3 2" xfId="31528" xr:uid="{00000000-0005-0000-0000-00008E5A0000}"/>
    <cellStyle name="Normal 31 7 2 3 4" xfId="22438" xr:uid="{00000000-0005-0000-0000-00008F5A0000}"/>
    <cellStyle name="Normal 31 7 2 4" xfId="5873" xr:uid="{00000000-0005-0000-0000-0000905A0000}"/>
    <cellStyle name="Normal 31 7 2 4 2" xfId="14973" xr:uid="{00000000-0005-0000-0000-0000915A0000}"/>
    <cellStyle name="Normal 31 7 2 4 2 2" xfId="33155" xr:uid="{00000000-0005-0000-0000-0000925A0000}"/>
    <cellStyle name="Normal 31 7 2 4 3" xfId="24065" xr:uid="{00000000-0005-0000-0000-0000935A0000}"/>
    <cellStyle name="Normal 31 7 2 5" xfId="10439" xr:uid="{00000000-0005-0000-0000-0000945A0000}"/>
    <cellStyle name="Normal 31 7 2 5 2" xfId="28621" xr:uid="{00000000-0005-0000-0000-0000955A0000}"/>
    <cellStyle name="Normal 31 7 2 6" xfId="19530" xr:uid="{00000000-0005-0000-0000-0000965A0000}"/>
    <cellStyle name="Normal 31 7 3" xfId="2645" xr:uid="{00000000-0005-0000-0000-0000975A0000}"/>
    <cellStyle name="Normal 31 7 3 2" xfId="7230" xr:uid="{00000000-0005-0000-0000-0000985A0000}"/>
    <cellStyle name="Normal 31 7 3 2 2" xfId="16330" xr:uid="{00000000-0005-0000-0000-0000995A0000}"/>
    <cellStyle name="Normal 31 7 3 2 2 2" xfId="34512" xr:uid="{00000000-0005-0000-0000-00009A5A0000}"/>
    <cellStyle name="Normal 31 7 3 2 3" xfId="25422" xr:uid="{00000000-0005-0000-0000-00009B5A0000}"/>
    <cellStyle name="Normal 31 7 3 3" xfId="11794" xr:uid="{00000000-0005-0000-0000-00009C5A0000}"/>
    <cellStyle name="Normal 31 7 3 3 2" xfId="29976" xr:uid="{00000000-0005-0000-0000-00009D5A0000}"/>
    <cellStyle name="Normal 31 7 3 4" xfId="20886" xr:uid="{00000000-0005-0000-0000-00009E5A0000}"/>
    <cellStyle name="Normal 31 7 4" xfId="4233" xr:uid="{00000000-0005-0000-0000-00009F5A0000}"/>
    <cellStyle name="Normal 31 7 4 2" xfId="8789" xr:uid="{00000000-0005-0000-0000-0000A05A0000}"/>
    <cellStyle name="Normal 31 7 4 2 2" xfId="17885" xr:uid="{00000000-0005-0000-0000-0000A15A0000}"/>
    <cellStyle name="Normal 31 7 4 2 2 2" xfId="36067" xr:uid="{00000000-0005-0000-0000-0000A25A0000}"/>
    <cellStyle name="Normal 31 7 4 2 3" xfId="26977" xr:uid="{00000000-0005-0000-0000-0000A35A0000}"/>
    <cellStyle name="Normal 31 7 4 3" xfId="13345" xr:uid="{00000000-0005-0000-0000-0000A45A0000}"/>
    <cellStyle name="Normal 31 7 4 3 2" xfId="31527" xr:uid="{00000000-0005-0000-0000-0000A55A0000}"/>
    <cellStyle name="Normal 31 7 4 4" xfId="22437" xr:uid="{00000000-0005-0000-0000-0000A65A0000}"/>
    <cellStyle name="Normal 31 7 5" xfId="5872" xr:uid="{00000000-0005-0000-0000-0000A75A0000}"/>
    <cellStyle name="Normal 31 7 5 2" xfId="14972" xr:uid="{00000000-0005-0000-0000-0000A85A0000}"/>
    <cellStyle name="Normal 31 7 5 2 2" xfId="33154" xr:uid="{00000000-0005-0000-0000-0000A95A0000}"/>
    <cellStyle name="Normal 31 7 5 3" xfId="24064" xr:uid="{00000000-0005-0000-0000-0000AA5A0000}"/>
    <cellStyle name="Normal 31 7 6" xfId="10438" xr:uid="{00000000-0005-0000-0000-0000AB5A0000}"/>
    <cellStyle name="Normal 31 7 6 2" xfId="28620" xr:uid="{00000000-0005-0000-0000-0000AC5A0000}"/>
    <cellStyle name="Normal 31 7 7" xfId="19529" xr:uid="{00000000-0005-0000-0000-0000AD5A0000}"/>
    <cellStyle name="Normal 31 8" xfId="1233" xr:uid="{00000000-0005-0000-0000-0000AE5A0000}"/>
    <cellStyle name="Normal 31 8 2" xfId="2646" xr:uid="{00000000-0005-0000-0000-0000AF5A0000}"/>
    <cellStyle name="Normal 31 8 2 2" xfId="7231" xr:uid="{00000000-0005-0000-0000-0000B05A0000}"/>
    <cellStyle name="Normal 31 8 2 2 2" xfId="16331" xr:uid="{00000000-0005-0000-0000-0000B15A0000}"/>
    <cellStyle name="Normal 31 8 2 2 2 2" xfId="34513" xr:uid="{00000000-0005-0000-0000-0000B25A0000}"/>
    <cellStyle name="Normal 31 8 2 2 3" xfId="25423" xr:uid="{00000000-0005-0000-0000-0000B35A0000}"/>
    <cellStyle name="Normal 31 8 2 3" xfId="11795" xr:uid="{00000000-0005-0000-0000-0000B45A0000}"/>
    <cellStyle name="Normal 31 8 2 3 2" xfId="29977" xr:uid="{00000000-0005-0000-0000-0000B55A0000}"/>
    <cellStyle name="Normal 31 8 2 4" xfId="20887" xr:uid="{00000000-0005-0000-0000-0000B65A0000}"/>
    <cellStyle name="Normal 31 8 3" xfId="4235" xr:uid="{00000000-0005-0000-0000-0000B75A0000}"/>
    <cellStyle name="Normal 31 8 3 2" xfId="8791" xr:uid="{00000000-0005-0000-0000-0000B85A0000}"/>
    <cellStyle name="Normal 31 8 3 2 2" xfId="17887" xr:uid="{00000000-0005-0000-0000-0000B95A0000}"/>
    <cellStyle name="Normal 31 8 3 2 2 2" xfId="36069" xr:uid="{00000000-0005-0000-0000-0000BA5A0000}"/>
    <cellStyle name="Normal 31 8 3 2 3" xfId="26979" xr:uid="{00000000-0005-0000-0000-0000BB5A0000}"/>
    <cellStyle name="Normal 31 8 3 3" xfId="13347" xr:uid="{00000000-0005-0000-0000-0000BC5A0000}"/>
    <cellStyle name="Normal 31 8 3 3 2" xfId="31529" xr:uid="{00000000-0005-0000-0000-0000BD5A0000}"/>
    <cellStyle name="Normal 31 8 3 4" xfId="22439" xr:uid="{00000000-0005-0000-0000-0000BE5A0000}"/>
    <cellStyle name="Normal 31 8 4" xfId="5874" xr:uid="{00000000-0005-0000-0000-0000BF5A0000}"/>
    <cellStyle name="Normal 31 8 4 2" xfId="14974" xr:uid="{00000000-0005-0000-0000-0000C05A0000}"/>
    <cellStyle name="Normal 31 8 4 2 2" xfId="33156" xr:uid="{00000000-0005-0000-0000-0000C15A0000}"/>
    <cellStyle name="Normal 31 8 4 3" xfId="24066" xr:uid="{00000000-0005-0000-0000-0000C25A0000}"/>
    <cellStyle name="Normal 31 8 5" xfId="10440" xr:uid="{00000000-0005-0000-0000-0000C35A0000}"/>
    <cellStyle name="Normal 31 8 5 2" xfId="28622" xr:uid="{00000000-0005-0000-0000-0000C45A0000}"/>
    <cellStyle name="Normal 31 8 6" xfId="19531" xr:uid="{00000000-0005-0000-0000-0000C55A0000}"/>
    <cellStyle name="Normal 31 9" xfId="1234" xr:uid="{00000000-0005-0000-0000-0000C65A0000}"/>
    <cellStyle name="Normal 31 9 2" xfId="4236" xr:uid="{00000000-0005-0000-0000-0000C75A0000}"/>
    <cellStyle name="Normal 31 9 2 2" xfId="8792" xr:uid="{00000000-0005-0000-0000-0000C85A0000}"/>
    <cellStyle name="Normal 31 9 2 2 2" xfId="17888" xr:uid="{00000000-0005-0000-0000-0000C95A0000}"/>
    <cellStyle name="Normal 31 9 2 2 2 2" xfId="36070" xr:uid="{00000000-0005-0000-0000-0000CA5A0000}"/>
    <cellStyle name="Normal 31 9 2 2 3" xfId="26980" xr:uid="{00000000-0005-0000-0000-0000CB5A0000}"/>
    <cellStyle name="Normal 31 9 2 3" xfId="13348" xr:uid="{00000000-0005-0000-0000-0000CC5A0000}"/>
    <cellStyle name="Normal 31 9 2 3 2" xfId="31530" xr:uid="{00000000-0005-0000-0000-0000CD5A0000}"/>
    <cellStyle name="Normal 31 9 2 4" xfId="22440" xr:uid="{00000000-0005-0000-0000-0000CE5A0000}"/>
    <cellStyle name="Normal 31 9 3" xfId="5875" xr:uid="{00000000-0005-0000-0000-0000CF5A0000}"/>
    <cellStyle name="Normal 31 9 3 2" xfId="14975" xr:uid="{00000000-0005-0000-0000-0000D05A0000}"/>
    <cellStyle name="Normal 31 9 3 2 2" xfId="33157" xr:uid="{00000000-0005-0000-0000-0000D15A0000}"/>
    <cellStyle name="Normal 31 9 3 3" xfId="24067" xr:uid="{00000000-0005-0000-0000-0000D25A0000}"/>
    <cellStyle name="Normal 31 9 4" xfId="10441" xr:uid="{00000000-0005-0000-0000-0000D35A0000}"/>
    <cellStyle name="Normal 31 9 4 2" xfId="28623" xr:uid="{00000000-0005-0000-0000-0000D45A0000}"/>
    <cellStyle name="Normal 31 9 5" xfId="19532" xr:uid="{00000000-0005-0000-0000-0000D55A0000}"/>
    <cellStyle name="Normal 32" xfId="168" xr:uid="{00000000-0005-0000-0000-0000D65A0000}"/>
    <cellStyle name="Normal 32 10" xfId="4890" xr:uid="{00000000-0005-0000-0000-0000D75A0000}"/>
    <cellStyle name="Normal 32 10 2" xfId="13990" xr:uid="{00000000-0005-0000-0000-0000D85A0000}"/>
    <cellStyle name="Normal 32 10 2 2" xfId="32172" xr:uid="{00000000-0005-0000-0000-0000D95A0000}"/>
    <cellStyle name="Normal 32 10 3" xfId="23082" xr:uid="{00000000-0005-0000-0000-0000DA5A0000}"/>
    <cellStyle name="Normal 32 11" xfId="9456" xr:uid="{00000000-0005-0000-0000-0000DB5A0000}"/>
    <cellStyle name="Normal 32 11 2" xfId="27638" xr:uid="{00000000-0005-0000-0000-0000DC5A0000}"/>
    <cellStyle name="Normal 32 12" xfId="18547" xr:uid="{00000000-0005-0000-0000-0000DD5A0000}"/>
    <cellStyle name="Normal 32 2" xfId="175" xr:uid="{00000000-0005-0000-0000-0000DE5A0000}"/>
    <cellStyle name="Normal 32 2 10" xfId="18554" xr:uid="{00000000-0005-0000-0000-0000DF5A0000}"/>
    <cellStyle name="Normal 32 2 2" xfId="1235" xr:uid="{00000000-0005-0000-0000-0000E05A0000}"/>
    <cellStyle name="Normal 32 2 2 2" xfId="1236" xr:uid="{00000000-0005-0000-0000-0000E15A0000}"/>
    <cellStyle name="Normal 32 2 2 2 2" xfId="1237" xr:uid="{00000000-0005-0000-0000-0000E25A0000}"/>
    <cellStyle name="Normal 32 2 2 2 2 2" xfId="2647" xr:uid="{00000000-0005-0000-0000-0000E35A0000}"/>
    <cellStyle name="Normal 32 2 2 2 2 2 2" xfId="7232" xr:uid="{00000000-0005-0000-0000-0000E45A0000}"/>
    <cellStyle name="Normal 32 2 2 2 2 2 2 2" xfId="16332" xr:uid="{00000000-0005-0000-0000-0000E55A0000}"/>
    <cellStyle name="Normal 32 2 2 2 2 2 2 2 2" xfId="34514" xr:uid="{00000000-0005-0000-0000-0000E65A0000}"/>
    <cellStyle name="Normal 32 2 2 2 2 2 2 3" xfId="25424" xr:uid="{00000000-0005-0000-0000-0000E75A0000}"/>
    <cellStyle name="Normal 32 2 2 2 2 2 3" xfId="11796" xr:uid="{00000000-0005-0000-0000-0000E85A0000}"/>
    <cellStyle name="Normal 32 2 2 2 2 2 3 2" xfId="29978" xr:uid="{00000000-0005-0000-0000-0000E95A0000}"/>
    <cellStyle name="Normal 32 2 2 2 2 2 4" xfId="20888" xr:uid="{00000000-0005-0000-0000-0000EA5A0000}"/>
    <cellStyle name="Normal 32 2 2 2 2 3" xfId="4239" xr:uid="{00000000-0005-0000-0000-0000EB5A0000}"/>
    <cellStyle name="Normal 32 2 2 2 2 3 2" xfId="8795" xr:uid="{00000000-0005-0000-0000-0000EC5A0000}"/>
    <cellStyle name="Normal 32 2 2 2 2 3 2 2" xfId="17891" xr:uid="{00000000-0005-0000-0000-0000ED5A0000}"/>
    <cellStyle name="Normal 32 2 2 2 2 3 2 2 2" xfId="36073" xr:uid="{00000000-0005-0000-0000-0000EE5A0000}"/>
    <cellStyle name="Normal 32 2 2 2 2 3 2 3" xfId="26983" xr:uid="{00000000-0005-0000-0000-0000EF5A0000}"/>
    <cellStyle name="Normal 32 2 2 2 2 3 3" xfId="13351" xr:uid="{00000000-0005-0000-0000-0000F05A0000}"/>
    <cellStyle name="Normal 32 2 2 2 2 3 3 2" xfId="31533" xr:uid="{00000000-0005-0000-0000-0000F15A0000}"/>
    <cellStyle name="Normal 32 2 2 2 2 3 4" xfId="22443" xr:uid="{00000000-0005-0000-0000-0000F25A0000}"/>
    <cellStyle name="Normal 32 2 2 2 2 4" xfId="5878" xr:uid="{00000000-0005-0000-0000-0000F35A0000}"/>
    <cellStyle name="Normal 32 2 2 2 2 4 2" xfId="14978" xr:uid="{00000000-0005-0000-0000-0000F45A0000}"/>
    <cellStyle name="Normal 32 2 2 2 2 4 2 2" xfId="33160" xr:uid="{00000000-0005-0000-0000-0000F55A0000}"/>
    <cellStyle name="Normal 32 2 2 2 2 4 3" xfId="24070" xr:uid="{00000000-0005-0000-0000-0000F65A0000}"/>
    <cellStyle name="Normal 32 2 2 2 2 5" xfId="10444" xr:uid="{00000000-0005-0000-0000-0000F75A0000}"/>
    <cellStyle name="Normal 32 2 2 2 2 5 2" xfId="28626" xr:uid="{00000000-0005-0000-0000-0000F85A0000}"/>
    <cellStyle name="Normal 32 2 2 2 2 6" xfId="19535" xr:uid="{00000000-0005-0000-0000-0000F95A0000}"/>
    <cellStyle name="Normal 32 2 2 2 3" xfId="2648" xr:uid="{00000000-0005-0000-0000-0000FA5A0000}"/>
    <cellStyle name="Normal 32 2 2 2 3 2" xfId="7233" xr:uid="{00000000-0005-0000-0000-0000FB5A0000}"/>
    <cellStyle name="Normal 32 2 2 2 3 2 2" xfId="16333" xr:uid="{00000000-0005-0000-0000-0000FC5A0000}"/>
    <cellStyle name="Normal 32 2 2 2 3 2 2 2" xfId="34515" xr:uid="{00000000-0005-0000-0000-0000FD5A0000}"/>
    <cellStyle name="Normal 32 2 2 2 3 2 3" xfId="25425" xr:uid="{00000000-0005-0000-0000-0000FE5A0000}"/>
    <cellStyle name="Normal 32 2 2 2 3 3" xfId="11797" xr:uid="{00000000-0005-0000-0000-0000FF5A0000}"/>
    <cellStyle name="Normal 32 2 2 2 3 3 2" xfId="29979" xr:uid="{00000000-0005-0000-0000-0000005B0000}"/>
    <cellStyle name="Normal 32 2 2 2 3 4" xfId="20889" xr:uid="{00000000-0005-0000-0000-0000015B0000}"/>
    <cellStyle name="Normal 32 2 2 2 4" xfId="4238" xr:uid="{00000000-0005-0000-0000-0000025B0000}"/>
    <cellStyle name="Normal 32 2 2 2 4 2" xfId="8794" xr:uid="{00000000-0005-0000-0000-0000035B0000}"/>
    <cellStyle name="Normal 32 2 2 2 4 2 2" xfId="17890" xr:uid="{00000000-0005-0000-0000-0000045B0000}"/>
    <cellStyle name="Normal 32 2 2 2 4 2 2 2" xfId="36072" xr:uid="{00000000-0005-0000-0000-0000055B0000}"/>
    <cellStyle name="Normal 32 2 2 2 4 2 3" xfId="26982" xr:uid="{00000000-0005-0000-0000-0000065B0000}"/>
    <cellStyle name="Normal 32 2 2 2 4 3" xfId="13350" xr:uid="{00000000-0005-0000-0000-0000075B0000}"/>
    <cellStyle name="Normal 32 2 2 2 4 3 2" xfId="31532" xr:uid="{00000000-0005-0000-0000-0000085B0000}"/>
    <cellStyle name="Normal 32 2 2 2 4 4" xfId="22442" xr:uid="{00000000-0005-0000-0000-0000095B0000}"/>
    <cellStyle name="Normal 32 2 2 2 5" xfId="5877" xr:uid="{00000000-0005-0000-0000-00000A5B0000}"/>
    <cellStyle name="Normal 32 2 2 2 5 2" xfId="14977" xr:uid="{00000000-0005-0000-0000-00000B5B0000}"/>
    <cellStyle name="Normal 32 2 2 2 5 2 2" xfId="33159" xr:uid="{00000000-0005-0000-0000-00000C5B0000}"/>
    <cellStyle name="Normal 32 2 2 2 5 3" xfId="24069" xr:uid="{00000000-0005-0000-0000-00000D5B0000}"/>
    <cellStyle name="Normal 32 2 2 2 6" xfId="10443" xr:uid="{00000000-0005-0000-0000-00000E5B0000}"/>
    <cellStyle name="Normal 32 2 2 2 6 2" xfId="28625" xr:uid="{00000000-0005-0000-0000-00000F5B0000}"/>
    <cellStyle name="Normal 32 2 2 2 7" xfId="19534" xr:uid="{00000000-0005-0000-0000-0000105B0000}"/>
    <cellStyle name="Normal 32 2 2 3" xfId="1238" xr:uid="{00000000-0005-0000-0000-0000115B0000}"/>
    <cellStyle name="Normal 32 2 2 3 2" xfId="2649" xr:uid="{00000000-0005-0000-0000-0000125B0000}"/>
    <cellStyle name="Normal 32 2 2 3 2 2" xfId="7234" xr:uid="{00000000-0005-0000-0000-0000135B0000}"/>
    <cellStyle name="Normal 32 2 2 3 2 2 2" xfId="16334" xr:uid="{00000000-0005-0000-0000-0000145B0000}"/>
    <cellStyle name="Normal 32 2 2 3 2 2 2 2" xfId="34516" xr:uid="{00000000-0005-0000-0000-0000155B0000}"/>
    <cellStyle name="Normal 32 2 2 3 2 2 3" xfId="25426" xr:uid="{00000000-0005-0000-0000-0000165B0000}"/>
    <cellStyle name="Normal 32 2 2 3 2 3" xfId="11798" xr:uid="{00000000-0005-0000-0000-0000175B0000}"/>
    <cellStyle name="Normal 32 2 2 3 2 3 2" xfId="29980" xr:uid="{00000000-0005-0000-0000-0000185B0000}"/>
    <cellStyle name="Normal 32 2 2 3 2 4" xfId="20890" xr:uid="{00000000-0005-0000-0000-0000195B0000}"/>
    <cellStyle name="Normal 32 2 2 3 3" xfId="4240" xr:uid="{00000000-0005-0000-0000-00001A5B0000}"/>
    <cellStyle name="Normal 32 2 2 3 3 2" xfId="8796" xr:uid="{00000000-0005-0000-0000-00001B5B0000}"/>
    <cellStyle name="Normal 32 2 2 3 3 2 2" xfId="17892" xr:uid="{00000000-0005-0000-0000-00001C5B0000}"/>
    <cellStyle name="Normal 32 2 2 3 3 2 2 2" xfId="36074" xr:uid="{00000000-0005-0000-0000-00001D5B0000}"/>
    <cellStyle name="Normal 32 2 2 3 3 2 3" xfId="26984" xr:uid="{00000000-0005-0000-0000-00001E5B0000}"/>
    <cellStyle name="Normal 32 2 2 3 3 3" xfId="13352" xr:uid="{00000000-0005-0000-0000-00001F5B0000}"/>
    <cellStyle name="Normal 32 2 2 3 3 3 2" xfId="31534" xr:uid="{00000000-0005-0000-0000-0000205B0000}"/>
    <cellStyle name="Normal 32 2 2 3 3 4" xfId="22444" xr:uid="{00000000-0005-0000-0000-0000215B0000}"/>
    <cellStyle name="Normal 32 2 2 3 4" xfId="5879" xr:uid="{00000000-0005-0000-0000-0000225B0000}"/>
    <cellStyle name="Normal 32 2 2 3 4 2" xfId="14979" xr:uid="{00000000-0005-0000-0000-0000235B0000}"/>
    <cellStyle name="Normal 32 2 2 3 4 2 2" xfId="33161" xr:uid="{00000000-0005-0000-0000-0000245B0000}"/>
    <cellStyle name="Normal 32 2 2 3 4 3" xfId="24071" xr:uid="{00000000-0005-0000-0000-0000255B0000}"/>
    <cellStyle name="Normal 32 2 2 3 5" xfId="10445" xr:uid="{00000000-0005-0000-0000-0000265B0000}"/>
    <cellStyle name="Normal 32 2 2 3 5 2" xfId="28627" xr:uid="{00000000-0005-0000-0000-0000275B0000}"/>
    <cellStyle name="Normal 32 2 2 3 6" xfId="19536" xr:uid="{00000000-0005-0000-0000-0000285B0000}"/>
    <cellStyle name="Normal 32 2 2 4" xfId="1239" xr:uid="{00000000-0005-0000-0000-0000295B0000}"/>
    <cellStyle name="Normal 32 2 2 4 2" xfId="4241" xr:uid="{00000000-0005-0000-0000-00002A5B0000}"/>
    <cellStyle name="Normal 32 2 2 4 2 2" xfId="8797" xr:uid="{00000000-0005-0000-0000-00002B5B0000}"/>
    <cellStyle name="Normal 32 2 2 4 2 2 2" xfId="17893" xr:uid="{00000000-0005-0000-0000-00002C5B0000}"/>
    <cellStyle name="Normal 32 2 2 4 2 2 2 2" xfId="36075" xr:uid="{00000000-0005-0000-0000-00002D5B0000}"/>
    <cellStyle name="Normal 32 2 2 4 2 2 3" xfId="26985" xr:uid="{00000000-0005-0000-0000-00002E5B0000}"/>
    <cellStyle name="Normal 32 2 2 4 2 3" xfId="13353" xr:uid="{00000000-0005-0000-0000-00002F5B0000}"/>
    <cellStyle name="Normal 32 2 2 4 2 3 2" xfId="31535" xr:uid="{00000000-0005-0000-0000-0000305B0000}"/>
    <cellStyle name="Normal 32 2 2 4 2 4" xfId="22445" xr:uid="{00000000-0005-0000-0000-0000315B0000}"/>
    <cellStyle name="Normal 32 2 2 4 3" xfId="5880" xr:uid="{00000000-0005-0000-0000-0000325B0000}"/>
    <cellStyle name="Normal 32 2 2 4 3 2" xfId="14980" xr:uid="{00000000-0005-0000-0000-0000335B0000}"/>
    <cellStyle name="Normal 32 2 2 4 3 2 2" xfId="33162" xr:uid="{00000000-0005-0000-0000-0000345B0000}"/>
    <cellStyle name="Normal 32 2 2 4 3 3" xfId="24072" xr:uid="{00000000-0005-0000-0000-0000355B0000}"/>
    <cellStyle name="Normal 32 2 2 4 4" xfId="10446" xr:uid="{00000000-0005-0000-0000-0000365B0000}"/>
    <cellStyle name="Normal 32 2 2 4 4 2" xfId="28628" xr:uid="{00000000-0005-0000-0000-0000375B0000}"/>
    <cellStyle name="Normal 32 2 2 4 5" xfId="19537" xr:uid="{00000000-0005-0000-0000-0000385B0000}"/>
    <cellStyle name="Normal 32 2 2 5" xfId="2650" xr:uid="{00000000-0005-0000-0000-0000395B0000}"/>
    <cellStyle name="Normal 32 2 2 5 2" xfId="7235" xr:uid="{00000000-0005-0000-0000-00003A5B0000}"/>
    <cellStyle name="Normal 32 2 2 5 2 2" xfId="16335" xr:uid="{00000000-0005-0000-0000-00003B5B0000}"/>
    <cellStyle name="Normal 32 2 2 5 2 2 2" xfId="34517" xr:uid="{00000000-0005-0000-0000-00003C5B0000}"/>
    <cellStyle name="Normal 32 2 2 5 2 3" xfId="25427" xr:uid="{00000000-0005-0000-0000-00003D5B0000}"/>
    <cellStyle name="Normal 32 2 2 5 3" xfId="11799" xr:uid="{00000000-0005-0000-0000-00003E5B0000}"/>
    <cellStyle name="Normal 32 2 2 5 3 2" xfId="29981" xr:uid="{00000000-0005-0000-0000-00003F5B0000}"/>
    <cellStyle name="Normal 32 2 2 5 4" xfId="20891" xr:uid="{00000000-0005-0000-0000-0000405B0000}"/>
    <cellStyle name="Normal 32 2 2 6" xfId="4237" xr:uid="{00000000-0005-0000-0000-0000415B0000}"/>
    <cellStyle name="Normal 32 2 2 6 2" xfId="8793" xr:uid="{00000000-0005-0000-0000-0000425B0000}"/>
    <cellStyle name="Normal 32 2 2 6 2 2" xfId="17889" xr:uid="{00000000-0005-0000-0000-0000435B0000}"/>
    <cellStyle name="Normal 32 2 2 6 2 2 2" xfId="36071" xr:uid="{00000000-0005-0000-0000-0000445B0000}"/>
    <cellStyle name="Normal 32 2 2 6 2 3" xfId="26981" xr:uid="{00000000-0005-0000-0000-0000455B0000}"/>
    <cellStyle name="Normal 32 2 2 6 3" xfId="13349" xr:uid="{00000000-0005-0000-0000-0000465B0000}"/>
    <cellStyle name="Normal 32 2 2 6 3 2" xfId="31531" xr:uid="{00000000-0005-0000-0000-0000475B0000}"/>
    <cellStyle name="Normal 32 2 2 6 4" xfId="22441" xr:uid="{00000000-0005-0000-0000-0000485B0000}"/>
    <cellStyle name="Normal 32 2 2 7" xfId="5876" xr:uid="{00000000-0005-0000-0000-0000495B0000}"/>
    <cellStyle name="Normal 32 2 2 7 2" xfId="14976" xr:uid="{00000000-0005-0000-0000-00004A5B0000}"/>
    <cellStyle name="Normal 32 2 2 7 2 2" xfId="33158" xr:uid="{00000000-0005-0000-0000-00004B5B0000}"/>
    <cellStyle name="Normal 32 2 2 7 3" xfId="24068" xr:uid="{00000000-0005-0000-0000-00004C5B0000}"/>
    <cellStyle name="Normal 32 2 2 8" xfId="10442" xr:uid="{00000000-0005-0000-0000-00004D5B0000}"/>
    <cellStyle name="Normal 32 2 2 8 2" xfId="28624" xr:uid="{00000000-0005-0000-0000-00004E5B0000}"/>
    <cellStyle name="Normal 32 2 2 9" xfId="19533" xr:uid="{00000000-0005-0000-0000-00004F5B0000}"/>
    <cellStyle name="Normal 32 2 3" xfId="1240" xr:uid="{00000000-0005-0000-0000-0000505B0000}"/>
    <cellStyle name="Normal 32 2 3 2" xfId="1241" xr:uid="{00000000-0005-0000-0000-0000515B0000}"/>
    <cellStyle name="Normal 32 2 3 2 2" xfId="2651" xr:uid="{00000000-0005-0000-0000-0000525B0000}"/>
    <cellStyle name="Normal 32 2 3 2 2 2" xfId="7236" xr:uid="{00000000-0005-0000-0000-0000535B0000}"/>
    <cellStyle name="Normal 32 2 3 2 2 2 2" xfId="16336" xr:uid="{00000000-0005-0000-0000-0000545B0000}"/>
    <cellStyle name="Normal 32 2 3 2 2 2 2 2" xfId="34518" xr:uid="{00000000-0005-0000-0000-0000555B0000}"/>
    <cellStyle name="Normal 32 2 3 2 2 2 3" xfId="25428" xr:uid="{00000000-0005-0000-0000-0000565B0000}"/>
    <cellStyle name="Normal 32 2 3 2 2 3" xfId="11800" xr:uid="{00000000-0005-0000-0000-0000575B0000}"/>
    <cellStyle name="Normal 32 2 3 2 2 3 2" xfId="29982" xr:uid="{00000000-0005-0000-0000-0000585B0000}"/>
    <cellStyle name="Normal 32 2 3 2 2 4" xfId="20892" xr:uid="{00000000-0005-0000-0000-0000595B0000}"/>
    <cellStyle name="Normal 32 2 3 2 3" xfId="4243" xr:uid="{00000000-0005-0000-0000-00005A5B0000}"/>
    <cellStyle name="Normal 32 2 3 2 3 2" xfId="8799" xr:uid="{00000000-0005-0000-0000-00005B5B0000}"/>
    <cellStyle name="Normal 32 2 3 2 3 2 2" xfId="17895" xr:uid="{00000000-0005-0000-0000-00005C5B0000}"/>
    <cellStyle name="Normal 32 2 3 2 3 2 2 2" xfId="36077" xr:uid="{00000000-0005-0000-0000-00005D5B0000}"/>
    <cellStyle name="Normal 32 2 3 2 3 2 3" xfId="26987" xr:uid="{00000000-0005-0000-0000-00005E5B0000}"/>
    <cellStyle name="Normal 32 2 3 2 3 3" xfId="13355" xr:uid="{00000000-0005-0000-0000-00005F5B0000}"/>
    <cellStyle name="Normal 32 2 3 2 3 3 2" xfId="31537" xr:uid="{00000000-0005-0000-0000-0000605B0000}"/>
    <cellStyle name="Normal 32 2 3 2 3 4" xfId="22447" xr:uid="{00000000-0005-0000-0000-0000615B0000}"/>
    <cellStyle name="Normal 32 2 3 2 4" xfId="5882" xr:uid="{00000000-0005-0000-0000-0000625B0000}"/>
    <cellStyle name="Normal 32 2 3 2 4 2" xfId="14982" xr:uid="{00000000-0005-0000-0000-0000635B0000}"/>
    <cellStyle name="Normal 32 2 3 2 4 2 2" xfId="33164" xr:uid="{00000000-0005-0000-0000-0000645B0000}"/>
    <cellStyle name="Normal 32 2 3 2 4 3" xfId="24074" xr:uid="{00000000-0005-0000-0000-0000655B0000}"/>
    <cellStyle name="Normal 32 2 3 2 5" xfId="10448" xr:uid="{00000000-0005-0000-0000-0000665B0000}"/>
    <cellStyle name="Normal 32 2 3 2 5 2" xfId="28630" xr:uid="{00000000-0005-0000-0000-0000675B0000}"/>
    <cellStyle name="Normal 32 2 3 2 6" xfId="19539" xr:uid="{00000000-0005-0000-0000-0000685B0000}"/>
    <cellStyle name="Normal 32 2 3 3" xfId="2652" xr:uid="{00000000-0005-0000-0000-0000695B0000}"/>
    <cellStyle name="Normal 32 2 3 3 2" xfId="7237" xr:uid="{00000000-0005-0000-0000-00006A5B0000}"/>
    <cellStyle name="Normal 32 2 3 3 2 2" xfId="16337" xr:uid="{00000000-0005-0000-0000-00006B5B0000}"/>
    <cellStyle name="Normal 32 2 3 3 2 2 2" xfId="34519" xr:uid="{00000000-0005-0000-0000-00006C5B0000}"/>
    <cellStyle name="Normal 32 2 3 3 2 3" xfId="25429" xr:uid="{00000000-0005-0000-0000-00006D5B0000}"/>
    <cellStyle name="Normal 32 2 3 3 3" xfId="11801" xr:uid="{00000000-0005-0000-0000-00006E5B0000}"/>
    <cellStyle name="Normal 32 2 3 3 3 2" xfId="29983" xr:uid="{00000000-0005-0000-0000-00006F5B0000}"/>
    <cellStyle name="Normal 32 2 3 3 4" xfId="20893" xr:uid="{00000000-0005-0000-0000-0000705B0000}"/>
    <cellStyle name="Normal 32 2 3 4" xfId="4242" xr:uid="{00000000-0005-0000-0000-0000715B0000}"/>
    <cellStyle name="Normal 32 2 3 4 2" xfId="8798" xr:uid="{00000000-0005-0000-0000-0000725B0000}"/>
    <cellStyle name="Normal 32 2 3 4 2 2" xfId="17894" xr:uid="{00000000-0005-0000-0000-0000735B0000}"/>
    <cellStyle name="Normal 32 2 3 4 2 2 2" xfId="36076" xr:uid="{00000000-0005-0000-0000-0000745B0000}"/>
    <cellStyle name="Normal 32 2 3 4 2 3" xfId="26986" xr:uid="{00000000-0005-0000-0000-0000755B0000}"/>
    <cellStyle name="Normal 32 2 3 4 3" xfId="13354" xr:uid="{00000000-0005-0000-0000-0000765B0000}"/>
    <cellStyle name="Normal 32 2 3 4 3 2" xfId="31536" xr:uid="{00000000-0005-0000-0000-0000775B0000}"/>
    <cellStyle name="Normal 32 2 3 4 4" xfId="22446" xr:uid="{00000000-0005-0000-0000-0000785B0000}"/>
    <cellStyle name="Normal 32 2 3 5" xfId="5881" xr:uid="{00000000-0005-0000-0000-0000795B0000}"/>
    <cellStyle name="Normal 32 2 3 5 2" xfId="14981" xr:uid="{00000000-0005-0000-0000-00007A5B0000}"/>
    <cellStyle name="Normal 32 2 3 5 2 2" xfId="33163" xr:uid="{00000000-0005-0000-0000-00007B5B0000}"/>
    <cellStyle name="Normal 32 2 3 5 3" xfId="24073" xr:uid="{00000000-0005-0000-0000-00007C5B0000}"/>
    <cellStyle name="Normal 32 2 3 6" xfId="10447" xr:uid="{00000000-0005-0000-0000-00007D5B0000}"/>
    <cellStyle name="Normal 32 2 3 6 2" xfId="28629" xr:uid="{00000000-0005-0000-0000-00007E5B0000}"/>
    <cellStyle name="Normal 32 2 3 7" xfId="19538" xr:uid="{00000000-0005-0000-0000-00007F5B0000}"/>
    <cellStyle name="Normal 32 2 4" xfId="1242" xr:uid="{00000000-0005-0000-0000-0000805B0000}"/>
    <cellStyle name="Normal 32 2 4 2" xfId="2653" xr:uid="{00000000-0005-0000-0000-0000815B0000}"/>
    <cellStyle name="Normal 32 2 4 2 2" xfId="7238" xr:uid="{00000000-0005-0000-0000-0000825B0000}"/>
    <cellStyle name="Normal 32 2 4 2 2 2" xfId="16338" xr:uid="{00000000-0005-0000-0000-0000835B0000}"/>
    <cellStyle name="Normal 32 2 4 2 2 2 2" xfId="34520" xr:uid="{00000000-0005-0000-0000-0000845B0000}"/>
    <cellStyle name="Normal 32 2 4 2 2 3" xfId="25430" xr:uid="{00000000-0005-0000-0000-0000855B0000}"/>
    <cellStyle name="Normal 32 2 4 2 3" xfId="11802" xr:uid="{00000000-0005-0000-0000-0000865B0000}"/>
    <cellStyle name="Normal 32 2 4 2 3 2" xfId="29984" xr:uid="{00000000-0005-0000-0000-0000875B0000}"/>
    <cellStyle name="Normal 32 2 4 2 4" xfId="20894" xr:uid="{00000000-0005-0000-0000-0000885B0000}"/>
    <cellStyle name="Normal 32 2 4 3" xfId="4244" xr:uid="{00000000-0005-0000-0000-0000895B0000}"/>
    <cellStyle name="Normal 32 2 4 3 2" xfId="8800" xr:uid="{00000000-0005-0000-0000-00008A5B0000}"/>
    <cellStyle name="Normal 32 2 4 3 2 2" xfId="17896" xr:uid="{00000000-0005-0000-0000-00008B5B0000}"/>
    <cellStyle name="Normal 32 2 4 3 2 2 2" xfId="36078" xr:uid="{00000000-0005-0000-0000-00008C5B0000}"/>
    <cellStyle name="Normal 32 2 4 3 2 3" xfId="26988" xr:uid="{00000000-0005-0000-0000-00008D5B0000}"/>
    <cellStyle name="Normal 32 2 4 3 3" xfId="13356" xr:uid="{00000000-0005-0000-0000-00008E5B0000}"/>
    <cellStyle name="Normal 32 2 4 3 3 2" xfId="31538" xr:uid="{00000000-0005-0000-0000-00008F5B0000}"/>
    <cellStyle name="Normal 32 2 4 3 4" xfId="22448" xr:uid="{00000000-0005-0000-0000-0000905B0000}"/>
    <cellStyle name="Normal 32 2 4 4" xfId="5883" xr:uid="{00000000-0005-0000-0000-0000915B0000}"/>
    <cellStyle name="Normal 32 2 4 4 2" xfId="14983" xr:uid="{00000000-0005-0000-0000-0000925B0000}"/>
    <cellStyle name="Normal 32 2 4 4 2 2" xfId="33165" xr:uid="{00000000-0005-0000-0000-0000935B0000}"/>
    <cellStyle name="Normal 32 2 4 4 3" xfId="24075" xr:uid="{00000000-0005-0000-0000-0000945B0000}"/>
    <cellStyle name="Normal 32 2 4 5" xfId="10449" xr:uid="{00000000-0005-0000-0000-0000955B0000}"/>
    <cellStyle name="Normal 32 2 4 5 2" xfId="28631" xr:uid="{00000000-0005-0000-0000-0000965B0000}"/>
    <cellStyle name="Normal 32 2 4 6" xfId="19540" xr:uid="{00000000-0005-0000-0000-0000975B0000}"/>
    <cellStyle name="Normal 32 2 5" xfId="1243" xr:uid="{00000000-0005-0000-0000-0000985B0000}"/>
    <cellStyle name="Normal 32 2 5 2" xfId="4245" xr:uid="{00000000-0005-0000-0000-0000995B0000}"/>
    <cellStyle name="Normal 32 2 5 2 2" xfId="8801" xr:uid="{00000000-0005-0000-0000-00009A5B0000}"/>
    <cellStyle name="Normal 32 2 5 2 2 2" xfId="17897" xr:uid="{00000000-0005-0000-0000-00009B5B0000}"/>
    <cellStyle name="Normal 32 2 5 2 2 2 2" xfId="36079" xr:uid="{00000000-0005-0000-0000-00009C5B0000}"/>
    <cellStyle name="Normal 32 2 5 2 2 3" xfId="26989" xr:uid="{00000000-0005-0000-0000-00009D5B0000}"/>
    <cellStyle name="Normal 32 2 5 2 3" xfId="13357" xr:uid="{00000000-0005-0000-0000-00009E5B0000}"/>
    <cellStyle name="Normal 32 2 5 2 3 2" xfId="31539" xr:uid="{00000000-0005-0000-0000-00009F5B0000}"/>
    <cellStyle name="Normal 32 2 5 2 4" xfId="22449" xr:uid="{00000000-0005-0000-0000-0000A05B0000}"/>
    <cellStyle name="Normal 32 2 5 3" xfId="5884" xr:uid="{00000000-0005-0000-0000-0000A15B0000}"/>
    <cellStyle name="Normal 32 2 5 3 2" xfId="14984" xr:uid="{00000000-0005-0000-0000-0000A25B0000}"/>
    <cellStyle name="Normal 32 2 5 3 2 2" xfId="33166" xr:uid="{00000000-0005-0000-0000-0000A35B0000}"/>
    <cellStyle name="Normal 32 2 5 3 3" xfId="24076" xr:uid="{00000000-0005-0000-0000-0000A45B0000}"/>
    <cellStyle name="Normal 32 2 5 4" xfId="10450" xr:uid="{00000000-0005-0000-0000-0000A55B0000}"/>
    <cellStyle name="Normal 32 2 5 4 2" xfId="28632" xr:uid="{00000000-0005-0000-0000-0000A65B0000}"/>
    <cellStyle name="Normal 32 2 5 5" xfId="19541" xr:uid="{00000000-0005-0000-0000-0000A75B0000}"/>
    <cellStyle name="Normal 32 2 6" xfId="2654" xr:uid="{00000000-0005-0000-0000-0000A85B0000}"/>
    <cellStyle name="Normal 32 2 6 2" xfId="7239" xr:uid="{00000000-0005-0000-0000-0000A95B0000}"/>
    <cellStyle name="Normal 32 2 6 2 2" xfId="16339" xr:uid="{00000000-0005-0000-0000-0000AA5B0000}"/>
    <cellStyle name="Normal 32 2 6 2 2 2" xfId="34521" xr:uid="{00000000-0005-0000-0000-0000AB5B0000}"/>
    <cellStyle name="Normal 32 2 6 2 3" xfId="25431" xr:uid="{00000000-0005-0000-0000-0000AC5B0000}"/>
    <cellStyle name="Normal 32 2 6 3" xfId="11803" xr:uid="{00000000-0005-0000-0000-0000AD5B0000}"/>
    <cellStyle name="Normal 32 2 6 3 2" xfId="29985" xr:uid="{00000000-0005-0000-0000-0000AE5B0000}"/>
    <cellStyle name="Normal 32 2 6 4" xfId="20895" xr:uid="{00000000-0005-0000-0000-0000AF5B0000}"/>
    <cellStyle name="Normal 32 2 7" xfId="3250" xr:uid="{00000000-0005-0000-0000-0000B05B0000}"/>
    <cellStyle name="Normal 32 2 7 2" xfId="7810" xr:uid="{00000000-0005-0000-0000-0000B15B0000}"/>
    <cellStyle name="Normal 32 2 7 2 2" xfId="16906" xr:uid="{00000000-0005-0000-0000-0000B25B0000}"/>
    <cellStyle name="Normal 32 2 7 2 2 2" xfId="35088" xr:uid="{00000000-0005-0000-0000-0000B35B0000}"/>
    <cellStyle name="Normal 32 2 7 2 3" xfId="25998" xr:uid="{00000000-0005-0000-0000-0000B45B0000}"/>
    <cellStyle name="Normal 32 2 7 3" xfId="12366" xr:uid="{00000000-0005-0000-0000-0000B55B0000}"/>
    <cellStyle name="Normal 32 2 7 3 2" xfId="30548" xr:uid="{00000000-0005-0000-0000-0000B65B0000}"/>
    <cellStyle name="Normal 32 2 7 4" xfId="21458" xr:uid="{00000000-0005-0000-0000-0000B75B0000}"/>
    <cellStyle name="Normal 32 2 8" xfId="4897" xr:uid="{00000000-0005-0000-0000-0000B85B0000}"/>
    <cellStyle name="Normal 32 2 8 2" xfId="13997" xr:uid="{00000000-0005-0000-0000-0000B95B0000}"/>
    <cellStyle name="Normal 32 2 8 2 2" xfId="32179" xr:uid="{00000000-0005-0000-0000-0000BA5B0000}"/>
    <cellStyle name="Normal 32 2 8 3" xfId="23089" xr:uid="{00000000-0005-0000-0000-0000BB5B0000}"/>
    <cellStyle name="Normal 32 2 9" xfId="9463" xr:uid="{00000000-0005-0000-0000-0000BC5B0000}"/>
    <cellStyle name="Normal 32 2 9 2" xfId="27645" xr:uid="{00000000-0005-0000-0000-0000BD5B0000}"/>
    <cellStyle name="Normal 32 3" xfId="186" xr:uid="{00000000-0005-0000-0000-0000BE5B0000}"/>
    <cellStyle name="Normal 32 3 10" xfId="18563" xr:uid="{00000000-0005-0000-0000-0000BF5B0000}"/>
    <cellStyle name="Normal 32 3 2" xfId="1244" xr:uid="{00000000-0005-0000-0000-0000C05B0000}"/>
    <cellStyle name="Normal 32 3 2 2" xfId="1245" xr:uid="{00000000-0005-0000-0000-0000C15B0000}"/>
    <cellStyle name="Normal 32 3 2 2 2" xfId="1246" xr:uid="{00000000-0005-0000-0000-0000C25B0000}"/>
    <cellStyle name="Normal 32 3 2 2 2 2" xfId="2655" xr:uid="{00000000-0005-0000-0000-0000C35B0000}"/>
    <cellStyle name="Normal 32 3 2 2 2 2 2" xfId="7240" xr:uid="{00000000-0005-0000-0000-0000C45B0000}"/>
    <cellStyle name="Normal 32 3 2 2 2 2 2 2" xfId="16340" xr:uid="{00000000-0005-0000-0000-0000C55B0000}"/>
    <cellStyle name="Normal 32 3 2 2 2 2 2 2 2" xfId="34522" xr:uid="{00000000-0005-0000-0000-0000C65B0000}"/>
    <cellStyle name="Normal 32 3 2 2 2 2 2 3" xfId="25432" xr:uid="{00000000-0005-0000-0000-0000C75B0000}"/>
    <cellStyle name="Normal 32 3 2 2 2 2 3" xfId="11804" xr:uid="{00000000-0005-0000-0000-0000C85B0000}"/>
    <cellStyle name="Normal 32 3 2 2 2 2 3 2" xfId="29986" xr:uid="{00000000-0005-0000-0000-0000C95B0000}"/>
    <cellStyle name="Normal 32 3 2 2 2 2 4" xfId="20896" xr:uid="{00000000-0005-0000-0000-0000CA5B0000}"/>
    <cellStyle name="Normal 32 3 2 2 2 3" xfId="4248" xr:uid="{00000000-0005-0000-0000-0000CB5B0000}"/>
    <cellStyle name="Normal 32 3 2 2 2 3 2" xfId="8804" xr:uid="{00000000-0005-0000-0000-0000CC5B0000}"/>
    <cellStyle name="Normal 32 3 2 2 2 3 2 2" xfId="17900" xr:uid="{00000000-0005-0000-0000-0000CD5B0000}"/>
    <cellStyle name="Normal 32 3 2 2 2 3 2 2 2" xfId="36082" xr:uid="{00000000-0005-0000-0000-0000CE5B0000}"/>
    <cellStyle name="Normal 32 3 2 2 2 3 2 3" xfId="26992" xr:uid="{00000000-0005-0000-0000-0000CF5B0000}"/>
    <cellStyle name="Normal 32 3 2 2 2 3 3" xfId="13360" xr:uid="{00000000-0005-0000-0000-0000D05B0000}"/>
    <cellStyle name="Normal 32 3 2 2 2 3 3 2" xfId="31542" xr:uid="{00000000-0005-0000-0000-0000D15B0000}"/>
    <cellStyle name="Normal 32 3 2 2 2 3 4" xfId="22452" xr:uid="{00000000-0005-0000-0000-0000D25B0000}"/>
    <cellStyle name="Normal 32 3 2 2 2 4" xfId="5887" xr:uid="{00000000-0005-0000-0000-0000D35B0000}"/>
    <cellStyle name="Normal 32 3 2 2 2 4 2" xfId="14987" xr:uid="{00000000-0005-0000-0000-0000D45B0000}"/>
    <cellStyle name="Normal 32 3 2 2 2 4 2 2" xfId="33169" xr:uid="{00000000-0005-0000-0000-0000D55B0000}"/>
    <cellStyle name="Normal 32 3 2 2 2 4 3" xfId="24079" xr:uid="{00000000-0005-0000-0000-0000D65B0000}"/>
    <cellStyle name="Normal 32 3 2 2 2 5" xfId="10453" xr:uid="{00000000-0005-0000-0000-0000D75B0000}"/>
    <cellStyle name="Normal 32 3 2 2 2 5 2" xfId="28635" xr:uid="{00000000-0005-0000-0000-0000D85B0000}"/>
    <cellStyle name="Normal 32 3 2 2 2 6" xfId="19544" xr:uid="{00000000-0005-0000-0000-0000D95B0000}"/>
    <cellStyle name="Normal 32 3 2 2 3" xfId="2656" xr:uid="{00000000-0005-0000-0000-0000DA5B0000}"/>
    <cellStyle name="Normal 32 3 2 2 3 2" xfId="7241" xr:uid="{00000000-0005-0000-0000-0000DB5B0000}"/>
    <cellStyle name="Normal 32 3 2 2 3 2 2" xfId="16341" xr:uid="{00000000-0005-0000-0000-0000DC5B0000}"/>
    <cellStyle name="Normal 32 3 2 2 3 2 2 2" xfId="34523" xr:uid="{00000000-0005-0000-0000-0000DD5B0000}"/>
    <cellStyle name="Normal 32 3 2 2 3 2 3" xfId="25433" xr:uid="{00000000-0005-0000-0000-0000DE5B0000}"/>
    <cellStyle name="Normal 32 3 2 2 3 3" xfId="11805" xr:uid="{00000000-0005-0000-0000-0000DF5B0000}"/>
    <cellStyle name="Normal 32 3 2 2 3 3 2" xfId="29987" xr:uid="{00000000-0005-0000-0000-0000E05B0000}"/>
    <cellStyle name="Normal 32 3 2 2 3 4" xfId="20897" xr:uid="{00000000-0005-0000-0000-0000E15B0000}"/>
    <cellStyle name="Normal 32 3 2 2 4" xfId="4247" xr:uid="{00000000-0005-0000-0000-0000E25B0000}"/>
    <cellStyle name="Normal 32 3 2 2 4 2" xfId="8803" xr:uid="{00000000-0005-0000-0000-0000E35B0000}"/>
    <cellStyle name="Normal 32 3 2 2 4 2 2" xfId="17899" xr:uid="{00000000-0005-0000-0000-0000E45B0000}"/>
    <cellStyle name="Normal 32 3 2 2 4 2 2 2" xfId="36081" xr:uid="{00000000-0005-0000-0000-0000E55B0000}"/>
    <cellStyle name="Normal 32 3 2 2 4 2 3" xfId="26991" xr:uid="{00000000-0005-0000-0000-0000E65B0000}"/>
    <cellStyle name="Normal 32 3 2 2 4 3" xfId="13359" xr:uid="{00000000-0005-0000-0000-0000E75B0000}"/>
    <cellStyle name="Normal 32 3 2 2 4 3 2" xfId="31541" xr:uid="{00000000-0005-0000-0000-0000E85B0000}"/>
    <cellStyle name="Normal 32 3 2 2 4 4" xfId="22451" xr:uid="{00000000-0005-0000-0000-0000E95B0000}"/>
    <cellStyle name="Normal 32 3 2 2 5" xfId="5886" xr:uid="{00000000-0005-0000-0000-0000EA5B0000}"/>
    <cellStyle name="Normal 32 3 2 2 5 2" xfId="14986" xr:uid="{00000000-0005-0000-0000-0000EB5B0000}"/>
    <cellStyle name="Normal 32 3 2 2 5 2 2" xfId="33168" xr:uid="{00000000-0005-0000-0000-0000EC5B0000}"/>
    <cellStyle name="Normal 32 3 2 2 5 3" xfId="24078" xr:uid="{00000000-0005-0000-0000-0000ED5B0000}"/>
    <cellStyle name="Normal 32 3 2 2 6" xfId="10452" xr:uid="{00000000-0005-0000-0000-0000EE5B0000}"/>
    <cellStyle name="Normal 32 3 2 2 6 2" xfId="28634" xr:uid="{00000000-0005-0000-0000-0000EF5B0000}"/>
    <cellStyle name="Normal 32 3 2 2 7" xfId="19543" xr:uid="{00000000-0005-0000-0000-0000F05B0000}"/>
    <cellStyle name="Normal 32 3 2 3" xfId="1247" xr:uid="{00000000-0005-0000-0000-0000F15B0000}"/>
    <cellStyle name="Normal 32 3 2 3 2" xfId="2657" xr:uid="{00000000-0005-0000-0000-0000F25B0000}"/>
    <cellStyle name="Normal 32 3 2 3 2 2" xfId="7242" xr:uid="{00000000-0005-0000-0000-0000F35B0000}"/>
    <cellStyle name="Normal 32 3 2 3 2 2 2" xfId="16342" xr:uid="{00000000-0005-0000-0000-0000F45B0000}"/>
    <cellStyle name="Normal 32 3 2 3 2 2 2 2" xfId="34524" xr:uid="{00000000-0005-0000-0000-0000F55B0000}"/>
    <cellStyle name="Normal 32 3 2 3 2 2 3" xfId="25434" xr:uid="{00000000-0005-0000-0000-0000F65B0000}"/>
    <cellStyle name="Normal 32 3 2 3 2 3" xfId="11806" xr:uid="{00000000-0005-0000-0000-0000F75B0000}"/>
    <cellStyle name="Normal 32 3 2 3 2 3 2" xfId="29988" xr:uid="{00000000-0005-0000-0000-0000F85B0000}"/>
    <cellStyle name="Normal 32 3 2 3 2 4" xfId="20898" xr:uid="{00000000-0005-0000-0000-0000F95B0000}"/>
    <cellStyle name="Normal 32 3 2 3 3" xfId="4249" xr:uid="{00000000-0005-0000-0000-0000FA5B0000}"/>
    <cellStyle name="Normal 32 3 2 3 3 2" xfId="8805" xr:uid="{00000000-0005-0000-0000-0000FB5B0000}"/>
    <cellStyle name="Normal 32 3 2 3 3 2 2" xfId="17901" xr:uid="{00000000-0005-0000-0000-0000FC5B0000}"/>
    <cellStyle name="Normal 32 3 2 3 3 2 2 2" xfId="36083" xr:uid="{00000000-0005-0000-0000-0000FD5B0000}"/>
    <cellStyle name="Normal 32 3 2 3 3 2 3" xfId="26993" xr:uid="{00000000-0005-0000-0000-0000FE5B0000}"/>
    <cellStyle name="Normal 32 3 2 3 3 3" xfId="13361" xr:uid="{00000000-0005-0000-0000-0000FF5B0000}"/>
    <cellStyle name="Normal 32 3 2 3 3 3 2" xfId="31543" xr:uid="{00000000-0005-0000-0000-0000005C0000}"/>
    <cellStyle name="Normal 32 3 2 3 3 4" xfId="22453" xr:uid="{00000000-0005-0000-0000-0000015C0000}"/>
    <cellStyle name="Normal 32 3 2 3 4" xfId="5888" xr:uid="{00000000-0005-0000-0000-0000025C0000}"/>
    <cellStyle name="Normal 32 3 2 3 4 2" xfId="14988" xr:uid="{00000000-0005-0000-0000-0000035C0000}"/>
    <cellStyle name="Normal 32 3 2 3 4 2 2" xfId="33170" xr:uid="{00000000-0005-0000-0000-0000045C0000}"/>
    <cellStyle name="Normal 32 3 2 3 4 3" xfId="24080" xr:uid="{00000000-0005-0000-0000-0000055C0000}"/>
    <cellStyle name="Normal 32 3 2 3 5" xfId="10454" xr:uid="{00000000-0005-0000-0000-0000065C0000}"/>
    <cellStyle name="Normal 32 3 2 3 5 2" xfId="28636" xr:uid="{00000000-0005-0000-0000-0000075C0000}"/>
    <cellStyle name="Normal 32 3 2 3 6" xfId="19545" xr:uid="{00000000-0005-0000-0000-0000085C0000}"/>
    <cellStyle name="Normal 32 3 2 4" xfId="1248" xr:uid="{00000000-0005-0000-0000-0000095C0000}"/>
    <cellStyle name="Normal 32 3 2 4 2" xfId="4250" xr:uid="{00000000-0005-0000-0000-00000A5C0000}"/>
    <cellStyle name="Normal 32 3 2 4 2 2" xfId="8806" xr:uid="{00000000-0005-0000-0000-00000B5C0000}"/>
    <cellStyle name="Normal 32 3 2 4 2 2 2" xfId="17902" xr:uid="{00000000-0005-0000-0000-00000C5C0000}"/>
    <cellStyle name="Normal 32 3 2 4 2 2 2 2" xfId="36084" xr:uid="{00000000-0005-0000-0000-00000D5C0000}"/>
    <cellStyle name="Normal 32 3 2 4 2 2 3" xfId="26994" xr:uid="{00000000-0005-0000-0000-00000E5C0000}"/>
    <cellStyle name="Normal 32 3 2 4 2 3" xfId="13362" xr:uid="{00000000-0005-0000-0000-00000F5C0000}"/>
    <cellStyle name="Normal 32 3 2 4 2 3 2" xfId="31544" xr:uid="{00000000-0005-0000-0000-0000105C0000}"/>
    <cellStyle name="Normal 32 3 2 4 2 4" xfId="22454" xr:uid="{00000000-0005-0000-0000-0000115C0000}"/>
    <cellStyle name="Normal 32 3 2 4 3" xfId="5889" xr:uid="{00000000-0005-0000-0000-0000125C0000}"/>
    <cellStyle name="Normal 32 3 2 4 3 2" xfId="14989" xr:uid="{00000000-0005-0000-0000-0000135C0000}"/>
    <cellStyle name="Normal 32 3 2 4 3 2 2" xfId="33171" xr:uid="{00000000-0005-0000-0000-0000145C0000}"/>
    <cellStyle name="Normal 32 3 2 4 3 3" xfId="24081" xr:uid="{00000000-0005-0000-0000-0000155C0000}"/>
    <cellStyle name="Normal 32 3 2 4 4" xfId="10455" xr:uid="{00000000-0005-0000-0000-0000165C0000}"/>
    <cellStyle name="Normal 32 3 2 4 4 2" xfId="28637" xr:uid="{00000000-0005-0000-0000-0000175C0000}"/>
    <cellStyle name="Normal 32 3 2 4 5" xfId="19546" xr:uid="{00000000-0005-0000-0000-0000185C0000}"/>
    <cellStyle name="Normal 32 3 2 5" xfId="2658" xr:uid="{00000000-0005-0000-0000-0000195C0000}"/>
    <cellStyle name="Normal 32 3 2 5 2" xfId="7243" xr:uid="{00000000-0005-0000-0000-00001A5C0000}"/>
    <cellStyle name="Normal 32 3 2 5 2 2" xfId="16343" xr:uid="{00000000-0005-0000-0000-00001B5C0000}"/>
    <cellStyle name="Normal 32 3 2 5 2 2 2" xfId="34525" xr:uid="{00000000-0005-0000-0000-00001C5C0000}"/>
    <cellStyle name="Normal 32 3 2 5 2 3" xfId="25435" xr:uid="{00000000-0005-0000-0000-00001D5C0000}"/>
    <cellStyle name="Normal 32 3 2 5 3" xfId="11807" xr:uid="{00000000-0005-0000-0000-00001E5C0000}"/>
    <cellStyle name="Normal 32 3 2 5 3 2" xfId="29989" xr:uid="{00000000-0005-0000-0000-00001F5C0000}"/>
    <cellStyle name="Normal 32 3 2 5 4" xfId="20899" xr:uid="{00000000-0005-0000-0000-0000205C0000}"/>
    <cellStyle name="Normal 32 3 2 6" xfId="4246" xr:uid="{00000000-0005-0000-0000-0000215C0000}"/>
    <cellStyle name="Normal 32 3 2 6 2" xfId="8802" xr:uid="{00000000-0005-0000-0000-0000225C0000}"/>
    <cellStyle name="Normal 32 3 2 6 2 2" xfId="17898" xr:uid="{00000000-0005-0000-0000-0000235C0000}"/>
    <cellStyle name="Normal 32 3 2 6 2 2 2" xfId="36080" xr:uid="{00000000-0005-0000-0000-0000245C0000}"/>
    <cellStyle name="Normal 32 3 2 6 2 3" xfId="26990" xr:uid="{00000000-0005-0000-0000-0000255C0000}"/>
    <cellStyle name="Normal 32 3 2 6 3" xfId="13358" xr:uid="{00000000-0005-0000-0000-0000265C0000}"/>
    <cellStyle name="Normal 32 3 2 6 3 2" xfId="31540" xr:uid="{00000000-0005-0000-0000-0000275C0000}"/>
    <cellStyle name="Normal 32 3 2 6 4" xfId="22450" xr:uid="{00000000-0005-0000-0000-0000285C0000}"/>
    <cellStyle name="Normal 32 3 2 7" xfId="5885" xr:uid="{00000000-0005-0000-0000-0000295C0000}"/>
    <cellStyle name="Normal 32 3 2 7 2" xfId="14985" xr:uid="{00000000-0005-0000-0000-00002A5C0000}"/>
    <cellStyle name="Normal 32 3 2 7 2 2" xfId="33167" xr:uid="{00000000-0005-0000-0000-00002B5C0000}"/>
    <cellStyle name="Normal 32 3 2 7 3" xfId="24077" xr:uid="{00000000-0005-0000-0000-00002C5C0000}"/>
    <cellStyle name="Normal 32 3 2 8" xfId="10451" xr:uid="{00000000-0005-0000-0000-00002D5C0000}"/>
    <cellStyle name="Normal 32 3 2 8 2" xfId="28633" xr:uid="{00000000-0005-0000-0000-00002E5C0000}"/>
    <cellStyle name="Normal 32 3 2 9" xfId="19542" xr:uid="{00000000-0005-0000-0000-00002F5C0000}"/>
    <cellStyle name="Normal 32 3 3" xfId="1249" xr:uid="{00000000-0005-0000-0000-0000305C0000}"/>
    <cellStyle name="Normal 32 3 3 2" xfId="1250" xr:uid="{00000000-0005-0000-0000-0000315C0000}"/>
    <cellStyle name="Normal 32 3 3 2 2" xfId="2659" xr:uid="{00000000-0005-0000-0000-0000325C0000}"/>
    <cellStyle name="Normal 32 3 3 2 2 2" xfId="7244" xr:uid="{00000000-0005-0000-0000-0000335C0000}"/>
    <cellStyle name="Normal 32 3 3 2 2 2 2" xfId="16344" xr:uid="{00000000-0005-0000-0000-0000345C0000}"/>
    <cellStyle name="Normal 32 3 3 2 2 2 2 2" xfId="34526" xr:uid="{00000000-0005-0000-0000-0000355C0000}"/>
    <cellStyle name="Normal 32 3 3 2 2 2 3" xfId="25436" xr:uid="{00000000-0005-0000-0000-0000365C0000}"/>
    <cellStyle name="Normal 32 3 3 2 2 3" xfId="11808" xr:uid="{00000000-0005-0000-0000-0000375C0000}"/>
    <cellStyle name="Normal 32 3 3 2 2 3 2" xfId="29990" xr:uid="{00000000-0005-0000-0000-0000385C0000}"/>
    <cellStyle name="Normal 32 3 3 2 2 4" xfId="20900" xr:uid="{00000000-0005-0000-0000-0000395C0000}"/>
    <cellStyle name="Normal 32 3 3 2 3" xfId="4252" xr:uid="{00000000-0005-0000-0000-00003A5C0000}"/>
    <cellStyle name="Normal 32 3 3 2 3 2" xfId="8808" xr:uid="{00000000-0005-0000-0000-00003B5C0000}"/>
    <cellStyle name="Normal 32 3 3 2 3 2 2" xfId="17904" xr:uid="{00000000-0005-0000-0000-00003C5C0000}"/>
    <cellStyle name="Normal 32 3 3 2 3 2 2 2" xfId="36086" xr:uid="{00000000-0005-0000-0000-00003D5C0000}"/>
    <cellStyle name="Normal 32 3 3 2 3 2 3" xfId="26996" xr:uid="{00000000-0005-0000-0000-00003E5C0000}"/>
    <cellStyle name="Normal 32 3 3 2 3 3" xfId="13364" xr:uid="{00000000-0005-0000-0000-00003F5C0000}"/>
    <cellStyle name="Normal 32 3 3 2 3 3 2" xfId="31546" xr:uid="{00000000-0005-0000-0000-0000405C0000}"/>
    <cellStyle name="Normal 32 3 3 2 3 4" xfId="22456" xr:uid="{00000000-0005-0000-0000-0000415C0000}"/>
    <cellStyle name="Normal 32 3 3 2 4" xfId="5891" xr:uid="{00000000-0005-0000-0000-0000425C0000}"/>
    <cellStyle name="Normal 32 3 3 2 4 2" xfId="14991" xr:uid="{00000000-0005-0000-0000-0000435C0000}"/>
    <cellStyle name="Normal 32 3 3 2 4 2 2" xfId="33173" xr:uid="{00000000-0005-0000-0000-0000445C0000}"/>
    <cellStyle name="Normal 32 3 3 2 4 3" xfId="24083" xr:uid="{00000000-0005-0000-0000-0000455C0000}"/>
    <cellStyle name="Normal 32 3 3 2 5" xfId="10457" xr:uid="{00000000-0005-0000-0000-0000465C0000}"/>
    <cellStyle name="Normal 32 3 3 2 5 2" xfId="28639" xr:uid="{00000000-0005-0000-0000-0000475C0000}"/>
    <cellStyle name="Normal 32 3 3 2 6" xfId="19548" xr:uid="{00000000-0005-0000-0000-0000485C0000}"/>
    <cellStyle name="Normal 32 3 3 3" xfId="2660" xr:uid="{00000000-0005-0000-0000-0000495C0000}"/>
    <cellStyle name="Normal 32 3 3 3 2" xfId="7245" xr:uid="{00000000-0005-0000-0000-00004A5C0000}"/>
    <cellStyle name="Normal 32 3 3 3 2 2" xfId="16345" xr:uid="{00000000-0005-0000-0000-00004B5C0000}"/>
    <cellStyle name="Normal 32 3 3 3 2 2 2" xfId="34527" xr:uid="{00000000-0005-0000-0000-00004C5C0000}"/>
    <cellStyle name="Normal 32 3 3 3 2 3" xfId="25437" xr:uid="{00000000-0005-0000-0000-00004D5C0000}"/>
    <cellStyle name="Normal 32 3 3 3 3" xfId="11809" xr:uid="{00000000-0005-0000-0000-00004E5C0000}"/>
    <cellStyle name="Normal 32 3 3 3 3 2" xfId="29991" xr:uid="{00000000-0005-0000-0000-00004F5C0000}"/>
    <cellStyle name="Normal 32 3 3 3 4" xfId="20901" xr:uid="{00000000-0005-0000-0000-0000505C0000}"/>
    <cellStyle name="Normal 32 3 3 4" xfId="4251" xr:uid="{00000000-0005-0000-0000-0000515C0000}"/>
    <cellStyle name="Normal 32 3 3 4 2" xfId="8807" xr:uid="{00000000-0005-0000-0000-0000525C0000}"/>
    <cellStyle name="Normal 32 3 3 4 2 2" xfId="17903" xr:uid="{00000000-0005-0000-0000-0000535C0000}"/>
    <cellStyle name="Normal 32 3 3 4 2 2 2" xfId="36085" xr:uid="{00000000-0005-0000-0000-0000545C0000}"/>
    <cellStyle name="Normal 32 3 3 4 2 3" xfId="26995" xr:uid="{00000000-0005-0000-0000-0000555C0000}"/>
    <cellStyle name="Normal 32 3 3 4 3" xfId="13363" xr:uid="{00000000-0005-0000-0000-0000565C0000}"/>
    <cellStyle name="Normal 32 3 3 4 3 2" xfId="31545" xr:uid="{00000000-0005-0000-0000-0000575C0000}"/>
    <cellStyle name="Normal 32 3 3 4 4" xfId="22455" xr:uid="{00000000-0005-0000-0000-0000585C0000}"/>
    <cellStyle name="Normal 32 3 3 5" xfId="5890" xr:uid="{00000000-0005-0000-0000-0000595C0000}"/>
    <cellStyle name="Normal 32 3 3 5 2" xfId="14990" xr:uid="{00000000-0005-0000-0000-00005A5C0000}"/>
    <cellStyle name="Normal 32 3 3 5 2 2" xfId="33172" xr:uid="{00000000-0005-0000-0000-00005B5C0000}"/>
    <cellStyle name="Normal 32 3 3 5 3" xfId="24082" xr:uid="{00000000-0005-0000-0000-00005C5C0000}"/>
    <cellStyle name="Normal 32 3 3 6" xfId="10456" xr:uid="{00000000-0005-0000-0000-00005D5C0000}"/>
    <cellStyle name="Normal 32 3 3 6 2" xfId="28638" xr:uid="{00000000-0005-0000-0000-00005E5C0000}"/>
    <cellStyle name="Normal 32 3 3 7" xfId="19547" xr:uid="{00000000-0005-0000-0000-00005F5C0000}"/>
    <cellStyle name="Normal 32 3 4" xfId="1251" xr:uid="{00000000-0005-0000-0000-0000605C0000}"/>
    <cellStyle name="Normal 32 3 4 2" xfId="2661" xr:uid="{00000000-0005-0000-0000-0000615C0000}"/>
    <cellStyle name="Normal 32 3 4 2 2" xfId="7246" xr:uid="{00000000-0005-0000-0000-0000625C0000}"/>
    <cellStyle name="Normal 32 3 4 2 2 2" xfId="16346" xr:uid="{00000000-0005-0000-0000-0000635C0000}"/>
    <cellStyle name="Normal 32 3 4 2 2 2 2" xfId="34528" xr:uid="{00000000-0005-0000-0000-0000645C0000}"/>
    <cellStyle name="Normal 32 3 4 2 2 3" xfId="25438" xr:uid="{00000000-0005-0000-0000-0000655C0000}"/>
    <cellStyle name="Normal 32 3 4 2 3" xfId="11810" xr:uid="{00000000-0005-0000-0000-0000665C0000}"/>
    <cellStyle name="Normal 32 3 4 2 3 2" xfId="29992" xr:uid="{00000000-0005-0000-0000-0000675C0000}"/>
    <cellStyle name="Normal 32 3 4 2 4" xfId="20902" xr:uid="{00000000-0005-0000-0000-0000685C0000}"/>
    <cellStyle name="Normal 32 3 4 3" xfId="4253" xr:uid="{00000000-0005-0000-0000-0000695C0000}"/>
    <cellStyle name="Normal 32 3 4 3 2" xfId="8809" xr:uid="{00000000-0005-0000-0000-00006A5C0000}"/>
    <cellStyle name="Normal 32 3 4 3 2 2" xfId="17905" xr:uid="{00000000-0005-0000-0000-00006B5C0000}"/>
    <cellStyle name="Normal 32 3 4 3 2 2 2" xfId="36087" xr:uid="{00000000-0005-0000-0000-00006C5C0000}"/>
    <cellStyle name="Normal 32 3 4 3 2 3" xfId="26997" xr:uid="{00000000-0005-0000-0000-00006D5C0000}"/>
    <cellStyle name="Normal 32 3 4 3 3" xfId="13365" xr:uid="{00000000-0005-0000-0000-00006E5C0000}"/>
    <cellStyle name="Normal 32 3 4 3 3 2" xfId="31547" xr:uid="{00000000-0005-0000-0000-00006F5C0000}"/>
    <cellStyle name="Normal 32 3 4 3 4" xfId="22457" xr:uid="{00000000-0005-0000-0000-0000705C0000}"/>
    <cellStyle name="Normal 32 3 4 4" xfId="5892" xr:uid="{00000000-0005-0000-0000-0000715C0000}"/>
    <cellStyle name="Normal 32 3 4 4 2" xfId="14992" xr:uid="{00000000-0005-0000-0000-0000725C0000}"/>
    <cellStyle name="Normal 32 3 4 4 2 2" xfId="33174" xr:uid="{00000000-0005-0000-0000-0000735C0000}"/>
    <cellStyle name="Normal 32 3 4 4 3" xfId="24084" xr:uid="{00000000-0005-0000-0000-0000745C0000}"/>
    <cellStyle name="Normal 32 3 4 5" xfId="10458" xr:uid="{00000000-0005-0000-0000-0000755C0000}"/>
    <cellStyle name="Normal 32 3 4 5 2" xfId="28640" xr:uid="{00000000-0005-0000-0000-0000765C0000}"/>
    <cellStyle name="Normal 32 3 4 6" xfId="19549" xr:uid="{00000000-0005-0000-0000-0000775C0000}"/>
    <cellStyle name="Normal 32 3 5" xfId="1252" xr:uid="{00000000-0005-0000-0000-0000785C0000}"/>
    <cellStyle name="Normal 32 3 5 2" xfId="4254" xr:uid="{00000000-0005-0000-0000-0000795C0000}"/>
    <cellStyle name="Normal 32 3 5 2 2" xfId="8810" xr:uid="{00000000-0005-0000-0000-00007A5C0000}"/>
    <cellStyle name="Normal 32 3 5 2 2 2" xfId="17906" xr:uid="{00000000-0005-0000-0000-00007B5C0000}"/>
    <cellStyle name="Normal 32 3 5 2 2 2 2" xfId="36088" xr:uid="{00000000-0005-0000-0000-00007C5C0000}"/>
    <cellStyle name="Normal 32 3 5 2 2 3" xfId="26998" xr:uid="{00000000-0005-0000-0000-00007D5C0000}"/>
    <cellStyle name="Normal 32 3 5 2 3" xfId="13366" xr:uid="{00000000-0005-0000-0000-00007E5C0000}"/>
    <cellStyle name="Normal 32 3 5 2 3 2" xfId="31548" xr:uid="{00000000-0005-0000-0000-00007F5C0000}"/>
    <cellStyle name="Normal 32 3 5 2 4" xfId="22458" xr:uid="{00000000-0005-0000-0000-0000805C0000}"/>
    <cellStyle name="Normal 32 3 5 3" xfId="5893" xr:uid="{00000000-0005-0000-0000-0000815C0000}"/>
    <cellStyle name="Normal 32 3 5 3 2" xfId="14993" xr:uid="{00000000-0005-0000-0000-0000825C0000}"/>
    <cellStyle name="Normal 32 3 5 3 2 2" xfId="33175" xr:uid="{00000000-0005-0000-0000-0000835C0000}"/>
    <cellStyle name="Normal 32 3 5 3 3" xfId="24085" xr:uid="{00000000-0005-0000-0000-0000845C0000}"/>
    <cellStyle name="Normal 32 3 5 4" xfId="10459" xr:uid="{00000000-0005-0000-0000-0000855C0000}"/>
    <cellStyle name="Normal 32 3 5 4 2" xfId="28641" xr:uid="{00000000-0005-0000-0000-0000865C0000}"/>
    <cellStyle name="Normal 32 3 5 5" xfId="19550" xr:uid="{00000000-0005-0000-0000-0000875C0000}"/>
    <cellStyle name="Normal 32 3 6" xfId="2662" xr:uid="{00000000-0005-0000-0000-0000885C0000}"/>
    <cellStyle name="Normal 32 3 6 2" xfId="7247" xr:uid="{00000000-0005-0000-0000-0000895C0000}"/>
    <cellStyle name="Normal 32 3 6 2 2" xfId="16347" xr:uid="{00000000-0005-0000-0000-00008A5C0000}"/>
    <cellStyle name="Normal 32 3 6 2 2 2" xfId="34529" xr:uid="{00000000-0005-0000-0000-00008B5C0000}"/>
    <cellStyle name="Normal 32 3 6 2 3" xfId="25439" xr:uid="{00000000-0005-0000-0000-00008C5C0000}"/>
    <cellStyle name="Normal 32 3 6 3" xfId="11811" xr:uid="{00000000-0005-0000-0000-00008D5C0000}"/>
    <cellStyle name="Normal 32 3 6 3 2" xfId="29993" xr:uid="{00000000-0005-0000-0000-00008E5C0000}"/>
    <cellStyle name="Normal 32 3 6 4" xfId="20903" xr:uid="{00000000-0005-0000-0000-00008F5C0000}"/>
    <cellStyle name="Normal 32 3 7" xfId="3259" xr:uid="{00000000-0005-0000-0000-0000905C0000}"/>
    <cellStyle name="Normal 32 3 7 2" xfId="7819" xr:uid="{00000000-0005-0000-0000-0000915C0000}"/>
    <cellStyle name="Normal 32 3 7 2 2" xfId="16915" xr:uid="{00000000-0005-0000-0000-0000925C0000}"/>
    <cellStyle name="Normal 32 3 7 2 2 2" xfId="35097" xr:uid="{00000000-0005-0000-0000-0000935C0000}"/>
    <cellStyle name="Normal 32 3 7 2 3" xfId="26007" xr:uid="{00000000-0005-0000-0000-0000945C0000}"/>
    <cellStyle name="Normal 32 3 7 3" xfId="12375" xr:uid="{00000000-0005-0000-0000-0000955C0000}"/>
    <cellStyle name="Normal 32 3 7 3 2" xfId="30557" xr:uid="{00000000-0005-0000-0000-0000965C0000}"/>
    <cellStyle name="Normal 32 3 7 4" xfId="21467" xr:uid="{00000000-0005-0000-0000-0000975C0000}"/>
    <cellStyle name="Normal 32 3 8" xfId="4906" xr:uid="{00000000-0005-0000-0000-0000985C0000}"/>
    <cellStyle name="Normal 32 3 8 2" xfId="14006" xr:uid="{00000000-0005-0000-0000-0000995C0000}"/>
    <cellStyle name="Normal 32 3 8 2 2" xfId="32188" xr:uid="{00000000-0005-0000-0000-00009A5C0000}"/>
    <cellStyle name="Normal 32 3 8 3" xfId="23098" xr:uid="{00000000-0005-0000-0000-00009B5C0000}"/>
    <cellStyle name="Normal 32 3 9" xfId="9472" xr:uid="{00000000-0005-0000-0000-00009C5C0000}"/>
    <cellStyle name="Normal 32 3 9 2" xfId="27654" xr:uid="{00000000-0005-0000-0000-00009D5C0000}"/>
    <cellStyle name="Normal 32 4" xfId="1253" xr:uid="{00000000-0005-0000-0000-00009E5C0000}"/>
    <cellStyle name="Normal 32 4 2" xfId="1254" xr:uid="{00000000-0005-0000-0000-00009F5C0000}"/>
    <cellStyle name="Normal 32 4 2 2" xfId="1255" xr:uid="{00000000-0005-0000-0000-0000A05C0000}"/>
    <cellStyle name="Normal 32 4 2 2 2" xfId="2663" xr:uid="{00000000-0005-0000-0000-0000A15C0000}"/>
    <cellStyle name="Normal 32 4 2 2 2 2" xfId="7248" xr:uid="{00000000-0005-0000-0000-0000A25C0000}"/>
    <cellStyle name="Normal 32 4 2 2 2 2 2" xfId="16348" xr:uid="{00000000-0005-0000-0000-0000A35C0000}"/>
    <cellStyle name="Normal 32 4 2 2 2 2 2 2" xfId="34530" xr:uid="{00000000-0005-0000-0000-0000A45C0000}"/>
    <cellStyle name="Normal 32 4 2 2 2 2 3" xfId="25440" xr:uid="{00000000-0005-0000-0000-0000A55C0000}"/>
    <cellStyle name="Normal 32 4 2 2 2 3" xfId="11812" xr:uid="{00000000-0005-0000-0000-0000A65C0000}"/>
    <cellStyle name="Normal 32 4 2 2 2 3 2" xfId="29994" xr:uid="{00000000-0005-0000-0000-0000A75C0000}"/>
    <cellStyle name="Normal 32 4 2 2 2 4" xfId="20904" xr:uid="{00000000-0005-0000-0000-0000A85C0000}"/>
    <cellStyle name="Normal 32 4 2 2 3" xfId="4257" xr:uid="{00000000-0005-0000-0000-0000A95C0000}"/>
    <cellStyle name="Normal 32 4 2 2 3 2" xfId="8813" xr:uid="{00000000-0005-0000-0000-0000AA5C0000}"/>
    <cellStyle name="Normal 32 4 2 2 3 2 2" xfId="17909" xr:uid="{00000000-0005-0000-0000-0000AB5C0000}"/>
    <cellStyle name="Normal 32 4 2 2 3 2 2 2" xfId="36091" xr:uid="{00000000-0005-0000-0000-0000AC5C0000}"/>
    <cellStyle name="Normal 32 4 2 2 3 2 3" xfId="27001" xr:uid="{00000000-0005-0000-0000-0000AD5C0000}"/>
    <cellStyle name="Normal 32 4 2 2 3 3" xfId="13369" xr:uid="{00000000-0005-0000-0000-0000AE5C0000}"/>
    <cellStyle name="Normal 32 4 2 2 3 3 2" xfId="31551" xr:uid="{00000000-0005-0000-0000-0000AF5C0000}"/>
    <cellStyle name="Normal 32 4 2 2 3 4" xfId="22461" xr:uid="{00000000-0005-0000-0000-0000B05C0000}"/>
    <cellStyle name="Normal 32 4 2 2 4" xfId="5896" xr:uid="{00000000-0005-0000-0000-0000B15C0000}"/>
    <cellStyle name="Normal 32 4 2 2 4 2" xfId="14996" xr:uid="{00000000-0005-0000-0000-0000B25C0000}"/>
    <cellStyle name="Normal 32 4 2 2 4 2 2" xfId="33178" xr:uid="{00000000-0005-0000-0000-0000B35C0000}"/>
    <cellStyle name="Normal 32 4 2 2 4 3" xfId="24088" xr:uid="{00000000-0005-0000-0000-0000B45C0000}"/>
    <cellStyle name="Normal 32 4 2 2 5" xfId="10462" xr:uid="{00000000-0005-0000-0000-0000B55C0000}"/>
    <cellStyle name="Normal 32 4 2 2 5 2" xfId="28644" xr:uid="{00000000-0005-0000-0000-0000B65C0000}"/>
    <cellStyle name="Normal 32 4 2 2 6" xfId="19553" xr:uid="{00000000-0005-0000-0000-0000B75C0000}"/>
    <cellStyle name="Normal 32 4 2 3" xfId="2664" xr:uid="{00000000-0005-0000-0000-0000B85C0000}"/>
    <cellStyle name="Normal 32 4 2 3 2" xfId="7249" xr:uid="{00000000-0005-0000-0000-0000B95C0000}"/>
    <cellStyle name="Normal 32 4 2 3 2 2" xfId="16349" xr:uid="{00000000-0005-0000-0000-0000BA5C0000}"/>
    <cellStyle name="Normal 32 4 2 3 2 2 2" xfId="34531" xr:uid="{00000000-0005-0000-0000-0000BB5C0000}"/>
    <cellStyle name="Normal 32 4 2 3 2 3" xfId="25441" xr:uid="{00000000-0005-0000-0000-0000BC5C0000}"/>
    <cellStyle name="Normal 32 4 2 3 3" xfId="11813" xr:uid="{00000000-0005-0000-0000-0000BD5C0000}"/>
    <cellStyle name="Normal 32 4 2 3 3 2" xfId="29995" xr:uid="{00000000-0005-0000-0000-0000BE5C0000}"/>
    <cellStyle name="Normal 32 4 2 3 4" xfId="20905" xr:uid="{00000000-0005-0000-0000-0000BF5C0000}"/>
    <cellStyle name="Normal 32 4 2 4" xfId="4256" xr:uid="{00000000-0005-0000-0000-0000C05C0000}"/>
    <cellStyle name="Normal 32 4 2 4 2" xfId="8812" xr:uid="{00000000-0005-0000-0000-0000C15C0000}"/>
    <cellStyle name="Normal 32 4 2 4 2 2" xfId="17908" xr:uid="{00000000-0005-0000-0000-0000C25C0000}"/>
    <cellStyle name="Normal 32 4 2 4 2 2 2" xfId="36090" xr:uid="{00000000-0005-0000-0000-0000C35C0000}"/>
    <cellStyle name="Normal 32 4 2 4 2 3" xfId="27000" xr:uid="{00000000-0005-0000-0000-0000C45C0000}"/>
    <cellStyle name="Normal 32 4 2 4 3" xfId="13368" xr:uid="{00000000-0005-0000-0000-0000C55C0000}"/>
    <cellStyle name="Normal 32 4 2 4 3 2" xfId="31550" xr:uid="{00000000-0005-0000-0000-0000C65C0000}"/>
    <cellStyle name="Normal 32 4 2 4 4" xfId="22460" xr:uid="{00000000-0005-0000-0000-0000C75C0000}"/>
    <cellStyle name="Normal 32 4 2 5" xfId="5895" xr:uid="{00000000-0005-0000-0000-0000C85C0000}"/>
    <cellStyle name="Normal 32 4 2 5 2" xfId="14995" xr:uid="{00000000-0005-0000-0000-0000C95C0000}"/>
    <cellStyle name="Normal 32 4 2 5 2 2" xfId="33177" xr:uid="{00000000-0005-0000-0000-0000CA5C0000}"/>
    <cellStyle name="Normal 32 4 2 5 3" xfId="24087" xr:uid="{00000000-0005-0000-0000-0000CB5C0000}"/>
    <cellStyle name="Normal 32 4 2 6" xfId="10461" xr:uid="{00000000-0005-0000-0000-0000CC5C0000}"/>
    <cellStyle name="Normal 32 4 2 6 2" xfId="28643" xr:uid="{00000000-0005-0000-0000-0000CD5C0000}"/>
    <cellStyle name="Normal 32 4 2 7" xfId="19552" xr:uid="{00000000-0005-0000-0000-0000CE5C0000}"/>
    <cellStyle name="Normal 32 4 3" xfId="1256" xr:uid="{00000000-0005-0000-0000-0000CF5C0000}"/>
    <cellStyle name="Normal 32 4 3 2" xfId="2665" xr:uid="{00000000-0005-0000-0000-0000D05C0000}"/>
    <cellStyle name="Normal 32 4 3 2 2" xfId="7250" xr:uid="{00000000-0005-0000-0000-0000D15C0000}"/>
    <cellStyle name="Normal 32 4 3 2 2 2" xfId="16350" xr:uid="{00000000-0005-0000-0000-0000D25C0000}"/>
    <cellStyle name="Normal 32 4 3 2 2 2 2" xfId="34532" xr:uid="{00000000-0005-0000-0000-0000D35C0000}"/>
    <cellStyle name="Normal 32 4 3 2 2 3" xfId="25442" xr:uid="{00000000-0005-0000-0000-0000D45C0000}"/>
    <cellStyle name="Normal 32 4 3 2 3" xfId="11814" xr:uid="{00000000-0005-0000-0000-0000D55C0000}"/>
    <cellStyle name="Normal 32 4 3 2 3 2" xfId="29996" xr:uid="{00000000-0005-0000-0000-0000D65C0000}"/>
    <cellStyle name="Normal 32 4 3 2 4" xfId="20906" xr:uid="{00000000-0005-0000-0000-0000D75C0000}"/>
    <cellStyle name="Normal 32 4 3 3" xfId="4258" xr:uid="{00000000-0005-0000-0000-0000D85C0000}"/>
    <cellStyle name="Normal 32 4 3 3 2" xfId="8814" xr:uid="{00000000-0005-0000-0000-0000D95C0000}"/>
    <cellStyle name="Normal 32 4 3 3 2 2" xfId="17910" xr:uid="{00000000-0005-0000-0000-0000DA5C0000}"/>
    <cellStyle name="Normal 32 4 3 3 2 2 2" xfId="36092" xr:uid="{00000000-0005-0000-0000-0000DB5C0000}"/>
    <cellStyle name="Normal 32 4 3 3 2 3" xfId="27002" xr:uid="{00000000-0005-0000-0000-0000DC5C0000}"/>
    <cellStyle name="Normal 32 4 3 3 3" xfId="13370" xr:uid="{00000000-0005-0000-0000-0000DD5C0000}"/>
    <cellStyle name="Normal 32 4 3 3 3 2" xfId="31552" xr:uid="{00000000-0005-0000-0000-0000DE5C0000}"/>
    <cellStyle name="Normal 32 4 3 3 4" xfId="22462" xr:uid="{00000000-0005-0000-0000-0000DF5C0000}"/>
    <cellStyle name="Normal 32 4 3 4" xfId="5897" xr:uid="{00000000-0005-0000-0000-0000E05C0000}"/>
    <cellStyle name="Normal 32 4 3 4 2" xfId="14997" xr:uid="{00000000-0005-0000-0000-0000E15C0000}"/>
    <cellStyle name="Normal 32 4 3 4 2 2" xfId="33179" xr:uid="{00000000-0005-0000-0000-0000E25C0000}"/>
    <cellStyle name="Normal 32 4 3 4 3" xfId="24089" xr:uid="{00000000-0005-0000-0000-0000E35C0000}"/>
    <cellStyle name="Normal 32 4 3 5" xfId="10463" xr:uid="{00000000-0005-0000-0000-0000E45C0000}"/>
    <cellStyle name="Normal 32 4 3 5 2" xfId="28645" xr:uid="{00000000-0005-0000-0000-0000E55C0000}"/>
    <cellStyle name="Normal 32 4 3 6" xfId="19554" xr:uid="{00000000-0005-0000-0000-0000E65C0000}"/>
    <cellStyle name="Normal 32 4 4" xfId="1257" xr:uid="{00000000-0005-0000-0000-0000E75C0000}"/>
    <cellStyle name="Normal 32 4 4 2" xfId="4259" xr:uid="{00000000-0005-0000-0000-0000E85C0000}"/>
    <cellStyle name="Normal 32 4 4 2 2" xfId="8815" xr:uid="{00000000-0005-0000-0000-0000E95C0000}"/>
    <cellStyle name="Normal 32 4 4 2 2 2" xfId="17911" xr:uid="{00000000-0005-0000-0000-0000EA5C0000}"/>
    <cellStyle name="Normal 32 4 4 2 2 2 2" xfId="36093" xr:uid="{00000000-0005-0000-0000-0000EB5C0000}"/>
    <cellStyle name="Normal 32 4 4 2 2 3" xfId="27003" xr:uid="{00000000-0005-0000-0000-0000EC5C0000}"/>
    <cellStyle name="Normal 32 4 4 2 3" xfId="13371" xr:uid="{00000000-0005-0000-0000-0000ED5C0000}"/>
    <cellStyle name="Normal 32 4 4 2 3 2" xfId="31553" xr:uid="{00000000-0005-0000-0000-0000EE5C0000}"/>
    <cellStyle name="Normal 32 4 4 2 4" xfId="22463" xr:uid="{00000000-0005-0000-0000-0000EF5C0000}"/>
    <cellStyle name="Normal 32 4 4 3" xfId="5898" xr:uid="{00000000-0005-0000-0000-0000F05C0000}"/>
    <cellStyle name="Normal 32 4 4 3 2" xfId="14998" xr:uid="{00000000-0005-0000-0000-0000F15C0000}"/>
    <cellStyle name="Normal 32 4 4 3 2 2" xfId="33180" xr:uid="{00000000-0005-0000-0000-0000F25C0000}"/>
    <cellStyle name="Normal 32 4 4 3 3" xfId="24090" xr:uid="{00000000-0005-0000-0000-0000F35C0000}"/>
    <cellStyle name="Normal 32 4 4 4" xfId="10464" xr:uid="{00000000-0005-0000-0000-0000F45C0000}"/>
    <cellStyle name="Normal 32 4 4 4 2" xfId="28646" xr:uid="{00000000-0005-0000-0000-0000F55C0000}"/>
    <cellStyle name="Normal 32 4 4 5" xfId="19555" xr:uid="{00000000-0005-0000-0000-0000F65C0000}"/>
    <cellStyle name="Normal 32 4 5" xfId="2666" xr:uid="{00000000-0005-0000-0000-0000F75C0000}"/>
    <cellStyle name="Normal 32 4 5 2" xfId="7251" xr:uid="{00000000-0005-0000-0000-0000F85C0000}"/>
    <cellStyle name="Normal 32 4 5 2 2" xfId="16351" xr:uid="{00000000-0005-0000-0000-0000F95C0000}"/>
    <cellStyle name="Normal 32 4 5 2 2 2" xfId="34533" xr:uid="{00000000-0005-0000-0000-0000FA5C0000}"/>
    <cellStyle name="Normal 32 4 5 2 3" xfId="25443" xr:uid="{00000000-0005-0000-0000-0000FB5C0000}"/>
    <cellStyle name="Normal 32 4 5 3" xfId="11815" xr:uid="{00000000-0005-0000-0000-0000FC5C0000}"/>
    <cellStyle name="Normal 32 4 5 3 2" xfId="29997" xr:uid="{00000000-0005-0000-0000-0000FD5C0000}"/>
    <cellStyle name="Normal 32 4 5 4" xfId="20907" xr:uid="{00000000-0005-0000-0000-0000FE5C0000}"/>
    <cellStyle name="Normal 32 4 6" xfId="4255" xr:uid="{00000000-0005-0000-0000-0000FF5C0000}"/>
    <cellStyle name="Normal 32 4 6 2" xfId="8811" xr:uid="{00000000-0005-0000-0000-0000005D0000}"/>
    <cellStyle name="Normal 32 4 6 2 2" xfId="17907" xr:uid="{00000000-0005-0000-0000-0000015D0000}"/>
    <cellStyle name="Normal 32 4 6 2 2 2" xfId="36089" xr:uid="{00000000-0005-0000-0000-0000025D0000}"/>
    <cellStyle name="Normal 32 4 6 2 3" xfId="26999" xr:uid="{00000000-0005-0000-0000-0000035D0000}"/>
    <cellStyle name="Normal 32 4 6 3" xfId="13367" xr:uid="{00000000-0005-0000-0000-0000045D0000}"/>
    <cellStyle name="Normal 32 4 6 3 2" xfId="31549" xr:uid="{00000000-0005-0000-0000-0000055D0000}"/>
    <cellStyle name="Normal 32 4 6 4" xfId="22459" xr:uid="{00000000-0005-0000-0000-0000065D0000}"/>
    <cellStyle name="Normal 32 4 7" xfId="5894" xr:uid="{00000000-0005-0000-0000-0000075D0000}"/>
    <cellStyle name="Normal 32 4 7 2" xfId="14994" xr:uid="{00000000-0005-0000-0000-0000085D0000}"/>
    <cellStyle name="Normal 32 4 7 2 2" xfId="33176" xr:uid="{00000000-0005-0000-0000-0000095D0000}"/>
    <cellStyle name="Normal 32 4 7 3" xfId="24086" xr:uid="{00000000-0005-0000-0000-00000A5D0000}"/>
    <cellStyle name="Normal 32 4 8" xfId="10460" xr:uid="{00000000-0005-0000-0000-00000B5D0000}"/>
    <cellStyle name="Normal 32 4 8 2" xfId="28642" xr:uid="{00000000-0005-0000-0000-00000C5D0000}"/>
    <cellStyle name="Normal 32 4 9" xfId="19551" xr:uid="{00000000-0005-0000-0000-00000D5D0000}"/>
    <cellStyle name="Normal 32 5" xfId="1258" xr:uid="{00000000-0005-0000-0000-00000E5D0000}"/>
    <cellStyle name="Normal 32 5 2" xfId="1259" xr:uid="{00000000-0005-0000-0000-00000F5D0000}"/>
    <cellStyle name="Normal 32 5 2 2" xfId="2667" xr:uid="{00000000-0005-0000-0000-0000105D0000}"/>
    <cellStyle name="Normal 32 5 2 2 2" xfId="7252" xr:uid="{00000000-0005-0000-0000-0000115D0000}"/>
    <cellStyle name="Normal 32 5 2 2 2 2" xfId="16352" xr:uid="{00000000-0005-0000-0000-0000125D0000}"/>
    <cellStyle name="Normal 32 5 2 2 2 2 2" xfId="34534" xr:uid="{00000000-0005-0000-0000-0000135D0000}"/>
    <cellStyle name="Normal 32 5 2 2 2 3" xfId="25444" xr:uid="{00000000-0005-0000-0000-0000145D0000}"/>
    <cellStyle name="Normal 32 5 2 2 3" xfId="11816" xr:uid="{00000000-0005-0000-0000-0000155D0000}"/>
    <cellStyle name="Normal 32 5 2 2 3 2" xfId="29998" xr:uid="{00000000-0005-0000-0000-0000165D0000}"/>
    <cellStyle name="Normal 32 5 2 2 4" xfId="20908" xr:uid="{00000000-0005-0000-0000-0000175D0000}"/>
    <cellStyle name="Normal 32 5 2 3" xfId="4261" xr:uid="{00000000-0005-0000-0000-0000185D0000}"/>
    <cellStyle name="Normal 32 5 2 3 2" xfId="8817" xr:uid="{00000000-0005-0000-0000-0000195D0000}"/>
    <cellStyle name="Normal 32 5 2 3 2 2" xfId="17913" xr:uid="{00000000-0005-0000-0000-00001A5D0000}"/>
    <cellStyle name="Normal 32 5 2 3 2 2 2" xfId="36095" xr:uid="{00000000-0005-0000-0000-00001B5D0000}"/>
    <cellStyle name="Normal 32 5 2 3 2 3" xfId="27005" xr:uid="{00000000-0005-0000-0000-00001C5D0000}"/>
    <cellStyle name="Normal 32 5 2 3 3" xfId="13373" xr:uid="{00000000-0005-0000-0000-00001D5D0000}"/>
    <cellStyle name="Normal 32 5 2 3 3 2" xfId="31555" xr:uid="{00000000-0005-0000-0000-00001E5D0000}"/>
    <cellStyle name="Normal 32 5 2 3 4" xfId="22465" xr:uid="{00000000-0005-0000-0000-00001F5D0000}"/>
    <cellStyle name="Normal 32 5 2 4" xfId="5900" xr:uid="{00000000-0005-0000-0000-0000205D0000}"/>
    <cellStyle name="Normal 32 5 2 4 2" xfId="15000" xr:uid="{00000000-0005-0000-0000-0000215D0000}"/>
    <cellStyle name="Normal 32 5 2 4 2 2" xfId="33182" xr:uid="{00000000-0005-0000-0000-0000225D0000}"/>
    <cellStyle name="Normal 32 5 2 4 3" xfId="24092" xr:uid="{00000000-0005-0000-0000-0000235D0000}"/>
    <cellStyle name="Normal 32 5 2 5" xfId="10466" xr:uid="{00000000-0005-0000-0000-0000245D0000}"/>
    <cellStyle name="Normal 32 5 2 5 2" xfId="28648" xr:uid="{00000000-0005-0000-0000-0000255D0000}"/>
    <cellStyle name="Normal 32 5 2 6" xfId="19557" xr:uid="{00000000-0005-0000-0000-0000265D0000}"/>
    <cellStyle name="Normal 32 5 3" xfId="2668" xr:uid="{00000000-0005-0000-0000-0000275D0000}"/>
    <cellStyle name="Normal 32 5 3 2" xfId="7253" xr:uid="{00000000-0005-0000-0000-0000285D0000}"/>
    <cellStyle name="Normal 32 5 3 2 2" xfId="16353" xr:uid="{00000000-0005-0000-0000-0000295D0000}"/>
    <cellStyle name="Normal 32 5 3 2 2 2" xfId="34535" xr:uid="{00000000-0005-0000-0000-00002A5D0000}"/>
    <cellStyle name="Normal 32 5 3 2 3" xfId="25445" xr:uid="{00000000-0005-0000-0000-00002B5D0000}"/>
    <cellStyle name="Normal 32 5 3 3" xfId="11817" xr:uid="{00000000-0005-0000-0000-00002C5D0000}"/>
    <cellStyle name="Normal 32 5 3 3 2" xfId="29999" xr:uid="{00000000-0005-0000-0000-00002D5D0000}"/>
    <cellStyle name="Normal 32 5 3 4" xfId="20909" xr:uid="{00000000-0005-0000-0000-00002E5D0000}"/>
    <cellStyle name="Normal 32 5 4" xfId="4260" xr:uid="{00000000-0005-0000-0000-00002F5D0000}"/>
    <cellStyle name="Normal 32 5 4 2" xfId="8816" xr:uid="{00000000-0005-0000-0000-0000305D0000}"/>
    <cellStyle name="Normal 32 5 4 2 2" xfId="17912" xr:uid="{00000000-0005-0000-0000-0000315D0000}"/>
    <cellStyle name="Normal 32 5 4 2 2 2" xfId="36094" xr:uid="{00000000-0005-0000-0000-0000325D0000}"/>
    <cellStyle name="Normal 32 5 4 2 3" xfId="27004" xr:uid="{00000000-0005-0000-0000-0000335D0000}"/>
    <cellStyle name="Normal 32 5 4 3" xfId="13372" xr:uid="{00000000-0005-0000-0000-0000345D0000}"/>
    <cellStyle name="Normal 32 5 4 3 2" xfId="31554" xr:uid="{00000000-0005-0000-0000-0000355D0000}"/>
    <cellStyle name="Normal 32 5 4 4" xfId="22464" xr:uid="{00000000-0005-0000-0000-0000365D0000}"/>
    <cellStyle name="Normal 32 5 5" xfId="5899" xr:uid="{00000000-0005-0000-0000-0000375D0000}"/>
    <cellStyle name="Normal 32 5 5 2" xfId="14999" xr:uid="{00000000-0005-0000-0000-0000385D0000}"/>
    <cellStyle name="Normal 32 5 5 2 2" xfId="33181" xr:uid="{00000000-0005-0000-0000-0000395D0000}"/>
    <cellStyle name="Normal 32 5 5 3" xfId="24091" xr:uid="{00000000-0005-0000-0000-00003A5D0000}"/>
    <cellStyle name="Normal 32 5 6" xfId="10465" xr:uid="{00000000-0005-0000-0000-00003B5D0000}"/>
    <cellStyle name="Normal 32 5 6 2" xfId="28647" xr:uid="{00000000-0005-0000-0000-00003C5D0000}"/>
    <cellStyle name="Normal 32 5 7" xfId="19556" xr:uid="{00000000-0005-0000-0000-00003D5D0000}"/>
    <cellStyle name="Normal 32 6" xfId="1260" xr:uid="{00000000-0005-0000-0000-00003E5D0000}"/>
    <cellStyle name="Normal 32 6 2" xfId="2669" xr:uid="{00000000-0005-0000-0000-00003F5D0000}"/>
    <cellStyle name="Normal 32 6 2 2" xfId="7254" xr:uid="{00000000-0005-0000-0000-0000405D0000}"/>
    <cellStyle name="Normal 32 6 2 2 2" xfId="16354" xr:uid="{00000000-0005-0000-0000-0000415D0000}"/>
    <cellStyle name="Normal 32 6 2 2 2 2" xfId="34536" xr:uid="{00000000-0005-0000-0000-0000425D0000}"/>
    <cellStyle name="Normal 32 6 2 2 3" xfId="25446" xr:uid="{00000000-0005-0000-0000-0000435D0000}"/>
    <cellStyle name="Normal 32 6 2 3" xfId="11818" xr:uid="{00000000-0005-0000-0000-0000445D0000}"/>
    <cellStyle name="Normal 32 6 2 3 2" xfId="30000" xr:uid="{00000000-0005-0000-0000-0000455D0000}"/>
    <cellStyle name="Normal 32 6 2 4" xfId="20910" xr:uid="{00000000-0005-0000-0000-0000465D0000}"/>
    <cellStyle name="Normal 32 6 3" xfId="4262" xr:uid="{00000000-0005-0000-0000-0000475D0000}"/>
    <cellStyle name="Normal 32 6 3 2" xfId="8818" xr:uid="{00000000-0005-0000-0000-0000485D0000}"/>
    <cellStyle name="Normal 32 6 3 2 2" xfId="17914" xr:uid="{00000000-0005-0000-0000-0000495D0000}"/>
    <cellStyle name="Normal 32 6 3 2 2 2" xfId="36096" xr:uid="{00000000-0005-0000-0000-00004A5D0000}"/>
    <cellStyle name="Normal 32 6 3 2 3" xfId="27006" xr:uid="{00000000-0005-0000-0000-00004B5D0000}"/>
    <cellStyle name="Normal 32 6 3 3" xfId="13374" xr:uid="{00000000-0005-0000-0000-00004C5D0000}"/>
    <cellStyle name="Normal 32 6 3 3 2" xfId="31556" xr:uid="{00000000-0005-0000-0000-00004D5D0000}"/>
    <cellStyle name="Normal 32 6 3 4" xfId="22466" xr:uid="{00000000-0005-0000-0000-00004E5D0000}"/>
    <cellStyle name="Normal 32 6 4" xfId="5901" xr:uid="{00000000-0005-0000-0000-00004F5D0000}"/>
    <cellStyle name="Normal 32 6 4 2" xfId="15001" xr:uid="{00000000-0005-0000-0000-0000505D0000}"/>
    <cellStyle name="Normal 32 6 4 2 2" xfId="33183" xr:uid="{00000000-0005-0000-0000-0000515D0000}"/>
    <cellStyle name="Normal 32 6 4 3" xfId="24093" xr:uid="{00000000-0005-0000-0000-0000525D0000}"/>
    <cellStyle name="Normal 32 6 5" xfId="10467" xr:uid="{00000000-0005-0000-0000-0000535D0000}"/>
    <cellStyle name="Normal 32 6 5 2" xfId="28649" xr:uid="{00000000-0005-0000-0000-0000545D0000}"/>
    <cellStyle name="Normal 32 6 6" xfId="19558" xr:uid="{00000000-0005-0000-0000-0000555D0000}"/>
    <cellStyle name="Normal 32 7" xfId="1261" xr:uid="{00000000-0005-0000-0000-0000565D0000}"/>
    <cellStyle name="Normal 32 7 2" xfId="4263" xr:uid="{00000000-0005-0000-0000-0000575D0000}"/>
    <cellStyle name="Normal 32 7 2 2" xfId="8819" xr:uid="{00000000-0005-0000-0000-0000585D0000}"/>
    <cellStyle name="Normal 32 7 2 2 2" xfId="17915" xr:uid="{00000000-0005-0000-0000-0000595D0000}"/>
    <cellStyle name="Normal 32 7 2 2 2 2" xfId="36097" xr:uid="{00000000-0005-0000-0000-00005A5D0000}"/>
    <cellStyle name="Normal 32 7 2 2 3" xfId="27007" xr:uid="{00000000-0005-0000-0000-00005B5D0000}"/>
    <cellStyle name="Normal 32 7 2 3" xfId="13375" xr:uid="{00000000-0005-0000-0000-00005C5D0000}"/>
    <cellStyle name="Normal 32 7 2 3 2" xfId="31557" xr:uid="{00000000-0005-0000-0000-00005D5D0000}"/>
    <cellStyle name="Normal 32 7 2 4" xfId="22467" xr:uid="{00000000-0005-0000-0000-00005E5D0000}"/>
    <cellStyle name="Normal 32 7 3" xfId="5902" xr:uid="{00000000-0005-0000-0000-00005F5D0000}"/>
    <cellStyle name="Normal 32 7 3 2" xfId="15002" xr:uid="{00000000-0005-0000-0000-0000605D0000}"/>
    <cellStyle name="Normal 32 7 3 2 2" xfId="33184" xr:uid="{00000000-0005-0000-0000-0000615D0000}"/>
    <cellStyle name="Normal 32 7 3 3" xfId="24094" xr:uid="{00000000-0005-0000-0000-0000625D0000}"/>
    <cellStyle name="Normal 32 7 4" xfId="10468" xr:uid="{00000000-0005-0000-0000-0000635D0000}"/>
    <cellStyle name="Normal 32 7 4 2" xfId="28650" xr:uid="{00000000-0005-0000-0000-0000645D0000}"/>
    <cellStyle name="Normal 32 7 5" xfId="19559" xr:uid="{00000000-0005-0000-0000-0000655D0000}"/>
    <cellStyle name="Normal 32 8" xfId="2670" xr:uid="{00000000-0005-0000-0000-0000665D0000}"/>
    <cellStyle name="Normal 32 8 2" xfId="7255" xr:uid="{00000000-0005-0000-0000-0000675D0000}"/>
    <cellStyle name="Normal 32 8 2 2" xfId="16355" xr:uid="{00000000-0005-0000-0000-0000685D0000}"/>
    <cellStyle name="Normal 32 8 2 2 2" xfId="34537" xr:uid="{00000000-0005-0000-0000-0000695D0000}"/>
    <cellStyle name="Normal 32 8 2 3" xfId="25447" xr:uid="{00000000-0005-0000-0000-00006A5D0000}"/>
    <cellStyle name="Normal 32 8 3" xfId="11819" xr:uid="{00000000-0005-0000-0000-00006B5D0000}"/>
    <cellStyle name="Normal 32 8 3 2" xfId="30001" xr:uid="{00000000-0005-0000-0000-00006C5D0000}"/>
    <cellStyle name="Normal 32 8 4" xfId="20911" xr:uid="{00000000-0005-0000-0000-00006D5D0000}"/>
    <cellStyle name="Normal 32 9" xfId="3243" xr:uid="{00000000-0005-0000-0000-00006E5D0000}"/>
    <cellStyle name="Normal 32 9 2" xfId="7803" xr:uid="{00000000-0005-0000-0000-00006F5D0000}"/>
    <cellStyle name="Normal 32 9 2 2" xfId="16899" xr:uid="{00000000-0005-0000-0000-0000705D0000}"/>
    <cellStyle name="Normal 32 9 2 2 2" xfId="35081" xr:uid="{00000000-0005-0000-0000-0000715D0000}"/>
    <cellStyle name="Normal 32 9 2 3" xfId="25991" xr:uid="{00000000-0005-0000-0000-0000725D0000}"/>
    <cellStyle name="Normal 32 9 3" xfId="12359" xr:uid="{00000000-0005-0000-0000-0000735D0000}"/>
    <cellStyle name="Normal 32 9 3 2" xfId="30541" xr:uid="{00000000-0005-0000-0000-0000745D0000}"/>
    <cellStyle name="Normal 32 9 4" xfId="21451" xr:uid="{00000000-0005-0000-0000-0000755D0000}"/>
    <cellStyle name="Normal 33" xfId="170" xr:uid="{00000000-0005-0000-0000-0000765D0000}"/>
    <cellStyle name="Normal 33 10" xfId="18549" xr:uid="{00000000-0005-0000-0000-0000775D0000}"/>
    <cellStyle name="Normal 33 2" xfId="1262" xr:uid="{00000000-0005-0000-0000-0000785D0000}"/>
    <cellStyle name="Normal 33 2 2" xfId="1263" xr:uid="{00000000-0005-0000-0000-0000795D0000}"/>
    <cellStyle name="Normal 33 2 2 2" xfId="1264" xr:uid="{00000000-0005-0000-0000-00007A5D0000}"/>
    <cellStyle name="Normal 33 2 2 2 2" xfId="2671" xr:uid="{00000000-0005-0000-0000-00007B5D0000}"/>
    <cellStyle name="Normal 33 2 2 2 2 2" xfId="7256" xr:uid="{00000000-0005-0000-0000-00007C5D0000}"/>
    <cellStyle name="Normal 33 2 2 2 2 2 2" xfId="16356" xr:uid="{00000000-0005-0000-0000-00007D5D0000}"/>
    <cellStyle name="Normal 33 2 2 2 2 2 2 2" xfId="34538" xr:uid="{00000000-0005-0000-0000-00007E5D0000}"/>
    <cellStyle name="Normal 33 2 2 2 2 2 3" xfId="25448" xr:uid="{00000000-0005-0000-0000-00007F5D0000}"/>
    <cellStyle name="Normal 33 2 2 2 2 3" xfId="11820" xr:uid="{00000000-0005-0000-0000-0000805D0000}"/>
    <cellStyle name="Normal 33 2 2 2 2 3 2" xfId="30002" xr:uid="{00000000-0005-0000-0000-0000815D0000}"/>
    <cellStyle name="Normal 33 2 2 2 2 4" xfId="20912" xr:uid="{00000000-0005-0000-0000-0000825D0000}"/>
    <cellStyle name="Normal 33 2 2 2 3" xfId="4266" xr:uid="{00000000-0005-0000-0000-0000835D0000}"/>
    <cellStyle name="Normal 33 2 2 2 3 2" xfId="8822" xr:uid="{00000000-0005-0000-0000-0000845D0000}"/>
    <cellStyle name="Normal 33 2 2 2 3 2 2" xfId="17918" xr:uid="{00000000-0005-0000-0000-0000855D0000}"/>
    <cellStyle name="Normal 33 2 2 2 3 2 2 2" xfId="36100" xr:uid="{00000000-0005-0000-0000-0000865D0000}"/>
    <cellStyle name="Normal 33 2 2 2 3 2 3" xfId="27010" xr:uid="{00000000-0005-0000-0000-0000875D0000}"/>
    <cellStyle name="Normal 33 2 2 2 3 3" xfId="13378" xr:uid="{00000000-0005-0000-0000-0000885D0000}"/>
    <cellStyle name="Normal 33 2 2 2 3 3 2" xfId="31560" xr:uid="{00000000-0005-0000-0000-0000895D0000}"/>
    <cellStyle name="Normal 33 2 2 2 3 4" xfId="22470" xr:uid="{00000000-0005-0000-0000-00008A5D0000}"/>
    <cellStyle name="Normal 33 2 2 2 4" xfId="5905" xr:uid="{00000000-0005-0000-0000-00008B5D0000}"/>
    <cellStyle name="Normal 33 2 2 2 4 2" xfId="15005" xr:uid="{00000000-0005-0000-0000-00008C5D0000}"/>
    <cellStyle name="Normal 33 2 2 2 4 2 2" xfId="33187" xr:uid="{00000000-0005-0000-0000-00008D5D0000}"/>
    <cellStyle name="Normal 33 2 2 2 4 3" xfId="24097" xr:uid="{00000000-0005-0000-0000-00008E5D0000}"/>
    <cellStyle name="Normal 33 2 2 2 5" xfId="10471" xr:uid="{00000000-0005-0000-0000-00008F5D0000}"/>
    <cellStyle name="Normal 33 2 2 2 5 2" xfId="28653" xr:uid="{00000000-0005-0000-0000-0000905D0000}"/>
    <cellStyle name="Normal 33 2 2 2 6" xfId="19562" xr:uid="{00000000-0005-0000-0000-0000915D0000}"/>
    <cellStyle name="Normal 33 2 2 3" xfId="2672" xr:uid="{00000000-0005-0000-0000-0000925D0000}"/>
    <cellStyle name="Normal 33 2 2 3 2" xfId="7257" xr:uid="{00000000-0005-0000-0000-0000935D0000}"/>
    <cellStyle name="Normal 33 2 2 3 2 2" xfId="16357" xr:uid="{00000000-0005-0000-0000-0000945D0000}"/>
    <cellStyle name="Normal 33 2 2 3 2 2 2" xfId="34539" xr:uid="{00000000-0005-0000-0000-0000955D0000}"/>
    <cellStyle name="Normal 33 2 2 3 2 3" xfId="25449" xr:uid="{00000000-0005-0000-0000-0000965D0000}"/>
    <cellStyle name="Normal 33 2 2 3 3" xfId="11821" xr:uid="{00000000-0005-0000-0000-0000975D0000}"/>
    <cellStyle name="Normal 33 2 2 3 3 2" xfId="30003" xr:uid="{00000000-0005-0000-0000-0000985D0000}"/>
    <cellStyle name="Normal 33 2 2 3 4" xfId="20913" xr:uid="{00000000-0005-0000-0000-0000995D0000}"/>
    <cellStyle name="Normal 33 2 2 4" xfId="4265" xr:uid="{00000000-0005-0000-0000-00009A5D0000}"/>
    <cellStyle name="Normal 33 2 2 4 2" xfId="8821" xr:uid="{00000000-0005-0000-0000-00009B5D0000}"/>
    <cellStyle name="Normal 33 2 2 4 2 2" xfId="17917" xr:uid="{00000000-0005-0000-0000-00009C5D0000}"/>
    <cellStyle name="Normal 33 2 2 4 2 2 2" xfId="36099" xr:uid="{00000000-0005-0000-0000-00009D5D0000}"/>
    <cellStyle name="Normal 33 2 2 4 2 3" xfId="27009" xr:uid="{00000000-0005-0000-0000-00009E5D0000}"/>
    <cellStyle name="Normal 33 2 2 4 3" xfId="13377" xr:uid="{00000000-0005-0000-0000-00009F5D0000}"/>
    <cellStyle name="Normal 33 2 2 4 3 2" xfId="31559" xr:uid="{00000000-0005-0000-0000-0000A05D0000}"/>
    <cellStyle name="Normal 33 2 2 4 4" xfId="22469" xr:uid="{00000000-0005-0000-0000-0000A15D0000}"/>
    <cellStyle name="Normal 33 2 2 5" xfId="5904" xr:uid="{00000000-0005-0000-0000-0000A25D0000}"/>
    <cellStyle name="Normal 33 2 2 5 2" xfId="15004" xr:uid="{00000000-0005-0000-0000-0000A35D0000}"/>
    <cellStyle name="Normal 33 2 2 5 2 2" xfId="33186" xr:uid="{00000000-0005-0000-0000-0000A45D0000}"/>
    <cellStyle name="Normal 33 2 2 5 3" xfId="24096" xr:uid="{00000000-0005-0000-0000-0000A55D0000}"/>
    <cellStyle name="Normal 33 2 2 6" xfId="10470" xr:uid="{00000000-0005-0000-0000-0000A65D0000}"/>
    <cellStyle name="Normal 33 2 2 6 2" xfId="28652" xr:uid="{00000000-0005-0000-0000-0000A75D0000}"/>
    <cellStyle name="Normal 33 2 2 7" xfId="19561" xr:uid="{00000000-0005-0000-0000-0000A85D0000}"/>
    <cellStyle name="Normal 33 2 3" xfId="1265" xr:uid="{00000000-0005-0000-0000-0000A95D0000}"/>
    <cellStyle name="Normal 33 2 3 2" xfId="2673" xr:uid="{00000000-0005-0000-0000-0000AA5D0000}"/>
    <cellStyle name="Normal 33 2 3 2 2" xfId="7258" xr:uid="{00000000-0005-0000-0000-0000AB5D0000}"/>
    <cellStyle name="Normal 33 2 3 2 2 2" xfId="16358" xr:uid="{00000000-0005-0000-0000-0000AC5D0000}"/>
    <cellStyle name="Normal 33 2 3 2 2 2 2" xfId="34540" xr:uid="{00000000-0005-0000-0000-0000AD5D0000}"/>
    <cellStyle name="Normal 33 2 3 2 2 3" xfId="25450" xr:uid="{00000000-0005-0000-0000-0000AE5D0000}"/>
    <cellStyle name="Normal 33 2 3 2 3" xfId="11822" xr:uid="{00000000-0005-0000-0000-0000AF5D0000}"/>
    <cellStyle name="Normal 33 2 3 2 3 2" xfId="30004" xr:uid="{00000000-0005-0000-0000-0000B05D0000}"/>
    <cellStyle name="Normal 33 2 3 2 4" xfId="20914" xr:uid="{00000000-0005-0000-0000-0000B15D0000}"/>
    <cellStyle name="Normal 33 2 3 3" xfId="4267" xr:uid="{00000000-0005-0000-0000-0000B25D0000}"/>
    <cellStyle name="Normal 33 2 3 3 2" xfId="8823" xr:uid="{00000000-0005-0000-0000-0000B35D0000}"/>
    <cellStyle name="Normal 33 2 3 3 2 2" xfId="17919" xr:uid="{00000000-0005-0000-0000-0000B45D0000}"/>
    <cellStyle name="Normal 33 2 3 3 2 2 2" xfId="36101" xr:uid="{00000000-0005-0000-0000-0000B55D0000}"/>
    <cellStyle name="Normal 33 2 3 3 2 3" xfId="27011" xr:uid="{00000000-0005-0000-0000-0000B65D0000}"/>
    <cellStyle name="Normal 33 2 3 3 3" xfId="13379" xr:uid="{00000000-0005-0000-0000-0000B75D0000}"/>
    <cellStyle name="Normal 33 2 3 3 3 2" xfId="31561" xr:uid="{00000000-0005-0000-0000-0000B85D0000}"/>
    <cellStyle name="Normal 33 2 3 3 4" xfId="22471" xr:uid="{00000000-0005-0000-0000-0000B95D0000}"/>
    <cellStyle name="Normal 33 2 3 4" xfId="5906" xr:uid="{00000000-0005-0000-0000-0000BA5D0000}"/>
    <cellStyle name="Normal 33 2 3 4 2" xfId="15006" xr:uid="{00000000-0005-0000-0000-0000BB5D0000}"/>
    <cellStyle name="Normal 33 2 3 4 2 2" xfId="33188" xr:uid="{00000000-0005-0000-0000-0000BC5D0000}"/>
    <cellStyle name="Normal 33 2 3 4 3" xfId="24098" xr:uid="{00000000-0005-0000-0000-0000BD5D0000}"/>
    <cellStyle name="Normal 33 2 3 5" xfId="10472" xr:uid="{00000000-0005-0000-0000-0000BE5D0000}"/>
    <cellStyle name="Normal 33 2 3 5 2" xfId="28654" xr:uid="{00000000-0005-0000-0000-0000BF5D0000}"/>
    <cellStyle name="Normal 33 2 3 6" xfId="19563" xr:uid="{00000000-0005-0000-0000-0000C05D0000}"/>
    <cellStyle name="Normal 33 2 4" xfId="1266" xr:uid="{00000000-0005-0000-0000-0000C15D0000}"/>
    <cellStyle name="Normal 33 2 4 2" xfId="4268" xr:uid="{00000000-0005-0000-0000-0000C25D0000}"/>
    <cellStyle name="Normal 33 2 4 2 2" xfId="8824" xr:uid="{00000000-0005-0000-0000-0000C35D0000}"/>
    <cellStyle name="Normal 33 2 4 2 2 2" xfId="17920" xr:uid="{00000000-0005-0000-0000-0000C45D0000}"/>
    <cellStyle name="Normal 33 2 4 2 2 2 2" xfId="36102" xr:uid="{00000000-0005-0000-0000-0000C55D0000}"/>
    <cellStyle name="Normal 33 2 4 2 2 3" xfId="27012" xr:uid="{00000000-0005-0000-0000-0000C65D0000}"/>
    <cellStyle name="Normal 33 2 4 2 3" xfId="13380" xr:uid="{00000000-0005-0000-0000-0000C75D0000}"/>
    <cellStyle name="Normal 33 2 4 2 3 2" xfId="31562" xr:uid="{00000000-0005-0000-0000-0000C85D0000}"/>
    <cellStyle name="Normal 33 2 4 2 4" xfId="22472" xr:uid="{00000000-0005-0000-0000-0000C95D0000}"/>
    <cellStyle name="Normal 33 2 4 3" xfId="5907" xr:uid="{00000000-0005-0000-0000-0000CA5D0000}"/>
    <cellStyle name="Normal 33 2 4 3 2" xfId="15007" xr:uid="{00000000-0005-0000-0000-0000CB5D0000}"/>
    <cellStyle name="Normal 33 2 4 3 2 2" xfId="33189" xr:uid="{00000000-0005-0000-0000-0000CC5D0000}"/>
    <cellStyle name="Normal 33 2 4 3 3" xfId="24099" xr:uid="{00000000-0005-0000-0000-0000CD5D0000}"/>
    <cellStyle name="Normal 33 2 4 4" xfId="10473" xr:uid="{00000000-0005-0000-0000-0000CE5D0000}"/>
    <cellStyle name="Normal 33 2 4 4 2" xfId="28655" xr:uid="{00000000-0005-0000-0000-0000CF5D0000}"/>
    <cellStyle name="Normal 33 2 4 5" xfId="19564" xr:uid="{00000000-0005-0000-0000-0000D05D0000}"/>
    <cellStyle name="Normal 33 2 5" xfId="2674" xr:uid="{00000000-0005-0000-0000-0000D15D0000}"/>
    <cellStyle name="Normal 33 2 5 2" xfId="7259" xr:uid="{00000000-0005-0000-0000-0000D25D0000}"/>
    <cellStyle name="Normal 33 2 5 2 2" xfId="16359" xr:uid="{00000000-0005-0000-0000-0000D35D0000}"/>
    <cellStyle name="Normal 33 2 5 2 2 2" xfId="34541" xr:uid="{00000000-0005-0000-0000-0000D45D0000}"/>
    <cellStyle name="Normal 33 2 5 2 3" xfId="25451" xr:uid="{00000000-0005-0000-0000-0000D55D0000}"/>
    <cellStyle name="Normal 33 2 5 3" xfId="11823" xr:uid="{00000000-0005-0000-0000-0000D65D0000}"/>
    <cellStyle name="Normal 33 2 5 3 2" xfId="30005" xr:uid="{00000000-0005-0000-0000-0000D75D0000}"/>
    <cellStyle name="Normal 33 2 5 4" xfId="20915" xr:uid="{00000000-0005-0000-0000-0000D85D0000}"/>
    <cellStyle name="Normal 33 2 6" xfId="4264" xr:uid="{00000000-0005-0000-0000-0000D95D0000}"/>
    <cellStyle name="Normal 33 2 6 2" xfId="8820" xr:uid="{00000000-0005-0000-0000-0000DA5D0000}"/>
    <cellStyle name="Normal 33 2 6 2 2" xfId="17916" xr:uid="{00000000-0005-0000-0000-0000DB5D0000}"/>
    <cellStyle name="Normal 33 2 6 2 2 2" xfId="36098" xr:uid="{00000000-0005-0000-0000-0000DC5D0000}"/>
    <cellStyle name="Normal 33 2 6 2 3" xfId="27008" xr:uid="{00000000-0005-0000-0000-0000DD5D0000}"/>
    <cellStyle name="Normal 33 2 6 3" xfId="13376" xr:uid="{00000000-0005-0000-0000-0000DE5D0000}"/>
    <cellStyle name="Normal 33 2 6 3 2" xfId="31558" xr:uid="{00000000-0005-0000-0000-0000DF5D0000}"/>
    <cellStyle name="Normal 33 2 6 4" xfId="22468" xr:uid="{00000000-0005-0000-0000-0000E05D0000}"/>
    <cellStyle name="Normal 33 2 7" xfId="5903" xr:uid="{00000000-0005-0000-0000-0000E15D0000}"/>
    <cellStyle name="Normal 33 2 7 2" xfId="15003" xr:uid="{00000000-0005-0000-0000-0000E25D0000}"/>
    <cellStyle name="Normal 33 2 7 2 2" xfId="33185" xr:uid="{00000000-0005-0000-0000-0000E35D0000}"/>
    <cellStyle name="Normal 33 2 7 3" xfId="24095" xr:uid="{00000000-0005-0000-0000-0000E45D0000}"/>
    <cellStyle name="Normal 33 2 8" xfId="10469" xr:uid="{00000000-0005-0000-0000-0000E55D0000}"/>
    <cellStyle name="Normal 33 2 8 2" xfId="28651" xr:uid="{00000000-0005-0000-0000-0000E65D0000}"/>
    <cellStyle name="Normal 33 2 9" xfId="19560" xr:uid="{00000000-0005-0000-0000-0000E75D0000}"/>
    <cellStyle name="Normal 33 3" xfId="1267" xr:uid="{00000000-0005-0000-0000-0000E85D0000}"/>
    <cellStyle name="Normal 33 3 2" xfId="1268" xr:uid="{00000000-0005-0000-0000-0000E95D0000}"/>
    <cellStyle name="Normal 33 3 2 2" xfId="2675" xr:uid="{00000000-0005-0000-0000-0000EA5D0000}"/>
    <cellStyle name="Normal 33 3 2 2 2" xfId="7260" xr:uid="{00000000-0005-0000-0000-0000EB5D0000}"/>
    <cellStyle name="Normal 33 3 2 2 2 2" xfId="16360" xr:uid="{00000000-0005-0000-0000-0000EC5D0000}"/>
    <cellStyle name="Normal 33 3 2 2 2 2 2" xfId="34542" xr:uid="{00000000-0005-0000-0000-0000ED5D0000}"/>
    <cellStyle name="Normal 33 3 2 2 2 3" xfId="25452" xr:uid="{00000000-0005-0000-0000-0000EE5D0000}"/>
    <cellStyle name="Normal 33 3 2 2 3" xfId="11824" xr:uid="{00000000-0005-0000-0000-0000EF5D0000}"/>
    <cellStyle name="Normal 33 3 2 2 3 2" xfId="30006" xr:uid="{00000000-0005-0000-0000-0000F05D0000}"/>
    <cellStyle name="Normal 33 3 2 2 4" xfId="20916" xr:uid="{00000000-0005-0000-0000-0000F15D0000}"/>
    <cellStyle name="Normal 33 3 2 3" xfId="4270" xr:uid="{00000000-0005-0000-0000-0000F25D0000}"/>
    <cellStyle name="Normal 33 3 2 3 2" xfId="8826" xr:uid="{00000000-0005-0000-0000-0000F35D0000}"/>
    <cellStyle name="Normal 33 3 2 3 2 2" xfId="17922" xr:uid="{00000000-0005-0000-0000-0000F45D0000}"/>
    <cellStyle name="Normal 33 3 2 3 2 2 2" xfId="36104" xr:uid="{00000000-0005-0000-0000-0000F55D0000}"/>
    <cellStyle name="Normal 33 3 2 3 2 3" xfId="27014" xr:uid="{00000000-0005-0000-0000-0000F65D0000}"/>
    <cellStyle name="Normal 33 3 2 3 3" xfId="13382" xr:uid="{00000000-0005-0000-0000-0000F75D0000}"/>
    <cellStyle name="Normal 33 3 2 3 3 2" xfId="31564" xr:uid="{00000000-0005-0000-0000-0000F85D0000}"/>
    <cellStyle name="Normal 33 3 2 3 4" xfId="22474" xr:uid="{00000000-0005-0000-0000-0000F95D0000}"/>
    <cellStyle name="Normal 33 3 2 4" xfId="5909" xr:uid="{00000000-0005-0000-0000-0000FA5D0000}"/>
    <cellStyle name="Normal 33 3 2 4 2" xfId="15009" xr:uid="{00000000-0005-0000-0000-0000FB5D0000}"/>
    <cellStyle name="Normal 33 3 2 4 2 2" xfId="33191" xr:uid="{00000000-0005-0000-0000-0000FC5D0000}"/>
    <cellStyle name="Normal 33 3 2 4 3" xfId="24101" xr:uid="{00000000-0005-0000-0000-0000FD5D0000}"/>
    <cellStyle name="Normal 33 3 2 5" xfId="10475" xr:uid="{00000000-0005-0000-0000-0000FE5D0000}"/>
    <cellStyle name="Normal 33 3 2 5 2" xfId="28657" xr:uid="{00000000-0005-0000-0000-0000FF5D0000}"/>
    <cellStyle name="Normal 33 3 2 6" xfId="19566" xr:uid="{00000000-0005-0000-0000-0000005E0000}"/>
    <cellStyle name="Normal 33 3 3" xfId="2676" xr:uid="{00000000-0005-0000-0000-0000015E0000}"/>
    <cellStyle name="Normal 33 3 3 2" xfId="7261" xr:uid="{00000000-0005-0000-0000-0000025E0000}"/>
    <cellStyle name="Normal 33 3 3 2 2" xfId="16361" xr:uid="{00000000-0005-0000-0000-0000035E0000}"/>
    <cellStyle name="Normal 33 3 3 2 2 2" xfId="34543" xr:uid="{00000000-0005-0000-0000-0000045E0000}"/>
    <cellStyle name="Normal 33 3 3 2 3" xfId="25453" xr:uid="{00000000-0005-0000-0000-0000055E0000}"/>
    <cellStyle name="Normal 33 3 3 3" xfId="11825" xr:uid="{00000000-0005-0000-0000-0000065E0000}"/>
    <cellStyle name="Normal 33 3 3 3 2" xfId="30007" xr:uid="{00000000-0005-0000-0000-0000075E0000}"/>
    <cellStyle name="Normal 33 3 3 4" xfId="20917" xr:uid="{00000000-0005-0000-0000-0000085E0000}"/>
    <cellStyle name="Normal 33 3 4" xfId="4269" xr:uid="{00000000-0005-0000-0000-0000095E0000}"/>
    <cellStyle name="Normal 33 3 4 2" xfId="8825" xr:uid="{00000000-0005-0000-0000-00000A5E0000}"/>
    <cellStyle name="Normal 33 3 4 2 2" xfId="17921" xr:uid="{00000000-0005-0000-0000-00000B5E0000}"/>
    <cellStyle name="Normal 33 3 4 2 2 2" xfId="36103" xr:uid="{00000000-0005-0000-0000-00000C5E0000}"/>
    <cellStyle name="Normal 33 3 4 2 3" xfId="27013" xr:uid="{00000000-0005-0000-0000-00000D5E0000}"/>
    <cellStyle name="Normal 33 3 4 3" xfId="13381" xr:uid="{00000000-0005-0000-0000-00000E5E0000}"/>
    <cellStyle name="Normal 33 3 4 3 2" xfId="31563" xr:uid="{00000000-0005-0000-0000-00000F5E0000}"/>
    <cellStyle name="Normal 33 3 4 4" xfId="22473" xr:uid="{00000000-0005-0000-0000-0000105E0000}"/>
    <cellStyle name="Normal 33 3 5" xfId="5908" xr:uid="{00000000-0005-0000-0000-0000115E0000}"/>
    <cellStyle name="Normal 33 3 5 2" xfId="15008" xr:uid="{00000000-0005-0000-0000-0000125E0000}"/>
    <cellStyle name="Normal 33 3 5 2 2" xfId="33190" xr:uid="{00000000-0005-0000-0000-0000135E0000}"/>
    <cellStyle name="Normal 33 3 5 3" xfId="24100" xr:uid="{00000000-0005-0000-0000-0000145E0000}"/>
    <cellStyle name="Normal 33 3 6" xfId="10474" xr:uid="{00000000-0005-0000-0000-0000155E0000}"/>
    <cellStyle name="Normal 33 3 6 2" xfId="28656" xr:uid="{00000000-0005-0000-0000-0000165E0000}"/>
    <cellStyle name="Normal 33 3 7" xfId="19565" xr:uid="{00000000-0005-0000-0000-0000175E0000}"/>
    <cellStyle name="Normal 33 4" xfId="1269" xr:uid="{00000000-0005-0000-0000-0000185E0000}"/>
    <cellStyle name="Normal 33 4 2" xfId="2677" xr:uid="{00000000-0005-0000-0000-0000195E0000}"/>
    <cellStyle name="Normal 33 4 2 2" xfId="7262" xr:uid="{00000000-0005-0000-0000-00001A5E0000}"/>
    <cellStyle name="Normal 33 4 2 2 2" xfId="16362" xr:uid="{00000000-0005-0000-0000-00001B5E0000}"/>
    <cellStyle name="Normal 33 4 2 2 2 2" xfId="34544" xr:uid="{00000000-0005-0000-0000-00001C5E0000}"/>
    <cellStyle name="Normal 33 4 2 2 3" xfId="25454" xr:uid="{00000000-0005-0000-0000-00001D5E0000}"/>
    <cellStyle name="Normal 33 4 2 3" xfId="11826" xr:uid="{00000000-0005-0000-0000-00001E5E0000}"/>
    <cellStyle name="Normal 33 4 2 3 2" xfId="30008" xr:uid="{00000000-0005-0000-0000-00001F5E0000}"/>
    <cellStyle name="Normal 33 4 2 4" xfId="20918" xr:uid="{00000000-0005-0000-0000-0000205E0000}"/>
    <cellStyle name="Normal 33 4 3" xfId="4271" xr:uid="{00000000-0005-0000-0000-0000215E0000}"/>
    <cellStyle name="Normal 33 4 3 2" xfId="8827" xr:uid="{00000000-0005-0000-0000-0000225E0000}"/>
    <cellStyle name="Normal 33 4 3 2 2" xfId="17923" xr:uid="{00000000-0005-0000-0000-0000235E0000}"/>
    <cellStyle name="Normal 33 4 3 2 2 2" xfId="36105" xr:uid="{00000000-0005-0000-0000-0000245E0000}"/>
    <cellStyle name="Normal 33 4 3 2 3" xfId="27015" xr:uid="{00000000-0005-0000-0000-0000255E0000}"/>
    <cellStyle name="Normal 33 4 3 3" xfId="13383" xr:uid="{00000000-0005-0000-0000-0000265E0000}"/>
    <cellStyle name="Normal 33 4 3 3 2" xfId="31565" xr:uid="{00000000-0005-0000-0000-0000275E0000}"/>
    <cellStyle name="Normal 33 4 3 4" xfId="22475" xr:uid="{00000000-0005-0000-0000-0000285E0000}"/>
    <cellStyle name="Normal 33 4 4" xfId="5910" xr:uid="{00000000-0005-0000-0000-0000295E0000}"/>
    <cellStyle name="Normal 33 4 4 2" xfId="15010" xr:uid="{00000000-0005-0000-0000-00002A5E0000}"/>
    <cellStyle name="Normal 33 4 4 2 2" xfId="33192" xr:uid="{00000000-0005-0000-0000-00002B5E0000}"/>
    <cellStyle name="Normal 33 4 4 3" xfId="24102" xr:uid="{00000000-0005-0000-0000-00002C5E0000}"/>
    <cellStyle name="Normal 33 4 5" xfId="10476" xr:uid="{00000000-0005-0000-0000-00002D5E0000}"/>
    <cellStyle name="Normal 33 4 5 2" xfId="28658" xr:uid="{00000000-0005-0000-0000-00002E5E0000}"/>
    <cellStyle name="Normal 33 4 6" xfId="19567" xr:uid="{00000000-0005-0000-0000-00002F5E0000}"/>
    <cellStyle name="Normal 33 5" xfId="1270" xr:uid="{00000000-0005-0000-0000-0000305E0000}"/>
    <cellStyle name="Normal 33 5 2" xfId="4272" xr:uid="{00000000-0005-0000-0000-0000315E0000}"/>
    <cellStyle name="Normal 33 5 2 2" xfId="8828" xr:uid="{00000000-0005-0000-0000-0000325E0000}"/>
    <cellStyle name="Normal 33 5 2 2 2" xfId="17924" xr:uid="{00000000-0005-0000-0000-0000335E0000}"/>
    <cellStyle name="Normal 33 5 2 2 2 2" xfId="36106" xr:uid="{00000000-0005-0000-0000-0000345E0000}"/>
    <cellStyle name="Normal 33 5 2 2 3" xfId="27016" xr:uid="{00000000-0005-0000-0000-0000355E0000}"/>
    <cellStyle name="Normal 33 5 2 3" xfId="13384" xr:uid="{00000000-0005-0000-0000-0000365E0000}"/>
    <cellStyle name="Normal 33 5 2 3 2" xfId="31566" xr:uid="{00000000-0005-0000-0000-0000375E0000}"/>
    <cellStyle name="Normal 33 5 2 4" xfId="22476" xr:uid="{00000000-0005-0000-0000-0000385E0000}"/>
    <cellStyle name="Normal 33 5 3" xfId="5911" xr:uid="{00000000-0005-0000-0000-0000395E0000}"/>
    <cellStyle name="Normal 33 5 3 2" xfId="15011" xr:uid="{00000000-0005-0000-0000-00003A5E0000}"/>
    <cellStyle name="Normal 33 5 3 2 2" xfId="33193" xr:uid="{00000000-0005-0000-0000-00003B5E0000}"/>
    <cellStyle name="Normal 33 5 3 3" xfId="24103" xr:uid="{00000000-0005-0000-0000-00003C5E0000}"/>
    <cellStyle name="Normal 33 5 4" xfId="10477" xr:uid="{00000000-0005-0000-0000-00003D5E0000}"/>
    <cellStyle name="Normal 33 5 4 2" xfId="28659" xr:uid="{00000000-0005-0000-0000-00003E5E0000}"/>
    <cellStyle name="Normal 33 5 5" xfId="19568" xr:uid="{00000000-0005-0000-0000-00003F5E0000}"/>
    <cellStyle name="Normal 33 6" xfId="2678" xr:uid="{00000000-0005-0000-0000-0000405E0000}"/>
    <cellStyle name="Normal 33 6 2" xfId="7263" xr:uid="{00000000-0005-0000-0000-0000415E0000}"/>
    <cellStyle name="Normal 33 6 2 2" xfId="16363" xr:uid="{00000000-0005-0000-0000-0000425E0000}"/>
    <cellStyle name="Normal 33 6 2 2 2" xfId="34545" xr:uid="{00000000-0005-0000-0000-0000435E0000}"/>
    <cellStyle name="Normal 33 6 2 3" xfId="25455" xr:uid="{00000000-0005-0000-0000-0000445E0000}"/>
    <cellStyle name="Normal 33 6 3" xfId="11827" xr:uid="{00000000-0005-0000-0000-0000455E0000}"/>
    <cellStyle name="Normal 33 6 3 2" xfId="30009" xr:uid="{00000000-0005-0000-0000-0000465E0000}"/>
    <cellStyle name="Normal 33 6 4" xfId="20919" xr:uid="{00000000-0005-0000-0000-0000475E0000}"/>
    <cellStyle name="Normal 33 7" xfId="3245" xr:uid="{00000000-0005-0000-0000-0000485E0000}"/>
    <cellStyle name="Normal 33 7 2" xfId="7805" xr:uid="{00000000-0005-0000-0000-0000495E0000}"/>
    <cellStyle name="Normal 33 7 2 2" xfId="16901" xr:uid="{00000000-0005-0000-0000-00004A5E0000}"/>
    <cellStyle name="Normal 33 7 2 2 2" xfId="35083" xr:uid="{00000000-0005-0000-0000-00004B5E0000}"/>
    <cellStyle name="Normal 33 7 2 3" xfId="25993" xr:uid="{00000000-0005-0000-0000-00004C5E0000}"/>
    <cellStyle name="Normal 33 7 3" xfId="12361" xr:uid="{00000000-0005-0000-0000-00004D5E0000}"/>
    <cellStyle name="Normal 33 7 3 2" xfId="30543" xr:uid="{00000000-0005-0000-0000-00004E5E0000}"/>
    <cellStyle name="Normal 33 7 4" xfId="21453" xr:uid="{00000000-0005-0000-0000-00004F5E0000}"/>
    <cellStyle name="Normal 33 8" xfId="4892" xr:uid="{00000000-0005-0000-0000-0000505E0000}"/>
    <cellStyle name="Normal 33 8 2" xfId="13992" xr:uid="{00000000-0005-0000-0000-0000515E0000}"/>
    <cellStyle name="Normal 33 8 2 2" xfId="32174" xr:uid="{00000000-0005-0000-0000-0000525E0000}"/>
    <cellStyle name="Normal 33 8 3" xfId="23084" xr:uid="{00000000-0005-0000-0000-0000535E0000}"/>
    <cellStyle name="Normal 33 9" xfId="9458" xr:uid="{00000000-0005-0000-0000-0000545E0000}"/>
    <cellStyle name="Normal 33 9 2" xfId="27640" xr:uid="{00000000-0005-0000-0000-0000555E0000}"/>
    <cellStyle name="Normal 34" xfId="171" xr:uid="{00000000-0005-0000-0000-0000565E0000}"/>
    <cellStyle name="Normal 34 10" xfId="9459" xr:uid="{00000000-0005-0000-0000-0000575E0000}"/>
    <cellStyle name="Normal 34 10 2" xfId="27641" xr:uid="{00000000-0005-0000-0000-0000585E0000}"/>
    <cellStyle name="Normal 34 11" xfId="18550" xr:uid="{00000000-0005-0000-0000-0000595E0000}"/>
    <cellStyle name="Normal 34 2" xfId="173" xr:uid="{00000000-0005-0000-0000-00005A5E0000}"/>
    <cellStyle name="Normal 34 2 10" xfId="18552" xr:uid="{00000000-0005-0000-0000-00005B5E0000}"/>
    <cellStyle name="Normal 34 2 2" xfId="1271" xr:uid="{00000000-0005-0000-0000-00005C5E0000}"/>
    <cellStyle name="Normal 34 2 2 2" xfId="1272" xr:uid="{00000000-0005-0000-0000-00005D5E0000}"/>
    <cellStyle name="Normal 34 2 2 2 2" xfId="1273" xr:uid="{00000000-0005-0000-0000-00005E5E0000}"/>
    <cellStyle name="Normal 34 2 2 2 2 2" xfId="2679" xr:uid="{00000000-0005-0000-0000-00005F5E0000}"/>
    <cellStyle name="Normal 34 2 2 2 2 2 2" xfId="7264" xr:uid="{00000000-0005-0000-0000-0000605E0000}"/>
    <cellStyle name="Normal 34 2 2 2 2 2 2 2" xfId="16364" xr:uid="{00000000-0005-0000-0000-0000615E0000}"/>
    <cellStyle name="Normal 34 2 2 2 2 2 2 2 2" xfId="34546" xr:uid="{00000000-0005-0000-0000-0000625E0000}"/>
    <cellStyle name="Normal 34 2 2 2 2 2 2 3" xfId="25456" xr:uid="{00000000-0005-0000-0000-0000635E0000}"/>
    <cellStyle name="Normal 34 2 2 2 2 2 3" xfId="11828" xr:uid="{00000000-0005-0000-0000-0000645E0000}"/>
    <cellStyle name="Normal 34 2 2 2 2 2 3 2" xfId="30010" xr:uid="{00000000-0005-0000-0000-0000655E0000}"/>
    <cellStyle name="Normal 34 2 2 2 2 2 4" xfId="20920" xr:uid="{00000000-0005-0000-0000-0000665E0000}"/>
    <cellStyle name="Normal 34 2 2 2 2 3" xfId="4275" xr:uid="{00000000-0005-0000-0000-0000675E0000}"/>
    <cellStyle name="Normal 34 2 2 2 2 3 2" xfId="8831" xr:uid="{00000000-0005-0000-0000-0000685E0000}"/>
    <cellStyle name="Normal 34 2 2 2 2 3 2 2" xfId="17927" xr:uid="{00000000-0005-0000-0000-0000695E0000}"/>
    <cellStyle name="Normal 34 2 2 2 2 3 2 2 2" xfId="36109" xr:uid="{00000000-0005-0000-0000-00006A5E0000}"/>
    <cellStyle name="Normal 34 2 2 2 2 3 2 3" xfId="27019" xr:uid="{00000000-0005-0000-0000-00006B5E0000}"/>
    <cellStyle name="Normal 34 2 2 2 2 3 3" xfId="13387" xr:uid="{00000000-0005-0000-0000-00006C5E0000}"/>
    <cellStyle name="Normal 34 2 2 2 2 3 3 2" xfId="31569" xr:uid="{00000000-0005-0000-0000-00006D5E0000}"/>
    <cellStyle name="Normal 34 2 2 2 2 3 4" xfId="22479" xr:uid="{00000000-0005-0000-0000-00006E5E0000}"/>
    <cellStyle name="Normal 34 2 2 2 2 4" xfId="5914" xr:uid="{00000000-0005-0000-0000-00006F5E0000}"/>
    <cellStyle name="Normal 34 2 2 2 2 4 2" xfId="15014" xr:uid="{00000000-0005-0000-0000-0000705E0000}"/>
    <cellStyle name="Normal 34 2 2 2 2 4 2 2" xfId="33196" xr:uid="{00000000-0005-0000-0000-0000715E0000}"/>
    <cellStyle name="Normal 34 2 2 2 2 4 3" xfId="24106" xr:uid="{00000000-0005-0000-0000-0000725E0000}"/>
    <cellStyle name="Normal 34 2 2 2 2 5" xfId="10480" xr:uid="{00000000-0005-0000-0000-0000735E0000}"/>
    <cellStyle name="Normal 34 2 2 2 2 5 2" xfId="28662" xr:uid="{00000000-0005-0000-0000-0000745E0000}"/>
    <cellStyle name="Normal 34 2 2 2 2 6" xfId="19571" xr:uid="{00000000-0005-0000-0000-0000755E0000}"/>
    <cellStyle name="Normal 34 2 2 2 3" xfId="2680" xr:uid="{00000000-0005-0000-0000-0000765E0000}"/>
    <cellStyle name="Normal 34 2 2 2 3 2" xfId="7265" xr:uid="{00000000-0005-0000-0000-0000775E0000}"/>
    <cellStyle name="Normal 34 2 2 2 3 2 2" xfId="16365" xr:uid="{00000000-0005-0000-0000-0000785E0000}"/>
    <cellStyle name="Normal 34 2 2 2 3 2 2 2" xfId="34547" xr:uid="{00000000-0005-0000-0000-0000795E0000}"/>
    <cellStyle name="Normal 34 2 2 2 3 2 3" xfId="25457" xr:uid="{00000000-0005-0000-0000-00007A5E0000}"/>
    <cellStyle name="Normal 34 2 2 2 3 3" xfId="11829" xr:uid="{00000000-0005-0000-0000-00007B5E0000}"/>
    <cellStyle name="Normal 34 2 2 2 3 3 2" xfId="30011" xr:uid="{00000000-0005-0000-0000-00007C5E0000}"/>
    <cellStyle name="Normal 34 2 2 2 3 4" xfId="20921" xr:uid="{00000000-0005-0000-0000-00007D5E0000}"/>
    <cellStyle name="Normal 34 2 2 2 4" xfId="4274" xr:uid="{00000000-0005-0000-0000-00007E5E0000}"/>
    <cellStyle name="Normal 34 2 2 2 4 2" xfId="8830" xr:uid="{00000000-0005-0000-0000-00007F5E0000}"/>
    <cellStyle name="Normal 34 2 2 2 4 2 2" xfId="17926" xr:uid="{00000000-0005-0000-0000-0000805E0000}"/>
    <cellStyle name="Normal 34 2 2 2 4 2 2 2" xfId="36108" xr:uid="{00000000-0005-0000-0000-0000815E0000}"/>
    <cellStyle name="Normal 34 2 2 2 4 2 3" xfId="27018" xr:uid="{00000000-0005-0000-0000-0000825E0000}"/>
    <cellStyle name="Normal 34 2 2 2 4 3" xfId="13386" xr:uid="{00000000-0005-0000-0000-0000835E0000}"/>
    <cellStyle name="Normal 34 2 2 2 4 3 2" xfId="31568" xr:uid="{00000000-0005-0000-0000-0000845E0000}"/>
    <cellStyle name="Normal 34 2 2 2 4 4" xfId="22478" xr:uid="{00000000-0005-0000-0000-0000855E0000}"/>
    <cellStyle name="Normal 34 2 2 2 5" xfId="5913" xr:uid="{00000000-0005-0000-0000-0000865E0000}"/>
    <cellStyle name="Normal 34 2 2 2 5 2" xfId="15013" xr:uid="{00000000-0005-0000-0000-0000875E0000}"/>
    <cellStyle name="Normal 34 2 2 2 5 2 2" xfId="33195" xr:uid="{00000000-0005-0000-0000-0000885E0000}"/>
    <cellStyle name="Normal 34 2 2 2 5 3" xfId="24105" xr:uid="{00000000-0005-0000-0000-0000895E0000}"/>
    <cellStyle name="Normal 34 2 2 2 6" xfId="10479" xr:uid="{00000000-0005-0000-0000-00008A5E0000}"/>
    <cellStyle name="Normal 34 2 2 2 6 2" xfId="28661" xr:uid="{00000000-0005-0000-0000-00008B5E0000}"/>
    <cellStyle name="Normal 34 2 2 2 7" xfId="19570" xr:uid="{00000000-0005-0000-0000-00008C5E0000}"/>
    <cellStyle name="Normal 34 2 2 3" xfId="1274" xr:uid="{00000000-0005-0000-0000-00008D5E0000}"/>
    <cellStyle name="Normal 34 2 2 3 2" xfId="2681" xr:uid="{00000000-0005-0000-0000-00008E5E0000}"/>
    <cellStyle name="Normal 34 2 2 3 2 2" xfId="7266" xr:uid="{00000000-0005-0000-0000-00008F5E0000}"/>
    <cellStyle name="Normal 34 2 2 3 2 2 2" xfId="16366" xr:uid="{00000000-0005-0000-0000-0000905E0000}"/>
    <cellStyle name="Normal 34 2 2 3 2 2 2 2" xfId="34548" xr:uid="{00000000-0005-0000-0000-0000915E0000}"/>
    <cellStyle name="Normal 34 2 2 3 2 2 3" xfId="25458" xr:uid="{00000000-0005-0000-0000-0000925E0000}"/>
    <cellStyle name="Normal 34 2 2 3 2 3" xfId="11830" xr:uid="{00000000-0005-0000-0000-0000935E0000}"/>
    <cellStyle name="Normal 34 2 2 3 2 3 2" xfId="30012" xr:uid="{00000000-0005-0000-0000-0000945E0000}"/>
    <cellStyle name="Normal 34 2 2 3 2 4" xfId="20922" xr:uid="{00000000-0005-0000-0000-0000955E0000}"/>
    <cellStyle name="Normal 34 2 2 3 3" xfId="4276" xr:uid="{00000000-0005-0000-0000-0000965E0000}"/>
    <cellStyle name="Normal 34 2 2 3 3 2" xfId="8832" xr:uid="{00000000-0005-0000-0000-0000975E0000}"/>
    <cellStyle name="Normal 34 2 2 3 3 2 2" xfId="17928" xr:uid="{00000000-0005-0000-0000-0000985E0000}"/>
    <cellStyle name="Normal 34 2 2 3 3 2 2 2" xfId="36110" xr:uid="{00000000-0005-0000-0000-0000995E0000}"/>
    <cellStyle name="Normal 34 2 2 3 3 2 3" xfId="27020" xr:uid="{00000000-0005-0000-0000-00009A5E0000}"/>
    <cellStyle name="Normal 34 2 2 3 3 3" xfId="13388" xr:uid="{00000000-0005-0000-0000-00009B5E0000}"/>
    <cellStyle name="Normal 34 2 2 3 3 3 2" xfId="31570" xr:uid="{00000000-0005-0000-0000-00009C5E0000}"/>
    <cellStyle name="Normal 34 2 2 3 3 4" xfId="22480" xr:uid="{00000000-0005-0000-0000-00009D5E0000}"/>
    <cellStyle name="Normal 34 2 2 3 4" xfId="5915" xr:uid="{00000000-0005-0000-0000-00009E5E0000}"/>
    <cellStyle name="Normal 34 2 2 3 4 2" xfId="15015" xr:uid="{00000000-0005-0000-0000-00009F5E0000}"/>
    <cellStyle name="Normal 34 2 2 3 4 2 2" xfId="33197" xr:uid="{00000000-0005-0000-0000-0000A05E0000}"/>
    <cellStyle name="Normal 34 2 2 3 4 3" xfId="24107" xr:uid="{00000000-0005-0000-0000-0000A15E0000}"/>
    <cellStyle name="Normal 34 2 2 3 5" xfId="10481" xr:uid="{00000000-0005-0000-0000-0000A25E0000}"/>
    <cellStyle name="Normal 34 2 2 3 5 2" xfId="28663" xr:uid="{00000000-0005-0000-0000-0000A35E0000}"/>
    <cellStyle name="Normal 34 2 2 3 6" xfId="19572" xr:uid="{00000000-0005-0000-0000-0000A45E0000}"/>
    <cellStyle name="Normal 34 2 2 4" xfId="1275" xr:uid="{00000000-0005-0000-0000-0000A55E0000}"/>
    <cellStyle name="Normal 34 2 2 4 2" xfId="4277" xr:uid="{00000000-0005-0000-0000-0000A65E0000}"/>
    <cellStyle name="Normal 34 2 2 4 2 2" xfId="8833" xr:uid="{00000000-0005-0000-0000-0000A75E0000}"/>
    <cellStyle name="Normal 34 2 2 4 2 2 2" xfId="17929" xr:uid="{00000000-0005-0000-0000-0000A85E0000}"/>
    <cellStyle name="Normal 34 2 2 4 2 2 2 2" xfId="36111" xr:uid="{00000000-0005-0000-0000-0000A95E0000}"/>
    <cellStyle name="Normal 34 2 2 4 2 2 3" xfId="27021" xr:uid="{00000000-0005-0000-0000-0000AA5E0000}"/>
    <cellStyle name="Normal 34 2 2 4 2 3" xfId="13389" xr:uid="{00000000-0005-0000-0000-0000AB5E0000}"/>
    <cellStyle name="Normal 34 2 2 4 2 3 2" xfId="31571" xr:uid="{00000000-0005-0000-0000-0000AC5E0000}"/>
    <cellStyle name="Normal 34 2 2 4 2 4" xfId="22481" xr:uid="{00000000-0005-0000-0000-0000AD5E0000}"/>
    <cellStyle name="Normal 34 2 2 4 3" xfId="5916" xr:uid="{00000000-0005-0000-0000-0000AE5E0000}"/>
    <cellStyle name="Normal 34 2 2 4 3 2" xfId="15016" xr:uid="{00000000-0005-0000-0000-0000AF5E0000}"/>
    <cellStyle name="Normal 34 2 2 4 3 2 2" xfId="33198" xr:uid="{00000000-0005-0000-0000-0000B05E0000}"/>
    <cellStyle name="Normal 34 2 2 4 3 3" xfId="24108" xr:uid="{00000000-0005-0000-0000-0000B15E0000}"/>
    <cellStyle name="Normal 34 2 2 4 4" xfId="10482" xr:uid="{00000000-0005-0000-0000-0000B25E0000}"/>
    <cellStyle name="Normal 34 2 2 4 4 2" xfId="28664" xr:uid="{00000000-0005-0000-0000-0000B35E0000}"/>
    <cellStyle name="Normal 34 2 2 4 5" xfId="19573" xr:uid="{00000000-0005-0000-0000-0000B45E0000}"/>
    <cellStyle name="Normal 34 2 2 5" xfId="2682" xr:uid="{00000000-0005-0000-0000-0000B55E0000}"/>
    <cellStyle name="Normal 34 2 2 5 2" xfId="7267" xr:uid="{00000000-0005-0000-0000-0000B65E0000}"/>
    <cellStyle name="Normal 34 2 2 5 2 2" xfId="16367" xr:uid="{00000000-0005-0000-0000-0000B75E0000}"/>
    <cellStyle name="Normal 34 2 2 5 2 2 2" xfId="34549" xr:uid="{00000000-0005-0000-0000-0000B85E0000}"/>
    <cellStyle name="Normal 34 2 2 5 2 3" xfId="25459" xr:uid="{00000000-0005-0000-0000-0000B95E0000}"/>
    <cellStyle name="Normal 34 2 2 5 3" xfId="11831" xr:uid="{00000000-0005-0000-0000-0000BA5E0000}"/>
    <cellStyle name="Normal 34 2 2 5 3 2" xfId="30013" xr:uid="{00000000-0005-0000-0000-0000BB5E0000}"/>
    <cellStyle name="Normal 34 2 2 5 4" xfId="20923" xr:uid="{00000000-0005-0000-0000-0000BC5E0000}"/>
    <cellStyle name="Normal 34 2 2 6" xfId="4273" xr:uid="{00000000-0005-0000-0000-0000BD5E0000}"/>
    <cellStyle name="Normal 34 2 2 6 2" xfId="8829" xr:uid="{00000000-0005-0000-0000-0000BE5E0000}"/>
    <cellStyle name="Normal 34 2 2 6 2 2" xfId="17925" xr:uid="{00000000-0005-0000-0000-0000BF5E0000}"/>
    <cellStyle name="Normal 34 2 2 6 2 2 2" xfId="36107" xr:uid="{00000000-0005-0000-0000-0000C05E0000}"/>
    <cellStyle name="Normal 34 2 2 6 2 3" xfId="27017" xr:uid="{00000000-0005-0000-0000-0000C15E0000}"/>
    <cellStyle name="Normal 34 2 2 6 3" xfId="13385" xr:uid="{00000000-0005-0000-0000-0000C25E0000}"/>
    <cellStyle name="Normal 34 2 2 6 3 2" xfId="31567" xr:uid="{00000000-0005-0000-0000-0000C35E0000}"/>
    <cellStyle name="Normal 34 2 2 6 4" xfId="22477" xr:uid="{00000000-0005-0000-0000-0000C45E0000}"/>
    <cellStyle name="Normal 34 2 2 7" xfId="5912" xr:uid="{00000000-0005-0000-0000-0000C55E0000}"/>
    <cellStyle name="Normal 34 2 2 7 2" xfId="15012" xr:uid="{00000000-0005-0000-0000-0000C65E0000}"/>
    <cellStyle name="Normal 34 2 2 7 2 2" xfId="33194" xr:uid="{00000000-0005-0000-0000-0000C75E0000}"/>
    <cellStyle name="Normal 34 2 2 7 3" xfId="24104" xr:uid="{00000000-0005-0000-0000-0000C85E0000}"/>
    <cellStyle name="Normal 34 2 2 8" xfId="10478" xr:uid="{00000000-0005-0000-0000-0000C95E0000}"/>
    <cellStyle name="Normal 34 2 2 8 2" xfId="28660" xr:uid="{00000000-0005-0000-0000-0000CA5E0000}"/>
    <cellStyle name="Normal 34 2 2 9" xfId="19569" xr:uid="{00000000-0005-0000-0000-0000CB5E0000}"/>
    <cellStyle name="Normal 34 2 3" xfId="1276" xr:uid="{00000000-0005-0000-0000-0000CC5E0000}"/>
    <cellStyle name="Normal 34 2 3 2" xfId="1277" xr:uid="{00000000-0005-0000-0000-0000CD5E0000}"/>
    <cellStyle name="Normal 34 2 3 2 2" xfId="2683" xr:uid="{00000000-0005-0000-0000-0000CE5E0000}"/>
    <cellStyle name="Normal 34 2 3 2 2 2" xfId="7268" xr:uid="{00000000-0005-0000-0000-0000CF5E0000}"/>
    <cellStyle name="Normal 34 2 3 2 2 2 2" xfId="16368" xr:uid="{00000000-0005-0000-0000-0000D05E0000}"/>
    <cellStyle name="Normal 34 2 3 2 2 2 2 2" xfId="34550" xr:uid="{00000000-0005-0000-0000-0000D15E0000}"/>
    <cellStyle name="Normal 34 2 3 2 2 2 3" xfId="25460" xr:uid="{00000000-0005-0000-0000-0000D25E0000}"/>
    <cellStyle name="Normal 34 2 3 2 2 3" xfId="11832" xr:uid="{00000000-0005-0000-0000-0000D35E0000}"/>
    <cellStyle name="Normal 34 2 3 2 2 3 2" xfId="30014" xr:uid="{00000000-0005-0000-0000-0000D45E0000}"/>
    <cellStyle name="Normal 34 2 3 2 2 4" xfId="20924" xr:uid="{00000000-0005-0000-0000-0000D55E0000}"/>
    <cellStyle name="Normal 34 2 3 2 3" xfId="4279" xr:uid="{00000000-0005-0000-0000-0000D65E0000}"/>
    <cellStyle name="Normal 34 2 3 2 3 2" xfId="8835" xr:uid="{00000000-0005-0000-0000-0000D75E0000}"/>
    <cellStyle name="Normal 34 2 3 2 3 2 2" xfId="17931" xr:uid="{00000000-0005-0000-0000-0000D85E0000}"/>
    <cellStyle name="Normal 34 2 3 2 3 2 2 2" xfId="36113" xr:uid="{00000000-0005-0000-0000-0000D95E0000}"/>
    <cellStyle name="Normal 34 2 3 2 3 2 3" xfId="27023" xr:uid="{00000000-0005-0000-0000-0000DA5E0000}"/>
    <cellStyle name="Normal 34 2 3 2 3 3" xfId="13391" xr:uid="{00000000-0005-0000-0000-0000DB5E0000}"/>
    <cellStyle name="Normal 34 2 3 2 3 3 2" xfId="31573" xr:uid="{00000000-0005-0000-0000-0000DC5E0000}"/>
    <cellStyle name="Normal 34 2 3 2 3 4" xfId="22483" xr:uid="{00000000-0005-0000-0000-0000DD5E0000}"/>
    <cellStyle name="Normal 34 2 3 2 4" xfId="5918" xr:uid="{00000000-0005-0000-0000-0000DE5E0000}"/>
    <cellStyle name="Normal 34 2 3 2 4 2" xfId="15018" xr:uid="{00000000-0005-0000-0000-0000DF5E0000}"/>
    <cellStyle name="Normal 34 2 3 2 4 2 2" xfId="33200" xr:uid="{00000000-0005-0000-0000-0000E05E0000}"/>
    <cellStyle name="Normal 34 2 3 2 4 3" xfId="24110" xr:uid="{00000000-0005-0000-0000-0000E15E0000}"/>
    <cellStyle name="Normal 34 2 3 2 5" xfId="10484" xr:uid="{00000000-0005-0000-0000-0000E25E0000}"/>
    <cellStyle name="Normal 34 2 3 2 5 2" xfId="28666" xr:uid="{00000000-0005-0000-0000-0000E35E0000}"/>
    <cellStyle name="Normal 34 2 3 2 6" xfId="19575" xr:uid="{00000000-0005-0000-0000-0000E45E0000}"/>
    <cellStyle name="Normal 34 2 3 3" xfId="2684" xr:uid="{00000000-0005-0000-0000-0000E55E0000}"/>
    <cellStyle name="Normal 34 2 3 3 2" xfId="7269" xr:uid="{00000000-0005-0000-0000-0000E65E0000}"/>
    <cellStyle name="Normal 34 2 3 3 2 2" xfId="16369" xr:uid="{00000000-0005-0000-0000-0000E75E0000}"/>
    <cellStyle name="Normal 34 2 3 3 2 2 2" xfId="34551" xr:uid="{00000000-0005-0000-0000-0000E85E0000}"/>
    <cellStyle name="Normal 34 2 3 3 2 3" xfId="25461" xr:uid="{00000000-0005-0000-0000-0000E95E0000}"/>
    <cellStyle name="Normal 34 2 3 3 3" xfId="11833" xr:uid="{00000000-0005-0000-0000-0000EA5E0000}"/>
    <cellStyle name="Normal 34 2 3 3 3 2" xfId="30015" xr:uid="{00000000-0005-0000-0000-0000EB5E0000}"/>
    <cellStyle name="Normal 34 2 3 3 4" xfId="20925" xr:uid="{00000000-0005-0000-0000-0000EC5E0000}"/>
    <cellStyle name="Normal 34 2 3 4" xfId="4278" xr:uid="{00000000-0005-0000-0000-0000ED5E0000}"/>
    <cellStyle name="Normal 34 2 3 4 2" xfId="8834" xr:uid="{00000000-0005-0000-0000-0000EE5E0000}"/>
    <cellStyle name="Normal 34 2 3 4 2 2" xfId="17930" xr:uid="{00000000-0005-0000-0000-0000EF5E0000}"/>
    <cellStyle name="Normal 34 2 3 4 2 2 2" xfId="36112" xr:uid="{00000000-0005-0000-0000-0000F05E0000}"/>
    <cellStyle name="Normal 34 2 3 4 2 3" xfId="27022" xr:uid="{00000000-0005-0000-0000-0000F15E0000}"/>
    <cellStyle name="Normal 34 2 3 4 3" xfId="13390" xr:uid="{00000000-0005-0000-0000-0000F25E0000}"/>
    <cellStyle name="Normal 34 2 3 4 3 2" xfId="31572" xr:uid="{00000000-0005-0000-0000-0000F35E0000}"/>
    <cellStyle name="Normal 34 2 3 4 4" xfId="22482" xr:uid="{00000000-0005-0000-0000-0000F45E0000}"/>
    <cellStyle name="Normal 34 2 3 5" xfId="5917" xr:uid="{00000000-0005-0000-0000-0000F55E0000}"/>
    <cellStyle name="Normal 34 2 3 5 2" xfId="15017" xr:uid="{00000000-0005-0000-0000-0000F65E0000}"/>
    <cellStyle name="Normal 34 2 3 5 2 2" xfId="33199" xr:uid="{00000000-0005-0000-0000-0000F75E0000}"/>
    <cellStyle name="Normal 34 2 3 5 3" xfId="24109" xr:uid="{00000000-0005-0000-0000-0000F85E0000}"/>
    <cellStyle name="Normal 34 2 3 6" xfId="10483" xr:uid="{00000000-0005-0000-0000-0000F95E0000}"/>
    <cellStyle name="Normal 34 2 3 6 2" xfId="28665" xr:uid="{00000000-0005-0000-0000-0000FA5E0000}"/>
    <cellStyle name="Normal 34 2 3 7" xfId="19574" xr:uid="{00000000-0005-0000-0000-0000FB5E0000}"/>
    <cellStyle name="Normal 34 2 4" xfId="1278" xr:uid="{00000000-0005-0000-0000-0000FC5E0000}"/>
    <cellStyle name="Normal 34 2 4 2" xfId="2685" xr:uid="{00000000-0005-0000-0000-0000FD5E0000}"/>
    <cellStyle name="Normal 34 2 4 2 2" xfId="7270" xr:uid="{00000000-0005-0000-0000-0000FE5E0000}"/>
    <cellStyle name="Normal 34 2 4 2 2 2" xfId="16370" xr:uid="{00000000-0005-0000-0000-0000FF5E0000}"/>
    <cellStyle name="Normal 34 2 4 2 2 2 2" xfId="34552" xr:uid="{00000000-0005-0000-0000-0000005F0000}"/>
    <cellStyle name="Normal 34 2 4 2 2 3" xfId="25462" xr:uid="{00000000-0005-0000-0000-0000015F0000}"/>
    <cellStyle name="Normal 34 2 4 2 3" xfId="11834" xr:uid="{00000000-0005-0000-0000-0000025F0000}"/>
    <cellStyle name="Normal 34 2 4 2 3 2" xfId="30016" xr:uid="{00000000-0005-0000-0000-0000035F0000}"/>
    <cellStyle name="Normal 34 2 4 2 4" xfId="20926" xr:uid="{00000000-0005-0000-0000-0000045F0000}"/>
    <cellStyle name="Normal 34 2 4 3" xfId="4280" xr:uid="{00000000-0005-0000-0000-0000055F0000}"/>
    <cellStyle name="Normal 34 2 4 3 2" xfId="8836" xr:uid="{00000000-0005-0000-0000-0000065F0000}"/>
    <cellStyle name="Normal 34 2 4 3 2 2" xfId="17932" xr:uid="{00000000-0005-0000-0000-0000075F0000}"/>
    <cellStyle name="Normal 34 2 4 3 2 2 2" xfId="36114" xr:uid="{00000000-0005-0000-0000-0000085F0000}"/>
    <cellStyle name="Normal 34 2 4 3 2 3" xfId="27024" xr:uid="{00000000-0005-0000-0000-0000095F0000}"/>
    <cellStyle name="Normal 34 2 4 3 3" xfId="13392" xr:uid="{00000000-0005-0000-0000-00000A5F0000}"/>
    <cellStyle name="Normal 34 2 4 3 3 2" xfId="31574" xr:uid="{00000000-0005-0000-0000-00000B5F0000}"/>
    <cellStyle name="Normal 34 2 4 3 4" xfId="22484" xr:uid="{00000000-0005-0000-0000-00000C5F0000}"/>
    <cellStyle name="Normal 34 2 4 4" xfId="5919" xr:uid="{00000000-0005-0000-0000-00000D5F0000}"/>
    <cellStyle name="Normal 34 2 4 4 2" xfId="15019" xr:uid="{00000000-0005-0000-0000-00000E5F0000}"/>
    <cellStyle name="Normal 34 2 4 4 2 2" xfId="33201" xr:uid="{00000000-0005-0000-0000-00000F5F0000}"/>
    <cellStyle name="Normal 34 2 4 4 3" xfId="24111" xr:uid="{00000000-0005-0000-0000-0000105F0000}"/>
    <cellStyle name="Normal 34 2 4 5" xfId="10485" xr:uid="{00000000-0005-0000-0000-0000115F0000}"/>
    <cellStyle name="Normal 34 2 4 5 2" xfId="28667" xr:uid="{00000000-0005-0000-0000-0000125F0000}"/>
    <cellStyle name="Normal 34 2 4 6" xfId="19576" xr:uid="{00000000-0005-0000-0000-0000135F0000}"/>
    <cellStyle name="Normal 34 2 5" xfId="1279" xr:uid="{00000000-0005-0000-0000-0000145F0000}"/>
    <cellStyle name="Normal 34 2 5 2" xfId="4281" xr:uid="{00000000-0005-0000-0000-0000155F0000}"/>
    <cellStyle name="Normal 34 2 5 2 2" xfId="8837" xr:uid="{00000000-0005-0000-0000-0000165F0000}"/>
    <cellStyle name="Normal 34 2 5 2 2 2" xfId="17933" xr:uid="{00000000-0005-0000-0000-0000175F0000}"/>
    <cellStyle name="Normal 34 2 5 2 2 2 2" xfId="36115" xr:uid="{00000000-0005-0000-0000-0000185F0000}"/>
    <cellStyle name="Normal 34 2 5 2 2 3" xfId="27025" xr:uid="{00000000-0005-0000-0000-0000195F0000}"/>
    <cellStyle name="Normal 34 2 5 2 3" xfId="13393" xr:uid="{00000000-0005-0000-0000-00001A5F0000}"/>
    <cellStyle name="Normal 34 2 5 2 3 2" xfId="31575" xr:uid="{00000000-0005-0000-0000-00001B5F0000}"/>
    <cellStyle name="Normal 34 2 5 2 4" xfId="22485" xr:uid="{00000000-0005-0000-0000-00001C5F0000}"/>
    <cellStyle name="Normal 34 2 5 3" xfId="5920" xr:uid="{00000000-0005-0000-0000-00001D5F0000}"/>
    <cellStyle name="Normal 34 2 5 3 2" xfId="15020" xr:uid="{00000000-0005-0000-0000-00001E5F0000}"/>
    <cellStyle name="Normal 34 2 5 3 2 2" xfId="33202" xr:uid="{00000000-0005-0000-0000-00001F5F0000}"/>
    <cellStyle name="Normal 34 2 5 3 3" xfId="24112" xr:uid="{00000000-0005-0000-0000-0000205F0000}"/>
    <cellStyle name="Normal 34 2 5 4" xfId="10486" xr:uid="{00000000-0005-0000-0000-0000215F0000}"/>
    <cellStyle name="Normal 34 2 5 4 2" xfId="28668" xr:uid="{00000000-0005-0000-0000-0000225F0000}"/>
    <cellStyle name="Normal 34 2 5 5" xfId="19577" xr:uid="{00000000-0005-0000-0000-0000235F0000}"/>
    <cellStyle name="Normal 34 2 6" xfId="2686" xr:uid="{00000000-0005-0000-0000-0000245F0000}"/>
    <cellStyle name="Normal 34 2 6 2" xfId="7271" xr:uid="{00000000-0005-0000-0000-0000255F0000}"/>
    <cellStyle name="Normal 34 2 6 2 2" xfId="16371" xr:uid="{00000000-0005-0000-0000-0000265F0000}"/>
    <cellStyle name="Normal 34 2 6 2 2 2" xfId="34553" xr:uid="{00000000-0005-0000-0000-0000275F0000}"/>
    <cellStyle name="Normal 34 2 6 2 3" xfId="25463" xr:uid="{00000000-0005-0000-0000-0000285F0000}"/>
    <cellStyle name="Normal 34 2 6 3" xfId="11835" xr:uid="{00000000-0005-0000-0000-0000295F0000}"/>
    <cellStyle name="Normal 34 2 6 3 2" xfId="30017" xr:uid="{00000000-0005-0000-0000-00002A5F0000}"/>
    <cellStyle name="Normal 34 2 6 4" xfId="20927" xr:uid="{00000000-0005-0000-0000-00002B5F0000}"/>
    <cellStyle name="Normal 34 2 7" xfId="3248" xr:uid="{00000000-0005-0000-0000-00002C5F0000}"/>
    <cellStyle name="Normal 34 2 7 2" xfId="7808" xr:uid="{00000000-0005-0000-0000-00002D5F0000}"/>
    <cellStyle name="Normal 34 2 7 2 2" xfId="16904" xr:uid="{00000000-0005-0000-0000-00002E5F0000}"/>
    <cellStyle name="Normal 34 2 7 2 2 2" xfId="35086" xr:uid="{00000000-0005-0000-0000-00002F5F0000}"/>
    <cellStyle name="Normal 34 2 7 2 3" xfId="25996" xr:uid="{00000000-0005-0000-0000-0000305F0000}"/>
    <cellStyle name="Normal 34 2 7 3" xfId="12364" xr:uid="{00000000-0005-0000-0000-0000315F0000}"/>
    <cellStyle name="Normal 34 2 7 3 2" xfId="30546" xr:uid="{00000000-0005-0000-0000-0000325F0000}"/>
    <cellStyle name="Normal 34 2 7 4" xfId="21456" xr:uid="{00000000-0005-0000-0000-0000335F0000}"/>
    <cellStyle name="Normal 34 2 8" xfId="4895" xr:uid="{00000000-0005-0000-0000-0000345F0000}"/>
    <cellStyle name="Normal 34 2 8 2" xfId="13995" xr:uid="{00000000-0005-0000-0000-0000355F0000}"/>
    <cellStyle name="Normal 34 2 8 2 2" xfId="32177" xr:uid="{00000000-0005-0000-0000-0000365F0000}"/>
    <cellStyle name="Normal 34 2 8 3" xfId="23087" xr:uid="{00000000-0005-0000-0000-0000375F0000}"/>
    <cellStyle name="Normal 34 2 9" xfId="9461" xr:uid="{00000000-0005-0000-0000-0000385F0000}"/>
    <cellStyle name="Normal 34 2 9 2" xfId="27643" xr:uid="{00000000-0005-0000-0000-0000395F0000}"/>
    <cellStyle name="Normal 34 3" xfId="1280" xr:uid="{00000000-0005-0000-0000-00003A5F0000}"/>
    <cellStyle name="Normal 34 3 2" xfId="1281" xr:uid="{00000000-0005-0000-0000-00003B5F0000}"/>
    <cellStyle name="Normal 34 3 2 2" xfId="1282" xr:uid="{00000000-0005-0000-0000-00003C5F0000}"/>
    <cellStyle name="Normal 34 3 2 2 2" xfId="2687" xr:uid="{00000000-0005-0000-0000-00003D5F0000}"/>
    <cellStyle name="Normal 34 3 2 2 2 2" xfId="7272" xr:uid="{00000000-0005-0000-0000-00003E5F0000}"/>
    <cellStyle name="Normal 34 3 2 2 2 2 2" xfId="16372" xr:uid="{00000000-0005-0000-0000-00003F5F0000}"/>
    <cellStyle name="Normal 34 3 2 2 2 2 2 2" xfId="34554" xr:uid="{00000000-0005-0000-0000-0000405F0000}"/>
    <cellStyle name="Normal 34 3 2 2 2 2 3" xfId="25464" xr:uid="{00000000-0005-0000-0000-0000415F0000}"/>
    <cellStyle name="Normal 34 3 2 2 2 3" xfId="11836" xr:uid="{00000000-0005-0000-0000-0000425F0000}"/>
    <cellStyle name="Normal 34 3 2 2 2 3 2" xfId="30018" xr:uid="{00000000-0005-0000-0000-0000435F0000}"/>
    <cellStyle name="Normal 34 3 2 2 2 4" xfId="20928" xr:uid="{00000000-0005-0000-0000-0000445F0000}"/>
    <cellStyle name="Normal 34 3 2 2 3" xfId="4284" xr:uid="{00000000-0005-0000-0000-0000455F0000}"/>
    <cellStyle name="Normal 34 3 2 2 3 2" xfId="8840" xr:uid="{00000000-0005-0000-0000-0000465F0000}"/>
    <cellStyle name="Normal 34 3 2 2 3 2 2" xfId="17936" xr:uid="{00000000-0005-0000-0000-0000475F0000}"/>
    <cellStyle name="Normal 34 3 2 2 3 2 2 2" xfId="36118" xr:uid="{00000000-0005-0000-0000-0000485F0000}"/>
    <cellStyle name="Normal 34 3 2 2 3 2 3" xfId="27028" xr:uid="{00000000-0005-0000-0000-0000495F0000}"/>
    <cellStyle name="Normal 34 3 2 2 3 3" xfId="13396" xr:uid="{00000000-0005-0000-0000-00004A5F0000}"/>
    <cellStyle name="Normal 34 3 2 2 3 3 2" xfId="31578" xr:uid="{00000000-0005-0000-0000-00004B5F0000}"/>
    <cellStyle name="Normal 34 3 2 2 3 4" xfId="22488" xr:uid="{00000000-0005-0000-0000-00004C5F0000}"/>
    <cellStyle name="Normal 34 3 2 2 4" xfId="5923" xr:uid="{00000000-0005-0000-0000-00004D5F0000}"/>
    <cellStyle name="Normal 34 3 2 2 4 2" xfId="15023" xr:uid="{00000000-0005-0000-0000-00004E5F0000}"/>
    <cellStyle name="Normal 34 3 2 2 4 2 2" xfId="33205" xr:uid="{00000000-0005-0000-0000-00004F5F0000}"/>
    <cellStyle name="Normal 34 3 2 2 4 3" xfId="24115" xr:uid="{00000000-0005-0000-0000-0000505F0000}"/>
    <cellStyle name="Normal 34 3 2 2 5" xfId="10489" xr:uid="{00000000-0005-0000-0000-0000515F0000}"/>
    <cellStyle name="Normal 34 3 2 2 5 2" xfId="28671" xr:uid="{00000000-0005-0000-0000-0000525F0000}"/>
    <cellStyle name="Normal 34 3 2 2 6" xfId="19580" xr:uid="{00000000-0005-0000-0000-0000535F0000}"/>
    <cellStyle name="Normal 34 3 2 3" xfId="2688" xr:uid="{00000000-0005-0000-0000-0000545F0000}"/>
    <cellStyle name="Normal 34 3 2 3 2" xfId="7273" xr:uid="{00000000-0005-0000-0000-0000555F0000}"/>
    <cellStyle name="Normal 34 3 2 3 2 2" xfId="16373" xr:uid="{00000000-0005-0000-0000-0000565F0000}"/>
    <cellStyle name="Normal 34 3 2 3 2 2 2" xfId="34555" xr:uid="{00000000-0005-0000-0000-0000575F0000}"/>
    <cellStyle name="Normal 34 3 2 3 2 3" xfId="25465" xr:uid="{00000000-0005-0000-0000-0000585F0000}"/>
    <cellStyle name="Normal 34 3 2 3 3" xfId="11837" xr:uid="{00000000-0005-0000-0000-0000595F0000}"/>
    <cellStyle name="Normal 34 3 2 3 3 2" xfId="30019" xr:uid="{00000000-0005-0000-0000-00005A5F0000}"/>
    <cellStyle name="Normal 34 3 2 3 4" xfId="20929" xr:uid="{00000000-0005-0000-0000-00005B5F0000}"/>
    <cellStyle name="Normal 34 3 2 4" xfId="4283" xr:uid="{00000000-0005-0000-0000-00005C5F0000}"/>
    <cellStyle name="Normal 34 3 2 4 2" xfId="8839" xr:uid="{00000000-0005-0000-0000-00005D5F0000}"/>
    <cellStyle name="Normal 34 3 2 4 2 2" xfId="17935" xr:uid="{00000000-0005-0000-0000-00005E5F0000}"/>
    <cellStyle name="Normal 34 3 2 4 2 2 2" xfId="36117" xr:uid="{00000000-0005-0000-0000-00005F5F0000}"/>
    <cellStyle name="Normal 34 3 2 4 2 3" xfId="27027" xr:uid="{00000000-0005-0000-0000-0000605F0000}"/>
    <cellStyle name="Normal 34 3 2 4 3" xfId="13395" xr:uid="{00000000-0005-0000-0000-0000615F0000}"/>
    <cellStyle name="Normal 34 3 2 4 3 2" xfId="31577" xr:uid="{00000000-0005-0000-0000-0000625F0000}"/>
    <cellStyle name="Normal 34 3 2 4 4" xfId="22487" xr:uid="{00000000-0005-0000-0000-0000635F0000}"/>
    <cellStyle name="Normal 34 3 2 5" xfId="5922" xr:uid="{00000000-0005-0000-0000-0000645F0000}"/>
    <cellStyle name="Normal 34 3 2 5 2" xfId="15022" xr:uid="{00000000-0005-0000-0000-0000655F0000}"/>
    <cellStyle name="Normal 34 3 2 5 2 2" xfId="33204" xr:uid="{00000000-0005-0000-0000-0000665F0000}"/>
    <cellStyle name="Normal 34 3 2 5 3" xfId="24114" xr:uid="{00000000-0005-0000-0000-0000675F0000}"/>
    <cellStyle name="Normal 34 3 2 6" xfId="10488" xr:uid="{00000000-0005-0000-0000-0000685F0000}"/>
    <cellStyle name="Normal 34 3 2 6 2" xfId="28670" xr:uid="{00000000-0005-0000-0000-0000695F0000}"/>
    <cellStyle name="Normal 34 3 2 7" xfId="19579" xr:uid="{00000000-0005-0000-0000-00006A5F0000}"/>
    <cellStyle name="Normal 34 3 3" xfId="1283" xr:uid="{00000000-0005-0000-0000-00006B5F0000}"/>
    <cellStyle name="Normal 34 3 3 2" xfId="2689" xr:uid="{00000000-0005-0000-0000-00006C5F0000}"/>
    <cellStyle name="Normal 34 3 3 2 2" xfId="7274" xr:uid="{00000000-0005-0000-0000-00006D5F0000}"/>
    <cellStyle name="Normal 34 3 3 2 2 2" xfId="16374" xr:uid="{00000000-0005-0000-0000-00006E5F0000}"/>
    <cellStyle name="Normal 34 3 3 2 2 2 2" xfId="34556" xr:uid="{00000000-0005-0000-0000-00006F5F0000}"/>
    <cellStyle name="Normal 34 3 3 2 2 3" xfId="25466" xr:uid="{00000000-0005-0000-0000-0000705F0000}"/>
    <cellStyle name="Normal 34 3 3 2 3" xfId="11838" xr:uid="{00000000-0005-0000-0000-0000715F0000}"/>
    <cellStyle name="Normal 34 3 3 2 3 2" xfId="30020" xr:uid="{00000000-0005-0000-0000-0000725F0000}"/>
    <cellStyle name="Normal 34 3 3 2 4" xfId="20930" xr:uid="{00000000-0005-0000-0000-0000735F0000}"/>
    <cellStyle name="Normal 34 3 3 3" xfId="4285" xr:uid="{00000000-0005-0000-0000-0000745F0000}"/>
    <cellStyle name="Normal 34 3 3 3 2" xfId="8841" xr:uid="{00000000-0005-0000-0000-0000755F0000}"/>
    <cellStyle name="Normal 34 3 3 3 2 2" xfId="17937" xr:uid="{00000000-0005-0000-0000-0000765F0000}"/>
    <cellStyle name="Normal 34 3 3 3 2 2 2" xfId="36119" xr:uid="{00000000-0005-0000-0000-0000775F0000}"/>
    <cellStyle name="Normal 34 3 3 3 2 3" xfId="27029" xr:uid="{00000000-0005-0000-0000-0000785F0000}"/>
    <cellStyle name="Normal 34 3 3 3 3" xfId="13397" xr:uid="{00000000-0005-0000-0000-0000795F0000}"/>
    <cellStyle name="Normal 34 3 3 3 3 2" xfId="31579" xr:uid="{00000000-0005-0000-0000-00007A5F0000}"/>
    <cellStyle name="Normal 34 3 3 3 4" xfId="22489" xr:uid="{00000000-0005-0000-0000-00007B5F0000}"/>
    <cellStyle name="Normal 34 3 3 4" xfId="5924" xr:uid="{00000000-0005-0000-0000-00007C5F0000}"/>
    <cellStyle name="Normal 34 3 3 4 2" xfId="15024" xr:uid="{00000000-0005-0000-0000-00007D5F0000}"/>
    <cellStyle name="Normal 34 3 3 4 2 2" xfId="33206" xr:uid="{00000000-0005-0000-0000-00007E5F0000}"/>
    <cellStyle name="Normal 34 3 3 4 3" xfId="24116" xr:uid="{00000000-0005-0000-0000-00007F5F0000}"/>
    <cellStyle name="Normal 34 3 3 5" xfId="10490" xr:uid="{00000000-0005-0000-0000-0000805F0000}"/>
    <cellStyle name="Normal 34 3 3 5 2" xfId="28672" xr:uid="{00000000-0005-0000-0000-0000815F0000}"/>
    <cellStyle name="Normal 34 3 3 6" xfId="19581" xr:uid="{00000000-0005-0000-0000-0000825F0000}"/>
    <cellStyle name="Normal 34 3 4" xfId="1284" xr:uid="{00000000-0005-0000-0000-0000835F0000}"/>
    <cellStyle name="Normal 34 3 4 2" xfId="4286" xr:uid="{00000000-0005-0000-0000-0000845F0000}"/>
    <cellStyle name="Normal 34 3 4 2 2" xfId="8842" xr:uid="{00000000-0005-0000-0000-0000855F0000}"/>
    <cellStyle name="Normal 34 3 4 2 2 2" xfId="17938" xr:uid="{00000000-0005-0000-0000-0000865F0000}"/>
    <cellStyle name="Normal 34 3 4 2 2 2 2" xfId="36120" xr:uid="{00000000-0005-0000-0000-0000875F0000}"/>
    <cellStyle name="Normal 34 3 4 2 2 3" xfId="27030" xr:uid="{00000000-0005-0000-0000-0000885F0000}"/>
    <cellStyle name="Normal 34 3 4 2 3" xfId="13398" xr:uid="{00000000-0005-0000-0000-0000895F0000}"/>
    <cellStyle name="Normal 34 3 4 2 3 2" xfId="31580" xr:uid="{00000000-0005-0000-0000-00008A5F0000}"/>
    <cellStyle name="Normal 34 3 4 2 4" xfId="22490" xr:uid="{00000000-0005-0000-0000-00008B5F0000}"/>
    <cellStyle name="Normal 34 3 4 3" xfId="5925" xr:uid="{00000000-0005-0000-0000-00008C5F0000}"/>
    <cellStyle name="Normal 34 3 4 3 2" xfId="15025" xr:uid="{00000000-0005-0000-0000-00008D5F0000}"/>
    <cellStyle name="Normal 34 3 4 3 2 2" xfId="33207" xr:uid="{00000000-0005-0000-0000-00008E5F0000}"/>
    <cellStyle name="Normal 34 3 4 3 3" xfId="24117" xr:uid="{00000000-0005-0000-0000-00008F5F0000}"/>
    <cellStyle name="Normal 34 3 4 4" xfId="10491" xr:uid="{00000000-0005-0000-0000-0000905F0000}"/>
    <cellStyle name="Normal 34 3 4 4 2" xfId="28673" xr:uid="{00000000-0005-0000-0000-0000915F0000}"/>
    <cellStyle name="Normal 34 3 4 5" xfId="19582" xr:uid="{00000000-0005-0000-0000-0000925F0000}"/>
    <cellStyle name="Normal 34 3 5" xfId="2690" xr:uid="{00000000-0005-0000-0000-0000935F0000}"/>
    <cellStyle name="Normal 34 3 5 2" xfId="7275" xr:uid="{00000000-0005-0000-0000-0000945F0000}"/>
    <cellStyle name="Normal 34 3 5 2 2" xfId="16375" xr:uid="{00000000-0005-0000-0000-0000955F0000}"/>
    <cellStyle name="Normal 34 3 5 2 2 2" xfId="34557" xr:uid="{00000000-0005-0000-0000-0000965F0000}"/>
    <cellStyle name="Normal 34 3 5 2 3" xfId="25467" xr:uid="{00000000-0005-0000-0000-0000975F0000}"/>
    <cellStyle name="Normal 34 3 5 3" xfId="11839" xr:uid="{00000000-0005-0000-0000-0000985F0000}"/>
    <cellStyle name="Normal 34 3 5 3 2" xfId="30021" xr:uid="{00000000-0005-0000-0000-0000995F0000}"/>
    <cellStyle name="Normal 34 3 5 4" xfId="20931" xr:uid="{00000000-0005-0000-0000-00009A5F0000}"/>
    <cellStyle name="Normal 34 3 6" xfId="4282" xr:uid="{00000000-0005-0000-0000-00009B5F0000}"/>
    <cellStyle name="Normal 34 3 6 2" xfId="8838" xr:uid="{00000000-0005-0000-0000-00009C5F0000}"/>
    <cellStyle name="Normal 34 3 6 2 2" xfId="17934" xr:uid="{00000000-0005-0000-0000-00009D5F0000}"/>
    <cellStyle name="Normal 34 3 6 2 2 2" xfId="36116" xr:uid="{00000000-0005-0000-0000-00009E5F0000}"/>
    <cellStyle name="Normal 34 3 6 2 3" xfId="27026" xr:uid="{00000000-0005-0000-0000-00009F5F0000}"/>
    <cellStyle name="Normal 34 3 6 3" xfId="13394" xr:uid="{00000000-0005-0000-0000-0000A05F0000}"/>
    <cellStyle name="Normal 34 3 6 3 2" xfId="31576" xr:uid="{00000000-0005-0000-0000-0000A15F0000}"/>
    <cellStyle name="Normal 34 3 6 4" xfId="22486" xr:uid="{00000000-0005-0000-0000-0000A25F0000}"/>
    <cellStyle name="Normal 34 3 7" xfId="5921" xr:uid="{00000000-0005-0000-0000-0000A35F0000}"/>
    <cellStyle name="Normal 34 3 7 2" xfId="15021" xr:uid="{00000000-0005-0000-0000-0000A45F0000}"/>
    <cellStyle name="Normal 34 3 7 2 2" xfId="33203" xr:uid="{00000000-0005-0000-0000-0000A55F0000}"/>
    <cellStyle name="Normal 34 3 7 3" xfId="24113" xr:uid="{00000000-0005-0000-0000-0000A65F0000}"/>
    <cellStyle name="Normal 34 3 8" xfId="10487" xr:uid="{00000000-0005-0000-0000-0000A75F0000}"/>
    <cellStyle name="Normal 34 3 8 2" xfId="28669" xr:uid="{00000000-0005-0000-0000-0000A85F0000}"/>
    <cellStyle name="Normal 34 3 9" xfId="19578" xr:uid="{00000000-0005-0000-0000-0000A95F0000}"/>
    <cellStyle name="Normal 34 4" xfId="1285" xr:uid="{00000000-0005-0000-0000-0000AA5F0000}"/>
    <cellStyle name="Normal 34 4 2" xfId="1286" xr:uid="{00000000-0005-0000-0000-0000AB5F0000}"/>
    <cellStyle name="Normal 34 4 2 2" xfId="2691" xr:uid="{00000000-0005-0000-0000-0000AC5F0000}"/>
    <cellStyle name="Normal 34 4 2 2 2" xfId="7276" xr:uid="{00000000-0005-0000-0000-0000AD5F0000}"/>
    <cellStyle name="Normal 34 4 2 2 2 2" xfId="16376" xr:uid="{00000000-0005-0000-0000-0000AE5F0000}"/>
    <cellStyle name="Normal 34 4 2 2 2 2 2" xfId="34558" xr:uid="{00000000-0005-0000-0000-0000AF5F0000}"/>
    <cellStyle name="Normal 34 4 2 2 2 3" xfId="25468" xr:uid="{00000000-0005-0000-0000-0000B05F0000}"/>
    <cellStyle name="Normal 34 4 2 2 3" xfId="11840" xr:uid="{00000000-0005-0000-0000-0000B15F0000}"/>
    <cellStyle name="Normal 34 4 2 2 3 2" xfId="30022" xr:uid="{00000000-0005-0000-0000-0000B25F0000}"/>
    <cellStyle name="Normal 34 4 2 2 4" xfId="20932" xr:uid="{00000000-0005-0000-0000-0000B35F0000}"/>
    <cellStyle name="Normal 34 4 2 3" xfId="4288" xr:uid="{00000000-0005-0000-0000-0000B45F0000}"/>
    <cellStyle name="Normal 34 4 2 3 2" xfId="8844" xr:uid="{00000000-0005-0000-0000-0000B55F0000}"/>
    <cellStyle name="Normal 34 4 2 3 2 2" xfId="17940" xr:uid="{00000000-0005-0000-0000-0000B65F0000}"/>
    <cellStyle name="Normal 34 4 2 3 2 2 2" xfId="36122" xr:uid="{00000000-0005-0000-0000-0000B75F0000}"/>
    <cellStyle name="Normal 34 4 2 3 2 3" xfId="27032" xr:uid="{00000000-0005-0000-0000-0000B85F0000}"/>
    <cellStyle name="Normal 34 4 2 3 3" xfId="13400" xr:uid="{00000000-0005-0000-0000-0000B95F0000}"/>
    <cellStyle name="Normal 34 4 2 3 3 2" xfId="31582" xr:uid="{00000000-0005-0000-0000-0000BA5F0000}"/>
    <cellStyle name="Normal 34 4 2 3 4" xfId="22492" xr:uid="{00000000-0005-0000-0000-0000BB5F0000}"/>
    <cellStyle name="Normal 34 4 2 4" xfId="5927" xr:uid="{00000000-0005-0000-0000-0000BC5F0000}"/>
    <cellStyle name="Normal 34 4 2 4 2" xfId="15027" xr:uid="{00000000-0005-0000-0000-0000BD5F0000}"/>
    <cellStyle name="Normal 34 4 2 4 2 2" xfId="33209" xr:uid="{00000000-0005-0000-0000-0000BE5F0000}"/>
    <cellStyle name="Normal 34 4 2 4 3" xfId="24119" xr:uid="{00000000-0005-0000-0000-0000BF5F0000}"/>
    <cellStyle name="Normal 34 4 2 5" xfId="10493" xr:uid="{00000000-0005-0000-0000-0000C05F0000}"/>
    <cellStyle name="Normal 34 4 2 5 2" xfId="28675" xr:uid="{00000000-0005-0000-0000-0000C15F0000}"/>
    <cellStyle name="Normal 34 4 2 6" xfId="19584" xr:uid="{00000000-0005-0000-0000-0000C25F0000}"/>
    <cellStyle name="Normal 34 4 3" xfId="2692" xr:uid="{00000000-0005-0000-0000-0000C35F0000}"/>
    <cellStyle name="Normal 34 4 3 2" xfId="7277" xr:uid="{00000000-0005-0000-0000-0000C45F0000}"/>
    <cellStyle name="Normal 34 4 3 2 2" xfId="16377" xr:uid="{00000000-0005-0000-0000-0000C55F0000}"/>
    <cellStyle name="Normal 34 4 3 2 2 2" xfId="34559" xr:uid="{00000000-0005-0000-0000-0000C65F0000}"/>
    <cellStyle name="Normal 34 4 3 2 3" xfId="25469" xr:uid="{00000000-0005-0000-0000-0000C75F0000}"/>
    <cellStyle name="Normal 34 4 3 3" xfId="11841" xr:uid="{00000000-0005-0000-0000-0000C85F0000}"/>
    <cellStyle name="Normal 34 4 3 3 2" xfId="30023" xr:uid="{00000000-0005-0000-0000-0000C95F0000}"/>
    <cellStyle name="Normal 34 4 3 4" xfId="20933" xr:uid="{00000000-0005-0000-0000-0000CA5F0000}"/>
    <cellStyle name="Normal 34 4 4" xfId="4287" xr:uid="{00000000-0005-0000-0000-0000CB5F0000}"/>
    <cellStyle name="Normal 34 4 4 2" xfId="8843" xr:uid="{00000000-0005-0000-0000-0000CC5F0000}"/>
    <cellStyle name="Normal 34 4 4 2 2" xfId="17939" xr:uid="{00000000-0005-0000-0000-0000CD5F0000}"/>
    <cellStyle name="Normal 34 4 4 2 2 2" xfId="36121" xr:uid="{00000000-0005-0000-0000-0000CE5F0000}"/>
    <cellStyle name="Normal 34 4 4 2 3" xfId="27031" xr:uid="{00000000-0005-0000-0000-0000CF5F0000}"/>
    <cellStyle name="Normal 34 4 4 3" xfId="13399" xr:uid="{00000000-0005-0000-0000-0000D05F0000}"/>
    <cellStyle name="Normal 34 4 4 3 2" xfId="31581" xr:uid="{00000000-0005-0000-0000-0000D15F0000}"/>
    <cellStyle name="Normal 34 4 4 4" xfId="22491" xr:uid="{00000000-0005-0000-0000-0000D25F0000}"/>
    <cellStyle name="Normal 34 4 5" xfId="5926" xr:uid="{00000000-0005-0000-0000-0000D35F0000}"/>
    <cellStyle name="Normal 34 4 5 2" xfId="15026" xr:uid="{00000000-0005-0000-0000-0000D45F0000}"/>
    <cellStyle name="Normal 34 4 5 2 2" xfId="33208" xr:uid="{00000000-0005-0000-0000-0000D55F0000}"/>
    <cellStyle name="Normal 34 4 5 3" xfId="24118" xr:uid="{00000000-0005-0000-0000-0000D65F0000}"/>
    <cellStyle name="Normal 34 4 6" xfId="10492" xr:uid="{00000000-0005-0000-0000-0000D75F0000}"/>
    <cellStyle name="Normal 34 4 6 2" xfId="28674" xr:uid="{00000000-0005-0000-0000-0000D85F0000}"/>
    <cellStyle name="Normal 34 4 7" xfId="19583" xr:uid="{00000000-0005-0000-0000-0000D95F0000}"/>
    <cellStyle name="Normal 34 5" xfId="1287" xr:uid="{00000000-0005-0000-0000-0000DA5F0000}"/>
    <cellStyle name="Normal 34 5 2" xfId="2693" xr:uid="{00000000-0005-0000-0000-0000DB5F0000}"/>
    <cellStyle name="Normal 34 5 2 2" xfId="7278" xr:uid="{00000000-0005-0000-0000-0000DC5F0000}"/>
    <cellStyle name="Normal 34 5 2 2 2" xfId="16378" xr:uid="{00000000-0005-0000-0000-0000DD5F0000}"/>
    <cellStyle name="Normal 34 5 2 2 2 2" xfId="34560" xr:uid="{00000000-0005-0000-0000-0000DE5F0000}"/>
    <cellStyle name="Normal 34 5 2 2 3" xfId="25470" xr:uid="{00000000-0005-0000-0000-0000DF5F0000}"/>
    <cellStyle name="Normal 34 5 2 3" xfId="11842" xr:uid="{00000000-0005-0000-0000-0000E05F0000}"/>
    <cellStyle name="Normal 34 5 2 3 2" xfId="30024" xr:uid="{00000000-0005-0000-0000-0000E15F0000}"/>
    <cellStyle name="Normal 34 5 2 4" xfId="20934" xr:uid="{00000000-0005-0000-0000-0000E25F0000}"/>
    <cellStyle name="Normal 34 5 3" xfId="4289" xr:uid="{00000000-0005-0000-0000-0000E35F0000}"/>
    <cellStyle name="Normal 34 5 3 2" xfId="8845" xr:uid="{00000000-0005-0000-0000-0000E45F0000}"/>
    <cellStyle name="Normal 34 5 3 2 2" xfId="17941" xr:uid="{00000000-0005-0000-0000-0000E55F0000}"/>
    <cellStyle name="Normal 34 5 3 2 2 2" xfId="36123" xr:uid="{00000000-0005-0000-0000-0000E65F0000}"/>
    <cellStyle name="Normal 34 5 3 2 3" xfId="27033" xr:uid="{00000000-0005-0000-0000-0000E75F0000}"/>
    <cellStyle name="Normal 34 5 3 3" xfId="13401" xr:uid="{00000000-0005-0000-0000-0000E85F0000}"/>
    <cellStyle name="Normal 34 5 3 3 2" xfId="31583" xr:uid="{00000000-0005-0000-0000-0000E95F0000}"/>
    <cellStyle name="Normal 34 5 3 4" xfId="22493" xr:uid="{00000000-0005-0000-0000-0000EA5F0000}"/>
    <cellStyle name="Normal 34 5 4" xfId="5928" xr:uid="{00000000-0005-0000-0000-0000EB5F0000}"/>
    <cellStyle name="Normal 34 5 4 2" xfId="15028" xr:uid="{00000000-0005-0000-0000-0000EC5F0000}"/>
    <cellStyle name="Normal 34 5 4 2 2" xfId="33210" xr:uid="{00000000-0005-0000-0000-0000ED5F0000}"/>
    <cellStyle name="Normal 34 5 4 3" xfId="24120" xr:uid="{00000000-0005-0000-0000-0000EE5F0000}"/>
    <cellStyle name="Normal 34 5 5" xfId="10494" xr:uid="{00000000-0005-0000-0000-0000EF5F0000}"/>
    <cellStyle name="Normal 34 5 5 2" xfId="28676" xr:uid="{00000000-0005-0000-0000-0000F05F0000}"/>
    <cellStyle name="Normal 34 5 6" xfId="19585" xr:uid="{00000000-0005-0000-0000-0000F15F0000}"/>
    <cellStyle name="Normal 34 6" xfId="1288" xr:uid="{00000000-0005-0000-0000-0000F25F0000}"/>
    <cellStyle name="Normal 34 6 2" xfId="4290" xr:uid="{00000000-0005-0000-0000-0000F35F0000}"/>
    <cellStyle name="Normal 34 6 2 2" xfId="8846" xr:uid="{00000000-0005-0000-0000-0000F45F0000}"/>
    <cellStyle name="Normal 34 6 2 2 2" xfId="17942" xr:uid="{00000000-0005-0000-0000-0000F55F0000}"/>
    <cellStyle name="Normal 34 6 2 2 2 2" xfId="36124" xr:uid="{00000000-0005-0000-0000-0000F65F0000}"/>
    <cellStyle name="Normal 34 6 2 2 3" xfId="27034" xr:uid="{00000000-0005-0000-0000-0000F75F0000}"/>
    <cellStyle name="Normal 34 6 2 3" xfId="13402" xr:uid="{00000000-0005-0000-0000-0000F85F0000}"/>
    <cellStyle name="Normal 34 6 2 3 2" xfId="31584" xr:uid="{00000000-0005-0000-0000-0000F95F0000}"/>
    <cellStyle name="Normal 34 6 2 4" xfId="22494" xr:uid="{00000000-0005-0000-0000-0000FA5F0000}"/>
    <cellStyle name="Normal 34 6 3" xfId="5929" xr:uid="{00000000-0005-0000-0000-0000FB5F0000}"/>
    <cellStyle name="Normal 34 6 3 2" xfId="15029" xr:uid="{00000000-0005-0000-0000-0000FC5F0000}"/>
    <cellStyle name="Normal 34 6 3 2 2" xfId="33211" xr:uid="{00000000-0005-0000-0000-0000FD5F0000}"/>
    <cellStyle name="Normal 34 6 3 3" xfId="24121" xr:uid="{00000000-0005-0000-0000-0000FE5F0000}"/>
    <cellStyle name="Normal 34 6 4" xfId="10495" xr:uid="{00000000-0005-0000-0000-0000FF5F0000}"/>
    <cellStyle name="Normal 34 6 4 2" xfId="28677" xr:uid="{00000000-0005-0000-0000-000000600000}"/>
    <cellStyle name="Normal 34 6 5" xfId="19586" xr:uid="{00000000-0005-0000-0000-000001600000}"/>
    <cellStyle name="Normal 34 7" xfId="2694" xr:uid="{00000000-0005-0000-0000-000002600000}"/>
    <cellStyle name="Normal 34 7 2" xfId="7279" xr:uid="{00000000-0005-0000-0000-000003600000}"/>
    <cellStyle name="Normal 34 7 2 2" xfId="16379" xr:uid="{00000000-0005-0000-0000-000004600000}"/>
    <cellStyle name="Normal 34 7 2 2 2" xfId="34561" xr:uid="{00000000-0005-0000-0000-000005600000}"/>
    <cellStyle name="Normal 34 7 2 3" xfId="25471" xr:uid="{00000000-0005-0000-0000-000006600000}"/>
    <cellStyle name="Normal 34 7 3" xfId="11843" xr:uid="{00000000-0005-0000-0000-000007600000}"/>
    <cellStyle name="Normal 34 7 3 2" xfId="30025" xr:uid="{00000000-0005-0000-0000-000008600000}"/>
    <cellStyle name="Normal 34 7 4" xfId="20935" xr:uid="{00000000-0005-0000-0000-000009600000}"/>
    <cellStyle name="Normal 34 8" xfId="3246" xr:uid="{00000000-0005-0000-0000-00000A600000}"/>
    <cellStyle name="Normal 34 8 2" xfId="7806" xr:uid="{00000000-0005-0000-0000-00000B600000}"/>
    <cellStyle name="Normal 34 8 2 2" xfId="16902" xr:uid="{00000000-0005-0000-0000-00000C600000}"/>
    <cellStyle name="Normal 34 8 2 2 2" xfId="35084" xr:uid="{00000000-0005-0000-0000-00000D600000}"/>
    <cellStyle name="Normal 34 8 2 3" xfId="25994" xr:uid="{00000000-0005-0000-0000-00000E600000}"/>
    <cellStyle name="Normal 34 8 3" xfId="12362" xr:uid="{00000000-0005-0000-0000-00000F600000}"/>
    <cellStyle name="Normal 34 8 3 2" xfId="30544" xr:uid="{00000000-0005-0000-0000-000010600000}"/>
    <cellStyle name="Normal 34 8 4" xfId="21454" xr:uid="{00000000-0005-0000-0000-000011600000}"/>
    <cellStyle name="Normal 34 9" xfId="4893" xr:uid="{00000000-0005-0000-0000-000012600000}"/>
    <cellStyle name="Normal 34 9 2" xfId="13993" xr:uid="{00000000-0005-0000-0000-000013600000}"/>
    <cellStyle name="Normal 34 9 2 2" xfId="32175" xr:uid="{00000000-0005-0000-0000-000014600000}"/>
    <cellStyle name="Normal 34 9 3" xfId="23085" xr:uid="{00000000-0005-0000-0000-000015600000}"/>
    <cellStyle name="Normal 35" xfId="178" xr:uid="{00000000-0005-0000-0000-000016600000}"/>
    <cellStyle name="Normal 35 10" xfId="9465" xr:uid="{00000000-0005-0000-0000-000017600000}"/>
    <cellStyle name="Normal 35 10 2" xfId="27647" xr:uid="{00000000-0005-0000-0000-000018600000}"/>
    <cellStyle name="Normal 35 11" xfId="18556" xr:uid="{00000000-0005-0000-0000-000019600000}"/>
    <cellStyle name="Normal 35 2" xfId="1289" xr:uid="{00000000-0005-0000-0000-00001A600000}"/>
    <cellStyle name="Normal 35 2 10" xfId="19587" xr:uid="{00000000-0005-0000-0000-00001B600000}"/>
    <cellStyle name="Normal 35 2 2" xfId="1290" xr:uid="{00000000-0005-0000-0000-00001C600000}"/>
    <cellStyle name="Normal 35 2 2 2" xfId="1291" xr:uid="{00000000-0005-0000-0000-00001D600000}"/>
    <cellStyle name="Normal 35 2 2 2 2" xfId="1292" xr:uid="{00000000-0005-0000-0000-00001E600000}"/>
    <cellStyle name="Normal 35 2 2 2 2 2" xfId="2695" xr:uid="{00000000-0005-0000-0000-00001F600000}"/>
    <cellStyle name="Normal 35 2 2 2 2 2 2" xfId="7280" xr:uid="{00000000-0005-0000-0000-000020600000}"/>
    <cellStyle name="Normal 35 2 2 2 2 2 2 2" xfId="16380" xr:uid="{00000000-0005-0000-0000-000021600000}"/>
    <cellStyle name="Normal 35 2 2 2 2 2 2 2 2" xfId="34562" xr:uid="{00000000-0005-0000-0000-000022600000}"/>
    <cellStyle name="Normal 35 2 2 2 2 2 2 3" xfId="25472" xr:uid="{00000000-0005-0000-0000-000023600000}"/>
    <cellStyle name="Normal 35 2 2 2 2 2 3" xfId="11844" xr:uid="{00000000-0005-0000-0000-000024600000}"/>
    <cellStyle name="Normal 35 2 2 2 2 2 3 2" xfId="30026" xr:uid="{00000000-0005-0000-0000-000025600000}"/>
    <cellStyle name="Normal 35 2 2 2 2 2 4" xfId="20936" xr:uid="{00000000-0005-0000-0000-000026600000}"/>
    <cellStyle name="Normal 35 2 2 2 2 3" xfId="4294" xr:uid="{00000000-0005-0000-0000-000027600000}"/>
    <cellStyle name="Normal 35 2 2 2 2 3 2" xfId="8850" xr:uid="{00000000-0005-0000-0000-000028600000}"/>
    <cellStyle name="Normal 35 2 2 2 2 3 2 2" xfId="17946" xr:uid="{00000000-0005-0000-0000-000029600000}"/>
    <cellStyle name="Normal 35 2 2 2 2 3 2 2 2" xfId="36128" xr:uid="{00000000-0005-0000-0000-00002A600000}"/>
    <cellStyle name="Normal 35 2 2 2 2 3 2 3" xfId="27038" xr:uid="{00000000-0005-0000-0000-00002B600000}"/>
    <cellStyle name="Normal 35 2 2 2 2 3 3" xfId="13406" xr:uid="{00000000-0005-0000-0000-00002C600000}"/>
    <cellStyle name="Normal 35 2 2 2 2 3 3 2" xfId="31588" xr:uid="{00000000-0005-0000-0000-00002D600000}"/>
    <cellStyle name="Normal 35 2 2 2 2 3 4" xfId="22498" xr:uid="{00000000-0005-0000-0000-00002E600000}"/>
    <cellStyle name="Normal 35 2 2 2 2 4" xfId="5933" xr:uid="{00000000-0005-0000-0000-00002F600000}"/>
    <cellStyle name="Normal 35 2 2 2 2 4 2" xfId="15033" xr:uid="{00000000-0005-0000-0000-000030600000}"/>
    <cellStyle name="Normal 35 2 2 2 2 4 2 2" xfId="33215" xr:uid="{00000000-0005-0000-0000-000031600000}"/>
    <cellStyle name="Normal 35 2 2 2 2 4 3" xfId="24125" xr:uid="{00000000-0005-0000-0000-000032600000}"/>
    <cellStyle name="Normal 35 2 2 2 2 5" xfId="10499" xr:uid="{00000000-0005-0000-0000-000033600000}"/>
    <cellStyle name="Normal 35 2 2 2 2 5 2" xfId="28681" xr:uid="{00000000-0005-0000-0000-000034600000}"/>
    <cellStyle name="Normal 35 2 2 2 2 6" xfId="19590" xr:uid="{00000000-0005-0000-0000-000035600000}"/>
    <cellStyle name="Normal 35 2 2 2 3" xfId="2696" xr:uid="{00000000-0005-0000-0000-000036600000}"/>
    <cellStyle name="Normal 35 2 2 2 3 2" xfId="7281" xr:uid="{00000000-0005-0000-0000-000037600000}"/>
    <cellStyle name="Normal 35 2 2 2 3 2 2" xfId="16381" xr:uid="{00000000-0005-0000-0000-000038600000}"/>
    <cellStyle name="Normal 35 2 2 2 3 2 2 2" xfId="34563" xr:uid="{00000000-0005-0000-0000-000039600000}"/>
    <cellStyle name="Normal 35 2 2 2 3 2 3" xfId="25473" xr:uid="{00000000-0005-0000-0000-00003A600000}"/>
    <cellStyle name="Normal 35 2 2 2 3 3" xfId="11845" xr:uid="{00000000-0005-0000-0000-00003B600000}"/>
    <cellStyle name="Normal 35 2 2 2 3 3 2" xfId="30027" xr:uid="{00000000-0005-0000-0000-00003C600000}"/>
    <cellStyle name="Normal 35 2 2 2 3 4" xfId="20937" xr:uid="{00000000-0005-0000-0000-00003D600000}"/>
    <cellStyle name="Normal 35 2 2 2 4" xfId="4293" xr:uid="{00000000-0005-0000-0000-00003E600000}"/>
    <cellStyle name="Normal 35 2 2 2 4 2" xfId="8849" xr:uid="{00000000-0005-0000-0000-00003F600000}"/>
    <cellStyle name="Normal 35 2 2 2 4 2 2" xfId="17945" xr:uid="{00000000-0005-0000-0000-000040600000}"/>
    <cellStyle name="Normal 35 2 2 2 4 2 2 2" xfId="36127" xr:uid="{00000000-0005-0000-0000-000041600000}"/>
    <cellStyle name="Normal 35 2 2 2 4 2 3" xfId="27037" xr:uid="{00000000-0005-0000-0000-000042600000}"/>
    <cellStyle name="Normal 35 2 2 2 4 3" xfId="13405" xr:uid="{00000000-0005-0000-0000-000043600000}"/>
    <cellStyle name="Normal 35 2 2 2 4 3 2" xfId="31587" xr:uid="{00000000-0005-0000-0000-000044600000}"/>
    <cellStyle name="Normal 35 2 2 2 4 4" xfId="22497" xr:uid="{00000000-0005-0000-0000-000045600000}"/>
    <cellStyle name="Normal 35 2 2 2 5" xfId="5932" xr:uid="{00000000-0005-0000-0000-000046600000}"/>
    <cellStyle name="Normal 35 2 2 2 5 2" xfId="15032" xr:uid="{00000000-0005-0000-0000-000047600000}"/>
    <cellStyle name="Normal 35 2 2 2 5 2 2" xfId="33214" xr:uid="{00000000-0005-0000-0000-000048600000}"/>
    <cellStyle name="Normal 35 2 2 2 5 3" xfId="24124" xr:uid="{00000000-0005-0000-0000-000049600000}"/>
    <cellStyle name="Normal 35 2 2 2 6" xfId="10498" xr:uid="{00000000-0005-0000-0000-00004A600000}"/>
    <cellStyle name="Normal 35 2 2 2 6 2" xfId="28680" xr:uid="{00000000-0005-0000-0000-00004B600000}"/>
    <cellStyle name="Normal 35 2 2 2 7" xfId="19589" xr:uid="{00000000-0005-0000-0000-00004C600000}"/>
    <cellStyle name="Normal 35 2 2 3" xfId="1293" xr:uid="{00000000-0005-0000-0000-00004D600000}"/>
    <cellStyle name="Normal 35 2 2 3 2" xfId="2697" xr:uid="{00000000-0005-0000-0000-00004E600000}"/>
    <cellStyle name="Normal 35 2 2 3 2 2" xfId="7282" xr:uid="{00000000-0005-0000-0000-00004F600000}"/>
    <cellStyle name="Normal 35 2 2 3 2 2 2" xfId="16382" xr:uid="{00000000-0005-0000-0000-000050600000}"/>
    <cellStyle name="Normal 35 2 2 3 2 2 2 2" xfId="34564" xr:uid="{00000000-0005-0000-0000-000051600000}"/>
    <cellStyle name="Normal 35 2 2 3 2 2 3" xfId="25474" xr:uid="{00000000-0005-0000-0000-000052600000}"/>
    <cellStyle name="Normal 35 2 2 3 2 3" xfId="11846" xr:uid="{00000000-0005-0000-0000-000053600000}"/>
    <cellStyle name="Normal 35 2 2 3 2 3 2" xfId="30028" xr:uid="{00000000-0005-0000-0000-000054600000}"/>
    <cellStyle name="Normal 35 2 2 3 2 4" xfId="20938" xr:uid="{00000000-0005-0000-0000-000055600000}"/>
    <cellStyle name="Normal 35 2 2 3 3" xfId="4295" xr:uid="{00000000-0005-0000-0000-000056600000}"/>
    <cellStyle name="Normal 35 2 2 3 3 2" xfId="8851" xr:uid="{00000000-0005-0000-0000-000057600000}"/>
    <cellStyle name="Normal 35 2 2 3 3 2 2" xfId="17947" xr:uid="{00000000-0005-0000-0000-000058600000}"/>
    <cellStyle name="Normal 35 2 2 3 3 2 2 2" xfId="36129" xr:uid="{00000000-0005-0000-0000-000059600000}"/>
    <cellStyle name="Normal 35 2 2 3 3 2 3" xfId="27039" xr:uid="{00000000-0005-0000-0000-00005A600000}"/>
    <cellStyle name="Normal 35 2 2 3 3 3" xfId="13407" xr:uid="{00000000-0005-0000-0000-00005B600000}"/>
    <cellStyle name="Normal 35 2 2 3 3 3 2" xfId="31589" xr:uid="{00000000-0005-0000-0000-00005C600000}"/>
    <cellStyle name="Normal 35 2 2 3 3 4" xfId="22499" xr:uid="{00000000-0005-0000-0000-00005D600000}"/>
    <cellStyle name="Normal 35 2 2 3 4" xfId="5934" xr:uid="{00000000-0005-0000-0000-00005E600000}"/>
    <cellStyle name="Normal 35 2 2 3 4 2" xfId="15034" xr:uid="{00000000-0005-0000-0000-00005F600000}"/>
    <cellStyle name="Normal 35 2 2 3 4 2 2" xfId="33216" xr:uid="{00000000-0005-0000-0000-000060600000}"/>
    <cellStyle name="Normal 35 2 2 3 4 3" xfId="24126" xr:uid="{00000000-0005-0000-0000-000061600000}"/>
    <cellStyle name="Normal 35 2 2 3 5" xfId="10500" xr:uid="{00000000-0005-0000-0000-000062600000}"/>
    <cellStyle name="Normal 35 2 2 3 5 2" xfId="28682" xr:uid="{00000000-0005-0000-0000-000063600000}"/>
    <cellStyle name="Normal 35 2 2 3 6" xfId="19591" xr:uid="{00000000-0005-0000-0000-000064600000}"/>
    <cellStyle name="Normal 35 2 2 4" xfId="1294" xr:uid="{00000000-0005-0000-0000-000065600000}"/>
    <cellStyle name="Normal 35 2 2 4 2" xfId="4296" xr:uid="{00000000-0005-0000-0000-000066600000}"/>
    <cellStyle name="Normal 35 2 2 4 2 2" xfId="8852" xr:uid="{00000000-0005-0000-0000-000067600000}"/>
    <cellStyle name="Normal 35 2 2 4 2 2 2" xfId="17948" xr:uid="{00000000-0005-0000-0000-000068600000}"/>
    <cellStyle name="Normal 35 2 2 4 2 2 2 2" xfId="36130" xr:uid="{00000000-0005-0000-0000-000069600000}"/>
    <cellStyle name="Normal 35 2 2 4 2 2 3" xfId="27040" xr:uid="{00000000-0005-0000-0000-00006A600000}"/>
    <cellStyle name="Normal 35 2 2 4 2 3" xfId="13408" xr:uid="{00000000-0005-0000-0000-00006B600000}"/>
    <cellStyle name="Normal 35 2 2 4 2 3 2" xfId="31590" xr:uid="{00000000-0005-0000-0000-00006C600000}"/>
    <cellStyle name="Normal 35 2 2 4 2 4" xfId="22500" xr:uid="{00000000-0005-0000-0000-00006D600000}"/>
    <cellStyle name="Normal 35 2 2 4 3" xfId="5935" xr:uid="{00000000-0005-0000-0000-00006E600000}"/>
    <cellStyle name="Normal 35 2 2 4 3 2" xfId="15035" xr:uid="{00000000-0005-0000-0000-00006F600000}"/>
    <cellStyle name="Normal 35 2 2 4 3 2 2" xfId="33217" xr:uid="{00000000-0005-0000-0000-000070600000}"/>
    <cellStyle name="Normal 35 2 2 4 3 3" xfId="24127" xr:uid="{00000000-0005-0000-0000-000071600000}"/>
    <cellStyle name="Normal 35 2 2 4 4" xfId="10501" xr:uid="{00000000-0005-0000-0000-000072600000}"/>
    <cellStyle name="Normal 35 2 2 4 4 2" xfId="28683" xr:uid="{00000000-0005-0000-0000-000073600000}"/>
    <cellStyle name="Normal 35 2 2 4 5" xfId="19592" xr:uid="{00000000-0005-0000-0000-000074600000}"/>
    <cellStyle name="Normal 35 2 2 5" xfId="2698" xr:uid="{00000000-0005-0000-0000-000075600000}"/>
    <cellStyle name="Normal 35 2 2 5 2" xfId="7283" xr:uid="{00000000-0005-0000-0000-000076600000}"/>
    <cellStyle name="Normal 35 2 2 5 2 2" xfId="16383" xr:uid="{00000000-0005-0000-0000-000077600000}"/>
    <cellStyle name="Normal 35 2 2 5 2 2 2" xfId="34565" xr:uid="{00000000-0005-0000-0000-000078600000}"/>
    <cellStyle name="Normal 35 2 2 5 2 3" xfId="25475" xr:uid="{00000000-0005-0000-0000-000079600000}"/>
    <cellStyle name="Normal 35 2 2 5 3" xfId="11847" xr:uid="{00000000-0005-0000-0000-00007A600000}"/>
    <cellStyle name="Normal 35 2 2 5 3 2" xfId="30029" xr:uid="{00000000-0005-0000-0000-00007B600000}"/>
    <cellStyle name="Normal 35 2 2 5 4" xfId="20939" xr:uid="{00000000-0005-0000-0000-00007C600000}"/>
    <cellStyle name="Normal 35 2 2 6" xfId="4292" xr:uid="{00000000-0005-0000-0000-00007D600000}"/>
    <cellStyle name="Normal 35 2 2 6 2" xfId="8848" xr:uid="{00000000-0005-0000-0000-00007E600000}"/>
    <cellStyle name="Normal 35 2 2 6 2 2" xfId="17944" xr:uid="{00000000-0005-0000-0000-00007F600000}"/>
    <cellStyle name="Normal 35 2 2 6 2 2 2" xfId="36126" xr:uid="{00000000-0005-0000-0000-000080600000}"/>
    <cellStyle name="Normal 35 2 2 6 2 3" xfId="27036" xr:uid="{00000000-0005-0000-0000-000081600000}"/>
    <cellStyle name="Normal 35 2 2 6 3" xfId="13404" xr:uid="{00000000-0005-0000-0000-000082600000}"/>
    <cellStyle name="Normal 35 2 2 6 3 2" xfId="31586" xr:uid="{00000000-0005-0000-0000-000083600000}"/>
    <cellStyle name="Normal 35 2 2 6 4" xfId="22496" xr:uid="{00000000-0005-0000-0000-000084600000}"/>
    <cellStyle name="Normal 35 2 2 7" xfId="5931" xr:uid="{00000000-0005-0000-0000-000085600000}"/>
    <cellStyle name="Normal 35 2 2 7 2" xfId="15031" xr:uid="{00000000-0005-0000-0000-000086600000}"/>
    <cellStyle name="Normal 35 2 2 7 2 2" xfId="33213" xr:uid="{00000000-0005-0000-0000-000087600000}"/>
    <cellStyle name="Normal 35 2 2 7 3" xfId="24123" xr:uid="{00000000-0005-0000-0000-000088600000}"/>
    <cellStyle name="Normal 35 2 2 8" xfId="10497" xr:uid="{00000000-0005-0000-0000-000089600000}"/>
    <cellStyle name="Normal 35 2 2 8 2" xfId="28679" xr:uid="{00000000-0005-0000-0000-00008A600000}"/>
    <cellStyle name="Normal 35 2 2 9" xfId="19588" xr:uid="{00000000-0005-0000-0000-00008B600000}"/>
    <cellStyle name="Normal 35 2 3" xfId="1295" xr:uid="{00000000-0005-0000-0000-00008C600000}"/>
    <cellStyle name="Normal 35 2 3 2" xfId="1296" xr:uid="{00000000-0005-0000-0000-00008D600000}"/>
    <cellStyle name="Normal 35 2 3 2 2" xfId="2699" xr:uid="{00000000-0005-0000-0000-00008E600000}"/>
    <cellStyle name="Normal 35 2 3 2 2 2" xfId="7284" xr:uid="{00000000-0005-0000-0000-00008F600000}"/>
    <cellStyle name="Normal 35 2 3 2 2 2 2" xfId="16384" xr:uid="{00000000-0005-0000-0000-000090600000}"/>
    <cellStyle name="Normal 35 2 3 2 2 2 2 2" xfId="34566" xr:uid="{00000000-0005-0000-0000-000091600000}"/>
    <cellStyle name="Normal 35 2 3 2 2 2 3" xfId="25476" xr:uid="{00000000-0005-0000-0000-000092600000}"/>
    <cellStyle name="Normal 35 2 3 2 2 3" xfId="11848" xr:uid="{00000000-0005-0000-0000-000093600000}"/>
    <cellStyle name="Normal 35 2 3 2 2 3 2" xfId="30030" xr:uid="{00000000-0005-0000-0000-000094600000}"/>
    <cellStyle name="Normal 35 2 3 2 2 4" xfId="20940" xr:uid="{00000000-0005-0000-0000-000095600000}"/>
    <cellStyle name="Normal 35 2 3 2 3" xfId="4298" xr:uid="{00000000-0005-0000-0000-000096600000}"/>
    <cellStyle name="Normal 35 2 3 2 3 2" xfId="8854" xr:uid="{00000000-0005-0000-0000-000097600000}"/>
    <cellStyle name="Normal 35 2 3 2 3 2 2" xfId="17950" xr:uid="{00000000-0005-0000-0000-000098600000}"/>
    <cellStyle name="Normal 35 2 3 2 3 2 2 2" xfId="36132" xr:uid="{00000000-0005-0000-0000-000099600000}"/>
    <cellStyle name="Normal 35 2 3 2 3 2 3" xfId="27042" xr:uid="{00000000-0005-0000-0000-00009A600000}"/>
    <cellStyle name="Normal 35 2 3 2 3 3" xfId="13410" xr:uid="{00000000-0005-0000-0000-00009B600000}"/>
    <cellStyle name="Normal 35 2 3 2 3 3 2" xfId="31592" xr:uid="{00000000-0005-0000-0000-00009C600000}"/>
    <cellStyle name="Normal 35 2 3 2 3 4" xfId="22502" xr:uid="{00000000-0005-0000-0000-00009D600000}"/>
    <cellStyle name="Normal 35 2 3 2 4" xfId="5937" xr:uid="{00000000-0005-0000-0000-00009E600000}"/>
    <cellStyle name="Normal 35 2 3 2 4 2" xfId="15037" xr:uid="{00000000-0005-0000-0000-00009F600000}"/>
    <cellStyle name="Normal 35 2 3 2 4 2 2" xfId="33219" xr:uid="{00000000-0005-0000-0000-0000A0600000}"/>
    <cellStyle name="Normal 35 2 3 2 4 3" xfId="24129" xr:uid="{00000000-0005-0000-0000-0000A1600000}"/>
    <cellStyle name="Normal 35 2 3 2 5" xfId="10503" xr:uid="{00000000-0005-0000-0000-0000A2600000}"/>
    <cellStyle name="Normal 35 2 3 2 5 2" xfId="28685" xr:uid="{00000000-0005-0000-0000-0000A3600000}"/>
    <cellStyle name="Normal 35 2 3 2 6" xfId="19594" xr:uid="{00000000-0005-0000-0000-0000A4600000}"/>
    <cellStyle name="Normal 35 2 3 3" xfId="2700" xr:uid="{00000000-0005-0000-0000-0000A5600000}"/>
    <cellStyle name="Normal 35 2 3 3 2" xfId="7285" xr:uid="{00000000-0005-0000-0000-0000A6600000}"/>
    <cellStyle name="Normal 35 2 3 3 2 2" xfId="16385" xr:uid="{00000000-0005-0000-0000-0000A7600000}"/>
    <cellStyle name="Normal 35 2 3 3 2 2 2" xfId="34567" xr:uid="{00000000-0005-0000-0000-0000A8600000}"/>
    <cellStyle name="Normal 35 2 3 3 2 3" xfId="25477" xr:uid="{00000000-0005-0000-0000-0000A9600000}"/>
    <cellStyle name="Normal 35 2 3 3 3" xfId="11849" xr:uid="{00000000-0005-0000-0000-0000AA600000}"/>
    <cellStyle name="Normal 35 2 3 3 3 2" xfId="30031" xr:uid="{00000000-0005-0000-0000-0000AB600000}"/>
    <cellStyle name="Normal 35 2 3 3 4" xfId="20941" xr:uid="{00000000-0005-0000-0000-0000AC600000}"/>
    <cellStyle name="Normal 35 2 3 4" xfId="4297" xr:uid="{00000000-0005-0000-0000-0000AD600000}"/>
    <cellStyle name="Normal 35 2 3 4 2" xfId="8853" xr:uid="{00000000-0005-0000-0000-0000AE600000}"/>
    <cellStyle name="Normal 35 2 3 4 2 2" xfId="17949" xr:uid="{00000000-0005-0000-0000-0000AF600000}"/>
    <cellStyle name="Normal 35 2 3 4 2 2 2" xfId="36131" xr:uid="{00000000-0005-0000-0000-0000B0600000}"/>
    <cellStyle name="Normal 35 2 3 4 2 3" xfId="27041" xr:uid="{00000000-0005-0000-0000-0000B1600000}"/>
    <cellStyle name="Normal 35 2 3 4 3" xfId="13409" xr:uid="{00000000-0005-0000-0000-0000B2600000}"/>
    <cellStyle name="Normal 35 2 3 4 3 2" xfId="31591" xr:uid="{00000000-0005-0000-0000-0000B3600000}"/>
    <cellStyle name="Normal 35 2 3 4 4" xfId="22501" xr:uid="{00000000-0005-0000-0000-0000B4600000}"/>
    <cellStyle name="Normal 35 2 3 5" xfId="5936" xr:uid="{00000000-0005-0000-0000-0000B5600000}"/>
    <cellStyle name="Normal 35 2 3 5 2" xfId="15036" xr:uid="{00000000-0005-0000-0000-0000B6600000}"/>
    <cellStyle name="Normal 35 2 3 5 2 2" xfId="33218" xr:uid="{00000000-0005-0000-0000-0000B7600000}"/>
    <cellStyle name="Normal 35 2 3 5 3" xfId="24128" xr:uid="{00000000-0005-0000-0000-0000B8600000}"/>
    <cellStyle name="Normal 35 2 3 6" xfId="10502" xr:uid="{00000000-0005-0000-0000-0000B9600000}"/>
    <cellStyle name="Normal 35 2 3 6 2" xfId="28684" xr:uid="{00000000-0005-0000-0000-0000BA600000}"/>
    <cellStyle name="Normal 35 2 3 7" xfId="19593" xr:uid="{00000000-0005-0000-0000-0000BB600000}"/>
    <cellStyle name="Normal 35 2 4" xfId="1297" xr:uid="{00000000-0005-0000-0000-0000BC600000}"/>
    <cellStyle name="Normal 35 2 4 2" xfId="2701" xr:uid="{00000000-0005-0000-0000-0000BD600000}"/>
    <cellStyle name="Normal 35 2 4 2 2" xfId="7286" xr:uid="{00000000-0005-0000-0000-0000BE600000}"/>
    <cellStyle name="Normal 35 2 4 2 2 2" xfId="16386" xr:uid="{00000000-0005-0000-0000-0000BF600000}"/>
    <cellStyle name="Normal 35 2 4 2 2 2 2" xfId="34568" xr:uid="{00000000-0005-0000-0000-0000C0600000}"/>
    <cellStyle name="Normal 35 2 4 2 2 3" xfId="25478" xr:uid="{00000000-0005-0000-0000-0000C1600000}"/>
    <cellStyle name="Normal 35 2 4 2 3" xfId="11850" xr:uid="{00000000-0005-0000-0000-0000C2600000}"/>
    <cellStyle name="Normal 35 2 4 2 3 2" xfId="30032" xr:uid="{00000000-0005-0000-0000-0000C3600000}"/>
    <cellStyle name="Normal 35 2 4 2 4" xfId="20942" xr:uid="{00000000-0005-0000-0000-0000C4600000}"/>
    <cellStyle name="Normal 35 2 4 3" xfId="4299" xr:uid="{00000000-0005-0000-0000-0000C5600000}"/>
    <cellStyle name="Normal 35 2 4 3 2" xfId="8855" xr:uid="{00000000-0005-0000-0000-0000C6600000}"/>
    <cellStyle name="Normal 35 2 4 3 2 2" xfId="17951" xr:uid="{00000000-0005-0000-0000-0000C7600000}"/>
    <cellStyle name="Normal 35 2 4 3 2 2 2" xfId="36133" xr:uid="{00000000-0005-0000-0000-0000C8600000}"/>
    <cellStyle name="Normal 35 2 4 3 2 3" xfId="27043" xr:uid="{00000000-0005-0000-0000-0000C9600000}"/>
    <cellStyle name="Normal 35 2 4 3 3" xfId="13411" xr:uid="{00000000-0005-0000-0000-0000CA600000}"/>
    <cellStyle name="Normal 35 2 4 3 3 2" xfId="31593" xr:uid="{00000000-0005-0000-0000-0000CB600000}"/>
    <cellStyle name="Normal 35 2 4 3 4" xfId="22503" xr:uid="{00000000-0005-0000-0000-0000CC600000}"/>
    <cellStyle name="Normal 35 2 4 4" xfId="5938" xr:uid="{00000000-0005-0000-0000-0000CD600000}"/>
    <cellStyle name="Normal 35 2 4 4 2" xfId="15038" xr:uid="{00000000-0005-0000-0000-0000CE600000}"/>
    <cellStyle name="Normal 35 2 4 4 2 2" xfId="33220" xr:uid="{00000000-0005-0000-0000-0000CF600000}"/>
    <cellStyle name="Normal 35 2 4 4 3" xfId="24130" xr:uid="{00000000-0005-0000-0000-0000D0600000}"/>
    <cellStyle name="Normal 35 2 4 5" xfId="10504" xr:uid="{00000000-0005-0000-0000-0000D1600000}"/>
    <cellStyle name="Normal 35 2 4 5 2" xfId="28686" xr:uid="{00000000-0005-0000-0000-0000D2600000}"/>
    <cellStyle name="Normal 35 2 4 6" xfId="19595" xr:uid="{00000000-0005-0000-0000-0000D3600000}"/>
    <cellStyle name="Normal 35 2 5" xfId="1298" xr:uid="{00000000-0005-0000-0000-0000D4600000}"/>
    <cellStyle name="Normal 35 2 5 2" xfId="4300" xr:uid="{00000000-0005-0000-0000-0000D5600000}"/>
    <cellStyle name="Normal 35 2 5 2 2" xfId="8856" xr:uid="{00000000-0005-0000-0000-0000D6600000}"/>
    <cellStyle name="Normal 35 2 5 2 2 2" xfId="17952" xr:uid="{00000000-0005-0000-0000-0000D7600000}"/>
    <cellStyle name="Normal 35 2 5 2 2 2 2" xfId="36134" xr:uid="{00000000-0005-0000-0000-0000D8600000}"/>
    <cellStyle name="Normal 35 2 5 2 2 3" xfId="27044" xr:uid="{00000000-0005-0000-0000-0000D9600000}"/>
    <cellStyle name="Normal 35 2 5 2 3" xfId="13412" xr:uid="{00000000-0005-0000-0000-0000DA600000}"/>
    <cellStyle name="Normal 35 2 5 2 3 2" xfId="31594" xr:uid="{00000000-0005-0000-0000-0000DB600000}"/>
    <cellStyle name="Normal 35 2 5 2 4" xfId="22504" xr:uid="{00000000-0005-0000-0000-0000DC600000}"/>
    <cellStyle name="Normal 35 2 5 3" xfId="5939" xr:uid="{00000000-0005-0000-0000-0000DD600000}"/>
    <cellStyle name="Normal 35 2 5 3 2" xfId="15039" xr:uid="{00000000-0005-0000-0000-0000DE600000}"/>
    <cellStyle name="Normal 35 2 5 3 2 2" xfId="33221" xr:uid="{00000000-0005-0000-0000-0000DF600000}"/>
    <cellStyle name="Normal 35 2 5 3 3" xfId="24131" xr:uid="{00000000-0005-0000-0000-0000E0600000}"/>
    <cellStyle name="Normal 35 2 5 4" xfId="10505" xr:uid="{00000000-0005-0000-0000-0000E1600000}"/>
    <cellStyle name="Normal 35 2 5 4 2" xfId="28687" xr:uid="{00000000-0005-0000-0000-0000E2600000}"/>
    <cellStyle name="Normal 35 2 5 5" xfId="19596" xr:uid="{00000000-0005-0000-0000-0000E3600000}"/>
    <cellStyle name="Normal 35 2 6" xfId="2702" xr:uid="{00000000-0005-0000-0000-0000E4600000}"/>
    <cellStyle name="Normal 35 2 6 2" xfId="7287" xr:uid="{00000000-0005-0000-0000-0000E5600000}"/>
    <cellStyle name="Normal 35 2 6 2 2" xfId="16387" xr:uid="{00000000-0005-0000-0000-0000E6600000}"/>
    <cellStyle name="Normal 35 2 6 2 2 2" xfId="34569" xr:uid="{00000000-0005-0000-0000-0000E7600000}"/>
    <cellStyle name="Normal 35 2 6 2 3" xfId="25479" xr:uid="{00000000-0005-0000-0000-0000E8600000}"/>
    <cellStyle name="Normal 35 2 6 3" xfId="11851" xr:uid="{00000000-0005-0000-0000-0000E9600000}"/>
    <cellStyle name="Normal 35 2 6 3 2" xfId="30033" xr:uid="{00000000-0005-0000-0000-0000EA600000}"/>
    <cellStyle name="Normal 35 2 6 4" xfId="20943" xr:uid="{00000000-0005-0000-0000-0000EB600000}"/>
    <cellStyle name="Normal 35 2 7" xfId="4291" xr:uid="{00000000-0005-0000-0000-0000EC600000}"/>
    <cellStyle name="Normal 35 2 7 2" xfId="8847" xr:uid="{00000000-0005-0000-0000-0000ED600000}"/>
    <cellStyle name="Normal 35 2 7 2 2" xfId="17943" xr:uid="{00000000-0005-0000-0000-0000EE600000}"/>
    <cellStyle name="Normal 35 2 7 2 2 2" xfId="36125" xr:uid="{00000000-0005-0000-0000-0000EF600000}"/>
    <cellStyle name="Normal 35 2 7 2 3" xfId="27035" xr:uid="{00000000-0005-0000-0000-0000F0600000}"/>
    <cellStyle name="Normal 35 2 7 3" xfId="13403" xr:uid="{00000000-0005-0000-0000-0000F1600000}"/>
    <cellStyle name="Normal 35 2 7 3 2" xfId="31585" xr:uid="{00000000-0005-0000-0000-0000F2600000}"/>
    <cellStyle name="Normal 35 2 7 4" xfId="22495" xr:uid="{00000000-0005-0000-0000-0000F3600000}"/>
    <cellStyle name="Normal 35 2 8" xfId="5930" xr:uid="{00000000-0005-0000-0000-0000F4600000}"/>
    <cellStyle name="Normal 35 2 8 2" xfId="15030" xr:uid="{00000000-0005-0000-0000-0000F5600000}"/>
    <cellStyle name="Normal 35 2 8 2 2" xfId="33212" xr:uid="{00000000-0005-0000-0000-0000F6600000}"/>
    <cellStyle name="Normal 35 2 8 3" xfId="24122" xr:uid="{00000000-0005-0000-0000-0000F7600000}"/>
    <cellStyle name="Normal 35 2 9" xfId="10496" xr:uid="{00000000-0005-0000-0000-0000F8600000}"/>
    <cellStyle name="Normal 35 2 9 2" xfId="28678" xr:uid="{00000000-0005-0000-0000-0000F9600000}"/>
    <cellStyle name="Normal 35 3" xfId="1299" xr:uid="{00000000-0005-0000-0000-0000FA600000}"/>
    <cellStyle name="Normal 35 3 2" xfId="1300" xr:uid="{00000000-0005-0000-0000-0000FB600000}"/>
    <cellStyle name="Normal 35 3 2 2" xfId="1301" xr:uid="{00000000-0005-0000-0000-0000FC600000}"/>
    <cellStyle name="Normal 35 3 2 2 2" xfId="2703" xr:uid="{00000000-0005-0000-0000-0000FD600000}"/>
    <cellStyle name="Normal 35 3 2 2 2 2" xfId="7288" xr:uid="{00000000-0005-0000-0000-0000FE600000}"/>
    <cellStyle name="Normal 35 3 2 2 2 2 2" xfId="16388" xr:uid="{00000000-0005-0000-0000-0000FF600000}"/>
    <cellStyle name="Normal 35 3 2 2 2 2 2 2" xfId="34570" xr:uid="{00000000-0005-0000-0000-000000610000}"/>
    <cellStyle name="Normal 35 3 2 2 2 2 3" xfId="25480" xr:uid="{00000000-0005-0000-0000-000001610000}"/>
    <cellStyle name="Normal 35 3 2 2 2 3" xfId="11852" xr:uid="{00000000-0005-0000-0000-000002610000}"/>
    <cellStyle name="Normal 35 3 2 2 2 3 2" xfId="30034" xr:uid="{00000000-0005-0000-0000-000003610000}"/>
    <cellStyle name="Normal 35 3 2 2 2 4" xfId="20944" xr:uid="{00000000-0005-0000-0000-000004610000}"/>
    <cellStyle name="Normal 35 3 2 2 3" xfId="4303" xr:uid="{00000000-0005-0000-0000-000005610000}"/>
    <cellStyle name="Normal 35 3 2 2 3 2" xfId="8859" xr:uid="{00000000-0005-0000-0000-000006610000}"/>
    <cellStyle name="Normal 35 3 2 2 3 2 2" xfId="17955" xr:uid="{00000000-0005-0000-0000-000007610000}"/>
    <cellStyle name="Normal 35 3 2 2 3 2 2 2" xfId="36137" xr:uid="{00000000-0005-0000-0000-000008610000}"/>
    <cellStyle name="Normal 35 3 2 2 3 2 3" xfId="27047" xr:uid="{00000000-0005-0000-0000-000009610000}"/>
    <cellStyle name="Normal 35 3 2 2 3 3" xfId="13415" xr:uid="{00000000-0005-0000-0000-00000A610000}"/>
    <cellStyle name="Normal 35 3 2 2 3 3 2" xfId="31597" xr:uid="{00000000-0005-0000-0000-00000B610000}"/>
    <cellStyle name="Normal 35 3 2 2 3 4" xfId="22507" xr:uid="{00000000-0005-0000-0000-00000C610000}"/>
    <cellStyle name="Normal 35 3 2 2 4" xfId="5942" xr:uid="{00000000-0005-0000-0000-00000D610000}"/>
    <cellStyle name="Normal 35 3 2 2 4 2" xfId="15042" xr:uid="{00000000-0005-0000-0000-00000E610000}"/>
    <cellStyle name="Normal 35 3 2 2 4 2 2" xfId="33224" xr:uid="{00000000-0005-0000-0000-00000F610000}"/>
    <cellStyle name="Normal 35 3 2 2 4 3" xfId="24134" xr:uid="{00000000-0005-0000-0000-000010610000}"/>
    <cellStyle name="Normal 35 3 2 2 5" xfId="10508" xr:uid="{00000000-0005-0000-0000-000011610000}"/>
    <cellStyle name="Normal 35 3 2 2 5 2" xfId="28690" xr:uid="{00000000-0005-0000-0000-000012610000}"/>
    <cellStyle name="Normal 35 3 2 2 6" xfId="19599" xr:uid="{00000000-0005-0000-0000-000013610000}"/>
    <cellStyle name="Normal 35 3 2 3" xfId="2704" xr:uid="{00000000-0005-0000-0000-000014610000}"/>
    <cellStyle name="Normal 35 3 2 3 2" xfId="7289" xr:uid="{00000000-0005-0000-0000-000015610000}"/>
    <cellStyle name="Normal 35 3 2 3 2 2" xfId="16389" xr:uid="{00000000-0005-0000-0000-000016610000}"/>
    <cellStyle name="Normal 35 3 2 3 2 2 2" xfId="34571" xr:uid="{00000000-0005-0000-0000-000017610000}"/>
    <cellStyle name="Normal 35 3 2 3 2 3" xfId="25481" xr:uid="{00000000-0005-0000-0000-000018610000}"/>
    <cellStyle name="Normal 35 3 2 3 3" xfId="11853" xr:uid="{00000000-0005-0000-0000-000019610000}"/>
    <cellStyle name="Normal 35 3 2 3 3 2" xfId="30035" xr:uid="{00000000-0005-0000-0000-00001A610000}"/>
    <cellStyle name="Normal 35 3 2 3 4" xfId="20945" xr:uid="{00000000-0005-0000-0000-00001B610000}"/>
    <cellStyle name="Normal 35 3 2 4" xfId="4302" xr:uid="{00000000-0005-0000-0000-00001C610000}"/>
    <cellStyle name="Normal 35 3 2 4 2" xfId="8858" xr:uid="{00000000-0005-0000-0000-00001D610000}"/>
    <cellStyle name="Normal 35 3 2 4 2 2" xfId="17954" xr:uid="{00000000-0005-0000-0000-00001E610000}"/>
    <cellStyle name="Normal 35 3 2 4 2 2 2" xfId="36136" xr:uid="{00000000-0005-0000-0000-00001F610000}"/>
    <cellStyle name="Normal 35 3 2 4 2 3" xfId="27046" xr:uid="{00000000-0005-0000-0000-000020610000}"/>
    <cellStyle name="Normal 35 3 2 4 3" xfId="13414" xr:uid="{00000000-0005-0000-0000-000021610000}"/>
    <cellStyle name="Normal 35 3 2 4 3 2" xfId="31596" xr:uid="{00000000-0005-0000-0000-000022610000}"/>
    <cellStyle name="Normal 35 3 2 4 4" xfId="22506" xr:uid="{00000000-0005-0000-0000-000023610000}"/>
    <cellStyle name="Normal 35 3 2 5" xfId="5941" xr:uid="{00000000-0005-0000-0000-000024610000}"/>
    <cellStyle name="Normal 35 3 2 5 2" xfId="15041" xr:uid="{00000000-0005-0000-0000-000025610000}"/>
    <cellStyle name="Normal 35 3 2 5 2 2" xfId="33223" xr:uid="{00000000-0005-0000-0000-000026610000}"/>
    <cellStyle name="Normal 35 3 2 5 3" xfId="24133" xr:uid="{00000000-0005-0000-0000-000027610000}"/>
    <cellStyle name="Normal 35 3 2 6" xfId="10507" xr:uid="{00000000-0005-0000-0000-000028610000}"/>
    <cellStyle name="Normal 35 3 2 6 2" xfId="28689" xr:uid="{00000000-0005-0000-0000-000029610000}"/>
    <cellStyle name="Normal 35 3 2 7" xfId="19598" xr:uid="{00000000-0005-0000-0000-00002A610000}"/>
    <cellStyle name="Normal 35 3 3" xfId="1302" xr:uid="{00000000-0005-0000-0000-00002B610000}"/>
    <cellStyle name="Normal 35 3 3 2" xfId="2705" xr:uid="{00000000-0005-0000-0000-00002C610000}"/>
    <cellStyle name="Normal 35 3 3 2 2" xfId="7290" xr:uid="{00000000-0005-0000-0000-00002D610000}"/>
    <cellStyle name="Normal 35 3 3 2 2 2" xfId="16390" xr:uid="{00000000-0005-0000-0000-00002E610000}"/>
    <cellStyle name="Normal 35 3 3 2 2 2 2" xfId="34572" xr:uid="{00000000-0005-0000-0000-00002F610000}"/>
    <cellStyle name="Normal 35 3 3 2 2 3" xfId="25482" xr:uid="{00000000-0005-0000-0000-000030610000}"/>
    <cellStyle name="Normal 35 3 3 2 3" xfId="11854" xr:uid="{00000000-0005-0000-0000-000031610000}"/>
    <cellStyle name="Normal 35 3 3 2 3 2" xfId="30036" xr:uid="{00000000-0005-0000-0000-000032610000}"/>
    <cellStyle name="Normal 35 3 3 2 4" xfId="20946" xr:uid="{00000000-0005-0000-0000-000033610000}"/>
    <cellStyle name="Normal 35 3 3 3" xfId="4304" xr:uid="{00000000-0005-0000-0000-000034610000}"/>
    <cellStyle name="Normal 35 3 3 3 2" xfId="8860" xr:uid="{00000000-0005-0000-0000-000035610000}"/>
    <cellStyle name="Normal 35 3 3 3 2 2" xfId="17956" xr:uid="{00000000-0005-0000-0000-000036610000}"/>
    <cellStyle name="Normal 35 3 3 3 2 2 2" xfId="36138" xr:uid="{00000000-0005-0000-0000-000037610000}"/>
    <cellStyle name="Normal 35 3 3 3 2 3" xfId="27048" xr:uid="{00000000-0005-0000-0000-000038610000}"/>
    <cellStyle name="Normal 35 3 3 3 3" xfId="13416" xr:uid="{00000000-0005-0000-0000-000039610000}"/>
    <cellStyle name="Normal 35 3 3 3 3 2" xfId="31598" xr:uid="{00000000-0005-0000-0000-00003A610000}"/>
    <cellStyle name="Normal 35 3 3 3 4" xfId="22508" xr:uid="{00000000-0005-0000-0000-00003B610000}"/>
    <cellStyle name="Normal 35 3 3 4" xfId="5943" xr:uid="{00000000-0005-0000-0000-00003C610000}"/>
    <cellStyle name="Normal 35 3 3 4 2" xfId="15043" xr:uid="{00000000-0005-0000-0000-00003D610000}"/>
    <cellStyle name="Normal 35 3 3 4 2 2" xfId="33225" xr:uid="{00000000-0005-0000-0000-00003E610000}"/>
    <cellStyle name="Normal 35 3 3 4 3" xfId="24135" xr:uid="{00000000-0005-0000-0000-00003F610000}"/>
    <cellStyle name="Normal 35 3 3 5" xfId="10509" xr:uid="{00000000-0005-0000-0000-000040610000}"/>
    <cellStyle name="Normal 35 3 3 5 2" xfId="28691" xr:uid="{00000000-0005-0000-0000-000041610000}"/>
    <cellStyle name="Normal 35 3 3 6" xfId="19600" xr:uid="{00000000-0005-0000-0000-000042610000}"/>
    <cellStyle name="Normal 35 3 4" xfId="1303" xr:uid="{00000000-0005-0000-0000-000043610000}"/>
    <cellStyle name="Normal 35 3 4 2" xfId="4305" xr:uid="{00000000-0005-0000-0000-000044610000}"/>
    <cellStyle name="Normal 35 3 4 2 2" xfId="8861" xr:uid="{00000000-0005-0000-0000-000045610000}"/>
    <cellStyle name="Normal 35 3 4 2 2 2" xfId="17957" xr:uid="{00000000-0005-0000-0000-000046610000}"/>
    <cellStyle name="Normal 35 3 4 2 2 2 2" xfId="36139" xr:uid="{00000000-0005-0000-0000-000047610000}"/>
    <cellStyle name="Normal 35 3 4 2 2 3" xfId="27049" xr:uid="{00000000-0005-0000-0000-000048610000}"/>
    <cellStyle name="Normal 35 3 4 2 3" xfId="13417" xr:uid="{00000000-0005-0000-0000-000049610000}"/>
    <cellStyle name="Normal 35 3 4 2 3 2" xfId="31599" xr:uid="{00000000-0005-0000-0000-00004A610000}"/>
    <cellStyle name="Normal 35 3 4 2 4" xfId="22509" xr:uid="{00000000-0005-0000-0000-00004B610000}"/>
    <cellStyle name="Normal 35 3 4 3" xfId="5944" xr:uid="{00000000-0005-0000-0000-00004C610000}"/>
    <cellStyle name="Normal 35 3 4 3 2" xfId="15044" xr:uid="{00000000-0005-0000-0000-00004D610000}"/>
    <cellStyle name="Normal 35 3 4 3 2 2" xfId="33226" xr:uid="{00000000-0005-0000-0000-00004E610000}"/>
    <cellStyle name="Normal 35 3 4 3 3" xfId="24136" xr:uid="{00000000-0005-0000-0000-00004F610000}"/>
    <cellStyle name="Normal 35 3 4 4" xfId="10510" xr:uid="{00000000-0005-0000-0000-000050610000}"/>
    <cellStyle name="Normal 35 3 4 4 2" xfId="28692" xr:uid="{00000000-0005-0000-0000-000051610000}"/>
    <cellStyle name="Normal 35 3 4 5" xfId="19601" xr:uid="{00000000-0005-0000-0000-000052610000}"/>
    <cellStyle name="Normal 35 3 5" xfId="2706" xr:uid="{00000000-0005-0000-0000-000053610000}"/>
    <cellStyle name="Normal 35 3 5 2" xfId="7291" xr:uid="{00000000-0005-0000-0000-000054610000}"/>
    <cellStyle name="Normal 35 3 5 2 2" xfId="16391" xr:uid="{00000000-0005-0000-0000-000055610000}"/>
    <cellStyle name="Normal 35 3 5 2 2 2" xfId="34573" xr:uid="{00000000-0005-0000-0000-000056610000}"/>
    <cellStyle name="Normal 35 3 5 2 3" xfId="25483" xr:uid="{00000000-0005-0000-0000-000057610000}"/>
    <cellStyle name="Normal 35 3 5 3" xfId="11855" xr:uid="{00000000-0005-0000-0000-000058610000}"/>
    <cellStyle name="Normal 35 3 5 3 2" xfId="30037" xr:uid="{00000000-0005-0000-0000-000059610000}"/>
    <cellStyle name="Normal 35 3 5 4" xfId="20947" xr:uid="{00000000-0005-0000-0000-00005A610000}"/>
    <cellStyle name="Normal 35 3 6" xfId="4301" xr:uid="{00000000-0005-0000-0000-00005B610000}"/>
    <cellStyle name="Normal 35 3 6 2" xfId="8857" xr:uid="{00000000-0005-0000-0000-00005C610000}"/>
    <cellStyle name="Normal 35 3 6 2 2" xfId="17953" xr:uid="{00000000-0005-0000-0000-00005D610000}"/>
    <cellStyle name="Normal 35 3 6 2 2 2" xfId="36135" xr:uid="{00000000-0005-0000-0000-00005E610000}"/>
    <cellStyle name="Normal 35 3 6 2 3" xfId="27045" xr:uid="{00000000-0005-0000-0000-00005F610000}"/>
    <cellStyle name="Normal 35 3 6 3" xfId="13413" xr:uid="{00000000-0005-0000-0000-000060610000}"/>
    <cellStyle name="Normal 35 3 6 3 2" xfId="31595" xr:uid="{00000000-0005-0000-0000-000061610000}"/>
    <cellStyle name="Normal 35 3 6 4" xfId="22505" xr:uid="{00000000-0005-0000-0000-000062610000}"/>
    <cellStyle name="Normal 35 3 7" xfId="5940" xr:uid="{00000000-0005-0000-0000-000063610000}"/>
    <cellStyle name="Normal 35 3 7 2" xfId="15040" xr:uid="{00000000-0005-0000-0000-000064610000}"/>
    <cellStyle name="Normal 35 3 7 2 2" xfId="33222" xr:uid="{00000000-0005-0000-0000-000065610000}"/>
    <cellStyle name="Normal 35 3 7 3" xfId="24132" xr:uid="{00000000-0005-0000-0000-000066610000}"/>
    <cellStyle name="Normal 35 3 8" xfId="10506" xr:uid="{00000000-0005-0000-0000-000067610000}"/>
    <cellStyle name="Normal 35 3 8 2" xfId="28688" xr:uid="{00000000-0005-0000-0000-000068610000}"/>
    <cellStyle name="Normal 35 3 9" xfId="19597" xr:uid="{00000000-0005-0000-0000-000069610000}"/>
    <cellStyle name="Normal 35 4" xfId="1304" xr:uid="{00000000-0005-0000-0000-00006A610000}"/>
    <cellStyle name="Normal 35 4 2" xfId="1305" xr:uid="{00000000-0005-0000-0000-00006B610000}"/>
    <cellStyle name="Normal 35 4 2 2" xfId="2707" xr:uid="{00000000-0005-0000-0000-00006C610000}"/>
    <cellStyle name="Normal 35 4 2 2 2" xfId="7292" xr:uid="{00000000-0005-0000-0000-00006D610000}"/>
    <cellStyle name="Normal 35 4 2 2 2 2" xfId="16392" xr:uid="{00000000-0005-0000-0000-00006E610000}"/>
    <cellStyle name="Normal 35 4 2 2 2 2 2" xfId="34574" xr:uid="{00000000-0005-0000-0000-00006F610000}"/>
    <cellStyle name="Normal 35 4 2 2 2 3" xfId="25484" xr:uid="{00000000-0005-0000-0000-000070610000}"/>
    <cellStyle name="Normal 35 4 2 2 3" xfId="11856" xr:uid="{00000000-0005-0000-0000-000071610000}"/>
    <cellStyle name="Normal 35 4 2 2 3 2" xfId="30038" xr:uid="{00000000-0005-0000-0000-000072610000}"/>
    <cellStyle name="Normal 35 4 2 2 4" xfId="20948" xr:uid="{00000000-0005-0000-0000-000073610000}"/>
    <cellStyle name="Normal 35 4 2 3" xfId="4307" xr:uid="{00000000-0005-0000-0000-000074610000}"/>
    <cellStyle name="Normal 35 4 2 3 2" xfId="8863" xr:uid="{00000000-0005-0000-0000-000075610000}"/>
    <cellStyle name="Normal 35 4 2 3 2 2" xfId="17959" xr:uid="{00000000-0005-0000-0000-000076610000}"/>
    <cellStyle name="Normal 35 4 2 3 2 2 2" xfId="36141" xr:uid="{00000000-0005-0000-0000-000077610000}"/>
    <cellStyle name="Normal 35 4 2 3 2 3" xfId="27051" xr:uid="{00000000-0005-0000-0000-000078610000}"/>
    <cellStyle name="Normal 35 4 2 3 3" xfId="13419" xr:uid="{00000000-0005-0000-0000-000079610000}"/>
    <cellStyle name="Normal 35 4 2 3 3 2" xfId="31601" xr:uid="{00000000-0005-0000-0000-00007A610000}"/>
    <cellStyle name="Normal 35 4 2 3 4" xfId="22511" xr:uid="{00000000-0005-0000-0000-00007B610000}"/>
    <cellStyle name="Normal 35 4 2 4" xfId="5946" xr:uid="{00000000-0005-0000-0000-00007C610000}"/>
    <cellStyle name="Normal 35 4 2 4 2" xfId="15046" xr:uid="{00000000-0005-0000-0000-00007D610000}"/>
    <cellStyle name="Normal 35 4 2 4 2 2" xfId="33228" xr:uid="{00000000-0005-0000-0000-00007E610000}"/>
    <cellStyle name="Normal 35 4 2 4 3" xfId="24138" xr:uid="{00000000-0005-0000-0000-00007F610000}"/>
    <cellStyle name="Normal 35 4 2 5" xfId="10512" xr:uid="{00000000-0005-0000-0000-000080610000}"/>
    <cellStyle name="Normal 35 4 2 5 2" xfId="28694" xr:uid="{00000000-0005-0000-0000-000081610000}"/>
    <cellStyle name="Normal 35 4 2 6" xfId="19603" xr:uid="{00000000-0005-0000-0000-000082610000}"/>
    <cellStyle name="Normal 35 4 3" xfId="2708" xr:uid="{00000000-0005-0000-0000-000083610000}"/>
    <cellStyle name="Normal 35 4 3 2" xfId="7293" xr:uid="{00000000-0005-0000-0000-000084610000}"/>
    <cellStyle name="Normal 35 4 3 2 2" xfId="16393" xr:uid="{00000000-0005-0000-0000-000085610000}"/>
    <cellStyle name="Normal 35 4 3 2 2 2" xfId="34575" xr:uid="{00000000-0005-0000-0000-000086610000}"/>
    <cellStyle name="Normal 35 4 3 2 3" xfId="25485" xr:uid="{00000000-0005-0000-0000-000087610000}"/>
    <cellStyle name="Normal 35 4 3 3" xfId="11857" xr:uid="{00000000-0005-0000-0000-000088610000}"/>
    <cellStyle name="Normal 35 4 3 3 2" xfId="30039" xr:uid="{00000000-0005-0000-0000-000089610000}"/>
    <cellStyle name="Normal 35 4 3 4" xfId="20949" xr:uid="{00000000-0005-0000-0000-00008A610000}"/>
    <cellStyle name="Normal 35 4 4" xfId="4306" xr:uid="{00000000-0005-0000-0000-00008B610000}"/>
    <cellStyle name="Normal 35 4 4 2" xfId="8862" xr:uid="{00000000-0005-0000-0000-00008C610000}"/>
    <cellStyle name="Normal 35 4 4 2 2" xfId="17958" xr:uid="{00000000-0005-0000-0000-00008D610000}"/>
    <cellStyle name="Normal 35 4 4 2 2 2" xfId="36140" xr:uid="{00000000-0005-0000-0000-00008E610000}"/>
    <cellStyle name="Normal 35 4 4 2 3" xfId="27050" xr:uid="{00000000-0005-0000-0000-00008F610000}"/>
    <cellStyle name="Normal 35 4 4 3" xfId="13418" xr:uid="{00000000-0005-0000-0000-000090610000}"/>
    <cellStyle name="Normal 35 4 4 3 2" xfId="31600" xr:uid="{00000000-0005-0000-0000-000091610000}"/>
    <cellStyle name="Normal 35 4 4 4" xfId="22510" xr:uid="{00000000-0005-0000-0000-000092610000}"/>
    <cellStyle name="Normal 35 4 5" xfId="5945" xr:uid="{00000000-0005-0000-0000-000093610000}"/>
    <cellStyle name="Normal 35 4 5 2" xfId="15045" xr:uid="{00000000-0005-0000-0000-000094610000}"/>
    <cellStyle name="Normal 35 4 5 2 2" xfId="33227" xr:uid="{00000000-0005-0000-0000-000095610000}"/>
    <cellStyle name="Normal 35 4 5 3" xfId="24137" xr:uid="{00000000-0005-0000-0000-000096610000}"/>
    <cellStyle name="Normal 35 4 6" xfId="10511" xr:uid="{00000000-0005-0000-0000-000097610000}"/>
    <cellStyle name="Normal 35 4 6 2" xfId="28693" xr:uid="{00000000-0005-0000-0000-000098610000}"/>
    <cellStyle name="Normal 35 4 7" xfId="19602" xr:uid="{00000000-0005-0000-0000-000099610000}"/>
    <cellStyle name="Normal 35 5" xfId="1306" xr:uid="{00000000-0005-0000-0000-00009A610000}"/>
    <cellStyle name="Normal 35 5 2" xfId="2709" xr:uid="{00000000-0005-0000-0000-00009B610000}"/>
    <cellStyle name="Normal 35 5 2 2" xfId="7294" xr:uid="{00000000-0005-0000-0000-00009C610000}"/>
    <cellStyle name="Normal 35 5 2 2 2" xfId="16394" xr:uid="{00000000-0005-0000-0000-00009D610000}"/>
    <cellStyle name="Normal 35 5 2 2 2 2" xfId="34576" xr:uid="{00000000-0005-0000-0000-00009E610000}"/>
    <cellStyle name="Normal 35 5 2 2 3" xfId="25486" xr:uid="{00000000-0005-0000-0000-00009F610000}"/>
    <cellStyle name="Normal 35 5 2 3" xfId="11858" xr:uid="{00000000-0005-0000-0000-0000A0610000}"/>
    <cellStyle name="Normal 35 5 2 3 2" xfId="30040" xr:uid="{00000000-0005-0000-0000-0000A1610000}"/>
    <cellStyle name="Normal 35 5 2 4" xfId="20950" xr:uid="{00000000-0005-0000-0000-0000A2610000}"/>
    <cellStyle name="Normal 35 5 3" xfId="4308" xr:uid="{00000000-0005-0000-0000-0000A3610000}"/>
    <cellStyle name="Normal 35 5 3 2" xfId="8864" xr:uid="{00000000-0005-0000-0000-0000A4610000}"/>
    <cellStyle name="Normal 35 5 3 2 2" xfId="17960" xr:uid="{00000000-0005-0000-0000-0000A5610000}"/>
    <cellStyle name="Normal 35 5 3 2 2 2" xfId="36142" xr:uid="{00000000-0005-0000-0000-0000A6610000}"/>
    <cellStyle name="Normal 35 5 3 2 3" xfId="27052" xr:uid="{00000000-0005-0000-0000-0000A7610000}"/>
    <cellStyle name="Normal 35 5 3 3" xfId="13420" xr:uid="{00000000-0005-0000-0000-0000A8610000}"/>
    <cellStyle name="Normal 35 5 3 3 2" xfId="31602" xr:uid="{00000000-0005-0000-0000-0000A9610000}"/>
    <cellStyle name="Normal 35 5 3 4" xfId="22512" xr:uid="{00000000-0005-0000-0000-0000AA610000}"/>
    <cellStyle name="Normal 35 5 4" xfId="5947" xr:uid="{00000000-0005-0000-0000-0000AB610000}"/>
    <cellStyle name="Normal 35 5 4 2" xfId="15047" xr:uid="{00000000-0005-0000-0000-0000AC610000}"/>
    <cellStyle name="Normal 35 5 4 2 2" xfId="33229" xr:uid="{00000000-0005-0000-0000-0000AD610000}"/>
    <cellStyle name="Normal 35 5 4 3" xfId="24139" xr:uid="{00000000-0005-0000-0000-0000AE610000}"/>
    <cellStyle name="Normal 35 5 5" xfId="10513" xr:uid="{00000000-0005-0000-0000-0000AF610000}"/>
    <cellStyle name="Normal 35 5 5 2" xfId="28695" xr:uid="{00000000-0005-0000-0000-0000B0610000}"/>
    <cellStyle name="Normal 35 5 6" xfId="19604" xr:uid="{00000000-0005-0000-0000-0000B1610000}"/>
    <cellStyle name="Normal 35 6" xfId="1307" xr:uid="{00000000-0005-0000-0000-0000B2610000}"/>
    <cellStyle name="Normal 35 6 2" xfId="4309" xr:uid="{00000000-0005-0000-0000-0000B3610000}"/>
    <cellStyle name="Normal 35 6 2 2" xfId="8865" xr:uid="{00000000-0005-0000-0000-0000B4610000}"/>
    <cellStyle name="Normal 35 6 2 2 2" xfId="17961" xr:uid="{00000000-0005-0000-0000-0000B5610000}"/>
    <cellStyle name="Normal 35 6 2 2 2 2" xfId="36143" xr:uid="{00000000-0005-0000-0000-0000B6610000}"/>
    <cellStyle name="Normal 35 6 2 2 3" xfId="27053" xr:uid="{00000000-0005-0000-0000-0000B7610000}"/>
    <cellStyle name="Normal 35 6 2 3" xfId="13421" xr:uid="{00000000-0005-0000-0000-0000B8610000}"/>
    <cellStyle name="Normal 35 6 2 3 2" xfId="31603" xr:uid="{00000000-0005-0000-0000-0000B9610000}"/>
    <cellStyle name="Normal 35 6 2 4" xfId="22513" xr:uid="{00000000-0005-0000-0000-0000BA610000}"/>
    <cellStyle name="Normal 35 6 3" xfId="5948" xr:uid="{00000000-0005-0000-0000-0000BB610000}"/>
    <cellStyle name="Normal 35 6 3 2" xfId="15048" xr:uid="{00000000-0005-0000-0000-0000BC610000}"/>
    <cellStyle name="Normal 35 6 3 2 2" xfId="33230" xr:uid="{00000000-0005-0000-0000-0000BD610000}"/>
    <cellStyle name="Normal 35 6 3 3" xfId="24140" xr:uid="{00000000-0005-0000-0000-0000BE610000}"/>
    <cellStyle name="Normal 35 6 4" xfId="10514" xr:uid="{00000000-0005-0000-0000-0000BF610000}"/>
    <cellStyle name="Normal 35 6 4 2" xfId="28696" xr:uid="{00000000-0005-0000-0000-0000C0610000}"/>
    <cellStyle name="Normal 35 6 5" xfId="19605" xr:uid="{00000000-0005-0000-0000-0000C1610000}"/>
    <cellStyle name="Normal 35 7" xfId="2710" xr:uid="{00000000-0005-0000-0000-0000C2610000}"/>
    <cellStyle name="Normal 35 7 2" xfId="7295" xr:uid="{00000000-0005-0000-0000-0000C3610000}"/>
    <cellStyle name="Normal 35 7 2 2" xfId="16395" xr:uid="{00000000-0005-0000-0000-0000C4610000}"/>
    <cellStyle name="Normal 35 7 2 2 2" xfId="34577" xr:uid="{00000000-0005-0000-0000-0000C5610000}"/>
    <cellStyle name="Normal 35 7 2 3" xfId="25487" xr:uid="{00000000-0005-0000-0000-0000C6610000}"/>
    <cellStyle name="Normal 35 7 3" xfId="11859" xr:uid="{00000000-0005-0000-0000-0000C7610000}"/>
    <cellStyle name="Normal 35 7 3 2" xfId="30041" xr:uid="{00000000-0005-0000-0000-0000C8610000}"/>
    <cellStyle name="Normal 35 7 4" xfId="20951" xr:uid="{00000000-0005-0000-0000-0000C9610000}"/>
    <cellStyle name="Normal 35 8" xfId="3252" xr:uid="{00000000-0005-0000-0000-0000CA610000}"/>
    <cellStyle name="Normal 35 8 2" xfId="7812" xr:uid="{00000000-0005-0000-0000-0000CB610000}"/>
    <cellStyle name="Normal 35 8 2 2" xfId="16908" xr:uid="{00000000-0005-0000-0000-0000CC610000}"/>
    <cellStyle name="Normal 35 8 2 2 2" xfId="35090" xr:uid="{00000000-0005-0000-0000-0000CD610000}"/>
    <cellStyle name="Normal 35 8 2 3" xfId="26000" xr:uid="{00000000-0005-0000-0000-0000CE610000}"/>
    <cellStyle name="Normal 35 8 3" xfId="12368" xr:uid="{00000000-0005-0000-0000-0000CF610000}"/>
    <cellStyle name="Normal 35 8 3 2" xfId="30550" xr:uid="{00000000-0005-0000-0000-0000D0610000}"/>
    <cellStyle name="Normal 35 8 4" xfId="21460" xr:uid="{00000000-0005-0000-0000-0000D1610000}"/>
    <cellStyle name="Normal 35 9" xfId="4899" xr:uid="{00000000-0005-0000-0000-0000D2610000}"/>
    <cellStyle name="Normal 35 9 2" xfId="13999" xr:uid="{00000000-0005-0000-0000-0000D3610000}"/>
    <cellStyle name="Normal 35 9 2 2" xfId="32181" xr:uid="{00000000-0005-0000-0000-0000D4610000}"/>
    <cellStyle name="Normal 35 9 3" xfId="23091" xr:uid="{00000000-0005-0000-0000-0000D5610000}"/>
    <cellStyle name="Normal 36" xfId="181" xr:uid="{00000000-0005-0000-0000-0000D6610000}"/>
    <cellStyle name="Normal 36 10" xfId="18558" xr:uid="{00000000-0005-0000-0000-0000D7610000}"/>
    <cellStyle name="Normal 36 2" xfId="1308" xr:uid="{00000000-0005-0000-0000-0000D8610000}"/>
    <cellStyle name="Normal 36 2 2" xfId="1309" xr:uid="{00000000-0005-0000-0000-0000D9610000}"/>
    <cellStyle name="Normal 36 2 2 2" xfId="1310" xr:uid="{00000000-0005-0000-0000-0000DA610000}"/>
    <cellStyle name="Normal 36 2 2 2 2" xfId="2711" xr:uid="{00000000-0005-0000-0000-0000DB610000}"/>
    <cellStyle name="Normal 36 2 2 2 2 2" xfId="7296" xr:uid="{00000000-0005-0000-0000-0000DC610000}"/>
    <cellStyle name="Normal 36 2 2 2 2 2 2" xfId="16396" xr:uid="{00000000-0005-0000-0000-0000DD610000}"/>
    <cellStyle name="Normal 36 2 2 2 2 2 2 2" xfId="34578" xr:uid="{00000000-0005-0000-0000-0000DE610000}"/>
    <cellStyle name="Normal 36 2 2 2 2 2 3" xfId="25488" xr:uid="{00000000-0005-0000-0000-0000DF610000}"/>
    <cellStyle name="Normal 36 2 2 2 2 3" xfId="11860" xr:uid="{00000000-0005-0000-0000-0000E0610000}"/>
    <cellStyle name="Normal 36 2 2 2 2 3 2" xfId="30042" xr:uid="{00000000-0005-0000-0000-0000E1610000}"/>
    <cellStyle name="Normal 36 2 2 2 2 4" xfId="20952" xr:uid="{00000000-0005-0000-0000-0000E2610000}"/>
    <cellStyle name="Normal 36 2 2 2 3" xfId="4312" xr:uid="{00000000-0005-0000-0000-0000E3610000}"/>
    <cellStyle name="Normal 36 2 2 2 3 2" xfId="8868" xr:uid="{00000000-0005-0000-0000-0000E4610000}"/>
    <cellStyle name="Normal 36 2 2 2 3 2 2" xfId="17964" xr:uid="{00000000-0005-0000-0000-0000E5610000}"/>
    <cellStyle name="Normal 36 2 2 2 3 2 2 2" xfId="36146" xr:uid="{00000000-0005-0000-0000-0000E6610000}"/>
    <cellStyle name="Normal 36 2 2 2 3 2 3" xfId="27056" xr:uid="{00000000-0005-0000-0000-0000E7610000}"/>
    <cellStyle name="Normal 36 2 2 2 3 3" xfId="13424" xr:uid="{00000000-0005-0000-0000-0000E8610000}"/>
    <cellStyle name="Normal 36 2 2 2 3 3 2" xfId="31606" xr:uid="{00000000-0005-0000-0000-0000E9610000}"/>
    <cellStyle name="Normal 36 2 2 2 3 4" xfId="22516" xr:uid="{00000000-0005-0000-0000-0000EA610000}"/>
    <cellStyle name="Normal 36 2 2 2 4" xfId="5951" xr:uid="{00000000-0005-0000-0000-0000EB610000}"/>
    <cellStyle name="Normal 36 2 2 2 4 2" xfId="15051" xr:uid="{00000000-0005-0000-0000-0000EC610000}"/>
    <cellStyle name="Normal 36 2 2 2 4 2 2" xfId="33233" xr:uid="{00000000-0005-0000-0000-0000ED610000}"/>
    <cellStyle name="Normal 36 2 2 2 4 3" xfId="24143" xr:uid="{00000000-0005-0000-0000-0000EE610000}"/>
    <cellStyle name="Normal 36 2 2 2 5" xfId="10517" xr:uid="{00000000-0005-0000-0000-0000EF610000}"/>
    <cellStyle name="Normal 36 2 2 2 5 2" xfId="28699" xr:uid="{00000000-0005-0000-0000-0000F0610000}"/>
    <cellStyle name="Normal 36 2 2 2 6" xfId="19608" xr:uid="{00000000-0005-0000-0000-0000F1610000}"/>
    <cellStyle name="Normal 36 2 2 3" xfId="2712" xr:uid="{00000000-0005-0000-0000-0000F2610000}"/>
    <cellStyle name="Normal 36 2 2 3 2" xfId="7297" xr:uid="{00000000-0005-0000-0000-0000F3610000}"/>
    <cellStyle name="Normal 36 2 2 3 2 2" xfId="16397" xr:uid="{00000000-0005-0000-0000-0000F4610000}"/>
    <cellStyle name="Normal 36 2 2 3 2 2 2" xfId="34579" xr:uid="{00000000-0005-0000-0000-0000F5610000}"/>
    <cellStyle name="Normal 36 2 2 3 2 3" xfId="25489" xr:uid="{00000000-0005-0000-0000-0000F6610000}"/>
    <cellStyle name="Normal 36 2 2 3 3" xfId="11861" xr:uid="{00000000-0005-0000-0000-0000F7610000}"/>
    <cellStyle name="Normal 36 2 2 3 3 2" xfId="30043" xr:uid="{00000000-0005-0000-0000-0000F8610000}"/>
    <cellStyle name="Normal 36 2 2 3 4" xfId="20953" xr:uid="{00000000-0005-0000-0000-0000F9610000}"/>
    <cellStyle name="Normal 36 2 2 4" xfId="4311" xr:uid="{00000000-0005-0000-0000-0000FA610000}"/>
    <cellStyle name="Normal 36 2 2 4 2" xfId="8867" xr:uid="{00000000-0005-0000-0000-0000FB610000}"/>
    <cellStyle name="Normal 36 2 2 4 2 2" xfId="17963" xr:uid="{00000000-0005-0000-0000-0000FC610000}"/>
    <cellStyle name="Normal 36 2 2 4 2 2 2" xfId="36145" xr:uid="{00000000-0005-0000-0000-0000FD610000}"/>
    <cellStyle name="Normal 36 2 2 4 2 3" xfId="27055" xr:uid="{00000000-0005-0000-0000-0000FE610000}"/>
    <cellStyle name="Normal 36 2 2 4 3" xfId="13423" xr:uid="{00000000-0005-0000-0000-0000FF610000}"/>
    <cellStyle name="Normal 36 2 2 4 3 2" xfId="31605" xr:uid="{00000000-0005-0000-0000-000000620000}"/>
    <cellStyle name="Normal 36 2 2 4 4" xfId="22515" xr:uid="{00000000-0005-0000-0000-000001620000}"/>
    <cellStyle name="Normal 36 2 2 5" xfId="5950" xr:uid="{00000000-0005-0000-0000-000002620000}"/>
    <cellStyle name="Normal 36 2 2 5 2" xfId="15050" xr:uid="{00000000-0005-0000-0000-000003620000}"/>
    <cellStyle name="Normal 36 2 2 5 2 2" xfId="33232" xr:uid="{00000000-0005-0000-0000-000004620000}"/>
    <cellStyle name="Normal 36 2 2 5 3" xfId="24142" xr:uid="{00000000-0005-0000-0000-000005620000}"/>
    <cellStyle name="Normal 36 2 2 6" xfId="10516" xr:uid="{00000000-0005-0000-0000-000006620000}"/>
    <cellStyle name="Normal 36 2 2 6 2" xfId="28698" xr:uid="{00000000-0005-0000-0000-000007620000}"/>
    <cellStyle name="Normal 36 2 2 7" xfId="19607" xr:uid="{00000000-0005-0000-0000-000008620000}"/>
    <cellStyle name="Normal 36 2 3" xfId="1311" xr:uid="{00000000-0005-0000-0000-000009620000}"/>
    <cellStyle name="Normal 36 2 3 2" xfId="2713" xr:uid="{00000000-0005-0000-0000-00000A620000}"/>
    <cellStyle name="Normal 36 2 3 2 2" xfId="7298" xr:uid="{00000000-0005-0000-0000-00000B620000}"/>
    <cellStyle name="Normal 36 2 3 2 2 2" xfId="16398" xr:uid="{00000000-0005-0000-0000-00000C620000}"/>
    <cellStyle name="Normal 36 2 3 2 2 2 2" xfId="34580" xr:uid="{00000000-0005-0000-0000-00000D620000}"/>
    <cellStyle name="Normal 36 2 3 2 2 3" xfId="25490" xr:uid="{00000000-0005-0000-0000-00000E620000}"/>
    <cellStyle name="Normal 36 2 3 2 3" xfId="11862" xr:uid="{00000000-0005-0000-0000-00000F620000}"/>
    <cellStyle name="Normal 36 2 3 2 3 2" xfId="30044" xr:uid="{00000000-0005-0000-0000-000010620000}"/>
    <cellStyle name="Normal 36 2 3 2 4" xfId="20954" xr:uid="{00000000-0005-0000-0000-000011620000}"/>
    <cellStyle name="Normal 36 2 3 3" xfId="4313" xr:uid="{00000000-0005-0000-0000-000012620000}"/>
    <cellStyle name="Normal 36 2 3 3 2" xfId="8869" xr:uid="{00000000-0005-0000-0000-000013620000}"/>
    <cellStyle name="Normal 36 2 3 3 2 2" xfId="17965" xr:uid="{00000000-0005-0000-0000-000014620000}"/>
    <cellStyle name="Normal 36 2 3 3 2 2 2" xfId="36147" xr:uid="{00000000-0005-0000-0000-000015620000}"/>
    <cellStyle name="Normal 36 2 3 3 2 3" xfId="27057" xr:uid="{00000000-0005-0000-0000-000016620000}"/>
    <cellStyle name="Normal 36 2 3 3 3" xfId="13425" xr:uid="{00000000-0005-0000-0000-000017620000}"/>
    <cellStyle name="Normal 36 2 3 3 3 2" xfId="31607" xr:uid="{00000000-0005-0000-0000-000018620000}"/>
    <cellStyle name="Normal 36 2 3 3 4" xfId="22517" xr:uid="{00000000-0005-0000-0000-000019620000}"/>
    <cellStyle name="Normal 36 2 3 4" xfId="5952" xr:uid="{00000000-0005-0000-0000-00001A620000}"/>
    <cellStyle name="Normal 36 2 3 4 2" xfId="15052" xr:uid="{00000000-0005-0000-0000-00001B620000}"/>
    <cellStyle name="Normal 36 2 3 4 2 2" xfId="33234" xr:uid="{00000000-0005-0000-0000-00001C620000}"/>
    <cellStyle name="Normal 36 2 3 4 3" xfId="24144" xr:uid="{00000000-0005-0000-0000-00001D620000}"/>
    <cellStyle name="Normal 36 2 3 5" xfId="10518" xr:uid="{00000000-0005-0000-0000-00001E620000}"/>
    <cellStyle name="Normal 36 2 3 5 2" xfId="28700" xr:uid="{00000000-0005-0000-0000-00001F620000}"/>
    <cellStyle name="Normal 36 2 3 6" xfId="19609" xr:uid="{00000000-0005-0000-0000-000020620000}"/>
    <cellStyle name="Normal 36 2 4" xfId="1312" xr:uid="{00000000-0005-0000-0000-000021620000}"/>
    <cellStyle name="Normal 36 2 4 2" xfId="4314" xr:uid="{00000000-0005-0000-0000-000022620000}"/>
    <cellStyle name="Normal 36 2 4 2 2" xfId="8870" xr:uid="{00000000-0005-0000-0000-000023620000}"/>
    <cellStyle name="Normal 36 2 4 2 2 2" xfId="17966" xr:uid="{00000000-0005-0000-0000-000024620000}"/>
    <cellStyle name="Normal 36 2 4 2 2 2 2" xfId="36148" xr:uid="{00000000-0005-0000-0000-000025620000}"/>
    <cellStyle name="Normal 36 2 4 2 2 3" xfId="27058" xr:uid="{00000000-0005-0000-0000-000026620000}"/>
    <cellStyle name="Normal 36 2 4 2 3" xfId="13426" xr:uid="{00000000-0005-0000-0000-000027620000}"/>
    <cellStyle name="Normal 36 2 4 2 3 2" xfId="31608" xr:uid="{00000000-0005-0000-0000-000028620000}"/>
    <cellStyle name="Normal 36 2 4 2 4" xfId="22518" xr:uid="{00000000-0005-0000-0000-000029620000}"/>
    <cellStyle name="Normal 36 2 4 3" xfId="5953" xr:uid="{00000000-0005-0000-0000-00002A620000}"/>
    <cellStyle name="Normal 36 2 4 3 2" xfId="15053" xr:uid="{00000000-0005-0000-0000-00002B620000}"/>
    <cellStyle name="Normal 36 2 4 3 2 2" xfId="33235" xr:uid="{00000000-0005-0000-0000-00002C620000}"/>
    <cellStyle name="Normal 36 2 4 3 3" xfId="24145" xr:uid="{00000000-0005-0000-0000-00002D620000}"/>
    <cellStyle name="Normal 36 2 4 4" xfId="10519" xr:uid="{00000000-0005-0000-0000-00002E620000}"/>
    <cellStyle name="Normal 36 2 4 4 2" xfId="28701" xr:uid="{00000000-0005-0000-0000-00002F620000}"/>
    <cellStyle name="Normal 36 2 4 5" xfId="19610" xr:uid="{00000000-0005-0000-0000-000030620000}"/>
    <cellStyle name="Normal 36 2 5" xfId="2714" xr:uid="{00000000-0005-0000-0000-000031620000}"/>
    <cellStyle name="Normal 36 2 5 2" xfId="7299" xr:uid="{00000000-0005-0000-0000-000032620000}"/>
    <cellStyle name="Normal 36 2 5 2 2" xfId="16399" xr:uid="{00000000-0005-0000-0000-000033620000}"/>
    <cellStyle name="Normal 36 2 5 2 2 2" xfId="34581" xr:uid="{00000000-0005-0000-0000-000034620000}"/>
    <cellStyle name="Normal 36 2 5 2 3" xfId="25491" xr:uid="{00000000-0005-0000-0000-000035620000}"/>
    <cellStyle name="Normal 36 2 5 3" xfId="11863" xr:uid="{00000000-0005-0000-0000-000036620000}"/>
    <cellStyle name="Normal 36 2 5 3 2" xfId="30045" xr:uid="{00000000-0005-0000-0000-000037620000}"/>
    <cellStyle name="Normal 36 2 5 4" xfId="20955" xr:uid="{00000000-0005-0000-0000-000038620000}"/>
    <cellStyle name="Normal 36 2 6" xfId="4310" xr:uid="{00000000-0005-0000-0000-000039620000}"/>
    <cellStyle name="Normal 36 2 6 2" xfId="8866" xr:uid="{00000000-0005-0000-0000-00003A620000}"/>
    <cellStyle name="Normal 36 2 6 2 2" xfId="17962" xr:uid="{00000000-0005-0000-0000-00003B620000}"/>
    <cellStyle name="Normal 36 2 6 2 2 2" xfId="36144" xr:uid="{00000000-0005-0000-0000-00003C620000}"/>
    <cellStyle name="Normal 36 2 6 2 3" xfId="27054" xr:uid="{00000000-0005-0000-0000-00003D620000}"/>
    <cellStyle name="Normal 36 2 6 3" xfId="13422" xr:uid="{00000000-0005-0000-0000-00003E620000}"/>
    <cellStyle name="Normal 36 2 6 3 2" xfId="31604" xr:uid="{00000000-0005-0000-0000-00003F620000}"/>
    <cellStyle name="Normal 36 2 6 4" xfId="22514" xr:uid="{00000000-0005-0000-0000-000040620000}"/>
    <cellStyle name="Normal 36 2 7" xfId="5949" xr:uid="{00000000-0005-0000-0000-000041620000}"/>
    <cellStyle name="Normal 36 2 7 2" xfId="15049" xr:uid="{00000000-0005-0000-0000-000042620000}"/>
    <cellStyle name="Normal 36 2 7 2 2" xfId="33231" xr:uid="{00000000-0005-0000-0000-000043620000}"/>
    <cellStyle name="Normal 36 2 7 3" xfId="24141" xr:uid="{00000000-0005-0000-0000-000044620000}"/>
    <cellStyle name="Normal 36 2 8" xfId="10515" xr:uid="{00000000-0005-0000-0000-000045620000}"/>
    <cellStyle name="Normal 36 2 8 2" xfId="28697" xr:uid="{00000000-0005-0000-0000-000046620000}"/>
    <cellStyle name="Normal 36 2 9" xfId="19606" xr:uid="{00000000-0005-0000-0000-000047620000}"/>
    <cellStyle name="Normal 36 3" xfId="1313" xr:uid="{00000000-0005-0000-0000-000048620000}"/>
    <cellStyle name="Normal 36 3 2" xfId="1314" xr:uid="{00000000-0005-0000-0000-000049620000}"/>
    <cellStyle name="Normal 36 3 2 2" xfId="2715" xr:uid="{00000000-0005-0000-0000-00004A620000}"/>
    <cellStyle name="Normal 36 3 2 2 2" xfId="7300" xr:uid="{00000000-0005-0000-0000-00004B620000}"/>
    <cellStyle name="Normal 36 3 2 2 2 2" xfId="16400" xr:uid="{00000000-0005-0000-0000-00004C620000}"/>
    <cellStyle name="Normal 36 3 2 2 2 2 2" xfId="34582" xr:uid="{00000000-0005-0000-0000-00004D620000}"/>
    <cellStyle name="Normal 36 3 2 2 2 3" xfId="25492" xr:uid="{00000000-0005-0000-0000-00004E620000}"/>
    <cellStyle name="Normal 36 3 2 2 3" xfId="11864" xr:uid="{00000000-0005-0000-0000-00004F620000}"/>
    <cellStyle name="Normal 36 3 2 2 3 2" xfId="30046" xr:uid="{00000000-0005-0000-0000-000050620000}"/>
    <cellStyle name="Normal 36 3 2 2 4" xfId="20956" xr:uid="{00000000-0005-0000-0000-000051620000}"/>
    <cellStyle name="Normal 36 3 2 3" xfId="4316" xr:uid="{00000000-0005-0000-0000-000052620000}"/>
    <cellStyle name="Normal 36 3 2 3 2" xfId="8872" xr:uid="{00000000-0005-0000-0000-000053620000}"/>
    <cellStyle name="Normal 36 3 2 3 2 2" xfId="17968" xr:uid="{00000000-0005-0000-0000-000054620000}"/>
    <cellStyle name="Normal 36 3 2 3 2 2 2" xfId="36150" xr:uid="{00000000-0005-0000-0000-000055620000}"/>
    <cellStyle name="Normal 36 3 2 3 2 3" xfId="27060" xr:uid="{00000000-0005-0000-0000-000056620000}"/>
    <cellStyle name="Normal 36 3 2 3 3" xfId="13428" xr:uid="{00000000-0005-0000-0000-000057620000}"/>
    <cellStyle name="Normal 36 3 2 3 3 2" xfId="31610" xr:uid="{00000000-0005-0000-0000-000058620000}"/>
    <cellStyle name="Normal 36 3 2 3 4" xfId="22520" xr:uid="{00000000-0005-0000-0000-000059620000}"/>
    <cellStyle name="Normal 36 3 2 4" xfId="5955" xr:uid="{00000000-0005-0000-0000-00005A620000}"/>
    <cellStyle name="Normal 36 3 2 4 2" xfId="15055" xr:uid="{00000000-0005-0000-0000-00005B620000}"/>
    <cellStyle name="Normal 36 3 2 4 2 2" xfId="33237" xr:uid="{00000000-0005-0000-0000-00005C620000}"/>
    <cellStyle name="Normal 36 3 2 4 3" xfId="24147" xr:uid="{00000000-0005-0000-0000-00005D620000}"/>
    <cellStyle name="Normal 36 3 2 5" xfId="10521" xr:uid="{00000000-0005-0000-0000-00005E620000}"/>
    <cellStyle name="Normal 36 3 2 5 2" xfId="28703" xr:uid="{00000000-0005-0000-0000-00005F620000}"/>
    <cellStyle name="Normal 36 3 2 6" xfId="19612" xr:uid="{00000000-0005-0000-0000-000060620000}"/>
    <cellStyle name="Normal 36 3 3" xfId="2716" xr:uid="{00000000-0005-0000-0000-000061620000}"/>
    <cellStyle name="Normal 36 3 3 2" xfId="7301" xr:uid="{00000000-0005-0000-0000-000062620000}"/>
    <cellStyle name="Normal 36 3 3 2 2" xfId="16401" xr:uid="{00000000-0005-0000-0000-000063620000}"/>
    <cellStyle name="Normal 36 3 3 2 2 2" xfId="34583" xr:uid="{00000000-0005-0000-0000-000064620000}"/>
    <cellStyle name="Normal 36 3 3 2 3" xfId="25493" xr:uid="{00000000-0005-0000-0000-000065620000}"/>
    <cellStyle name="Normal 36 3 3 3" xfId="11865" xr:uid="{00000000-0005-0000-0000-000066620000}"/>
    <cellStyle name="Normal 36 3 3 3 2" xfId="30047" xr:uid="{00000000-0005-0000-0000-000067620000}"/>
    <cellStyle name="Normal 36 3 3 4" xfId="20957" xr:uid="{00000000-0005-0000-0000-000068620000}"/>
    <cellStyle name="Normal 36 3 4" xfId="4315" xr:uid="{00000000-0005-0000-0000-000069620000}"/>
    <cellStyle name="Normal 36 3 4 2" xfId="8871" xr:uid="{00000000-0005-0000-0000-00006A620000}"/>
    <cellStyle name="Normal 36 3 4 2 2" xfId="17967" xr:uid="{00000000-0005-0000-0000-00006B620000}"/>
    <cellStyle name="Normal 36 3 4 2 2 2" xfId="36149" xr:uid="{00000000-0005-0000-0000-00006C620000}"/>
    <cellStyle name="Normal 36 3 4 2 3" xfId="27059" xr:uid="{00000000-0005-0000-0000-00006D620000}"/>
    <cellStyle name="Normal 36 3 4 3" xfId="13427" xr:uid="{00000000-0005-0000-0000-00006E620000}"/>
    <cellStyle name="Normal 36 3 4 3 2" xfId="31609" xr:uid="{00000000-0005-0000-0000-00006F620000}"/>
    <cellStyle name="Normal 36 3 4 4" xfId="22519" xr:uid="{00000000-0005-0000-0000-000070620000}"/>
    <cellStyle name="Normal 36 3 5" xfId="5954" xr:uid="{00000000-0005-0000-0000-000071620000}"/>
    <cellStyle name="Normal 36 3 5 2" xfId="15054" xr:uid="{00000000-0005-0000-0000-000072620000}"/>
    <cellStyle name="Normal 36 3 5 2 2" xfId="33236" xr:uid="{00000000-0005-0000-0000-000073620000}"/>
    <cellStyle name="Normal 36 3 5 3" xfId="24146" xr:uid="{00000000-0005-0000-0000-000074620000}"/>
    <cellStyle name="Normal 36 3 6" xfId="10520" xr:uid="{00000000-0005-0000-0000-000075620000}"/>
    <cellStyle name="Normal 36 3 6 2" xfId="28702" xr:uid="{00000000-0005-0000-0000-000076620000}"/>
    <cellStyle name="Normal 36 3 7" xfId="19611" xr:uid="{00000000-0005-0000-0000-000077620000}"/>
    <cellStyle name="Normal 36 4" xfId="1315" xr:uid="{00000000-0005-0000-0000-000078620000}"/>
    <cellStyle name="Normal 36 4 2" xfId="2717" xr:uid="{00000000-0005-0000-0000-000079620000}"/>
    <cellStyle name="Normal 36 4 2 2" xfId="7302" xr:uid="{00000000-0005-0000-0000-00007A620000}"/>
    <cellStyle name="Normal 36 4 2 2 2" xfId="16402" xr:uid="{00000000-0005-0000-0000-00007B620000}"/>
    <cellStyle name="Normal 36 4 2 2 2 2" xfId="34584" xr:uid="{00000000-0005-0000-0000-00007C620000}"/>
    <cellStyle name="Normal 36 4 2 2 3" xfId="25494" xr:uid="{00000000-0005-0000-0000-00007D620000}"/>
    <cellStyle name="Normal 36 4 2 3" xfId="11866" xr:uid="{00000000-0005-0000-0000-00007E620000}"/>
    <cellStyle name="Normal 36 4 2 3 2" xfId="30048" xr:uid="{00000000-0005-0000-0000-00007F620000}"/>
    <cellStyle name="Normal 36 4 2 4" xfId="20958" xr:uid="{00000000-0005-0000-0000-000080620000}"/>
    <cellStyle name="Normal 36 4 3" xfId="4317" xr:uid="{00000000-0005-0000-0000-000081620000}"/>
    <cellStyle name="Normal 36 4 3 2" xfId="8873" xr:uid="{00000000-0005-0000-0000-000082620000}"/>
    <cellStyle name="Normal 36 4 3 2 2" xfId="17969" xr:uid="{00000000-0005-0000-0000-000083620000}"/>
    <cellStyle name="Normal 36 4 3 2 2 2" xfId="36151" xr:uid="{00000000-0005-0000-0000-000084620000}"/>
    <cellStyle name="Normal 36 4 3 2 3" xfId="27061" xr:uid="{00000000-0005-0000-0000-000085620000}"/>
    <cellStyle name="Normal 36 4 3 3" xfId="13429" xr:uid="{00000000-0005-0000-0000-000086620000}"/>
    <cellStyle name="Normal 36 4 3 3 2" xfId="31611" xr:uid="{00000000-0005-0000-0000-000087620000}"/>
    <cellStyle name="Normal 36 4 3 4" xfId="22521" xr:uid="{00000000-0005-0000-0000-000088620000}"/>
    <cellStyle name="Normal 36 4 4" xfId="5956" xr:uid="{00000000-0005-0000-0000-000089620000}"/>
    <cellStyle name="Normal 36 4 4 2" xfId="15056" xr:uid="{00000000-0005-0000-0000-00008A620000}"/>
    <cellStyle name="Normal 36 4 4 2 2" xfId="33238" xr:uid="{00000000-0005-0000-0000-00008B620000}"/>
    <cellStyle name="Normal 36 4 4 3" xfId="24148" xr:uid="{00000000-0005-0000-0000-00008C620000}"/>
    <cellStyle name="Normal 36 4 5" xfId="10522" xr:uid="{00000000-0005-0000-0000-00008D620000}"/>
    <cellStyle name="Normal 36 4 5 2" xfId="28704" xr:uid="{00000000-0005-0000-0000-00008E620000}"/>
    <cellStyle name="Normal 36 4 6" xfId="19613" xr:uid="{00000000-0005-0000-0000-00008F620000}"/>
    <cellStyle name="Normal 36 5" xfId="1316" xr:uid="{00000000-0005-0000-0000-000090620000}"/>
    <cellStyle name="Normal 36 5 2" xfId="4318" xr:uid="{00000000-0005-0000-0000-000091620000}"/>
    <cellStyle name="Normal 36 5 2 2" xfId="8874" xr:uid="{00000000-0005-0000-0000-000092620000}"/>
    <cellStyle name="Normal 36 5 2 2 2" xfId="17970" xr:uid="{00000000-0005-0000-0000-000093620000}"/>
    <cellStyle name="Normal 36 5 2 2 2 2" xfId="36152" xr:uid="{00000000-0005-0000-0000-000094620000}"/>
    <cellStyle name="Normal 36 5 2 2 3" xfId="27062" xr:uid="{00000000-0005-0000-0000-000095620000}"/>
    <cellStyle name="Normal 36 5 2 3" xfId="13430" xr:uid="{00000000-0005-0000-0000-000096620000}"/>
    <cellStyle name="Normal 36 5 2 3 2" xfId="31612" xr:uid="{00000000-0005-0000-0000-000097620000}"/>
    <cellStyle name="Normal 36 5 2 4" xfId="22522" xr:uid="{00000000-0005-0000-0000-000098620000}"/>
    <cellStyle name="Normal 36 5 3" xfId="5957" xr:uid="{00000000-0005-0000-0000-000099620000}"/>
    <cellStyle name="Normal 36 5 3 2" xfId="15057" xr:uid="{00000000-0005-0000-0000-00009A620000}"/>
    <cellStyle name="Normal 36 5 3 2 2" xfId="33239" xr:uid="{00000000-0005-0000-0000-00009B620000}"/>
    <cellStyle name="Normal 36 5 3 3" xfId="24149" xr:uid="{00000000-0005-0000-0000-00009C620000}"/>
    <cellStyle name="Normal 36 5 4" xfId="10523" xr:uid="{00000000-0005-0000-0000-00009D620000}"/>
    <cellStyle name="Normal 36 5 4 2" xfId="28705" xr:uid="{00000000-0005-0000-0000-00009E620000}"/>
    <cellStyle name="Normal 36 5 5" xfId="19614" xr:uid="{00000000-0005-0000-0000-00009F620000}"/>
    <cellStyle name="Normal 36 6" xfId="2718" xr:uid="{00000000-0005-0000-0000-0000A0620000}"/>
    <cellStyle name="Normal 36 6 2" xfId="7303" xr:uid="{00000000-0005-0000-0000-0000A1620000}"/>
    <cellStyle name="Normal 36 6 2 2" xfId="16403" xr:uid="{00000000-0005-0000-0000-0000A2620000}"/>
    <cellStyle name="Normal 36 6 2 2 2" xfId="34585" xr:uid="{00000000-0005-0000-0000-0000A3620000}"/>
    <cellStyle name="Normal 36 6 2 3" xfId="25495" xr:uid="{00000000-0005-0000-0000-0000A4620000}"/>
    <cellStyle name="Normal 36 6 3" xfId="11867" xr:uid="{00000000-0005-0000-0000-0000A5620000}"/>
    <cellStyle name="Normal 36 6 3 2" xfId="30049" xr:uid="{00000000-0005-0000-0000-0000A6620000}"/>
    <cellStyle name="Normal 36 6 4" xfId="20959" xr:uid="{00000000-0005-0000-0000-0000A7620000}"/>
    <cellStyle name="Normal 36 7" xfId="3254" xr:uid="{00000000-0005-0000-0000-0000A8620000}"/>
    <cellStyle name="Normal 36 7 2" xfId="7814" xr:uid="{00000000-0005-0000-0000-0000A9620000}"/>
    <cellStyle name="Normal 36 7 2 2" xfId="16910" xr:uid="{00000000-0005-0000-0000-0000AA620000}"/>
    <cellStyle name="Normal 36 7 2 2 2" xfId="35092" xr:uid="{00000000-0005-0000-0000-0000AB620000}"/>
    <cellStyle name="Normal 36 7 2 3" xfId="26002" xr:uid="{00000000-0005-0000-0000-0000AC620000}"/>
    <cellStyle name="Normal 36 7 3" xfId="12370" xr:uid="{00000000-0005-0000-0000-0000AD620000}"/>
    <cellStyle name="Normal 36 7 3 2" xfId="30552" xr:uid="{00000000-0005-0000-0000-0000AE620000}"/>
    <cellStyle name="Normal 36 7 4" xfId="21462" xr:uid="{00000000-0005-0000-0000-0000AF620000}"/>
    <cellStyle name="Normal 36 8" xfId="4901" xr:uid="{00000000-0005-0000-0000-0000B0620000}"/>
    <cellStyle name="Normal 36 8 2" xfId="14001" xr:uid="{00000000-0005-0000-0000-0000B1620000}"/>
    <cellStyle name="Normal 36 8 2 2" xfId="32183" xr:uid="{00000000-0005-0000-0000-0000B2620000}"/>
    <cellStyle name="Normal 36 8 3" xfId="23093" xr:uid="{00000000-0005-0000-0000-0000B3620000}"/>
    <cellStyle name="Normal 36 9" xfId="9467" xr:uid="{00000000-0005-0000-0000-0000B4620000}"/>
    <cellStyle name="Normal 36 9 2" xfId="27649" xr:uid="{00000000-0005-0000-0000-0000B5620000}"/>
    <cellStyle name="Normal 37" xfId="182" xr:uid="{00000000-0005-0000-0000-0000B6620000}"/>
    <cellStyle name="Normal 37 10" xfId="9468" xr:uid="{00000000-0005-0000-0000-0000B7620000}"/>
    <cellStyle name="Normal 37 10 2" xfId="27650" xr:uid="{00000000-0005-0000-0000-0000B8620000}"/>
    <cellStyle name="Normal 37 11" xfId="18559" xr:uid="{00000000-0005-0000-0000-0000B9620000}"/>
    <cellStyle name="Normal 37 2" xfId="187" xr:uid="{00000000-0005-0000-0000-0000BA620000}"/>
    <cellStyle name="Normal 37 2 10" xfId="18564" xr:uid="{00000000-0005-0000-0000-0000BB620000}"/>
    <cellStyle name="Normal 37 2 2" xfId="1317" xr:uid="{00000000-0005-0000-0000-0000BC620000}"/>
    <cellStyle name="Normal 37 2 2 2" xfId="1318" xr:uid="{00000000-0005-0000-0000-0000BD620000}"/>
    <cellStyle name="Normal 37 2 2 2 2" xfId="1319" xr:uid="{00000000-0005-0000-0000-0000BE620000}"/>
    <cellStyle name="Normal 37 2 2 2 2 2" xfId="2719" xr:uid="{00000000-0005-0000-0000-0000BF620000}"/>
    <cellStyle name="Normal 37 2 2 2 2 2 2" xfId="7304" xr:uid="{00000000-0005-0000-0000-0000C0620000}"/>
    <cellStyle name="Normal 37 2 2 2 2 2 2 2" xfId="16404" xr:uid="{00000000-0005-0000-0000-0000C1620000}"/>
    <cellStyle name="Normal 37 2 2 2 2 2 2 2 2" xfId="34586" xr:uid="{00000000-0005-0000-0000-0000C2620000}"/>
    <cellStyle name="Normal 37 2 2 2 2 2 2 3" xfId="25496" xr:uid="{00000000-0005-0000-0000-0000C3620000}"/>
    <cellStyle name="Normal 37 2 2 2 2 2 3" xfId="11868" xr:uid="{00000000-0005-0000-0000-0000C4620000}"/>
    <cellStyle name="Normal 37 2 2 2 2 2 3 2" xfId="30050" xr:uid="{00000000-0005-0000-0000-0000C5620000}"/>
    <cellStyle name="Normal 37 2 2 2 2 2 4" xfId="20960" xr:uid="{00000000-0005-0000-0000-0000C6620000}"/>
    <cellStyle name="Normal 37 2 2 2 2 3" xfId="4321" xr:uid="{00000000-0005-0000-0000-0000C7620000}"/>
    <cellStyle name="Normal 37 2 2 2 2 3 2" xfId="8877" xr:uid="{00000000-0005-0000-0000-0000C8620000}"/>
    <cellStyle name="Normal 37 2 2 2 2 3 2 2" xfId="17973" xr:uid="{00000000-0005-0000-0000-0000C9620000}"/>
    <cellStyle name="Normal 37 2 2 2 2 3 2 2 2" xfId="36155" xr:uid="{00000000-0005-0000-0000-0000CA620000}"/>
    <cellStyle name="Normal 37 2 2 2 2 3 2 3" xfId="27065" xr:uid="{00000000-0005-0000-0000-0000CB620000}"/>
    <cellStyle name="Normal 37 2 2 2 2 3 3" xfId="13433" xr:uid="{00000000-0005-0000-0000-0000CC620000}"/>
    <cellStyle name="Normal 37 2 2 2 2 3 3 2" xfId="31615" xr:uid="{00000000-0005-0000-0000-0000CD620000}"/>
    <cellStyle name="Normal 37 2 2 2 2 3 4" xfId="22525" xr:uid="{00000000-0005-0000-0000-0000CE620000}"/>
    <cellStyle name="Normal 37 2 2 2 2 4" xfId="5960" xr:uid="{00000000-0005-0000-0000-0000CF620000}"/>
    <cellStyle name="Normal 37 2 2 2 2 4 2" xfId="15060" xr:uid="{00000000-0005-0000-0000-0000D0620000}"/>
    <cellStyle name="Normal 37 2 2 2 2 4 2 2" xfId="33242" xr:uid="{00000000-0005-0000-0000-0000D1620000}"/>
    <cellStyle name="Normal 37 2 2 2 2 4 3" xfId="24152" xr:uid="{00000000-0005-0000-0000-0000D2620000}"/>
    <cellStyle name="Normal 37 2 2 2 2 5" xfId="10526" xr:uid="{00000000-0005-0000-0000-0000D3620000}"/>
    <cellStyle name="Normal 37 2 2 2 2 5 2" xfId="28708" xr:uid="{00000000-0005-0000-0000-0000D4620000}"/>
    <cellStyle name="Normal 37 2 2 2 2 6" xfId="19617" xr:uid="{00000000-0005-0000-0000-0000D5620000}"/>
    <cellStyle name="Normal 37 2 2 2 3" xfId="2720" xr:uid="{00000000-0005-0000-0000-0000D6620000}"/>
    <cellStyle name="Normal 37 2 2 2 3 2" xfId="7305" xr:uid="{00000000-0005-0000-0000-0000D7620000}"/>
    <cellStyle name="Normal 37 2 2 2 3 2 2" xfId="16405" xr:uid="{00000000-0005-0000-0000-0000D8620000}"/>
    <cellStyle name="Normal 37 2 2 2 3 2 2 2" xfId="34587" xr:uid="{00000000-0005-0000-0000-0000D9620000}"/>
    <cellStyle name="Normal 37 2 2 2 3 2 3" xfId="25497" xr:uid="{00000000-0005-0000-0000-0000DA620000}"/>
    <cellStyle name="Normal 37 2 2 2 3 3" xfId="11869" xr:uid="{00000000-0005-0000-0000-0000DB620000}"/>
    <cellStyle name="Normal 37 2 2 2 3 3 2" xfId="30051" xr:uid="{00000000-0005-0000-0000-0000DC620000}"/>
    <cellStyle name="Normal 37 2 2 2 3 4" xfId="20961" xr:uid="{00000000-0005-0000-0000-0000DD620000}"/>
    <cellStyle name="Normal 37 2 2 2 4" xfId="4320" xr:uid="{00000000-0005-0000-0000-0000DE620000}"/>
    <cellStyle name="Normal 37 2 2 2 4 2" xfId="8876" xr:uid="{00000000-0005-0000-0000-0000DF620000}"/>
    <cellStyle name="Normal 37 2 2 2 4 2 2" xfId="17972" xr:uid="{00000000-0005-0000-0000-0000E0620000}"/>
    <cellStyle name="Normal 37 2 2 2 4 2 2 2" xfId="36154" xr:uid="{00000000-0005-0000-0000-0000E1620000}"/>
    <cellStyle name="Normal 37 2 2 2 4 2 3" xfId="27064" xr:uid="{00000000-0005-0000-0000-0000E2620000}"/>
    <cellStyle name="Normal 37 2 2 2 4 3" xfId="13432" xr:uid="{00000000-0005-0000-0000-0000E3620000}"/>
    <cellStyle name="Normal 37 2 2 2 4 3 2" xfId="31614" xr:uid="{00000000-0005-0000-0000-0000E4620000}"/>
    <cellStyle name="Normal 37 2 2 2 4 4" xfId="22524" xr:uid="{00000000-0005-0000-0000-0000E5620000}"/>
    <cellStyle name="Normal 37 2 2 2 5" xfId="5959" xr:uid="{00000000-0005-0000-0000-0000E6620000}"/>
    <cellStyle name="Normal 37 2 2 2 5 2" xfId="15059" xr:uid="{00000000-0005-0000-0000-0000E7620000}"/>
    <cellStyle name="Normal 37 2 2 2 5 2 2" xfId="33241" xr:uid="{00000000-0005-0000-0000-0000E8620000}"/>
    <cellStyle name="Normal 37 2 2 2 5 3" xfId="24151" xr:uid="{00000000-0005-0000-0000-0000E9620000}"/>
    <cellStyle name="Normal 37 2 2 2 6" xfId="10525" xr:uid="{00000000-0005-0000-0000-0000EA620000}"/>
    <cellStyle name="Normal 37 2 2 2 6 2" xfId="28707" xr:uid="{00000000-0005-0000-0000-0000EB620000}"/>
    <cellStyle name="Normal 37 2 2 2 7" xfId="19616" xr:uid="{00000000-0005-0000-0000-0000EC620000}"/>
    <cellStyle name="Normal 37 2 2 3" xfId="1320" xr:uid="{00000000-0005-0000-0000-0000ED620000}"/>
    <cellStyle name="Normal 37 2 2 3 2" xfId="2721" xr:uid="{00000000-0005-0000-0000-0000EE620000}"/>
    <cellStyle name="Normal 37 2 2 3 2 2" xfId="7306" xr:uid="{00000000-0005-0000-0000-0000EF620000}"/>
    <cellStyle name="Normal 37 2 2 3 2 2 2" xfId="16406" xr:uid="{00000000-0005-0000-0000-0000F0620000}"/>
    <cellStyle name="Normal 37 2 2 3 2 2 2 2" xfId="34588" xr:uid="{00000000-0005-0000-0000-0000F1620000}"/>
    <cellStyle name="Normal 37 2 2 3 2 2 3" xfId="25498" xr:uid="{00000000-0005-0000-0000-0000F2620000}"/>
    <cellStyle name="Normal 37 2 2 3 2 3" xfId="11870" xr:uid="{00000000-0005-0000-0000-0000F3620000}"/>
    <cellStyle name="Normal 37 2 2 3 2 3 2" xfId="30052" xr:uid="{00000000-0005-0000-0000-0000F4620000}"/>
    <cellStyle name="Normal 37 2 2 3 2 4" xfId="20962" xr:uid="{00000000-0005-0000-0000-0000F5620000}"/>
    <cellStyle name="Normal 37 2 2 3 3" xfId="4322" xr:uid="{00000000-0005-0000-0000-0000F6620000}"/>
    <cellStyle name="Normal 37 2 2 3 3 2" xfId="8878" xr:uid="{00000000-0005-0000-0000-0000F7620000}"/>
    <cellStyle name="Normal 37 2 2 3 3 2 2" xfId="17974" xr:uid="{00000000-0005-0000-0000-0000F8620000}"/>
    <cellStyle name="Normal 37 2 2 3 3 2 2 2" xfId="36156" xr:uid="{00000000-0005-0000-0000-0000F9620000}"/>
    <cellStyle name="Normal 37 2 2 3 3 2 3" xfId="27066" xr:uid="{00000000-0005-0000-0000-0000FA620000}"/>
    <cellStyle name="Normal 37 2 2 3 3 3" xfId="13434" xr:uid="{00000000-0005-0000-0000-0000FB620000}"/>
    <cellStyle name="Normal 37 2 2 3 3 3 2" xfId="31616" xr:uid="{00000000-0005-0000-0000-0000FC620000}"/>
    <cellStyle name="Normal 37 2 2 3 3 4" xfId="22526" xr:uid="{00000000-0005-0000-0000-0000FD620000}"/>
    <cellStyle name="Normal 37 2 2 3 4" xfId="5961" xr:uid="{00000000-0005-0000-0000-0000FE620000}"/>
    <cellStyle name="Normal 37 2 2 3 4 2" xfId="15061" xr:uid="{00000000-0005-0000-0000-0000FF620000}"/>
    <cellStyle name="Normal 37 2 2 3 4 2 2" xfId="33243" xr:uid="{00000000-0005-0000-0000-000000630000}"/>
    <cellStyle name="Normal 37 2 2 3 4 3" xfId="24153" xr:uid="{00000000-0005-0000-0000-000001630000}"/>
    <cellStyle name="Normal 37 2 2 3 5" xfId="10527" xr:uid="{00000000-0005-0000-0000-000002630000}"/>
    <cellStyle name="Normal 37 2 2 3 5 2" xfId="28709" xr:uid="{00000000-0005-0000-0000-000003630000}"/>
    <cellStyle name="Normal 37 2 2 3 6" xfId="19618" xr:uid="{00000000-0005-0000-0000-000004630000}"/>
    <cellStyle name="Normal 37 2 2 4" xfId="1321" xr:uid="{00000000-0005-0000-0000-000005630000}"/>
    <cellStyle name="Normal 37 2 2 4 2" xfId="4323" xr:uid="{00000000-0005-0000-0000-000006630000}"/>
    <cellStyle name="Normal 37 2 2 4 2 2" xfId="8879" xr:uid="{00000000-0005-0000-0000-000007630000}"/>
    <cellStyle name="Normal 37 2 2 4 2 2 2" xfId="17975" xr:uid="{00000000-0005-0000-0000-000008630000}"/>
    <cellStyle name="Normal 37 2 2 4 2 2 2 2" xfId="36157" xr:uid="{00000000-0005-0000-0000-000009630000}"/>
    <cellStyle name="Normal 37 2 2 4 2 2 3" xfId="27067" xr:uid="{00000000-0005-0000-0000-00000A630000}"/>
    <cellStyle name="Normal 37 2 2 4 2 3" xfId="13435" xr:uid="{00000000-0005-0000-0000-00000B630000}"/>
    <cellStyle name="Normal 37 2 2 4 2 3 2" xfId="31617" xr:uid="{00000000-0005-0000-0000-00000C630000}"/>
    <cellStyle name="Normal 37 2 2 4 2 4" xfId="22527" xr:uid="{00000000-0005-0000-0000-00000D630000}"/>
    <cellStyle name="Normal 37 2 2 4 3" xfId="5962" xr:uid="{00000000-0005-0000-0000-00000E630000}"/>
    <cellStyle name="Normal 37 2 2 4 3 2" xfId="15062" xr:uid="{00000000-0005-0000-0000-00000F630000}"/>
    <cellStyle name="Normal 37 2 2 4 3 2 2" xfId="33244" xr:uid="{00000000-0005-0000-0000-000010630000}"/>
    <cellStyle name="Normal 37 2 2 4 3 3" xfId="24154" xr:uid="{00000000-0005-0000-0000-000011630000}"/>
    <cellStyle name="Normal 37 2 2 4 4" xfId="10528" xr:uid="{00000000-0005-0000-0000-000012630000}"/>
    <cellStyle name="Normal 37 2 2 4 4 2" xfId="28710" xr:uid="{00000000-0005-0000-0000-000013630000}"/>
    <cellStyle name="Normal 37 2 2 4 5" xfId="19619" xr:uid="{00000000-0005-0000-0000-000014630000}"/>
    <cellStyle name="Normal 37 2 2 5" xfId="2722" xr:uid="{00000000-0005-0000-0000-000015630000}"/>
    <cellStyle name="Normal 37 2 2 5 2" xfId="7307" xr:uid="{00000000-0005-0000-0000-000016630000}"/>
    <cellStyle name="Normal 37 2 2 5 2 2" xfId="16407" xr:uid="{00000000-0005-0000-0000-000017630000}"/>
    <cellStyle name="Normal 37 2 2 5 2 2 2" xfId="34589" xr:uid="{00000000-0005-0000-0000-000018630000}"/>
    <cellStyle name="Normal 37 2 2 5 2 3" xfId="25499" xr:uid="{00000000-0005-0000-0000-000019630000}"/>
    <cellStyle name="Normal 37 2 2 5 3" xfId="11871" xr:uid="{00000000-0005-0000-0000-00001A630000}"/>
    <cellStyle name="Normal 37 2 2 5 3 2" xfId="30053" xr:uid="{00000000-0005-0000-0000-00001B630000}"/>
    <cellStyle name="Normal 37 2 2 5 4" xfId="20963" xr:uid="{00000000-0005-0000-0000-00001C630000}"/>
    <cellStyle name="Normal 37 2 2 6" xfId="4319" xr:uid="{00000000-0005-0000-0000-00001D630000}"/>
    <cellStyle name="Normal 37 2 2 6 2" xfId="8875" xr:uid="{00000000-0005-0000-0000-00001E630000}"/>
    <cellStyle name="Normal 37 2 2 6 2 2" xfId="17971" xr:uid="{00000000-0005-0000-0000-00001F630000}"/>
    <cellStyle name="Normal 37 2 2 6 2 2 2" xfId="36153" xr:uid="{00000000-0005-0000-0000-000020630000}"/>
    <cellStyle name="Normal 37 2 2 6 2 3" xfId="27063" xr:uid="{00000000-0005-0000-0000-000021630000}"/>
    <cellStyle name="Normal 37 2 2 6 3" xfId="13431" xr:uid="{00000000-0005-0000-0000-000022630000}"/>
    <cellStyle name="Normal 37 2 2 6 3 2" xfId="31613" xr:uid="{00000000-0005-0000-0000-000023630000}"/>
    <cellStyle name="Normal 37 2 2 6 4" xfId="22523" xr:uid="{00000000-0005-0000-0000-000024630000}"/>
    <cellStyle name="Normal 37 2 2 7" xfId="5958" xr:uid="{00000000-0005-0000-0000-000025630000}"/>
    <cellStyle name="Normal 37 2 2 7 2" xfId="15058" xr:uid="{00000000-0005-0000-0000-000026630000}"/>
    <cellStyle name="Normal 37 2 2 7 2 2" xfId="33240" xr:uid="{00000000-0005-0000-0000-000027630000}"/>
    <cellStyle name="Normal 37 2 2 7 3" xfId="24150" xr:uid="{00000000-0005-0000-0000-000028630000}"/>
    <cellStyle name="Normal 37 2 2 8" xfId="10524" xr:uid="{00000000-0005-0000-0000-000029630000}"/>
    <cellStyle name="Normal 37 2 2 8 2" xfId="28706" xr:uid="{00000000-0005-0000-0000-00002A630000}"/>
    <cellStyle name="Normal 37 2 2 9" xfId="19615" xr:uid="{00000000-0005-0000-0000-00002B630000}"/>
    <cellStyle name="Normal 37 2 3" xfId="1322" xr:uid="{00000000-0005-0000-0000-00002C630000}"/>
    <cellStyle name="Normal 37 2 3 2" xfId="1323" xr:uid="{00000000-0005-0000-0000-00002D630000}"/>
    <cellStyle name="Normal 37 2 3 2 2" xfId="2723" xr:uid="{00000000-0005-0000-0000-00002E630000}"/>
    <cellStyle name="Normal 37 2 3 2 2 2" xfId="7308" xr:uid="{00000000-0005-0000-0000-00002F630000}"/>
    <cellStyle name="Normal 37 2 3 2 2 2 2" xfId="16408" xr:uid="{00000000-0005-0000-0000-000030630000}"/>
    <cellStyle name="Normal 37 2 3 2 2 2 2 2" xfId="34590" xr:uid="{00000000-0005-0000-0000-000031630000}"/>
    <cellStyle name="Normal 37 2 3 2 2 2 3" xfId="25500" xr:uid="{00000000-0005-0000-0000-000032630000}"/>
    <cellStyle name="Normal 37 2 3 2 2 3" xfId="11872" xr:uid="{00000000-0005-0000-0000-000033630000}"/>
    <cellStyle name="Normal 37 2 3 2 2 3 2" xfId="30054" xr:uid="{00000000-0005-0000-0000-000034630000}"/>
    <cellStyle name="Normal 37 2 3 2 2 4" xfId="20964" xr:uid="{00000000-0005-0000-0000-000035630000}"/>
    <cellStyle name="Normal 37 2 3 2 3" xfId="4325" xr:uid="{00000000-0005-0000-0000-000036630000}"/>
    <cellStyle name="Normal 37 2 3 2 3 2" xfId="8881" xr:uid="{00000000-0005-0000-0000-000037630000}"/>
    <cellStyle name="Normal 37 2 3 2 3 2 2" xfId="17977" xr:uid="{00000000-0005-0000-0000-000038630000}"/>
    <cellStyle name="Normal 37 2 3 2 3 2 2 2" xfId="36159" xr:uid="{00000000-0005-0000-0000-000039630000}"/>
    <cellStyle name="Normal 37 2 3 2 3 2 3" xfId="27069" xr:uid="{00000000-0005-0000-0000-00003A630000}"/>
    <cellStyle name="Normal 37 2 3 2 3 3" xfId="13437" xr:uid="{00000000-0005-0000-0000-00003B630000}"/>
    <cellStyle name="Normal 37 2 3 2 3 3 2" xfId="31619" xr:uid="{00000000-0005-0000-0000-00003C630000}"/>
    <cellStyle name="Normal 37 2 3 2 3 4" xfId="22529" xr:uid="{00000000-0005-0000-0000-00003D630000}"/>
    <cellStyle name="Normal 37 2 3 2 4" xfId="5964" xr:uid="{00000000-0005-0000-0000-00003E630000}"/>
    <cellStyle name="Normal 37 2 3 2 4 2" xfId="15064" xr:uid="{00000000-0005-0000-0000-00003F630000}"/>
    <cellStyle name="Normal 37 2 3 2 4 2 2" xfId="33246" xr:uid="{00000000-0005-0000-0000-000040630000}"/>
    <cellStyle name="Normal 37 2 3 2 4 3" xfId="24156" xr:uid="{00000000-0005-0000-0000-000041630000}"/>
    <cellStyle name="Normal 37 2 3 2 5" xfId="10530" xr:uid="{00000000-0005-0000-0000-000042630000}"/>
    <cellStyle name="Normal 37 2 3 2 5 2" xfId="28712" xr:uid="{00000000-0005-0000-0000-000043630000}"/>
    <cellStyle name="Normal 37 2 3 2 6" xfId="19621" xr:uid="{00000000-0005-0000-0000-000044630000}"/>
    <cellStyle name="Normal 37 2 3 3" xfId="2724" xr:uid="{00000000-0005-0000-0000-000045630000}"/>
    <cellStyle name="Normal 37 2 3 3 2" xfId="7309" xr:uid="{00000000-0005-0000-0000-000046630000}"/>
    <cellStyle name="Normal 37 2 3 3 2 2" xfId="16409" xr:uid="{00000000-0005-0000-0000-000047630000}"/>
    <cellStyle name="Normal 37 2 3 3 2 2 2" xfId="34591" xr:uid="{00000000-0005-0000-0000-000048630000}"/>
    <cellStyle name="Normal 37 2 3 3 2 3" xfId="25501" xr:uid="{00000000-0005-0000-0000-000049630000}"/>
    <cellStyle name="Normal 37 2 3 3 3" xfId="11873" xr:uid="{00000000-0005-0000-0000-00004A630000}"/>
    <cellStyle name="Normal 37 2 3 3 3 2" xfId="30055" xr:uid="{00000000-0005-0000-0000-00004B630000}"/>
    <cellStyle name="Normal 37 2 3 3 4" xfId="20965" xr:uid="{00000000-0005-0000-0000-00004C630000}"/>
    <cellStyle name="Normal 37 2 3 4" xfId="4324" xr:uid="{00000000-0005-0000-0000-00004D630000}"/>
    <cellStyle name="Normal 37 2 3 4 2" xfId="8880" xr:uid="{00000000-0005-0000-0000-00004E630000}"/>
    <cellStyle name="Normal 37 2 3 4 2 2" xfId="17976" xr:uid="{00000000-0005-0000-0000-00004F630000}"/>
    <cellStyle name="Normal 37 2 3 4 2 2 2" xfId="36158" xr:uid="{00000000-0005-0000-0000-000050630000}"/>
    <cellStyle name="Normal 37 2 3 4 2 3" xfId="27068" xr:uid="{00000000-0005-0000-0000-000051630000}"/>
    <cellStyle name="Normal 37 2 3 4 3" xfId="13436" xr:uid="{00000000-0005-0000-0000-000052630000}"/>
    <cellStyle name="Normal 37 2 3 4 3 2" xfId="31618" xr:uid="{00000000-0005-0000-0000-000053630000}"/>
    <cellStyle name="Normal 37 2 3 4 4" xfId="22528" xr:uid="{00000000-0005-0000-0000-000054630000}"/>
    <cellStyle name="Normal 37 2 3 5" xfId="5963" xr:uid="{00000000-0005-0000-0000-000055630000}"/>
    <cellStyle name="Normal 37 2 3 5 2" xfId="15063" xr:uid="{00000000-0005-0000-0000-000056630000}"/>
    <cellStyle name="Normal 37 2 3 5 2 2" xfId="33245" xr:uid="{00000000-0005-0000-0000-000057630000}"/>
    <cellStyle name="Normal 37 2 3 5 3" xfId="24155" xr:uid="{00000000-0005-0000-0000-000058630000}"/>
    <cellStyle name="Normal 37 2 3 6" xfId="10529" xr:uid="{00000000-0005-0000-0000-000059630000}"/>
    <cellStyle name="Normal 37 2 3 6 2" xfId="28711" xr:uid="{00000000-0005-0000-0000-00005A630000}"/>
    <cellStyle name="Normal 37 2 3 7" xfId="19620" xr:uid="{00000000-0005-0000-0000-00005B630000}"/>
    <cellStyle name="Normal 37 2 4" xfId="1324" xr:uid="{00000000-0005-0000-0000-00005C630000}"/>
    <cellStyle name="Normal 37 2 4 2" xfId="2725" xr:uid="{00000000-0005-0000-0000-00005D630000}"/>
    <cellStyle name="Normal 37 2 4 2 2" xfId="7310" xr:uid="{00000000-0005-0000-0000-00005E630000}"/>
    <cellStyle name="Normal 37 2 4 2 2 2" xfId="16410" xr:uid="{00000000-0005-0000-0000-00005F630000}"/>
    <cellStyle name="Normal 37 2 4 2 2 2 2" xfId="34592" xr:uid="{00000000-0005-0000-0000-000060630000}"/>
    <cellStyle name="Normal 37 2 4 2 2 3" xfId="25502" xr:uid="{00000000-0005-0000-0000-000061630000}"/>
    <cellStyle name="Normal 37 2 4 2 3" xfId="11874" xr:uid="{00000000-0005-0000-0000-000062630000}"/>
    <cellStyle name="Normal 37 2 4 2 3 2" xfId="30056" xr:uid="{00000000-0005-0000-0000-000063630000}"/>
    <cellStyle name="Normal 37 2 4 2 4" xfId="20966" xr:uid="{00000000-0005-0000-0000-000064630000}"/>
    <cellStyle name="Normal 37 2 4 3" xfId="4326" xr:uid="{00000000-0005-0000-0000-000065630000}"/>
    <cellStyle name="Normal 37 2 4 3 2" xfId="8882" xr:uid="{00000000-0005-0000-0000-000066630000}"/>
    <cellStyle name="Normal 37 2 4 3 2 2" xfId="17978" xr:uid="{00000000-0005-0000-0000-000067630000}"/>
    <cellStyle name="Normal 37 2 4 3 2 2 2" xfId="36160" xr:uid="{00000000-0005-0000-0000-000068630000}"/>
    <cellStyle name="Normal 37 2 4 3 2 3" xfId="27070" xr:uid="{00000000-0005-0000-0000-000069630000}"/>
    <cellStyle name="Normal 37 2 4 3 3" xfId="13438" xr:uid="{00000000-0005-0000-0000-00006A630000}"/>
    <cellStyle name="Normal 37 2 4 3 3 2" xfId="31620" xr:uid="{00000000-0005-0000-0000-00006B630000}"/>
    <cellStyle name="Normal 37 2 4 3 4" xfId="22530" xr:uid="{00000000-0005-0000-0000-00006C630000}"/>
    <cellStyle name="Normal 37 2 4 4" xfId="5965" xr:uid="{00000000-0005-0000-0000-00006D630000}"/>
    <cellStyle name="Normal 37 2 4 4 2" xfId="15065" xr:uid="{00000000-0005-0000-0000-00006E630000}"/>
    <cellStyle name="Normal 37 2 4 4 2 2" xfId="33247" xr:uid="{00000000-0005-0000-0000-00006F630000}"/>
    <cellStyle name="Normal 37 2 4 4 3" xfId="24157" xr:uid="{00000000-0005-0000-0000-000070630000}"/>
    <cellStyle name="Normal 37 2 4 5" xfId="10531" xr:uid="{00000000-0005-0000-0000-000071630000}"/>
    <cellStyle name="Normal 37 2 4 5 2" xfId="28713" xr:uid="{00000000-0005-0000-0000-000072630000}"/>
    <cellStyle name="Normal 37 2 4 6" xfId="19622" xr:uid="{00000000-0005-0000-0000-000073630000}"/>
    <cellStyle name="Normal 37 2 5" xfId="1325" xr:uid="{00000000-0005-0000-0000-000074630000}"/>
    <cellStyle name="Normal 37 2 5 2" xfId="4327" xr:uid="{00000000-0005-0000-0000-000075630000}"/>
    <cellStyle name="Normal 37 2 5 2 2" xfId="8883" xr:uid="{00000000-0005-0000-0000-000076630000}"/>
    <cellStyle name="Normal 37 2 5 2 2 2" xfId="17979" xr:uid="{00000000-0005-0000-0000-000077630000}"/>
    <cellStyle name="Normal 37 2 5 2 2 2 2" xfId="36161" xr:uid="{00000000-0005-0000-0000-000078630000}"/>
    <cellStyle name="Normal 37 2 5 2 2 3" xfId="27071" xr:uid="{00000000-0005-0000-0000-000079630000}"/>
    <cellStyle name="Normal 37 2 5 2 3" xfId="13439" xr:uid="{00000000-0005-0000-0000-00007A630000}"/>
    <cellStyle name="Normal 37 2 5 2 3 2" xfId="31621" xr:uid="{00000000-0005-0000-0000-00007B630000}"/>
    <cellStyle name="Normal 37 2 5 2 4" xfId="22531" xr:uid="{00000000-0005-0000-0000-00007C630000}"/>
    <cellStyle name="Normal 37 2 5 3" xfId="5966" xr:uid="{00000000-0005-0000-0000-00007D630000}"/>
    <cellStyle name="Normal 37 2 5 3 2" xfId="15066" xr:uid="{00000000-0005-0000-0000-00007E630000}"/>
    <cellStyle name="Normal 37 2 5 3 2 2" xfId="33248" xr:uid="{00000000-0005-0000-0000-00007F630000}"/>
    <cellStyle name="Normal 37 2 5 3 3" xfId="24158" xr:uid="{00000000-0005-0000-0000-000080630000}"/>
    <cellStyle name="Normal 37 2 5 4" xfId="10532" xr:uid="{00000000-0005-0000-0000-000081630000}"/>
    <cellStyle name="Normal 37 2 5 4 2" xfId="28714" xr:uid="{00000000-0005-0000-0000-000082630000}"/>
    <cellStyle name="Normal 37 2 5 5" xfId="19623" xr:uid="{00000000-0005-0000-0000-000083630000}"/>
    <cellStyle name="Normal 37 2 6" xfId="2726" xr:uid="{00000000-0005-0000-0000-000084630000}"/>
    <cellStyle name="Normal 37 2 6 2" xfId="7311" xr:uid="{00000000-0005-0000-0000-000085630000}"/>
    <cellStyle name="Normal 37 2 6 2 2" xfId="16411" xr:uid="{00000000-0005-0000-0000-000086630000}"/>
    <cellStyle name="Normal 37 2 6 2 2 2" xfId="34593" xr:uid="{00000000-0005-0000-0000-000087630000}"/>
    <cellStyle name="Normal 37 2 6 2 3" xfId="25503" xr:uid="{00000000-0005-0000-0000-000088630000}"/>
    <cellStyle name="Normal 37 2 6 3" xfId="11875" xr:uid="{00000000-0005-0000-0000-000089630000}"/>
    <cellStyle name="Normal 37 2 6 3 2" xfId="30057" xr:uid="{00000000-0005-0000-0000-00008A630000}"/>
    <cellStyle name="Normal 37 2 6 4" xfId="20967" xr:uid="{00000000-0005-0000-0000-00008B630000}"/>
    <cellStyle name="Normal 37 2 7" xfId="3260" xr:uid="{00000000-0005-0000-0000-00008C630000}"/>
    <cellStyle name="Normal 37 2 7 2" xfId="7820" xr:uid="{00000000-0005-0000-0000-00008D630000}"/>
    <cellStyle name="Normal 37 2 7 2 2" xfId="16916" xr:uid="{00000000-0005-0000-0000-00008E630000}"/>
    <cellStyle name="Normal 37 2 7 2 2 2" xfId="35098" xr:uid="{00000000-0005-0000-0000-00008F630000}"/>
    <cellStyle name="Normal 37 2 7 2 3" xfId="26008" xr:uid="{00000000-0005-0000-0000-000090630000}"/>
    <cellStyle name="Normal 37 2 7 3" xfId="12376" xr:uid="{00000000-0005-0000-0000-000091630000}"/>
    <cellStyle name="Normal 37 2 7 3 2" xfId="30558" xr:uid="{00000000-0005-0000-0000-000092630000}"/>
    <cellStyle name="Normal 37 2 7 4" xfId="21468" xr:uid="{00000000-0005-0000-0000-000093630000}"/>
    <cellStyle name="Normal 37 2 8" xfId="4907" xr:uid="{00000000-0005-0000-0000-000094630000}"/>
    <cellStyle name="Normal 37 2 8 2" xfId="14007" xr:uid="{00000000-0005-0000-0000-000095630000}"/>
    <cellStyle name="Normal 37 2 8 2 2" xfId="32189" xr:uid="{00000000-0005-0000-0000-000096630000}"/>
    <cellStyle name="Normal 37 2 8 3" xfId="23099" xr:uid="{00000000-0005-0000-0000-000097630000}"/>
    <cellStyle name="Normal 37 2 9" xfId="9473" xr:uid="{00000000-0005-0000-0000-000098630000}"/>
    <cellStyle name="Normal 37 2 9 2" xfId="27655" xr:uid="{00000000-0005-0000-0000-000099630000}"/>
    <cellStyle name="Normal 37 3" xfId="1326" xr:uid="{00000000-0005-0000-0000-00009A630000}"/>
    <cellStyle name="Normal 37 3 2" xfId="1327" xr:uid="{00000000-0005-0000-0000-00009B630000}"/>
    <cellStyle name="Normal 37 3 2 2" xfId="1328" xr:uid="{00000000-0005-0000-0000-00009C630000}"/>
    <cellStyle name="Normal 37 3 2 2 2" xfId="2727" xr:uid="{00000000-0005-0000-0000-00009D630000}"/>
    <cellStyle name="Normal 37 3 2 2 2 2" xfId="7312" xr:uid="{00000000-0005-0000-0000-00009E630000}"/>
    <cellStyle name="Normal 37 3 2 2 2 2 2" xfId="16412" xr:uid="{00000000-0005-0000-0000-00009F630000}"/>
    <cellStyle name="Normal 37 3 2 2 2 2 2 2" xfId="34594" xr:uid="{00000000-0005-0000-0000-0000A0630000}"/>
    <cellStyle name="Normal 37 3 2 2 2 2 3" xfId="25504" xr:uid="{00000000-0005-0000-0000-0000A1630000}"/>
    <cellStyle name="Normal 37 3 2 2 2 3" xfId="11876" xr:uid="{00000000-0005-0000-0000-0000A2630000}"/>
    <cellStyle name="Normal 37 3 2 2 2 3 2" xfId="30058" xr:uid="{00000000-0005-0000-0000-0000A3630000}"/>
    <cellStyle name="Normal 37 3 2 2 2 4" xfId="20968" xr:uid="{00000000-0005-0000-0000-0000A4630000}"/>
    <cellStyle name="Normal 37 3 2 2 3" xfId="4330" xr:uid="{00000000-0005-0000-0000-0000A5630000}"/>
    <cellStyle name="Normal 37 3 2 2 3 2" xfId="8886" xr:uid="{00000000-0005-0000-0000-0000A6630000}"/>
    <cellStyle name="Normal 37 3 2 2 3 2 2" xfId="17982" xr:uid="{00000000-0005-0000-0000-0000A7630000}"/>
    <cellStyle name="Normal 37 3 2 2 3 2 2 2" xfId="36164" xr:uid="{00000000-0005-0000-0000-0000A8630000}"/>
    <cellStyle name="Normal 37 3 2 2 3 2 3" xfId="27074" xr:uid="{00000000-0005-0000-0000-0000A9630000}"/>
    <cellStyle name="Normal 37 3 2 2 3 3" xfId="13442" xr:uid="{00000000-0005-0000-0000-0000AA630000}"/>
    <cellStyle name="Normal 37 3 2 2 3 3 2" xfId="31624" xr:uid="{00000000-0005-0000-0000-0000AB630000}"/>
    <cellStyle name="Normal 37 3 2 2 3 4" xfId="22534" xr:uid="{00000000-0005-0000-0000-0000AC630000}"/>
    <cellStyle name="Normal 37 3 2 2 4" xfId="5969" xr:uid="{00000000-0005-0000-0000-0000AD630000}"/>
    <cellStyle name="Normal 37 3 2 2 4 2" xfId="15069" xr:uid="{00000000-0005-0000-0000-0000AE630000}"/>
    <cellStyle name="Normal 37 3 2 2 4 2 2" xfId="33251" xr:uid="{00000000-0005-0000-0000-0000AF630000}"/>
    <cellStyle name="Normal 37 3 2 2 4 3" xfId="24161" xr:uid="{00000000-0005-0000-0000-0000B0630000}"/>
    <cellStyle name="Normal 37 3 2 2 5" xfId="10535" xr:uid="{00000000-0005-0000-0000-0000B1630000}"/>
    <cellStyle name="Normal 37 3 2 2 5 2" xfId="28717" xr:uid="{00000000-0005-0000-0000-0000B2630000}"/>
    <cellStyle name="Normal 37 3 2 2 6" xfId="19626" xr:uid="{00000000-0005-0000-0000-0000B3630000}"/>
    <cellStyle name="Normal 37 3 2 3" xfId="2728" xr:uid="{00000000-0005-0000-0000-0000B4630000}"/>
    <cellStyle name="Normal 37 3 2 3 2" xfId="7313" xr:uid="{00000000-0005-0000-0000-0000B5630000}"/>
    <cellStyle name="Normal 37 3 2 3 2 2" xfId="16413" xr:uid="{00000000-0005-0000-0000-0000B6630000}"/>
    <cellStyle name="Normal 37 3 2 3 2 2 2" xfId="34595" xr:uid="{00000000-0005-0000-0000-0000B7630000}"/>
    <cellStyle name="Normal 37 3 2 3 2 3" xfId="25505" xr:uid="{00000000-0005-0000-0000-0000B8630000}"/>
    <cellStyle name="Normal 37 3 2 3 3" xfId="11877" xr:uid="{00000000-0005-0000-0000-0000B9630000}"/>
    <cellStyle name="Normal 37 3 2 3 3 2" xfId="30059" xr:uid="{00000000-0005-0000-0000-0000BA630000}"/>
    <cellStyle name="Normal 37 3 2 3 4" xfId="20969" xr:uid="{00000000-0005-0000-0000-0000BB630000}"/>
    <cellStyle name="Normal 37 3 2 4" xfId="4329" xr:uid="{00000000-0005-0000-0000-0000BC630000}"/>
    <cellStyle name="Normal 37 3 2 4 2" xfId="8885" xr:uid="{00000000-0005-0000-0000-0000BD630000}"/>
    <cellStyle name="Normal 37 3 2 4 2 2" xfId="17981" xr:uid="{00000000-0005-0000-0000-0000BE630000}"/>
    <cellStyle name="Normal 37 3 2 4 2 2 2" xfId="36163" xr:uid="{00000000-0005-0000-0000-0000BF630000}"/>
    <cellStyle name="Normal 37 3 2 4 2 3" xfId="27073" xr:uid="{00000000-0005-0000-0000-0000C0630000}"/>
    <cellStyle name="Normal 37 3 2 4 3" xfId="13441" xr:uid="{00000000-0005-0000-0000-0000C1630000}"/>
    <cellStyle name="Normal 37 3 2 4 3 2" xfId="31623" xr:uid="{00000000-0005-0000-0000-0000C2630000}"/>
    <cellStyle name="Normal 37 3 2 4 4" xfId="22533" xr:uid="{00000000-0005-0000-0000-0000C3630000}"/>
    <cellStyle name="Normal 37 3 2 5" xfId="5968" xr:uid="{00000000-0005-0000-0000-0000C4630000}"/>
    <cellStyle name="Normal 37 3 2 5 2" xfId="15068" xr:uid="{00000000-0005-0000-0000-0000C5630000}"/>
    <cellStyle name="Normal 37 3 2 5 2 2" xfId="33250" xr:uid="{00000000-0005-0000-0000-0000C6630000}"/>
    <cellStyle name="Normal 37 3 2 5 3" xfId="24160" xr:uid="{00000000-0005-0000-0000-0000C7630000}"/>
    <cellStyle name="Normal 37 3 2 6" xfId="10534" xr:uid="{00000000-0005-0000-0000-0000C8630000}"/>
    <cellStyle name="Normal 37 3 2 6 2" xfId="28716" xr:uid="{00000000-0005-0000-0000-0000C9630000}"/>
    <cellStyle name="Normal 37 3 2 7" xfId="19625" xr:uid="{00000000-0005-0000-0000-0000CA630000}"/>
    <cellStyle name="Normal 37 3 3" xfId="1329" xr:uid="{00000000-0005-0000-0000-0000CB630000}"/>
    <cellStyle name="Normal 37 3 3 2" xfId="2729" xr:uid="{00000000-0005-0000-0000-0000CC630000}"/>
    <cellStyle name="Normal 37 3 3 2 2" xfId="7314" xr:uid="{00000000-0005-0000-0000-0000CD630000}"/>
    <cellStyle name="Normal 37 3 3 2 2 2" xfId="16414" xr:uid="{00000000-0005-0000-0000-0000CE630000}"/>
    <cellStyle name="Normal 37 3 3 2 2 2 2" xfId="34596" xr:uid="{00000000-0005-0000-0000-0000CF630000}"/>
    <cellStyle name="Normal 37 3 3 2 2 3" xfId="25506" xr:uid="{00000000-0005-0000-0000-0000D0630000}"/>
    <cellStyle name="Normal 37 3 3 2 3" xfId="11878" xr:uid="{00000000-0005-0000-0000-0000D1630000}"/>
    <cellStyle name="Normal 37 3 3 2 3 2" xfId="30060" xr:uid="{00000000-0005-0000-0000-0000D2630000}"/>
    <cellStyle name="Normal 37 3 3 2 4" xfId="20970" xr:uid="{00000000-0005-0000-0000-0000D3630000}"/>
    <cellStyle name="Normal 37 3 3 3" xfId="4331" xr:uid="{00000000-0005-0000-0000-0000D4630000}"/>
    <cellStyle name="Normal 37 3 3 3 2" xfId="8887" xr:uid="{00000000-0005-0000-0000-0000D5630000}"/>
    <cellStyle name="Normal 37 3 3 3 2 2" xfId="17983" xr:uid="{00000000-0005-0000-0000-0000D6630000}"/>
    <cellStyle name="Normal 37 3 3 3 2 2 2" xfId="36165" xr:uid="{00000000-0005-0000-0000-0000D7630000}"/>
    <cellStyle name="Normal 37 3 3 3 2 3" xfId="27075" xr:uid="{00000000-0005-0000-0000-0000D8630000}"/>
    <cellStyle name="Normal 37 3 3 3 3" xfId="13443" xr:uid="{00000000-0005-0000-0000-0000D9630000}"/>
    <cellStyle name="Normal 37 3 3 3 3 2" xfId="31625" xr:uid="{00000000-0005-0000-0000-0000DA630000}"/>
    <cellStyle name="Normal 37 3 3 3 4" xfId="22535" xr:uid="{00000000-0005-0000-0000-0000DB630000}"/>
    <cellStyle name="Normal 37 3 3 4" xfId="5970" xr:uid="{00000000-0005-0000-0000-0000DC630000}"/>
    <cellStyle name="Normal 37 3 3 4 2" xfId="15070" xr:uid="{00000000-0005-0000-0000-0000DD630000}"/>
    <cellStyle name="Normal 37 3 3 4 2 2" xfId="33252" xr:uid="{00000000-0005-0000-0000-0000DE630000}"/>
    <cellStyle name="Normal 37 3 3 4 3" xfId="24162" xr:uid="{00000000-0005-0000-0000-0000DF630000}"/>
    <cellStyle name="Normal 37 3 3 5" xfId="10536" xr:uid="{00000000-0005-0000-0000-0000E0630000}"/>
    <cellStyle name="Normal 37 3 3 5 2" xfId="28718" xr:uid="{00000000-0005-0000-0000-0000E1630000}"/>
    <cellStyle name="Normal 37 3 3 6" xfId="19627" xr:uid="{00000000-0005-0000-0000-0000E2630000}"/>
    <cellStyle name="Normal 37 3 4" xfId="1330" xr:uid="{00000000-0005-0000-0000-0000E3630000}"/>
    <cellStyle name="Normal 37 3 4 2" xfId="4332" xr:uid="{00000000-0005-0000-0000-0000E4630000}"/>
    <cellStyle name="Normal 37 3 4 2 2" xfId="8888" xr:uid="{00000000-0005-0000-0000-0000E5630000}"/>
    <cellStyle name="Normal 37 3 4 2 2 2" xfId="17984" xr:uid="{00000000-0005-0000-0000-0000E6630000}"/>
    <cellStyle name="Normal 37 3 4 2 2 2 2" xfId="36166" xr:uid="{00000000-0005-0000-0000-0000E7630000}"/>
    <cellStyle name="Normal 37 3 4 2 2 3" xfId="27076" xr:uid="{00000000-0005-0000-0000-0000E8630000}"/>
    <cellStyle name="Normal 37 3 4 2 3" xfId="13444" xr:uid="{00000000-0005-0000-0000-0000E9630000}"/>
    <cellStyle name="Normal 37 3 4 2 3 2" xfId="31626" xr:uid="{00000000-0005-0000-0000-0000EA630000}"/>
    <cellStyle name="Normal 37 3 4 2 4" xfId="22536" xr:uid="{00000000-0005-0000-0000-0000EB630000}"/>
    <cellStyle name="Normal 37 3 4 3" xfId="5971" xr:uid="{00000000-0005-0000-0000-0000EC630000}"/>
    <cellStyle name="Normal 37 3 4 3 2" xfId="15071" xr:uid="{00000000-0005-0000-0000-0000ED630000}"/>
    <cellStyle name="Normal 37 3 4 3 2 2" xfId="33253" xr:uid="{00000000-0005-0000-0000-0000EE630000}"/>
    <cellStyle name="Normal 37 3 4 3 3" xfId="24163" xr:uid="{00000000-0005-0000-0000-0000EF630000}"/>
    <cellStyle name="Normal 37 3 4 4" xfId="10537" xr:uid="{00000000-0005-0000-0000-0000F0630000}"/>
    <cellStyle name="Normal 37 3 4 4 2" xfId="28719" xr:uid="{00000000-0005-0000-0000-0000F1630000}"/>
    <cellStyle name="Normal 37 3 4 5" xfId="19628" xr:uid="{00000000-0005-0000-0000-0000F2630000}"/>
    <cellStyle name="Normal 37 3 5" xfId="2730" xr:uid="{00000000-0005-0000-0000-0000F3630000}"/>
    <cellStyle name="Normal 37 3 5 2" xfId="7315" xr:uid="{00000000-0005-0000-0000-0000F4630000}"/>
    <cellStyle name="Normal 37 3 5 2 2" xfId="16415" xr:uid="{00000000-0005-0000-0000-0000F5630000}"/>
    <cellStyle name="Normal 37 3 5 2 2 2" xfId="34597" xr:uid="{00000000-0005-0000-0000-0000F6630000}"/>
    <cellStyle name="Normal 37 3 5 2 3" xfId="25507" xr:uid="{00000000-0005-0000-0000-0000F7630000}"/>
    <cellStyle name="Normal 37 3 5 3" xfId="11879" xr:uid="{00000000-0005-0000-0000-0000F8630000}"/>
    <cellStyle name="Normal 37 3 5 3 2" xfId="30061" xr:uid="{00000000-0005-0000-0000-0000F9630000}"/>
    <cellStyle name="Normal 37 3 5 4" xfId="20971" xr:uid="{00000000-0005-0000-0000-0000FA630000}"/>
    <cellStyle name="Normal 37 3 6" xfId="4328" xr:uid="{00000000-0005-0000-0000-0000FB630000}"/>
    <cellStyle name="Normal 37 3 6 2" xfId="8884" xr:uid="{00000000-0005-0000-0000-0000FC630000}"/>
    <cellStyle name="Normal 37 3 6 2 2" xfId="17980" xr:uid="{00000000-0005-0000-0000-0000FD630000}"/>
    <cellStyle name="Normal 37 3 6 2 2 2" xfId="36162" xr:uid="{00000000-0005-0000-0000-0000FE630000}"/>
    <cellStyle name="Normal 37 3 6 2 3" xfId="27072" xr:uid="{00000000-0005-0000-0000-0000FF630000}"/>
    <cellStyle name="Normal 37 3 6 3" xfId="13440" xr:uid="{00000000-0005-0000-0000-000000640000}"/>
    <cellStyle name="Normal 37 3 6 3 2" xfId="31622" xr:uid="{00000000-0005-0000-0000-000001640000}"/>
    <cellStyle name="Normal 37 3 6 4" xfId="22532" xr:uid="{00000000-0005-0000-0000-000002640000}"/>
    <cellStyle name="Normal 37 3 7" xfId="5967" xr:uid="{00000000-0005-0000-0000-000003640000}"/>
    <cellStyle name="Normal 37 3 7 2" xfId="15067" xr:uid="{00000000-0005-0000-0000-000004640000}"/>
    <cellStyle name="Normal 37 3 7 2 2" xfId="33249" xr:uid="{00000000-0005-0000-0000-000005640000}"/>
    <cellStyle name="Normal 37 3 7 3" xfId="24159" xr:uid="{00000000-0005-0000-0000-000006640000}"/>
    <cellStyle name="Normal 37 3 8" xfId="10533" xr:uid="{00000000-0005-0000-0000-000007640000}"/>
    <cellStyle name="Normal 37 3 8 2" xfId="28715" xr:uid="{00000000-0005-0000-0000-000008640000}"/>
    <cellStyle name="Normal 37 3 9" xfId="19624" xr:uid="{00000000-0005-0000-0000-000009640000}"/>
    <cellStyle name="Normal 37 4" xfId="1331" xr:uid="{00000000-0005-0000-0000-00000A640000}"/>
    <cellStyle name="Normal 37 4 2" xfId="1332" xr:uid="{00000000-0005-0000-0000-00000B640000}"/>
    <cellStyle name="Normal 37 4 2 2" xfId="2731" xr:uid="{00000000-0005-0000-0000-00000C640000}"/>
    <cellStyle name="Normal 37 4 2 2 2" xfId="7316" xr:uid="{00000000-0005-0000-0000-00000D640000}"/>
    <cellStyle name="Normal 37 4 2 2 2 2" xfId="16416" xr:uid="{00000000-0005-0000-0000-00000E640000}"/>
    <cellStyle name="Normal 37 4 2 2 2 2 2" xfId="34598" xr:uid="{00000000-0005-0000-0000-00000F640000}"/>
    <cellStyle name="Normal 37 4 2 2 2 3" xfId="25508" xr:uid="{00000000-0005-0000-0000-000010640000}"/>
    <cellStyle name="Normal 37 4 2 2 3" xfId="11880" xr:uid="{00000000-0005-0000-0000-000011640000}"/>
    <cellStyle name="Normal 37 4 2 2 3 2" xfId="30062" xr:uid="{00000000-0005-0000-0000-000012640000}"/>
    <cellStyle name="Normal 37 4 2 2 4" xfId="20972" xr:uid="{00000000-0005-0000-0000-000013640000}"/>
    <cellStyle name="Normal 37 4 2 3" xfId="4334" xr:uid="{00000000-0005-0000-0000-000014640000}"/>
    <cellStyle name="Normal 37 4 2 3 2" xfId="8890" xr:uid="{00000000-0005-0000-0000-000015640000}"/>
    <cellStyle name="Normal 37 4 2 3 2 2" xfId="17986" xr:uid="{00000000-0005-0000-0000-000016640000}"/>
    <cellStyle name="Normal 37 4 2 3 2 2 2" xfId="36168" xr:uid="{00000000-0005-0000-0000-000017640000}"/>
    <cellStyle name="Normal 37 4 2 3 2 3" xfId="27078" xr:uid="{00000000-0005-0000-0000-000018640000}"/>
    <cellStyle name="Normal 37 4 2 3 3" xfId="13446" xr:uid="{00000000-0005-0000-0000-000019640000}"/>
    <cellStyle name="Normal 37 4 2 3 3 2" xfId="31628" xr:uid="{00000000-0005-0000-0000-00001A640000}"/>
    <cellStyle name="Normal 37 4 2 3 4" xfId="22538" xr:uid="{00000000-0005-0000-0000-00001B640000}"/>
    <cellStyle name="Normal 37 4 2 4" xfId="5973" xr:uid="{00000000-0005-0000-0000-00001C640000}"/>
    <cellStyle name="Normal 37 4 2 4 2" xfId="15073" xr:uid="{00000000-0005-0000-0000-00001D640000}"/>
    <cellStyle name="Normal 37 4 2 4 2 2" xfId="33255" xr:uid="{00000000-0005-0000-0000-00001E640000}"/>
    <cellStyle name="Normal 37 4 2 4 3" xfId="24165" xr:uid="{00000000-0005-0000-0000-00001F640000}"/>
    <cellStyle name="Normal 37 4 2 5" xfId="10539" xr:uid="{00000000-0005-0000-0000-000020640000}"/>
    <cellStyle name="Normal 37 4 2 5 2" xfId="28721" xr:uid="{00000000-0005-0000-0000-000021640000}"/>
    <cellStyle name="Normal 37 4 2 6" xfId="19630" xr:uid="{00000000-0005-0000-0000-000022640000}"/>
    <cellStyle name="Normal 37 4 3" xfId="2732" xr:uid="{00000000-0005-0000-0000-000023640000}"/>
    <cellStyle name="Normal 37 4 3 2" xfId="7317" xr:uid="{00000000-0005-0000-0000-000024640000}"/>
    <cellStyle name="Normal 37 4 3 2 2" xfId="16417" xr:uid="{00000000-0005-0000-0000-000025640000}"/>
    <cellStyle name="Normal 37 4 3 2 2 2" xfId="34599" xr:uid="{00000000-0005-0000-0000-000026640000}"/>
    <cellStyle name="Normal 37 4 3 2 3" xfId="25509" xr:uid="{00000000-0005-0000-0000-000027640000}"/>
    <cellStyle name="Normal 37 4 3 3" xfId="11881" xr:uid="{00000000-0005-0000-0000-000028640000}"/>
    <cellStyle name="Normal 37 4 3 3 2" xfId="30063" xr:uid="{00000000-0005-0000-0000-000029640000}"/>
    <cellStyle name="Normal 37 4 3 4" xfId="20973" xr:uid="{00000000-0005-0000-0000-00002A640000}"/>
    <cellStyle name="Normal 37 4 4" xfId="4333" xr:uid="{00000000-0005-0000-0000-00002B640000}"/>
    <cellStyle name="Normal 37 4 4 2" xfId="8889" xr:uid="{00000000-0005-0000-0000-00002C640000}"/>
    <cellStyle name="Normal 37 4 4 2 2" xfId="17985" xr:uid="{00000000-0005-0000-0000-00002D640000}"/>
    <cellStyle name="Normal 37 4 4 2 2 2" xfId="36167" xr:uid="{00000000-0005-0000-0000-00002E640000}"/>
    <cellStyle name="Normal 37 4 4 2 3" xfId="27077" xr:uid="{00000000-0005-0000-0000-00002F640000}"/>
    <cellStyle name="Normal 37 4 4 3" xfId="13445" xr:uid="{00000000-0005-0000-0000-000030640000}"/>
    <cellStyle name="Normal 37 4 4 3 2" xfId="31627" xr:uid="{00000000-0005-0000-0000-000031640000}"/>
    <cellStyle name="Normal 37 4 4 4" xfId="22537" xr:uid="{00000000-0005-0000-0000-000032640000}"/>
    <cellStyle name="Normal 37 4 5" xfId="5972" xr:uid="{00000000-0005-0000-0000-000033640000}"/>
    <cellStyle name="Normal 37 4 5 2" xfId="15072" xr:uid="{00000000-0005-0000-0000-000034640000}"/>
    <cellStyle name="Normal 37 4 5 2 2" xfId="33254" xr:uid="{00000000-0005-0000-0000-000035640000}"/>
    <cellStyle name="Normal 37 4 5 3" xfId="24164" xr:uid="{00000000-0005-0000-0000-000036640000}"/>
    <cellStyle name="Normal 37 4 6" xfId="10538" xr:uid="{00000000-0005-0000-0000-000037640000}"/>
    <cellStyle name="Normal 37 4 6 2" xfId="28720" xr:uid="{00000000-0005-0000-0000-000038640000}"/>
    <cellStyle name="Normal 37 4 7" xfId="19629" xr:uid="{00000000-0005-0000-0000-000039640000}"/>
    <cellStyle name="Normal 37 5" xfId="1333" xr:uid="{00000000-0005-0000-0000-00003A640000}"/>
    <cellStyle name="Normal 37 5 2" xfId="2733" xr:uid="{00000000-0005-0000-0000-00003B640000}"/>
    <cellStyle name="Normal 37 5 2 2" xfId="7318" xr:uid="{00000000-0005-0000-0000-00003C640000}"/>
    <cellStyle name="Normal 37 5 2 2 2" xfId="16418" xr:uid="{00000000-0005-0000-0000-00003D640000}"/>
    <cellStyle name="Normal 37 5 2 2 2 2" xfId="34600" xr:uid="{00000000-0005-0000-0000-00003E640000}"/>
    <cellStyle name="Normal 37 5 2 2 3" xfId="25510" xr:uid="{00000000-0005-0000-0000-00003F640000}"/>
    <cellStyle name="Normal 37 5 2 3" xfId="11882" xr:uid="{00000000-0005-0000-0000-000040640000}"/>
    <cellStyle name="Normal 37 5 2 3 2" xfId="30064" xr:uid="{00000000-0005-0000-0000-000041640000}"/>
    <cellStyle name="Normal 37 5 2 4" xfId="20974" xr:uid="{00000000-0005-0000-0000-000042640000}"/>
    <cellStyle name="Normal 37 5 3" xfId="4335" xr:uid="{00000000-0005-0000-0000-000043640000}"/>
    <cellStyle name="Normal 37 5 3 2" xfId="8891" xr:uid="{00000000-0005-0000-0000-000044640000}"/>
    <cellStyle name="Normal 37 5 3 2 2" xfId="17987" xr:uid="{00000000-0005-0000-0000-000045640000}"/>
    <cellStyle name="Normal 37 5 3 2 2 2" xfId="36169" xr:uid="{00000000-0005-0000-0000-000046640000}"/>
    <cellStyle name="Normal 37 5 3 2 3" xfId="27079" xr:uid="{00000000-0005-0000-0000-000047640000}"/>
    <cellStyle name="Normal 37 5 3 3" xfId="13447" xr:uid="{00000000-0005-0000-0000-000048640000}"/>
    <cellStyle name="Normal 37 5 3 3 2" xfId="31629" xr:uid="{00000000-0005-0000-0000-000049640000}"/>
    <cellStyle name="Normal 37 5 3 4" xfId="22539" xr:uid="{00000000-0005-0000-0000-00004A640000}"/>
    <cellStyle name="Normal 37 5 4" xfId="5974" xr:uid="{00000000-0005-0000-0000-00004B640000}"/>
    <cellStyle name="Normal 37 5 4 2" xfId="15074" xr:uid="{00000000-0005-0000-0000-00004C640000}"/>
    <cellStyle name="Normal 37 5 4 2 2" xfId="33256" xr:uid="{00000000-0005-0000-0000-00004D640000}"/>
    <cellStyle name="Normal 37 5 4 3" xfId="24166" xr:uid="{00000000-0005-0000-0000-00004E640000}"/>
    <cellStyle name="Normal 37 5 5" xfId="10540" xr:uid="{00000000-0005-0000-0000-00004F640000}"/>
    <cellStyle name="Normal 37 5 5 2" xfId="28722" xr:uid="{00000000-0005-0000-0000-000050640000}"/>
    <cellStyle name="Normal 37 5 6" xfId="19631" xr:uid="{00000000-0005-0000-0000-000051640000}"/>
    <cellStyle name="Normal 37 6" xfId="1334" xr:uid="{00000000-0005-0000-0000-000052640000}"/>
    <cellStyle name="Normal 37 6 2" xfId="4336" xr:uid="{00000000-0005-0000-0000-000053640000}"/>
    <cellStyle name="Normal 37 6 2 2" xfId="8892" xr:uid="{00000000-0005-0000-0000-000054640000}"/>
    <cellStyle name="Normal 37 6 2 2 2" xfId="17988" xr:uid="{00000000-0005-0000-0000-000055640000}"/>
    <cellStyle name="Normal 37 6 2 2 2 2" xfId="36170" xr:uid="{00000000-0005-0000-0000-000056640000}"/>
    <cellStyle name="Normal 37 6 2 2 3" xfId="27080" xr:uid="{00000000-0005-0000-0000-000057640000}"/>
    <cellStyle name="Normal 37 6 2 3" xfId="13448" xr:uid="{00000000-0005-0000-0000-000058640000}"/>
    <cellStyle name="Normal 37 6 2 3 2" xfId="31630" xr:uid="{00000000-0005-0000-0000-000059640000}"/>
    <cellStyle name="Normal 37 6 2 4" xfId="22540" xr:uid="{00000000-0005-0000-0000-00005A640000}"/>
    <cellStyle name="Normal 37 6 3" xfId="5975" xr:uid="{00000000-0005-0000-0000-00005B640000}"/>
    <cellStyle name="Normal 37 6 3 2" xfId="15075" xr:uid="{00000000-0005-0000-0000-00005C640000}"/>
    <cellStyle name="Normal 37 6 3 2 2" xfId="33257" xr:uid="{00000000-0005-0000-0000-00005D640000}"/>
    <cellStyle name="Normal 37 6 3 3" xfId="24167" xr:uid="{00000000-0005-0000-0000-00005E640000}"/>
    <cellStyle name="Normal 37 6 4" xfId="10541" xr:uid="{00000000-0005-0000-0000-00005F640000}"/>
    <cellStyle name="Normal 37 6 4 2" xfId="28723" xr:uid="{00000000-0005-0000-0000-000060640000}"/>
    <cellStyle name="Normal 37 6 5" xfId="19632" xr:uid="{00000000-0005-0000-0000-000061640000}"/>
    <cellStyle name="Normal 37 7" xfId="2734" xr:uid="{00000000-0005-0000-0000-000062640000}"/>
    <cellStyle name="Normal 37 7 2" xfId="7319" xr:uid="{00000000-0005-0000-0000-000063640000}"/>
    <cellStyle name="Normal 37 7 2 2" xfId="16419" xr:uid="{00000000-0005-0000-0000-000064640000}"/>
    <cellStyle name="Normal 37 7 2 2 2" xfId="34601" xr:uid="{00000000-0005-0000-0000-000065640000}"/>
    <cellStyle name="Normal 37 7 2 3" xfId="25511" xr:uid="{00000000-0005-0000-0000-000066640000}"/>
    <cellStyle name="Normal 37 7 3" xfId="11883" xr:uid="{00000000-0005-0000-0000-000067640000}"/>
    <cellStyle name="Normal 37 7 3 2" xfId="30065" xr:uid="{00000000-0005-0000-0000-000068640000}"/>
    <cellStyle name="Normal 37 7 4" xfId="20975" xr:uid="{00000000-0005-0000-0000-000069640000}"/>
    <cellStyle name="Normal 37 8" xfId="3255" xr:uid="{00000000-0005-0000-0000-00006A640000}"/>
    <cellStyle name="Normal 37 8 2" xfId="7815" xr:uid="{00000000-0005-0000-0000-00006B640000}"/>
    <cellStyle name="Normal 37 8 2 2" xfId="16911" xr:uid="{00000000-0005-0000-0000-00006C640000}"/>
    <cellStyle name="Normal 37 8 2 2 2" xfId="35093" xr:uid="{00000000-0005-0000-0000-00006D640000}"/>
    <cellStyle name="Normal 37 8 2 3" xfId="26003" xr:uid="{00000000-0005-0000-0000-00006E640000}"/>
    <cellStyle name="Normal 37 8 3" xfId="12371" xr:uid="{00000000-0005-0000-0000-00006F640000}"/>
    <cellStyle name="Normal 37 8 3 2" xfId="30553" xr:uid="{00000000-0005-0000-0000-000070640000}"/>
    <cellStyle name="Normal 37 8 4" xfId="21463" xr:uid="{00000000-0005-0000-0000-000071640000}"/>
    <cellStyle name="Normal 37 9" xfId="4902" xr:uid="{00000000-0005-0000-0000-000072640000}"/>
    <cellStyle name="Normal 37 9 2" xfId="14002" xr:uid="{00000000-0005-0000-0000-000073640000}"/>
    <cellStyle name="Normal 37 9 2 2" xfId="32184" xr:uid="{00000000-0005-0000-0000-000074640000}"/>
    <cellStyle name="Normal 37 9 3" xfId="23094" xr:uid="{00000000-0005-0000-0000-000075640000}"/>
    <cellStyle name="Normal 38" xfId="198" xr:uid="{00000000-0005-0000-0000-000076640000}"/>
    <cellStyle name="Normal 38 10" xfId="9480" xr:uid="{00000000-0005-0000-0000-000077640000}"/>
    <cellStyle name="Normal 38 10 2" xfId="27662" xr:uid="{00000000-0005-0000-0000-000078640000}"/>
    <cellStyle name="Normal 38 11" xfId="18571" xr:uid="{00000000-0005-0000-0000-000079640000}"/>
    <cellStyle name="Normal 38 2" xfId="1335" xr:uid="{00000000-0005-0000-0000-00007A640000}"/>
    <cellStyle name="Normal 38 2 2" xfId="1336" xr:uid="{00000000-0005-0000-0000-00007B640000}"/>
    <cellStyle name="Normal 38 2 2 2" xfId="1337" xr:uid="{00000000-0005-0000-0000-00007C640000}"/>
    <cellStyle name="Normal 38 2 2 2 2" xfId="2735" xr:uid="{00000000-0005-0000-0000-00007D640000}"/>
    <cellStyle name="Normal 38 2 2 2 2 2" xfId="7320" xr:uid="{00000000-0005-0000-0000-00007E640000}"/>
    <cellStyle name="Normal 38 2 2 2 2 2 2" xfId="16420" xr:uid="{00000000-0005-0000-0000-00007F640000}"/>
    <cellStyle name="Normal 38 2 2 2 2 2 2 2" xfId="34602" xr:uid="{00000000-0005-0000-0000-000080640000}"/>
    <cellStyle name="Normal 38 2 2 2 2 2 3" xfId="25512" xr:uid="{00000000-0005-0000-0000-000081640000}"/>
    <cellStyle name="Normal 38 2 2 2 2 3" xfId="11884" xr:uid="{00000000-0005-0000-0000-000082640000}"/>
    <cellStyle name="Normal 38 2 2 2 2 3 2" xfId="30066" xr:uid="{00000000-0005-0000-0000-000083640000}"/>
    <cellStyle name="Normal 38 2 2 2 2 4" xfId="20976" xr:uid="{00000000-0005-0000-0000-000084640000}"/>
    <cellStyle name="Normal 38 2 2 2 3" xfId="4339" xr:uid="{00000000-0005-0000-0000-000085640000}"/>
    <cellStyle name="Normal 38 2 2 2 3 2" xfId="8895" xr:uid="{00000000-0005-0000-0000-000086640000}"/>
    <cellStyle name="Normal 38 2 2 2 3 2 2" xfId="17991" xr:uid="{00000000-0005-0000-0000-000087640000}"/>
    <cellStyle name="Normal 38 2 2 2 3 2 2 2" xfId="36173" xr:uid="{00000000-0005-0000-0000-000088640000}"/>
    <cellStyle name="Normal 38 2 2 2 3 2 3" xfId="27083" xr:uid="{00000000-0005-0000-0000-000089640000}"/>
    <cellStyle name="Normal 38 2 2 2 3 3" xfId="13451" xr:uid="{00000000-0005-0000-0000-00008A640000}"/>
    <cellStyle name="Normal 38 2 2 2 3 3 2" xfId="31633" xr:uid="{00000000-0005-0000-0000-00008B640000}"/>
    <cellStyle name="Normal 38 2 2 2 3 4" xfId="22543" xr:uid="{00000000-0005-0000-0000-00008C640000}"/>
    <cellStyle name="Normal 38 2 2 2 4" xfId="5978" xr:uid="{00000000-0005-0000-0000-00008D640000}"/>
    <cellStyle name="Normal 38 2 2 2 4 2" xfId="15078" xr:uid="{00000000-0005-0000-0000-00008E640000}"/>
    <cellStyle name="Normal 38 2 2 2 4 2 2" xfId="33260" xr:uid="{00000000-0005-0000-0000-00008F640000}"/>
    <cellStyle name="Normal 38 2 2 2 4 3" xfId="24170" xr:uid="{00000000-0005-0000-0000-000090640000}"/>
    <cellStyle name="Normal 38 2 2 2 5" xfId="10544" xr:uid="{00000000-0005-0000-0000-000091640000}"/>
    <cellStyle name="Normal 38 2 2 2 5 2" xfId="28726" xr:uid="{00000000-0005-0000-0000-000092640000}"/>
    <cellStyle name="Normal 38 2 2 2 6" xfId="19635" xr:uid="{00000000-0005-0000-0000-000093640000}"/>
    <cellStyle name="Normal 38 2 2 3" xfId="2736" xr:uid="{00000000-0005-0000-0000-000094640000}"/>
    <cellStyle name="Normal 38 2 2 3 2" xfId="7321" xr:uid="{00000000-0005-0000-0000-000095640000}"/>
    <cellStyle name="Normal 38 2 2 3 2 2" xfId="16421" xr:uid="{00000000-0005-0000-0000-000096640000}"/>
    <cellStyle name="Normal 38 2 2 3 2 2 2" xfId="34603" xr:uid="{00000000-0005-0000-0000-000097640000}"/>
    <cellStyle name="Normal 38 2 2 3 2 3" xfId="25513" xr:uid="{00000000-0005-0000-0000-000098640000}"/>
    <cellStyle name="Normal 38 2 2 3 3" xfId="11885" xr:uid="{00000000-0005-0000-0000-000099640000}"/>
    <cellStyle name="Normal 38 2 2 3 3 2" xfId="30067" xr:uid="{00000000-0005-0000-0000-00009A640000}"/>
    <cellStyle name="Normal 38 2 2 3 4" xfId="20977" xr:uid="{00000000-0005-0000-0000-00009B640000}"/>
    <cellStyle name="Normal 38 2 2 4" xfId="4338" xr:uid="{00000000-0005-0000-0000-00009C640000}"/>
    <cellStyle name="Normal 38 2 2 4 2" xfId="8894" xr:uid="{00000000-0005-0000-0000-00009D640000}"/>
    <cellStyle name="Normal 38 2 2 4 2 2" xfId="17990" xr:uid="{00000000-0005-0000-0000-00009E640000}"/>
    <cellStyle name="Normal 38 2 2 4 2 2 2" xfId="36172" xr:uid="{00000000-0005-0000-0000-00009F640000}"/>
    <cellStyle name="Normal 38 2 2 4 2 3" xfId="27082" xr:uid="{00000000-0005-0000-0000-0000A0640000}"/>
    <cellStyle name="Normal 38 2 2 4 3" xfId="13450" xr:uid="{00000000-0005-0000-0000-0000A1640000}"/>
    <cellStyle name="Normal 38 2 2 4 3 2" xfId="31632" xr:uid="{00000000-0005-0000-0000-0000A2640000}"/>
    <cellStyle name="Normal 38 2 2 4 4" xfId="22542" xr:uid="{00000000-0005-0000-0000-0000A3640000}"/>
    <cellStyle name="Normal 38 2 2 5" xfId="5977" xr:uid="{00000000-0005-0000-0000-0000A4640000}"/>
    <cellStyle name="Normal 38 2 2 5 2" xfId="15077" xr:uid="{00000000-0005-0000-0000-0000A5640000}"/>
    <cellStyle name="Normal 38 2 2 5 2 2" xfId="33259" xr:uid="{00000000-0005-0000-0000-0000A6640000}"/>
    <cellStyle name="Normal 38 2 2 5 3" xfId="24169" xr:uid="{00000000-0005-0000-0000-0000A7640000}"/>
    <cellStyle name="Normal 38 2 2 6" xfId="10543" xr:uid="{00000000-0005-0000-0000-0000A8640000}"/>
    <cellStyle name="Normal 38 2 2 6 2" xfId="28725" xr:uid="{00000000-0005-0000-0000-0000A9640000}"/>
    <cellStyle name="Normal 38 2 2 7" xfId="19634" xr:uid="{00000000-0005-0000-0000-0000AA640000}"/>
    <cellStyle name="Normal 38 2 3" xfId="1338" xr:uid="{00000000-0005-0000-0000-0000AB640000}"/>
    <cellStyle name="Normal 38 2 3 2" xfId="2737" xr:uid="{00000000-0005-0000-0000-0000AC640000}"/>
    <cellStyle name="Normal 38 2 3 2 2" xfId="7322" xr:uid="{00000000-0005-0000-0000-0000AD640000}"/>
    <cellStyle name="Normal 38 2 3 2 2 2" xfId="16422" xr:uid="{00000000-0005-0000-0000-0000AE640000}"/>
    <cellStyle name="Normal 38 2 3 2 2 2 2" xfId="34604" xr:uid="{00000000-0005-0000-0000-0000AF640000}"/>
    <cellStyle name="Normal 38 2 3 2 2 3" xfId="25514" xr:uid="{00000000-0005-0000-0000-0000B0640000}"/>
    <cellStyle name="Normal 38 2 3 2 3" xfId="11886" xr:uid="{00000000-0005-0000-0000-0000B1640000}"/>
    <cellStyle name="Normal 38 2 3 2 3 2" xfId="30068" xr:uid="{00000000-0005-0000-0000-0000B2640000}"/>
    <cellStyle name="Normal 38 2 3 2 4" xfId="20978" xr:uid="{00000000-0005-0000-0000-0000B3640000}"/>
    <cellStyle name="Normal 38 2 3 3" xfId="4340" xr:uid="{00000000-0005-0000-0000-0000B4640000}"/>
    <cellStyle name="Normal 38 2 3 3 2" xfId="8896" xr:uid="{00000000-0005-0000-0000-0000B5640000}"/>
    <cellStyle name="Normal 38 2 3 3 2 2" xfId="17992" xr:uid="{00000000-0005-0000-0000-0000B6640000}"/>
    <cellStyle name="Normal 38 2 3 3 2 2 2" xfId="36174" xr:uid="{00000000-0005-0000-0000-0000B7640000}"/>
    <cellStyle name="Normal 38 2 3 3 2 3" xfId="27084" xr:uid="{00000000-0005-0000-0000-0000B8640000}"/>
    <cellStyle name="Normal 38 2 3 3 3" xfId="13452" xr:uid="{00000000-0005-0000-0000-0000B9640000}"/>
    <cellStyle name="Normal 38 2 3 3 3 2" xfId="31634" xr:uid="{00000000-0005-0000-0000-0000BA640000}"/>
    <cellStyle name="Normal 38 2 3 3 4" xfId="22544" xr:uid="{00000000-0005-0000-0000-0000BB640000}"/>
    <cellStyle name="Normal 38 2 3 4" xfId="5979" xr:uid="{00000000-0005-0000-0000-0000BC640000}"/>
    <cellStyle name="Normal 38 2 3 4 2" xfId="15079" xr:uid="{00000000-0005-0000-0000-0000BD640000}"/>
    <cellStyle name="Normal 38 2 3 4 2 2" xfId="33261" xr:uid="{00000000-0005-0000-0000-0000BE640000}"/>
    <cellStyle name="Normal 38 2 3 4 3" xfId="24171" xr:uid="{00000000-0005-0000-0000-0000BF640000}"/>
    <cellStyle name="Normal 38 2 3 5" xfId="10545" xr:uid="{00000000-0005-0000-0000-0000C0640000}"/>
    <cellStyle name="Normal 38 2 3 5 2" xfId="28727" xr:uid="{00000000-0005-0000-0000-0000C1640000}"/>
    <cellStyle name="Normal 38 2 3 6" xfId="19636" xr:uid="{00000000-0005-0000-0000-0000C2640000}"/>
    <cellStyle name="Normal 38 2 4" xfId="1339" xr:uid="{00000000-0005-0000-0000-0000C3640000}"/>
    <cellStyle name="Normal 38 2 4 2" xfId="4341" xr:uid="{00000000-0005-0000-0000-0000C4640000}"/>
    <cellStyle name="Normal 38 2 4 2 2" xfId="8897" xr:uid="{00000000-0005-0000-0000-0000C5640000}"/>
    <cellStyle name="Normal 38 2 4 2 2 2" xfId="17993" xr:uid="{00000000-0005-0000-0000-0000C6640000}"/>
    <cellStyle name="Normal 38 2 4 2 2 2 2" xfId="36175" xr:uid="{00000000-0005-0000-0000-0000C7640000}"/>
    <cellStyle name="Normal 38 2 4 2 2 3" xfId="27085" xr:uid="{00000000-0005-0000-0000-0000C8640000}"/>
    <cellStyle name="Normal 38 2 4 2 3" xfId="13453" xr:uid="{00000000-0005-0000-0000-0000C9640000}"/>
    <cellStyle name="Normal 38 2 4 2 3 2" xfId="31635" xr:uid="{00000000-0005-0000-0000-0000CA640000}"/>
    <cellStyle name="Normal 38 2 4 2 4" xfId="22545" xr:uid="{00000000-0005-0000-0000-0000CB640000}"/>
    <cellStyle name="Normal 38 2 4 3" xfId="5980" xr:uid="{00000000-0005-0000-0000-0000CC640000}"/>
    <cellStyle name="Normal 38 2 4 3 2" xfId="15080" xr:uid="{00000000-0005-0000-0000-0000CD640000}"/>
    <cellStyle name="Normal 38 2 4 3 2 2" xfId="33262" xr:uid="{00000000-0005-0000-0000-0000CE640000}"/>
    <cellStyle name="Normal 38 2 4 3 3" xfId="24172" xr:uid="{00000000-0005-0000-0000-0000CF640000}"/>
    <cellStyle name="Normal 38 2 4 4" xfId="10546" xr:uid="{00000000-0005-0000-0000-0000D0640000}"/>
    <cellStyle name="Normal 38 2 4 4 2" xfId="28728" xr:uid="{00000000-0005-0000-0000-0000D1640000}"/>
    <cellStyle name="Normal 38 2 4 5" xfId="19637" xr:uid="{00000000-0005-0000-0000-0000D2640000}"/>
    <cellStyle name="Normal 38 2 5" xfId="2738" xr:uid="{00000000-0005-0000-0000-0000D3640000}"/>
    <cellStyle name="Normal 38 2 5 2" xfId="7323" xr:uid="{00000000-0005-0000-0000-0000D4640000}"/>
    <cellStyle name="Normal 38 2 5 2 2" xfId="16423" xr:uid="{00000000-0005-0000-0000-0000D5640000}"/>
    <cellStyle name="Normal 38 2 5 2 2 2" xfId="34605" xr:uid="{00000000-0005-0000-0000-0000D6640000}"/>
    <cellStyle name="Normal 38 2 5 2 3" xfId="25515" xr:uid="{00000000-0005-0000-0000-0000D7640000}"/>
    <cellStyle name="Normal 38 2 5 3" xfId="11887" xr:uid="{00000000-0005-0000-0000-0000D8640000}"/>
    <cellStyle name="Normal 38 2 5 3 2" xfId="30069" xr:uid="{00000000-0005-0000-0000-0000D9640000}"/>
    <cellStyle name="Normal 38 2 5 4" xfId="20979" xr:uid="{00000000-0005-0000-0000-0000DA640000}"/>
    <cellStyle name="Normal 38 2 6" xfId="4337" xr:uid="{00000000-0005-0000-0000-0000DB640000}"/>
    <cellStyle name="Normal 38 2 6 2" xfId="8893" xr:uid="{00000000-0005-0000-0000-0000DC640000}"/>
    <cellStyle name="Normal 38 2 6 2 2" xfId="17989" xr:uid="{00000000-0005-0000-0000-0000DD640000}"/>
    <cellStyle name="Normal 38 2 6 2 2 2" xfId="36171" xr:uid="{00000000-0005-0000-0000-0000DE640000}"/>
    <cellStyle name="Normal 38 2 6 2 3" xfId="27081" xr:uid="{00000000-0005-0000-0000-0000DF640000}"/>
    <cellStyle name="Normal 38 2 6 3" xfId="13449" xr:uid="{00000000-0005-0000-0000-0000E0640000}"/>
    <cellStyle name="Normal 38 2 6 3 2" xfId="31631" xr:uid="{00000000-0005-0000-0000-0000E1640000}"/>
    <cellStyle name="Normal 38 2 6 4" xfId="22541" xr:uid="{00000000-0005-0000-0000-0000E2640000}"/>
    <cellStyle name="Normal 38 2 7" xfId="5976" xr:uid="{00000000-0005-0000-0000-0000E3640000}"/>
    <cellStyle name="Normal 38 2 7 2" xfId="15076" xr:uid="{00000000-0005-0000-0000-0000E4640000}"/>
    <cellStyle name="Normal 38 2 7 2 2" xfId="33258" xr:uid="{00000000-0005-0000-0000-0000E5640000}"/>
    <cellStyle name="Normal 38 2 7 3" xfId="24168" xr:uid="{00000000-0005-0000-0000-0000E6640000}"/>
    <cellStyle name="Normal 38 2 8" xfId="10542" xr:uid="{00000000-0005-0000-0000-0000E7640000}"/>
    <cellStyle name="Normal 38 2 8 2" xfId="28724" xr:uid="{00000000-0005-0000-0000-0000E8640000}"/>
    <cellStyle name="Normal 38 2 9" xfId="19633" xr:uid="{00000000-0005-0000-0000-0000E9640000}"/>
    <cellStyle name="Normal 38 3" xfId="1340" xr:uid="{00000000-0005-0000-0000-0000EA640000}"/>
    <cellStyle name="Normal 38 3 2" xfId="1341" xr:uid="{00000000-0005-0000-0000-0000EB640000}"/>
    <cellStyle name="Normal 38 3 2 2" xfId="2739" xr:uid="{00000000-0005-0000-0000-0000EC640000}"/>
    <cellStyle name="Normal 38 3 2 2 2" xfId="7324" xr:uid="{00000000-0005-0000-0000-0000ED640000}"/>
    <cellStyle name="Normal 38 3 2 2 2 2" xfId="16424" xr:uid="{00000000-0005-0000-0000-0000EE640000}"/>
    <cellStyle name="Normal 38 3 2 2 2 2 2" xfId="34606" xr:uid="{00000000-0005-0000-0000-0000EF640000}"/>
    <cellStyle name="Normal 38 3 2 2 2 3" xfId="25516" xr:uid="{00000000-0005-0000-0000-0000F0640000}"/>
    <cellStyle name="Normal 38 3 2 2 3" xfId="11888" xr:uid="{00000000-0005-0000-0000-0000F1640000}"/>
    <cellStyle name="Normal 38 3 2 2 3 2" xfId="30070" xr:uid="{00000000-0005-0000-0000-0000F2640000}"/>
    <cellStyle name="Normal 38 3 2 2 4" xfId="20980" xr:uid="{00000000-0005-0000-0000-0000F3640000}"/>
    <cellStyle name="Normal 38 3 2 3" xfId="4343" xr:uid="{00000000-0005-0000-0000-0000F4640000}"/>
    <cellStyle name="Normal 38 3 2 3 2" xfId="8899" xr:uid="{00000000-0005-0000-0000-0000F5640000}"/>
    <cellStyle name="Normal 38 3 2 3 2 2" xfId="17995" xr:uid="{00000000-0005-0000-0000-0000F6640000}"/>
    <cellStyle name="Normal 38 3 2 3 2 2 2" xfId="36177" xr:uid="{00000000-0005-0000-0000-0000F7640000}"/>
    <cellStyle name="Normal 38 3 2 3 2 3" xfId="27087" xr:uid="{00000000-0005-0000-0000-0000F8640000}"/>
    <cellStyle name="Normal 38 3 2 3 3" xfId="13455" xr:uid="{00000000-0005-0000-0000-0000F9640000}"/>
    <cellStyle name="Normal 38 3 2 3 3 2" xfId="31637" xr:uid="{00000000-0005-0000-0000-0000FA640000}"/>
    <cellStyle name="Normal 38 3 2 3 4" xfId="22547" xr:uid="{00000000-0005-0000-0000-0000FB640000}"/>
    <cellStyle name="Normal 38 3 2 4" xfId="5982" xr:uid="{00000000-0005-0000-0000-0000FC640000}"/>
    <cellStyle name="Normal 38 3 2 4 2" xfId="15082" xr:uid="{00000000-0005-0000-0000-0000FD640000}"/>
    <cellStyle name="Normal 38 3 2 4 2 2" xfId="33264" xr:uid="{00000000-0005-0000-0000-0000FE640000}"/>
    <cellStyle name="Normal 38 3 2 4 3" xfId="24174" xr:uid="{00000000-0005-0000-0000-0000FF640000}"/>
    <cellStyle name="Normal 38 3 2 5" xfId="10548" xr:uid="{00000000-0005-0000-0000-000000650000}"/>
    <cellStyle name="Normal 38 3 2 5 2" xfId="28730" xr:uid="{00000000-0005-0000-0000-000001650000}"/>
    <cellStyle name="Normal 38 3 2 6" xfId="19639" xr:uid="{00000000-0005-0000-0000-000002650000}"/>
    <cellStyle name="Normal 38 3 3" xfId="2740" xr:uid="{00000000-0005-0000-0000-000003650000}"/>
    <cellStyle name="Normal 38 3 3 2" xfId="7325" xr:uid="{00000000-0005-0000-0000-000004650000}"/>
    <cellStyle name="Normal 38 3 3 2 2" xfId="16425" xr:uid="{00000000-0005-0000-0000-000005650000}"/>
    <cellStyle name="Normal 38 3 3 2 2 2" xfId="34607" xr:uid="{00000000-0005-0000-0000-000006650000}"/>
    <cellStyle name="Normal 38 3 3 2 3" xfId="25517" xr:uid="{00000000-0005-0000-0000-000007650000}"/>
    <cellStyle name="Normal 38 3 3 3" xfId="11889" xr:uid="{00000000-0005-0000-0000-000008650000}"/>
    <cellStyle name="Normal 38 3 3 3 2" xfId="30071" xr:uid="{00000000-0005-0000-0000-000009650000}"/>
    <cellStyle name="Normal 38 3 3 4" xfId="20981" xr:uid="{00000000-0005-0000-0000-00000A650000}"/>
    <cellStyle name="Normal 38 3 4" xfId="4342" xr:uid="{00000000-0005-0000-0000-00000B650000}"/>
    <cellStyle name="Normal 38 3 4 2" xfId="8898" xr:uid="{00000000-0005-0000-0000-00000C650000}"/>
    <cellStyle name="Normal 38 3 4 2 2" xfId="17994" xr:uid="{00000000-0005-0000-0000-00000D650000}"/>
    <cellStyle name="Normal 38 3 4 2 2 2" xfId="36176" xr:uid="{00000000-0005-0000-0000-00000E650000}"/>
    <cellStyle name="Normal 38 3 4 2 3" xfId="27086" xr:uid="{00000000-0005-0000-0000-00000F650000}"/>
    <cellStyle name="Normal 38 3 4 3" xfId="13454" xr:uid="{00000000-0005-0000-0000-000010650000}"/>
    <cellStyle name="Normal 38 3 4 3 2" xfId="31636" xr:uid="{00000000-0005-0000-0000-000011650000}"/>
    <cellStyle name="Normal 38 3 4 4" xfId="22546" xr:uid="{00000000-0005-0000-0000-000012650000}"/>
    <cellStyle name="Normal 38 3 5" xfId="5981" xr:uid="{00000000-0005-0000-0000-000013650000}"/>
    <cellStyle name="Normal 38 3 5 2" xfId="15081" xr:uid="{00000000-0005-0000-0000-000014650000}"/>
    <cellStyle name="Normal 38 3 5 2 2" xfId="33263" xr:uid="{00000000-0005-0000-0000-000015650000}"/>
    <cellStyle name="Normal 38 3 5 3" xfId="24173" xr:uid="{00000000-0005-0000-0000-000016650000}"/>
    <cellStyle name="Normal 38 3 6" xfId="10547" xr:uid="{00000000-0005-0000-0000-000017650000}"/>
    <cellStyle name="Normal 38 3 6 2" xfId="28729" xr:uid="{00000000-0005-0000-0000-000018650000}"/>
    <cellStyle name="Normal 38 3 7" xfId="19638" xr:uid="{00000000-0005-0000-0000-000019650000}"/>
    <cellStyle name="Normal 38 4" xfId="1342" xr:uid="{00000000-0005-0000-0000-00001A650000}"/>
    <cellStyle name="Normal 38 4 2" xfId="1343" xr:uid="{00000000-0005-0000-0000-00001B650000}"/>
    <cellStyle name="Normal 38 4 2 2" xfId="2741" xr:uid="{00000000-0005-0000-0000-00001C650000}"/>
    <cellStyle name="Normal 38 4 2 2 2" xfId="7326" xr:uid="{00000000-0005-0000-0000-00001D650000}"/>
    <cellStyle name="Normal 38 4 2 2 2 2" xfId="16426" xr:uid="{00000000-0005-0000-0000-00001E650000}"/>
    <cellStyle name="Normal 38 4 2 2 2 2 2" xfId="34608" xr:uid="{00000000-0005-0000-0000-00001F650000}"/>
    <cellStyle name="Normal 38 4 2 2 2 3" xfId="25518" xr:uid="{00000000-0005-0000-0000-000020650000}"/>
    <cellStyle name="Normal 38 4 2 2 3" xfId="11890" xr:uid="{00000000-0005-0000-0000-000021650000}"/>
    <cellStyle name="Normal 38 4 2 2 3 2" xfId="30072" xr:uid="{00000000-0005-0000-0000-000022650000}"/>
    <cellStyle name="Normal 38 4 2 2 4" xfId="20982" xr:uid="{00000000-0005-0000-0000-000023650000}"/>
    <cellStyle name="Normal 38 4 2 3" xfId="4345" xr:uid="{00000000-0005-0000-0000-000024650000}"/>
    <cellStyle name="Normal 38 4 2 3 2" xfId="8901" xr:uid="{00000000-0005-0000-0000-000025650000}"/>
    <cellStyle name="Normal 38 4 2 3 2 2" xfId="17997" xr:uid="{00000000-0005-0000-0000-000026650000}"/>
    <cellStyle name="Normal 38 4 2 3 2 2 2" xfId="36179" xr:uid="{00000000-0005-0000-0000-000027650000}"/>
    <cellStyle name="Normal 38 4 2 3 2 3" xfId="27089" xr:uid="{00000000-0005-0000-0000-000028650000}"/>
    <cellStyle name="Normal 38 4 2 3 3" xfId="13457" xr:uid="{00000000-0005-0000-0000-000029650000}"/>
    <cellStyle name="Normal 38 4 2 3 3 2" xfId="31639" xr:uid="{00000000-0005-0000-0000-00002A650000}"/>
    <cellStyle name="Normal 38 4 2 3 4" xfId="22549" xr:uid="{00000000-0005-0000-0000-00002B650000}"/>
    <cellStyle name="Normal 38 4 2 4" xfId="5984" xr:uid="{00000000-0005-0000-0000-00002C650000}"/>
    <cellStyle name="Normal 38 4 2 4 2" xfId="15084" xr:uid="{00000000-0005-0000-0000-00002D650000}"/>
    <cellStyle name="Normal 38 4 2 4 2 2" xfId="33266" xr:uid="{00000000-0005-0000-0000-00002E650000}"/>
    <cellStyle name="Normal 38 4 2 4 3" xfId="24176" xr:uid="{00000000-0005-0000-0000-00002F650000}"/>
    <cellStyle name="Normal 38 4 2 5" xfId="10550" xr:uid="{00000000-0005-0000-0000-000030650000}"/>
    <cellStyle name="Normal 38 4 2 5 2" xfId="28732" xr:uid="{00000000-0005-0000-0000-000031650000}"/>
    <cellStyle name="Normal 38 4 2 6" xfId="19641" xr:uid="{00000000-0005-0000-0000-000032650000}"/>
    <cellStyle name="Normal 38 4 3" xfId="2742" xr:uid="{00000000-0005-0000-0000-000033650000}"/>
    <cellStyle name="Normal 38 4 3 2" xfId="7327" xr:uid="{00000000-0005-0000-0000-000034650000}"/>
    <cellStyle name="Normal 38 4 3 2 2" xfId="16427" xr:uid="{00000000-0005-0000-0000-000035650000}"/>
    <cellStyle name="Normal 38 4 3 2 2 2" xfId="34609" xr:uid="{00000000-0005-0000-0000-000036650000}"/>
    <cellStyle name="Normal 38 4 3 2 3" xfId="25519" xr:uid="{00000000-0005-0000-0000-000037650000}"/>
    <cellStyle name="Normal 38 4 3 3" xfId="11891" xr:uid="{00000000-0005-0000-0000-000038650000}"/>
    <cellStyle name="Normal 38 4 3 3 2" xfId="30073" xr:uid="{00000000-0005-0000-0000-000039650000}"/>
    <cellStyle name="Normal 38 4 3 4" xfId="20983" xr:uid="{00000000-0005-0000-0000-00003A650000}"/>
    <cellStyle name="Normal 38 4 4" xfId="4344" xr:uid="{00000000-0005-0000-0000-00003B650000}"/>
    <cellStyle name="Normal 38 4 4 2" xfId="8900" xr:uid="{00000000-0005-0000-0000-00003C650000}"/>
    <cellStyle name="Normal 38 4 4 2 2" xfId="17996" xr:uid="{00000000-0005-0000-0000-00003D650000}"/>
    <cellStyle name="Normal 38 4 4 2 2 2" xfId="36178" xr:uid="{00000000-0005-0000-0000-00003E650000}"/>
    <cellStyle name="Normal 38 4 4 2 3" xfId="27088" xr:uid="{00000000-0005-0000-0000-00003F650000}"/>
    <cellStyle name="Normal 38 4 4 3" xfId="13456" xr:uid="{00000000-0005-0000-0000-000040650000}"/>
    <cellStyle name="Normal 38 4 4 3 2" xfId="31638" xr:uid="{00000000-0005-0000-0000-000041650000}"/>
    <cellStyle name="Normal 38 4 4 4" xfId="22548" xr:uid="{00000000-0005-0000-0000-000042650000}"/>
    <cellStyle name="Normal 38 4 5" xfId="5983" xr:uid="{00000000-0005-0000-0000-000043650000}"/>
    <cellStyle name="Normal 38 4 5 2" xfId="15083" xr:uid="{00000000-0005-0000-0000-000044650000}"/>
    <cellStyle name="Normal 38 4 5 2 2" xfId="33265" xr:uid="{00000000-0005-0000-0000-000045650000}"/>
    <cellStyle name="Normal 38 4 5 3" xfId="24175" xr:uid="{00000000-0005-0000-0000-000046650000}"/>
    <cellStyle name="Normal 38 4 6" xfId="10549" xr:uid="{00000000-0005-0000-0000-000047650000}"/>
    <cellStyle name="Normal 38 4 6 2" xfId="28731" xr:uid="{00000000-0005-0000-0000-000048650000}"/>
    <cellStyle name="Normal 38 4 7" xfId="19640" xr:uid="{00000000-0005-0000-0000-000049650000}"/>
    <cellStyle name="Normal 38 5" xfId="1344" xr:uid="{00000000-0005-0000-0000-00004A650000}"/>
    <cellStyle name="Normal 38 5 2" xfId="2743" xr:uid="{00000000-0005-0000-0000-00004B650000}"/>
    <cellStyle name="Normal 38 5 2 2" xfId="7328" xr:uid="{00000000-0005-0000-0000-00004C650000}"/>
    <cellStyle name="Normal 38 5 2 2 2" xfId="16428" xr:uid="{00000000-0005-0000-0000-00004D650000}"/>
    <cellStyle name="Normal 38 5 2 2 2 2" xfId="34610" xr:uid="{00000000-0005-0000-0000-00004E650000}"/>
    <cellStyle name="Normal 38 5 2 2 3" xfId="25520" xr:uid="{00000000-0005-0000-0000-00004F650000}"/>
    <cellStyle name="Normal 38 5 2 3" xfId="11892" xr:uid="{00000000-0005-0000-0000-000050650000}"/>
    <cellStyle name="Normal 38 5 2 3 2" xfId="30074" xr:uid="{00000000-0005-0000-0000-000051650000}"/>
    <cellStyle name="Normal 38 5 2 4" xfId="20984" xr:uid="{00000000-0005-0000-0000-000052650000}"/>
    <cellStyle name="Normal 38 5 3" xfId="4346" xr:uid="{00000000-0005-0000-0000-000053650000}"/>
    <cellStyle name="Normal 38 5 3 2" xfId="8902" xr:uid="{00000000-0005-0000-0000-000054650000}"/>
    <cellStyle name="Normal 38 5 3 2 2" xfId="17998" xr:uid="{00000000-0005-0000-0000-000055650000}"/>
    <cellStyle name="Normal 38 5 3 2 2 2" xfId="36180" xr:uid="{00000000-0005-0000-0000-000056650000}"/>
    <cellStyle name="Normal 38 5 3 2 3" xfId="27090" xr:uid="{00000000-0005-0000-0000-000057650000}"/>
    <cellStyle name="Normal 38 5 3 3" xfId="13458" xr:uid="{00000000-0005-0000-0000-000058650000}"/>
    <cellStyle name="Normal 38 5 3 3 2" xfId="31640" xr:uid="{00000000-0005-0000-0000-000059650000}"/>
    <cellStyle name="Normal 38 5 3 4" xfId="22550" xr:uid="{00000000-0005-0000-0000-00005A650000}"/>
    <cellStyle name="Normal 38 5 4" xfId="5985" xr:uid="{00000000-0005-0000-0000-00005B650000}"/>
    <cellStyle name="Normal 38 5 4 2" xfId="15085" xr:uid="{00000000-0005-0000-0000-00005C650000}"/>
    <cellStyle name="Normal 38 5 4 2 2" xfId="33267" xr:uid="{00000000-0005-0000-0000-00005D650000}"/>
    <cellStyle name="Normal 38 5 4 3" xfId="24177" xr:uid="{00000000-0005-0000-0000-00005E650000}"/>
    <cellStyle name="Normal 38 5 5" xfId="10551" xr:uid="{00000000-0005-0000-0000-00005F650000}"/>
    <cellStyle name="Normal 38 5 5 2" xfId="28733" xr:uid="{00000000-0005-0000-0000-000060650000}"/>
    <cellStyle name="Normal 38 5 6" xfId="19642" xr:uid="{00000000-0005-0000-0000-000061650000}"/>
    <cellStyle name="Normal 38 6" xfId="1345" xr:uid="{00000000-0005-0000-0000-000062650000}"/>
    <cellStyle name="Normal 38 6 2" xfId="4347" xr:uid="{00000000-0005-0000-0000-000063650000}"/>
    <cellStyle name="Normal 38 6 2 2" xfId="8903" xr:uid="{00000000-0005-0000-0000-000064650000}"/>
    <cellStyle name="Normal 38 6 2 2 2" xfId="17999" xr:uid="{00000000-0005-0000-0000-000065650000}"/>
    <cellStyle name="Normal 38 6 2 2 2 2" xfId="36181" xr:uid="{00000000-0005-0000-0000-000066650000}"/>
    <cellStyle name="Normal 38 6 2 2 3" xfId="27091" xr:uid="{00000000-0005-0000-0000-000067650000}"/>
    <cellStyle name="Normal 38 6 2 3" xfId="13459" xr:uid="{00000000-0005-0000-0000-000068650000}"/>
    <cellStyle name="Normal 38 6 2 3 2" xfId="31641" xr:uid="{00000000-0005-0000-0000-000069650000}"/>
    <cellStyle name="Normal 38 6 2 4" xfId="22551" xr:uid="{00000000-0005-0000-0000-00006A650000}"/>
    <cellStyle name="Normal 38 6 3" xfId="5986" xr:uid="{00000000-0005-0000-0000-00006B650000}"/>
    <cellStyle name="Normal 38 6 3 2" xfId="15086" xr:uid="{00000000-0005-0000-0000-00006C650000}"/>
    <cellStyle name="Normal 38 6 3 2 2" xfId="33268" xr:uid="{00000000-0005-0000-0000-00006D650000}"/>
    <cellStyle name="Normal 38 6 3 3" xfId="24178" xr:uid="{00000000-0005-0000-0000-00006E650000}"/>
    <cellStyle name="Normal 38 6 4" xfId="10552" xr:uid="{00000000-0005-0000-0000-00006F650000}"/>
    <cellStyle name="Normal 38 6 4 2" xfId="28734" xr:uid="{00000000-0005-0000-0000-000070650000}"/>
    <cellStyle name="Normal 38 6 5" xfId="19643" xr:uid="{00000000-0005-0000-0000-000071650000}"/>
    <cellStyle name="Normal 38 7" xfId="2744" xr:uid="{00000000-0005-0000-0000-000072650000}"/>
    <cellStyle name="Normal 38 7 2" xfId="7329" xr:uid="{00000000-0005-0000-0000-000073650000}"/>
    <cellStyle name="Normal 38 7 2 2" xfId="16429" xr:uid="{00000000-0005-0000-0000-000074650000}"/>
    <cellStyle name="Normal 38 7 2 2 2" xfId="34611" xr:uid="{00000000-0005-0000-0000-000075650000}"/>
    <cellStyle name="Normal 38 7 2 3" xfId="25521" xr:uid="{00000000-0005-0000-0000-000076650000}"/>
    <cellStyle name="Normal 38 7 3" xfId="11893" xr:uid="{00000000-0005-0000-0000-000077650000}"/>
    <cellStyle name="Normal 38 7 3 2" xfId="30075" xr:uid="{00000000-0005-0000-0000-000078650000}"/>
    <cellStyle name="Normal 38 7 4" xfId="20985" xr:uid="{00000000-0005-0000-0000-000079650000}"/>
    <cellStyle name="Normal 38 8" xfId="3268" xr:uid="{00000000-0005-0000-0000-00007A650000}"/>
    <cellStyle name="Normal 38 8 2" xfId="7828" xr:uid="{00000000-0005-0000-0000-00007B650000}"/>
    <cellStyle name="Normal 38 8 2 2" xfId="16924" xr:uid="{00000000-0005-0000-0000-00007C650000}"/>
    <cellStyle name="Normal 38 8 2 2 2" xfId="35106" xr:uid="{00000000-0005-0000-0000-00007D650000}"/>
    <cellStyle name="Normal 38 8 2 3" xfId="26016" xr:uid="{00000000-0005-0000-0000-00007E650000}"/>
    <cellStyle name="Normal 38 8 3" xfId="12384" xr:uid="{00000000-0005-0000-0000-00007F650000}"/>
    <cellStyle name="Normal 38 8 3 2" xfId="30566" xr:uid="{00000000-0005-0000-0000-000080650000}"/>
    <cellStyle name="Normal 38 8 4" xfId="21476" xr:uid="{00000000-0005-0000-0000-000081650000}"/>
    <cellStyle name="Normal 38 9" xfId="4914" xr:uid="{00000000-0005-0000-0000-000082650000}"/>
    <cellStyle name="Normal 38 9 2" xfId="14014" xr:uid="{00000000-0005-0000-0000-000083650000}"/>
    <cellStyle name="Normal 38 9 2 2" xfId="32196" xr:uid="{00000000-0005-0000-0000-000084650000}"/>
    <cellStyle name="Normal 38 9 3" xfId="23106" xr:uid="{00000000-0005-0000-0000-000085650000}"/>
    <cellStyle name="Normal 380 2" xfId="36678" xr:uid="{00000000-0005-0000-0000-000086650000}"/>
    <cellStyle name="Normal 39" xfId="1346" xr:uid="{00000000-0005-0000-0000-000087650000}"/>
    <cellStyle name="Normal 39 10" xfId="19644" xr:uid="{00000000-0005-0000-0000-000088650000}"/>
    <cellStyle name="Normal 39 2" xfId="1347" xr:uid="{00000000-0005-0000-0000-000089650000}"/>
    <cellStyle name="Normal 39 2 2" xfId="1348" xr:uid="{00000000-0005-0000-0000-00008A650000}"/>
    <cellStyle name="Normal 39 2 2 2" xfId="1349" xr:uid="{00000000-0005-0000-0000-00008B650000}"/>
    <cellStyle name="Normal 39 2 2 2 2" xfId="2745" xr:uid="{00000000-0005-0000-0000-00008C650000}"/>
    <cellStyle name="Normal 39 2 2 2 2 2" xfId="7330" xr:uid="{00000000-0005-0000-0000-00008D650000}"/>
    <cellStyle name="Normal 39 2 2 2 2 2 2" xfId="16430" xr:uid="{00000000-0005-0000-0000-00008E650000}"/>
    <cellStyle name="Normal 39 2 2 2 2 2 2 2" xfId="34612" xr:uid="{00000000-0005-0000-0000-00008F650000}"/>
    <cellStyle name="Normal 39 2 2 2 2 2 3" xfId="25522" xr:uid="{00000000-0005-0000-0000-000090650000}"/>
    <cellStyle name="Normal 39 2 2 2 2 3" xfId="11894" xr:uid="{00000000-0005-0000-0000-000091650000}"/>
    <cellStyle name="Normal 39 2 2 2 2 3 2" xfId="30076" xr:uid="{00000000-0005-0000-0000-000092650000}"/>
    <cellStyle name="Normal 39 2 2 2 2 4" xfId="20986" xr:uid="{00000000-0005-0000-0000-000093650000}"/>
    <cellStyle name="Normal 39 2 2 2 3" xfId="4351" xr:uid="{00000000-0005-0000-0000-000094650000}"/>
    <cellStyle name="Normal 39 2 2 2 3 2" xfId="8907" xr:uid="{00000000-0005-0000-0000-000095650000}"/>
    <cellStyle name="Normal 39 2 2 2 3 2 2" xfId="18003" xr:uid="{00000000-0005-0000-0000-000096650000}"/>
    <cellStyle name="Normal 39 2 2 2 3 2 2 2" xfId="36185" xr:uid="{00000000-0005-0000-0000-000097650000}"/>
    <cellStyle name="Normal 39 2 2 2 3 2 3" xfId="27095" xr:uid="{00000000-0005-0000-0000-000098650000}"/>
    <cellStyle name="Normal 39 2 2 2 3 3" xfId="13463" xr:uid="{00000000-0005-0000-0000-000099650000}"/>
    <cellStyle name="Normal 39 2 2 2 3 3 2" xfId="31645" xr:uid="{00000000-0005-0000-0000-00009A650000}"/>
    <cellStyle name="Normal 39 2 2 2 3 4" xfId="22555" xr:uid="{00000000-0005-0000-0000-00009B650000}"/>
    <cellStyle name="Normal 39 2 2 2 4" xfId="5990" xr:uid="{00000000-0005-0000-0000-00009C650000}"/>
    <cellStyle name="Normal 39 2 2 2 4 2" xfId="15090" xr:uid="{00000000-0005-0000-0000-00009D650000}"/>
    <cellStyle name="Normal 39 2 2 2 4 2 2" xfId="33272" xr:uid="{00000000-0005-0000-0000-00009E650000}"/>
    <cellStyle name="Normal 39 2 2 2 4 3" xfId="24182" xr:uid="{00000000-0005-0000-0000-00009F650000}"/>
    <cellStyle name="Normal 39 2 2 2 5" xfId="10556" xr:uid="{00000000-0005-0000-0000-0000A0650000}"/>
    <cellStyle name="Normal 39 2 2 2 5 2" xfId="28738" xr:uid="{00000000-0005-0000-0000-0000A1650000}"/>
    <cellStyle name="Normal 39 2 2 2 6" xfId="19647" xr:uid="{00000000-0005-0000-0000-0000A2650000}"/>
    <cellStyle name="Normal 39 2 2 3" xfId="2746" xr:uid="{00000000-0005-0000-0000-0000A3650000}"/>
    <cellStyle name="Normal 39 2 2 3 2" xfId="7331" xr:uid="{00000000-0005-0000-0000-0000A4650000}"/>
    <cellStyle name="Normal 39 2 2 3 2 2" xfId="16431" xr:uid="{00000000-0005-0000-0000-0000A5650000}"/>
    <cellStyle name="Normal 39 2 2 3 2 2 2" xfId="34613" xr:uid="{00000000-0005-0000-0000-0000A6650000}"/>
    <cellStyle name="Normal 39 2 2 3 2 3" xfId="25523" xr:uid="{00000000-0005-0000-0000-0000A7650000}"/>
    <cellStyle name="Normal 39 2 2 3 3" xfId="11895" xr:uid="{00000000-0005-0000-0000-0000A8650000}"/>
    <cellStyle name="Normal 39 2 2 3 3 2" xfId="30077" xr:uid="{00000000-0005-0000-0000-0000A9650000}"/>
    <cellStyle name="Normal 39 2 2 3 4" xfId="20987" xr:uid="{00000000-0005-0000-0000-0000AA650000}"/>
    <cellStyle name="Normal 39 2 2 4" xfId="4350" xr:uid="{00000000-0005-0000-0000-0000AB650000}"/>
    <cellStyle name="Normal 39 2 2 4 2" xfId="8906" xr:uid="{00000000-0005-0000-0000-0000AC650000}"/>
    <cellStyle name="Normal 39 2 2 4 2 2" xfId="18002" xr:uid="{00000000-0005-0000-0000-0000AD650000}"/>
    <cellStyle name="Normal 39 2 2 4 2 2 2" xfId="36184" xr:uid="{00000000-0005-0000-0000-0000AE650000}"/>
    <cellStyle name="Normal 39 2 2 4 2 3" xfId="27094" xr:uid="{00000000-0005-0000-0000-0000AF650000}"/>
    <cellStyle name="Normal 39 2 2 4 3" xfId="13462" xr:uid="{00000000-0005-0000-0000-0000B0650000}"/>
    <cellStyle name="Normal 39 2 2 4 3 2" xfId="31644" xr:uid="{00000000-0005-0000-0000-0000B1650000}"/>
    <cellStyle name="Normal 39 2 2 4 4" xfId="22554" xr:uid="{00000000-0005-0000-0000-0000B2650000}"/>
    <cellStyle name="Normal 39 2 2 5" xfId="5989" xr:uid="{00000000-0005-0000-0000-0000B3650000}"/>
    <cellStyle name="Normal 39 2 2 5 2" xfId="15089" xr:uid="{00000000-0005-0000-0000-0000B4650000}"/>
    <cellStyle name="Normal 39 2 2 5 2 2" xfId="33271" xr:uid="{00000000-0005-0000-0000-0000B5650000}"/>
    <cellStyle name="Normal 39 2 2 5 3" xfId="24181" xr:uid="{00000000-0005-0000-0000-0000B6650000}"/>
    <cellStyle name="Normal 39 2 2 6" xfId="10555" xr:uid="{00000000-0005-0000-0000-0000B7650000}"/>
    <cellStyle name="Normal 39 2 2 6 2" xfId="28737" xr:uid="{00000000-0005-0000-0000-0000B8650000}"/>
    <cellStyle name="Normal 39 2 2 7" xfId="19646" xr:uid="{00000000-0005-0000-0000-0000B9650000}"/>
    <cellStyle name="Normal 39 2 3" xfId="1350" xr:uid="{00000000-0005-0000-0000-0000BA650000}"/>
    <cellStyle name="Normal 39 2 3 2" xfId="2747" xr:uid="{00000000-0005-0000-0000-0000BB650000}"/>
    <cellStyle name="Normal 39 2 3 2 2" xfId="7332" xr:uid="{00000000-0005-0000-0000-0000BC650000}"/>
    <cellStyle name="Normal 39 2 3 2 2 2" xfId="16432" xr:uid="{00000000-0005-0000-0000-0000BD650000}"/>
    <cellStyle name="Normal 39 2 3 2 2 2 2" xfId="34614" xr:uid="{00000000-0005-0000-0000-0000BE650000}"/>
    <cellStyle name="Normal 39 2 3 2 2 3" xfId="25524" xr:uid="{00000000-0005-0000-0000-0000BF650000}"/>
    <cellStyle name="Normal 39 2 3 2 3" xfId="11896" xr:uid="{00000000-0005-0000-0000-0000C0650000}"/>
    <cellStyle name="Normal 39 2 3 2 3 2" xfId="30078" xr:uid="{00000000-0005-0000-0000-0000C1650000}"/>
    <cellStyle name="Normal 39 2 3 2 4" xfId="20988" xr:uid="{00000000-0005-0000-0000-0000C2650000}"/>
    <cellStyle name="Normal 39 2 3 3" xfId="4352" xr:uid="{00000000-0005-0000-0000-0000C3650000}"/>
    <cellStyle name="Normal 39 2 3 3 2" xfId="8908" xr:uid="{00000000-0005-0000-0000-0000C4650000}"/>
    <cellStyle name="Normal 39 2 3 3 2 2" xfId="18004" xr:uid="{00000000-0005-0000-0000-0000C5650000}"/>
    <cellStyle name="Normal 39 2 3 3 2 2 2" xfId="36186" xr:uid="{00000000-0005-0000-0000-0000C6650000}"/>
    <cellStyle name="Normal 39 2 3 3 2 3" xfId="27096" xr:uid="{00000000-0005-0000-0000-0000C7650000}"/>
    <cellStyle name="Normal 39 2 3 3 3" xfId="13464" xr:uid="{00000000-0005-0000-0000-0000C8650000}"/>
    <cellStyle name="Normal 39 2 3 3 3 2" xfId="31646" xr:uid="{00000000-0005-0000-0000-0000C9650000}"/>
    <cellStyle name="Normal 39 2 3 3 4" xfId="22556" xr:uid="{00000000-0005-0000-0000-0000CA650000}"/>
    <cellStyle name="Normal 39 2 3 4" xfId="5991" xr:uid="{00000000-0005-0000-0000-0000CB650000}"/>
    <cellStyle name="Normal 39 2 3 4 2" xfId="15091" xr:uid="{00000000-0005-0000-0000-0000CC650000}"/>
    <cellStyle name="Normal 39 2 3 4 2 2" xfId="33273" xr:uid="{00000000-0005-0000-0000-0000CD650000}"/>
    <cellStyle name="Normal 39 2 3 4 3" xfId="24183" xr:uid="{00000000-0005-0000-0000-0000CE650000}"/>
    <cellStyle name="Normal 39 2 3 5" xfId="10557" xr:uid="{00000000-0005-0000-0000-0000CF650000}"/>
    <cellStyle name="Normal 39 2 3 5 2" xfId="28739" xr:uid="{00000000-0005-0000-0000-0000D0650000}"/>
    <cellStyle name="Normal 39 2 3 6" xfId="19648" xr:uid="{00000000-0005-0000-0000-0000D1650000}"/>
    <cellStyle name="Normal 39 2 4" xfId="1351" xr:uid="{00000000-0005-0000-0000-0000D2650000}"/>
    <cellStyle name="Normal 39 2 4 2" xfId="4353" xr:uid="{00000000-0005-0000-0000-0000D3650000}"/>
    <cellStyle name="Normal 39 2 4 2 2" xfId="8909" xr:uid="{00000000-0005-0000-0000-0000D4650000}"/>
    <cellStyle name="Normal 39 2 4 2 2 2" xfId="18005" xr:uid="{00000000-0005-0000-0000-0000D5650000}"/>
    <cellStyle name="Normal 39 2 4 2 2 2 2" xfId="36187" xr:uid="{00000000-0005-0000-0000-0000D6650000}"/>
    <cellStyle name="Normal 39 2 4 2 2 3" xfId="27097" xr:uid="{00000000-0005-0000-0000-0000D7650000}"/>
    <cellStyle name="Normal 39 2 4 2 3" xfId="13465" xr:uid="{00000000-0005-0000-0000-0000D8650000}"/>
    <cellStyle name="Normal 39 2 4 2 3 2" xfId="31647" xr:uid="{00000000-0005-0000-0000-0000D9650000}"/>
    <cellStyle name="Normal 39 2 4 2 4" xfId="22557" xr:uid="{00000000-0005-0000-0000-0000DA650000}"/>
    <cellStyle name="Normal 39 2 4 3" xfId="5992" xr:uid="{00000000-0005-0000-0000-0000DB650000}"/>
    <cellStyle name="Normal 39 2 4 3 2" xfId="15092" xr:uid="{00000000-0005-0000-0000-0000DC650000}"/>
    <cellStyle name="Normal 39 2 4 3 2 2" xfId="33274" xr:uid="{00000000-0005-0000-0000-0000DD650000}"/>
    <cellStyle name="Normal 39 2 4 3 3" xfId="24184" xr:uid="{00000000-0005-0000-0000-0000DE650000}"/>
    <cellStyle name="Normal 39 2 4 4" xfId="10558" xr:uid="{00000000-0005-0000-0000-0000DF650000}"/>
    <cellStyle name="Normal 39 2 4 4 2" xfId="28740" xr:uid="{00000000-0005-0000-0000-0000E0650000}"/>
    <cellStyle name="Normal 39 2 4 5" xfId="19649" xr:uid="{00000000-0005-0000-0000-0000E1650000}"/>
    <cellStyle name="Normal 39 2 5" xfId="2748" xr:uid="{00000000-0005-0000-0000-0000E2650000}"/>
    <cellStyle name="Normal 39 2 5 2" xfId="7333" xr:uid="{00000000-0005-0000-0000-0000E3650000}"/>
    <cellStyle name="Normal 39 2 5 2 2" xfId="16433" xr:uid="{00000000-0005-0000-0000-0000E4650000}"/>
    <cellStyle name="Normal 39 2 5 2 2 2" xfId="34615" xr:uid="{00000000-0005-0000-0000-0000E5650000}"/>
    <cellStyle name="Normal 39 2 5 2 3" xfId="25525" xr:uid="{00000000-0005-0000-0000-0000E6650000}"/>
    <cellStyle name="Normal 39 2 5 3" xfId="11897" xr:uid="{00000000-0005-0000-0000-0000E7650000}"/>
    <cellStyle name="Normal 39 2 5 3 2" xfId="30079" xr:uid="{00000000-0005-0000-0000-0000E8650000}"/>
    <cellStyle name="Normal 39 2 5 4" xfId="20989" xr:uid="{00000000-0005-0000-0000-0000E9650000}"/>
    <cellStyle name="Normal 39 2 6" xfId="4349" xr:uid="{00000000-0005-0000-0000-0000EA650000}"/>
    <cellStyle name="Normal 39 2 6 2" xfId="8905" xr:uid="{00000000-0005-0000-0000-0000EB650000}"/>
    <cellStyle name="Normal 39 2 6 2 2" xfId="18001" xr:uid="{00000000-0005-0000-0000-0000EC650000}"/>
    <cellStyle name="Normal 39 2 6 2 2 2" xfId="36183" xr:uid="{00000000-0005-0000-0000-0000ED650000}"/>
    <cellStyle name="Normal 39 2 6 2 3" xfId="27093" xr:uid="{00000000-0005-0000-0000-0000EE650000}"/>
    <cellStyle name="Normal 39 2 6 3" xfId="13461" xr:uid="{00000000-0005-0000-0000-0000EF650000}"/>
    <cellStyle name="Normal 39 2 6 3 2" xfId="31643" xr:uid="{00000000-0005-0000-0000-0000F0650000}"/>
    <cellStyle name="Normal 39 2 6 4" xfId="22553" xr:uid="{00000000-0005-0000-0000-0000F1650000}"/>
    <cellStyle name="Normal 39 2 7" xfId="5988" xr:uid="{00000000-0005-0000-0000-0000F2650000}"/>
    <cellStyle name="Normal 39 2 7 2" xfId="15088" xr:uid="{00000000-0005-0000-0000-0000F3650000}"/>
    <cellStyle name="Normal 39 2 7 2 2" xfId="33270" xr:uid="{00000000-0005-0000-0000-0000F4650000}"/>
    <cellStyle name="Normal 39 2 7 3" xfId="24180" xr:uid="{00000000-0005-0000-0000-0000F5650000}"/>
    <cellStyle name="Normal 39 2 8" xfId="10554" xr:uid="{00000000-0005-0000-0000-0000F6650000}"/>
    <cellStyle name="Normal 39 2 8 2" xfId="28736" xr:uid="{00000000-0005-0000-0000-0000F7650000}"/>
    <cellStyle name="Normal 39 2 9" xfId="19645" xr:uid="{00000000-0005-0000-0000-0000F8650000}"/>
    <cellStyle name="Normal 39 3" xfId="1352" xr:uid="{00000000-0005-0000-0000-0000F9650000}"/>
    <cellStyle name="Normal 39 3 2" xfId="1353" xr:uid="{00000000-0005-0000-0000-0000FA650000}"/>
    <cellStyle name="Normal 39 3 2 2" xfId="2749" xr:uid="{00000000-0005-0000-0000-0000FB650000}"/>
    <cellStyle name="Normal 39 3 2 2 2" xfId="7334" xr:uid="{00000000-0005-0000-0000-0000FC650000}"/>
    <cellStyle name="Normal 39 3 2 2 2 2" xfId="16434" xr:uid="{00000000-0005-0000-0000-0000FD650000}"/>
    <cellStyle name="Normal 39 3 2 2 2 2 2" xfId="34616" xr:uid="{00000000-0005-0000-0000-0000FE650000}"/>
    <cellStyle name="Normal 39 3 2 2 2 3" xfId="25526" xr:uid="{00000000-0005-0000-0000-0000FF650000}"/>
    <cellStyle name="Normal 39 3 2 2 3" xfId="11898" xr:uid="{00000000-0005-0000-0000-000000660000}"/>
    <cellStyle name="Normal 39 3 2 2 3 2" xfId="30080" xr:uid="{00000000-0005-0000-0000-000001660000}"/>
    <cellStyle name="Normal 39 3 2 2 4" xfId="20990" xr:uid="{00000000-0005-0000-0000-000002660000}"/>
    <cellStyle name="Normal 39 3 2 3" xfId="4355" xr:uid="{00000000-0005-0000-0000-000003660000}"/>
    <cellStyle name="Normal 39 3 2 3 2" xfId="8911" xr:uid="{00000000-0005-0000-0000-000004660000}"/>
    <cellStyle name="Normal 39 3 2 3 2 2" xfId="18007" xr:uid="{00000000-0005-0000-0000-000005660000}"/>
    <cellStyle name="Normal 39 3 2 3 2 2 2" xfId="36189" xr:uid="{00000000-0005-0000-0000-000006660000}"/>
    <cellStyle name="Normal 39 3 2 3 2 3" xfId="27099" xr:uid="{00000000-0005-0000-0000-000007660000}"/>
    <cellStyle name="Normal 39 3 2 3 3" xfId="13467" xr:uid="{00000000-0005-0000-0000-000008660000}"/>
    <cellStyle name="Normal 39 3 2 3 3 2" xfId="31649" xr:uid="{00000000-0005-0000-0000-000009660000}"/>
    <cellStyle name="Normal 39 3 2 3 4" xfId="22559" xr:uid="{00000000-0005-0000-0000-00000A660000}"/>
    <cellStyle name="Normal 39 3 2 4" xfId="5994" xr:uid="{00000000-0005-0000-0000-00000B660000}"/>
    <cellStyle name="Normal 39 3 2 4 2" xfId="15094" xr:uid="{00000000-0005-0000-0000-00000C660000}"/>
    <cellStyle name="Normal 39 3 2 4 2 2" xfId="33276" xr:uid="{00000000-0005-0000-0000-00000D660000}"/>
    <cellStyle name="Normal 39 3 2 4 3" xfId="24186" xr:uid="{00000000-0005-0000-0000-00000E660000}"/>
    <cellStyle name="Normal 39 3 2 5" xfId="10560" xr:uid="{00000000-0005-0000-0000-00000F660000}"/>
    <cellStyle name="Normal 39 3 2 5 2" xfId="28742" xr:uid="{00000000-0005-0000-0000-000010660000}"/>
    <cellStyle name="Normal 39 3 2 6" xfId="19651" xr:uid="{00000000-0005-0000-0000-000011660000}"/>
    <cellStyle name="Normal 39 3 3" xfId="2750" xr:uid="{00000000-0005-0000-0000-000012660000}"/>
    <cellStyle name="Normal 39 3 3 2" xfId="7335" xr:uid="{00000000-0005-0000-0000-000013660000}"/>
    <cellStyle name="Normal 39 3 3 2 2" xfId="16435" xr:uid="{00000000-0005-0000-0000-000014660000}"/>
    <cellStyle name="Normal 39 3 3 2 2 2" xfId="34617" xr:uid="{00000000-0005-0000-0000-000015660000}"/>
    <cellStyle name="Normal 39 3 3 2 3" xfId="25527" xr:uid="{00000000-0005-0000-0000-000016660000}"/>
    <cellStyle name="Normal 39 3 3 3" xfId="11899" xr:uid="{00000000-0005-0000-0000-000017660000}"/>
    <cellStyle name="Normal 39 3 3 3 2" xfId="30081" xr:uid="{00000000-0005-0000-0000-000018660000}"/>
    <cellStyle name="Normal 39 3 3 4" xfId="20991" xr:uid="{00000000-0005-0000-0000-000019660000}"/>
    <cellStyle name="Normal 39 3 4" xfId="4354" xr:uid="{00000000-0005-0000-0000-00001A660000}"/>
    <cellStyle name="Normal 39 3 4 2" xfId="8910" xr:uid="{00000000-0005-0000-0000-00001B660000}"/>
    <cellStyle name="Normal 39 3 4 2 2" xfId="18006" xr:uid="{00000000-0005-0000-0000-00001C660000}"/>
    <cellStyle name="Normal 39 3 4 2 2 2" xfId="36188" xr:uid="{00000000-0005-0000-0000-00001D660000}"/>
    <cellStyle name="Normal 39 3 4 2 3" xfId="27098" xr:uid="{00000000-0005-0000-0000-00001E660000}"/>
    <cellStyle name="Normal 39 3 4 3" xfId="13466" xr:uid="{00000000-0005-0000-0000-00001F660000}"/>
    <cellStyle name="Normal 39 3 4 3 2" xfId="31648" xr:uid="{00000000-0005-0000-0000-000020660000}"/>
    <cellStyle name="Normal 39 3 4 4" xfId="22558" xr:uid="{00000000-0005-0000-0000-000021660000}"/>
    <cellStyle name="Normal 39 3 5" xfId="5993" xr:uid="{00000000-0005-0000-0000-000022660000}"/>
    <cellStyle name="Normal 39 3 5 2" xfId="15093" xr:uid="{00000000-0005-0000-0000-000023660000}"/>
    <cellStyle name="Normal 39 3 5 2 2" xfId="33275" xr:uid="{00000000-0005-0000-0000-000024660000}"/>
    <cellStyle name="Normal 39 3 5 3" xfId="24185" xr:uid="{00000000-0005-0000-0000-000025660000}"/>
    <cellStyle name="Normal 39 3 6" xfId="10559" xr:uid="{00000000-0005-0000-0000-000026660000}"/>
    <cellStyle name="Normal 39 3 6 2" xfId="28741" xr:uid="{00000000-0005-0000-0000-000027660000}"/>
    <cellStyle name="Normal 39 3 7" xfId="19650" xr:uid="{00000000-0005-0000-0000-000028660000}"/>
    <cellStyle name="Normal 39 4" xfId="1354" xr:uid="{00000000-0005-0000-0000-000029660000}"/>
    <cellStyle name="Normal 39 4 2" xfId="2751" xr:uid="{00000000-0005-0000-0000-00002A660000}"/>
    <cellStyle name="Normal 39 4 2 2" xfId="7336" xr:uid="{00000000-0005-0000-0000-00002B660000}"/>
    <cellStyle name="Normal 39 4 2 2 2" xfId="16436" xr:uid="{00000000-0005-0000-0000-00002C660000}"/>
    <cellStyle name="Normal 39 4 2 2 2 2" xfId="34618" xr:uid="{00000000-0005-0000-0000-00002D660000}"/>
    <cellStyle name="Normal 39 4 2 2 3" xfId="25528" xr:uid="{00000000-0005-0000-0000-00002E660000}"/>
    <cellStyle name="Normal 39 4 2 3" xfId="11900" xr:uid="{00000000-0005-0000-0000-00002F660000}"/>
    <cellStyle name="Normal 39 4 2 3 2" xfId="30082" xr:uid="{00000000-0005-0000-0000-000030660000}"/>
    <cellStyle name="Normal 39 4 2 4" xfId="20992" xr:uid="{00000000-0005-0000-0000-000031660000}"/>
    <cellStyle name="Normal 39 4 3" xfId="4356" xr:uid="{00000000-0005-0000-0000-000032660000}"/>
    <cellStyle name="Normal 39 4 3 2" xfId="8912" xr:uid="{00000000-0005-0000-0000-000033660000}"/>
    <cellStyle name="Normal 39 4 3 2 2" xfId="18008" xr:uid="{00000000-0005-0000-0000-000034660000}"/>
    <cellStyle name="Normal 39 4 3 2 2 2" xfId="36190" xr:uid="{00000000-0005-0000-0000-000035660000}"/>
    <cellStyle name="Normal 39 4 3 2 3" xfId="27100" xr:uid="{00000000-0005-0000-0000-000036660000}"/>
    <cellStyle name="Normal 39 4 3 3" xfId="13468" xr:uid="{00000000-0005-0000-0000-000037660000}"/>
    <cellStyle name="Normal 39 4 3 3 2" xfId="31650" xr:uid="{00000000-0005-0000-0000-000038660000}"/>
    <cellStyle name="Normal 39 4 3 4" xfId="22560" xr:uid="{00000000-0005-0000-0000-000039660000}"/>
    <cellStyle name="Normal 39 4 4" xfId="5995" xr:uid="{00000000-0005-0000-0000-00003A660000}"/>
    <cellStyle name="Normal 39 4 4 2" xfId="15095" xr:uid="{00000000-0005-0000-0000-00003B660000}"/>
    <cellStyle name="Normal 39 4 4 2 2" xfId="33277" xr:uid="{00000000-0005-0000-0000-00003C660000}"/>
    <cellStyle name="Normal 39 4 4 3" xfId="24187" xr:uid="{00000000-0005-0000-0000-00003D660000}"/>
    <cellStyle name="Normal 39 4 5" xfId="10561" xr:uid="{00000000-0005-0000-0000-00003E660000}"/>
    <cellStyle name="Normal 39 4 5 2" xfId="28743" xr:uid="{00000000-0005-0000-0000-00003F660000}"/>
    <cellStyle name="Normal 39 4 6" xfId="19652" xr:uid="{00000000-0005-0000-0000-000040660000}"/>
    <cellStyle name="Normal 39 5" xfId="1355" xr:uid="{00000000-0005-0000-0000-000041660000}"/>
    <cellStyle name="Normal 39 5 2" xfId="4357" xr:uid="{00000000-0005-0000-0000-000042660000}"/>
    <cellStyle name="Normal 39 5 2 2" xfId="8913" xr:uid="{00000000-0005-0000-0000-000043660000}"/>
    <cellStyle name="Normal 39 5 2 2 2" xfId="18009" xr:uid="{00000000-0005-0000-0000-000044660000}"/>
    <cellStyle name="Normal 39 5 2 2 2 2" xfId="36191" xr:uid="{00000000-0005-0000-0000-000045660000}"/>
    <cellStyle name="Normal 39 5 2 2 3" xfId="27101" xr:uid="{00000000-0005-0000-0000-000046660000}"/>
    <cellStyle name="Normal 39 5 2 3" xfId="13469" xr:uid="{00000000-0005-0000-0000-000047660000}"/>
    <cellStyle name="Normal 39 5 2 3 2" xfId="31651" xr:uid="{00000000-0005-0000-0000-000048660000}"/>
    <cellStyle name="Normal 39 5 2 4" xfId="22561" xr:uid="{00000000-0005-0000-0000-000049660000}"/>
    <cellStyle name="Normal 39 5 3" xfId="5996" xr:uid="{00000000-0005-0000-0000-00004A660000}"/>
    <cellStyle name="Normal 39 5 3 2" xfId="15096" xr:uid="{00000000-0005-0000-0000-00004B660000}"/>
    <cellStyle name="Normal 39 5 3 2 2" xfId="33278" xr:uid="{00000000-0005-0000-0000-00004C660000}"/>
    <cellStyle name="Normal 39 5 3 3" xfId="24188" xr:uid="{00000000-0005-0000-0000-00004D660000}"/>
    <cellStyle name="Normal 39 5 4" xfId="10562" xr:uid="{00000000-0005-0000-0000-00004E660000}"/>
    <cellStyle name="Normal 39 5 4 2" xfId="28744" xr:uid="{00000000-0005-0000-0000-00004F660000}"/>
    <cellStyle name="Normal 39 5 5" xfId="19653" xr:uid="{00000000-0005-0000-0000-000050660000}"/>
    <cellStyle name="Normal 39 6" xfId="2752" xr:uid="{00000000-0005-0000-0000-000051660000}"/>
    <cellStyle name="Normal 39 6 2" xfId="7337" xr:uid="{00000000-0005-0000-0000-000052660000}"/>
    <cellStyle name="Normal 39 6 2 2" xfId="16437" xr:uid="{00000000-0005-0000-0000-000053660000}"/>
    <cellStyle name="Normal 39 6 2 2 2" xfId="34619" xr:uid="{00000000-0005-0000-0000-000054660000}"/>
    <cellStyle name="Normal 39 6 2 3" xfId="25529" xr:uid="{00000000-0005-0000-0000-000055660000}"/>
    <cellStyle name="Normal 39 6 3" xfId="11901" xr:uid="{00000000-0005-0000-0000-000056660000}"/>
    <cellStyle name="Normal 39 6 3 2" xfId="30083" xr:uid="{00000000-0005-0000-0000-000057660000}"/>
    <cellStyle name="Normal 39 6 4" xfId="20993" xr:uid="{00000000-0005-0000-0000-000058660000}"/>
    <cellStyle name="Normal 39 7" xfId="4348" xr:uid="{00000000-0005-0000-0000-000059660000}"/>
    <cellStyle name="Normal 39 7 2" xfId="8904" xr:uid="{00000000-0005-0000-0000-00005A660000}"/>
    <cellStyle name="Normal 39 7 2 2" xfId="18000" xr:uid="{00000000-0005-0000-0000-00005B660000}"/>
    <cellStyle name="Normal 39 7 2 2 2" xfId="36182" xr:uid="{00000000-0005-0000-0000-00005C660000}"/>
    <cellStyle name="Normal 39 7 2 3" xfId="27092" xr:uid="{00000000-0005-0000-0000-00005D660000}"/>
    <cellStyle name="Normal 39 7 3" xfId="13460" xr:uid="{00000000-0005-0000-0000-00005E660000}"/>
    <cellStyle name="Normal 39 7 3 2" xfId="31642" xr:uid="{00000000-0005-0000-0000-00005F660000}"/>
    <cellStyle name="Normal 39 7 4" xfId="22552" xr:uid="{00000000-0005-0000-0000-000060660000}"/>
    <cellStyle name="Normal 39 8" xfId="5987" xr:uid="{00000000-0005-0000-0000-000061660000}"/>
    <cellStyle name="Normal 39 8 2" xfId="15087" xr:uid="{00000000-0005-0000-0000-000062660000}"/>
    <cellStyle name="Normal 39 8 2 2" xfId="33269" xr:uid="{00000000-0005-0000-0000-000063660000}"/>
    <cellStyle name="Normal 39 8 3" xfId="24179" xr:uid="{00000000-0005-0000-0000-000064660000}"/>
    <cellStyle name="Normal 39 9" xfId="10553" xr:uid="{00000000-0005-0000-0000-000065660000}"/>
    <cellStyle name="Normal 39 9 2" xfId="28735" xr:uid="{00000000-0005-0000-0000-000066660000}"/>
    <cellStyle name="Normal 4" xfId="13" xr:uid="{00000000-0005-0000-0000-000067660000}"/>
    <cellStyle name="Normal 4 2" xfId="20" xr:uid="{00000000-0005-0000-0000-000068660000}"/>
    <cellStyle name="Normal 4 2 2" xfId="81" xr:uid="{00000000-0005-0000-0000-000069660000}"/>
    <cellStyle name="Normal 4 2 3" xfId="153" xr:uid="{00000000-0005-0000-0000-00006A660000}"/>
    <cellStyle name="Normal 4 3" xfId="34" xr:uid="{00000000-0005-0000-0000-00006B660000}"/>
    <cellStyle name="Normal 4 3 2" xfId="108" xr:uid="{00000000-0005-0000-0000-00006C660000}"/>
    <cellStyle name="Normal 4 4" xfId="80" xr:uid="{00000000-0005-0000-0000-00006D660000}"/>
    <cellStyle name="Normal 4 5" xfId="134" xr:uid="{00000000-0005-0000-0000-00006E660000}"/>
    <cellStyle name="Normal 4 5 10" xfId="9434" xr:uid="{00000000-0005-0000-0000-00006F660000}"/>
    <cellStyle name="Normal 4 5 10 2" xfId="27616" xr:uid="{00000000-0005-0000-0000-000070660000}"/>
    <cellStyle name="Normal 4 5 11" xfId="18525" xr:uid="{00000000-0005-0000-0000-000071660000}"/>
    <cellStyle name="Normal 4 5 2" xfId="1356" xr:uid="{00000000-0005-0000-0000-000072660000}"/>
    <cellStyle name="Normal 4 5 2 10" xfId="19654" xr:uid="{00000000-0005-0000-0000-000073660000}"/>
    <cellStyle name="Normal 4 5 2 2" xfId="1357" xr:uid="{00000000-0005-0000-0000-000074660000}"/>
    <cellStyle name="Normal 4 5 2 2 2" xfId="1358" xr:uid="{00000000-0005-0000-0000-000075660000}"/>
    <cellStyle name="Normal 4 5 2 2 2 2" xfId="1359" xr:uid="{00000000-0005-0000-0000-000076660000}"/>
    <cellStyle name="Normal 4 5 2 2 2 2 2" xfId="2753" xr:uid="{00000000-0005-0000-0000-000077660000}"/>
    <cellStyle name="Normal 4 5 2 2 2 2 2 2" xfId="7338" xr:uid="{00000000-0005-0000-0000-000078660000}"/>
    <cellStyle name="Normal 4 5 2 2 2 2 2 2 2" xfId="16438" xr:uid="{00000000-0005-0000-0000-000079660000}"/>
    <cellStyle name="Normal 4 5 2 2 2 2 2 2 2 2" xfId="34620" xr:uid="{00000000-0005-0000-0000-00007A660000}"/>
    <cellStyle name="Normal 4 5 2 2 2 2 2 2 3" xfId="25530" xr:uid="{00000000-0005-0000-0000-00007B660000}"/>
    <cellStyle name="Normal 4 5 2 2 2 2 2 3" xfId="11902" xr:uid="{00000000-0005-0000-0000-00007C660000}"/>
    <cellStyle name="Normal 4 5 2 2 2 2 2 3 2" xfId="30084" xr:uid="{00000000-0005-0000-0000-00007D660000}"/>
    <cellStyle name="Normal 4 5 2 2 2 2 2 4" xfId="20994" xr:uid="{00000000-0005-0000-0000-00007E660000}"/>
    <cellStyle name="Normal 4 5 2 2 2 2 3" xfId="4361" xr:uid="{00000000-0005-0000-0000-00007F660000}"/>
    <cellStyle name="Normal 4 5 2 2 2 2 3 2" xfId="8917" xr:uid="{00000000-0005-0000-0000-000080660000}"/>
    <cellStyle name="Normal 4 5 2 2 2 2 3 2 2" xfId="18013" xr:uid="{00000000-0005-0000-0000-000081660000}"/>
    <cellStyle name="Normal 4 5 2 2 2 2 3 2 2 2" xfId="36195" xr:uid="{00000000-0005-0000-0000-000082660000}"/>
    <cellStyle name="Normal 4 5 2 2 2 2 3 2 3" xfId="27105" xr:uid="{00000000-0005-0000-0000-000083660000}"/>
    <cellStyle name="Normal 4 5 2 2 2 2 3 3" xfId="13473" xr:uid="{00000000-0005-0000-0000-000084660000}"/>
    <cellStyle name="Normal 4 5 2 2 2 2 3 3 2" xfId="31655" xr:uid="{00000000-0005-0000-0000-000085660000}"/>
    <cellStyle name="Normal 4 5 2 2 2 2 3 4" xfId="22565" xr:uid="{00000000-0005-0000-0000-000086660000}"/>
    <cellStyle name="Normal 4 5 2 2 2 2 4" xfId="6000" xr:uid="{00000000-0005-0000-0000-000087660000}"/>
    <cellStyle name="Normal 4 5 2 2 2 2 4 2" xfId="15100" xr:uid="{00000000-0005-0000-0000-000088660000}"/>
    <cellStyle name="Normal 4 5 2 2 2 2 4 2 2" xfId="33282" xr:uid="{00000000-0005-0000-0000-000089660000}"/>
    <cellStyle name="Normal 4 5 2 2 2 2 4 3" xfId="24192" xr:uid="{00000000-0005-0000-0000-00008A660000}"/>
    <cellStyle name="Normal 4 5 2 2 2 2 5" xfId="10566" xr:uid="{00000000-0005-0000-0000-00008B660000}"/>
    <cellStyle name="Normal 4 5 2 2 2 2 5 2" xfId="28748" xr:uid="{00000000-0005-0000-0000-00008C660000}"/>
    <cellStyle name="Normal 4 5 2 2 2 2 6" xfId="19657" xr:uid="{00000000-0005-0000-0000-00008D660000}"/>
    <cellStyle name="Normal 4 5 2 2 2 3" xfId="2754" xr:uid="{00000000-0005-0000-0000-00008E660000}"/>
    <cellStyle name="Normal 4 5 2 2 2 3 2" xfId="7339" xr:uid="{00000000-0005-0000-0000-00008F660000}"/>
    <cellStyle name="Normal 4 5 2 2 2 3 2 2" xfId="16439" xr:uid="{00000000-0005-0000-0000-000090660000}"/>
    <cellStyle name="Normal 4 5 2 2 2 3 2 2 2" xfId="34621" xr:uid="{00000000-0005-0000-0000-000091660000}"/>
    <cellStyle name="Normal 4 5 2 2 2 3 2 3" xfId="25531" xr:uid="{00000000-0005-0000-0000-000092660000}"/>
    <cellStyle name="Normal 4 5 2 2 2 3 3" xfId="11903" xr:uid="{00000000-0005-0000-0000-000093660000}"/>
    <cellStyle name="Normal 4 5 2 2 2 3 3 2" xfId="30085" xr:uid="{00000000-0005-0000-0000-000094660000}"/>
    <cellStyle name="Normal 4 5 2 2 2 3 4" xfId="20995" xr:uid="{00000000-0005-0000-0000-000095660000}"/>
    <cellStyle name="Normal 4 5 2 2 2 4" xfId="4360" xr:uid="{00000000-0005-0000-0000-000096660000}"/>
    <cellStyle name="Normal 4 5 2 2 2 4 2" xfId="8916" xr:uid="{00000000-0005-0000-0000-000097660000}"/>
    <cellStyle name="Normal 4 5 2 2 2 4 2 2" xfId="18012" xr:uid="{00000000-0005-0000-0000-000098660000}"/>
    <cellStyle name="Normal 4 5 2 2 2 4 2 2 2" xfId="36194" xr:uid="{00000000-0005-0000-0000-000099660000}"/>
    <cellStyle name="Normal 4 5 2 2 2 4 2 3" xfId="27104" xr:uid="{00000000-0005-0000-0000-00009A660000}"/>
    <cellStyle name="Normal 4 5 2 2 2 4 3" xfId="13472" xr:uid="{00000000-0005-0000-0000-00009B660000}"/>
    <cellStyle name="Normal 4 5 2 2 2 4 3 2" xfId="31654" xr:uid="{00000000-0005-0000-0000-00009C660000}"/>
    <cellStyle name="Normal 4 5 2 2 2 4 4" xfId="22564" xr:uid="{00000000-0005-0000-0000-00009D660000}"/>
    <cellStyle name="Normal 4 5 2 2 2 5" xfId="5999" xr:uid="{00000000-0005-0000-0000-00009E660000}"/>
    <cellStyle name="Normal 4 5 2 2 2 5 2" xfId="15099" xr:uid="{00000000-0005-0000-0000-00009F660000}"/>
    <cellStyle name="Normal 4 5 2 2 2 5 2 2" xfId="33281" xr:uid="{00000000-0005-0000-0000-0000A0660000}"/>
    <cellStyle name="Normal 4 5 2 2 2 5 3" xfId="24191" xr:uid="{00000000-0005-0000-0000-0000A1660000}"/>
    <cellStyle name="Normal 4 5 2 2 2 6" xfId="10565" xr:uid="{00000000-0005-0000-0000-0000A2660000}"/>
    <cellStyle name="Normal 4 5 2 2 2 6 2" xfId="28747" xr:uid="{00000000-0005-0000-0000-0000A3660000}"/>
    <cellStyle name="Normal 4 5 2 2 2 7" xfId="19656" xr:uid="{00000000-0005-0000-0000-0000A4660000}"/>
    <cellStyle name="Normal 4 5 2 2 3" xfId="1360" xr:uid="{00000000-0005-0000-0000-0000A5660000}"/>
    <cellStyle name="Normal 4 5 2 2 3 2" xfId="2755" xr:uid="{00000000-0005-0000-0000-0000A6660000}"/>
    <cellStyle name="Normal 4 5 2 2 3 2 2" xfId="7340" xr:uid="{00000000-0005-0000-0000-0000A7660000}"/>
    <cellStyle name="Normal 4 5 2 2 3 2 2 2" xfId="16440" xr:uid="{00000000-0005-0000-0000-0000A8660000}"/>
    <cellStyle name="Normal 4 5 2 2 3 2 2 2 2" xfId="34622" xr:uid="{00000000-0005-0000-0000-0000A9660000}"/>
    <cellStyle name="Normal 4 5 2 2 3 2 2 3" xfId="25532" xr:uid="{00000000-0005-0000-0000-0000AA660000}"/>
    <cellStyle name="Normal 4 5 2 2 3 2 3" xfId="11904" xr:uid="{00000000-0005-0000-0000-0000AB660000}"/>
    <cellStyle name="Normal 4 5 2 2 3 2 3 2" xfId="30086" xr:uid="{00000000-0005-0000-0000-0000AC660000}"/>
    <cellStyle name="Normal 4 5 2 2 3 2 4" xfId="20996" xr:uid="{00000000-0005-0000-0000-0000AD660000}"/>
    <cellStyle name="Normal 4 5 2 2 3 3" xfId="4362" xr:uid="{00000000-0005-0000-0000-0000AE660000}"/>
    <cellStyle name="Normal 4 5 2 2 3 3 2" xfId="8918" xr:uid="{00000000-0005-0000-0000-0000AF660000}"/>
    <cellStyle name="Normal 4 5 2 2 3 3 2 2" xfId="18014" xr:uid="{00000000-0005-0000-0000-0000B0660000}"/>
    <cellStyle name="Normal 4 5 2 2 3 3 2 2 2" xfId="36196" xr:uid="{00000000-0005-0000-0000-0000B1660000}"/>
    <cellStyle name="Normal 4 5 2 2 3 3 2 3" xfId="27106" xr:uid="{00000000-0005-0000-0000-0000B2660000}"/>
    <cellStyle name="Normal 4 5 2 2 3 3 3" xfId="13474" xr:uid="{00000000-0005-0000-0000-0000B3660000}"/>
    <cellStyle name="Normal 4 5 2 2 3 3 3 2" xfId="31656" xr:uid="{00000000-0005-0000-0000-0000B4660000}"/>
    <cellStyle name="Normal 4 5 2 2 3 3 4" xfId="22566" xr:uid="{00000000-0005-0000-0000-0000B5660000}"/>
    <cellStyle name="Normal 4 5 2 2 3 4" xfId="6001" xr:uid="{00000000-0005-0000-0000-0000B6660000}"/>
    <cellStyle name="Normal 4 5 2 2 3 4 2" xfId="15101" xr:uid="{00000000-0005-0000-0000-0000B7660000}"/>
    <cellStyle name="Normal 4 5 2 2 3 4 2 2" xfId="33283" xr:uid="{00000000-0005-0000-0000-0000B8660000}"/>
    <cellStyle name="Normal 4 5 2 2 3 4 3" xfId="24193" xr:uid="{00000000-0005-0000-0000-0000B9660000}"/>
    <cellStyle name="Normal 4 5 2 2 3 5" xfId="10567" xr:uid="{00000000-0005-0000-0000-0000BA660000}"/>
    <cellStyle name="Normal 4 5 2 2 3 5 2" xfId="28749" xr:uid="{00000000-0005-0000-0000-0000BB660000}"/>
    <cellStyle name="Normal 4 5 2 2 3 6" xfId="19658" xr:uid="{00000000-0005-0000-0000-0000BC660000}"/>
    <cellStyle name="Normal 4 5 2 2 4" xfId="1361" xr:uid="{00000000-0005-0000-0000-0000BD660000}"/>
    <cellStyle name="Normal 4 5 2 2 4 2" xfId="4363" xr:uid="{00000000-0005-0000-0000-0000BE660000}"/>
    <cellStyle name="Normal 4 5 2 2 4 2 2" xfId="8919" xr:uid="{00000000-0005-0000-0000-0000BF660000}"/>
    <cellStyle name="Normal 4 5 2 2 4 2 2 2" xfId="18015" xr:uid="{00000000-0005-0000-0000-0000C0660000}"/>
    <cellStyle name="Normal 4 5 2 2 4 2 2 2 2" xfId="36197" xr:uid="{00000000-0005-0000-0000-0000C1660000}"/>
    <cellStyle name="Normal 4 5 2 2 4 2 2 3" xfId="27107" xr:uid="{00000000-0005-0000-0000-0000C2660000}"/>
    <cellStyle name="Normal 4 5 2 2 4 2 3" xfId="13475" xr:uid="{00000000-0005-0000-0000-0000C3660000}"/>
    <cellStyle name="Normal 4 5 2 2 4 2 3 2" xfId="31657" xr:uid="{00000000-0005-0000-0000-0000C4660000}"/>
    <cellStyle name="Normal 4 5 2 2 4 2 4" xfId="22567" xr:uid="{00000000-0005-0000-0000-0000C5660000}"/>
    <cellStyle name="Normal 4 5 2 2 4 3" xfId="6002" xr:uid="{00000000-0005-0000-0000-0000C6660000}"/>
    <cellStyle name="Normal 4 5 2 2 4 3 2" xfId="15102" xr:uid="{00000000-0005-0000-0000-0000C7660000}"/>
    <cellStyle name="Normal 4 5 2 2 4 3 2 2" xfId="33284" xr:uid="{00000000-0005-0000-0000-0000C8660000}"/>
    <cellStyle name="Normal 4 5 2 2 4 3 3" xfId="24194" xr:uid="{00000000-0005-0000-0000-0000C9660000}"/>
    <cellStyle name="Normal 4 5 2 2 4 4" xfId="10568" xr:uid="{00000000-0005-0000-0000-0000CA660000}"/>
    <cellStyle name="Normal 4 5 2 2 4 4 2" xfId="28750" xr:uid="{00000000-0005-0000-0000-0000CB660000}"/>
    <cellStyle name="Normal 4 5 2 2 4 5" xfId="19659" xr:uid="{00000000-0005-0000-0000-0000CC660000}"/>
    <cellStyle name="Normal 4 5 2 2 5" xfId="2756" xr:uid="{00000000-0005-0000-0000-0000CD660000}"/>
    <cellStyle name="Normal 4 5 2 2 5 2" xfId="7341" xr:uid="{00000000-0005-0000-0000-0000CE660000}"/>
    <cellStyle name="Normal 4 5 2 2 5 2 2" xfId="16441" xr:uid="{00000000-0005-0000-0000-0000CF660000}"/>
    <cellStyle name="Normal 4 5 2 2 5 2 2 2" xfId="34623" xr:uid="{00000000-0005-0000-0000-0000D0660000}"/>
    <cellStyle name="Normal 4 5 2 2 5 2 3" xfId="25533" xr:uid="{00000000-0005-0000-0000-0000D1660000}"/>
    <cellStyle name="Normal 4 5 2 2 5 3" xfId="11905" xr:uid="{00000000-0005-0000-0000-0000D2660000}"/>
    <cellStyle name="Normal 4 5 2 2 5 3 2" xfId="30087" xr:uid="{00000000-0005-0000-0000-0000D3660000}"/>
    <cellStyle name="Normal 4 5 2 2 5 4" xfId="20997" xr:uid="{00000000-0005-0000-0000-0000D4660000}"/>
    <cellStyle name="Normal 4 5 2 2 6" xfId="4359" xr:uid="{00000000-0005-0000-0000-0000D5660000}"/>
    <cellStyle name="Normal 4 5 2 2 6 2" xfId="8915" xr:uid="{00000000-0005-0000-0000-0000D6660000}"/>
    <cellStyle name="Normal 4 5 2 2 6 2 2" xfId="18011" xr:uid="{00000000-0005-0000-0000-0000D7660000}"/>
    <cellStyle name="Normal 4 5 2 2 6 2 2 2" xfId="36193" xr:uid="{00000000-0005-0000-0000-0000D8660000}"/>
    <cellStyle name="Normal 4 5 2 2 6 2 3" xfId="27103" xr:uid="{00000000-0005-0000-0000-0000D9660000}"/>
    <cellStyle name="Normal 4 5 2 2 6 3" xfId="13471" xr:uid="{00000000-0005-0000-0000-0000DA660000}"/>
    <cellStyle name="Normal 4 5 2 2 6 3 2" xfId="31653" xr:uid="{00000000-0005-0000-0000-0000DB660000}"/>
    <cellStyle name="Normal 4 5 2 2 6 4" xfId="22563" xr:uid="{00000000-0005-0000-0000-0000DC660000}"/>
    <cellStyle name="Normal 4 5 2 2 7" xfId="5998" xr:uid="{00000000-0005-0000-0000-0000DD660000}"/>
    <cellStyle name="Normal 4 5 2 2 7 2" xfId="15098" xr:uid="{00000000-0005-0000-0000-0000DE660000}"/>
    <cellStyle name="Normal 4 5 2 2 7 2 2" xfId="33280" xr:uid="{00000000-0005-0000-0000-0000DF660000}"/>
    <cellStyle name="Normal 4 5 2 2 7 3" xfId="24190" xr:uid="{00000000-0005-0000-0000-0000E0660000}"/>
    <cellStyle name="Normal 4 5 2 2 8" xfId="10564" xr:uid="{00000000-0005-0000-0000-0000E1660000}"/>
    <cellStyle name="Normal 4 5 2 2 8 2" xfId="28746" xr:uid="{00000000-0005-0000-0000-0000E2660000}"/>
    <cellStyle name="Normal 4 5 2 2 9" xfId="19655" xr:uid="{00000000-0005-0000-0000-0000E3660000}"/>
    <cellStyle name="Normal 4 5 2 3" xfId="1362" xr:uid="{00000000-0005-0000-0000-0000E4660000}"/>
    <cellStyle name="Normal 4 5 2 3 2" xfId="1363" xr:uid="{00000000-0005-0000-0000-0000E5660000}"/>
    <cellStyle name="Normal 4 5 2 3 2 2" xfId="2757" xr:uid="{00000000-0005-0000-0000-0000E6660000}"/>
    <cellStyle name="Normal 4 5 2 3 2 2 2" xfId="7342" xr:uid="{00000000-0005-0000-0000-0000E7660000}"/>
    <cellStyle name="Normal 4 5 2 3 2 2 2 2" xfId="16442" xr:uid="{00000000-0005-0000-0000-0000E8660000}"/>
    <cellStyle name="Normal 4 5 2 3 2 2 2 2 2" xfId="34624" xr:uid="{00000000-0005-0000-0000-0000E9660000}"/>
    <cellStyle name="Normal 4 5 2 3 2 2 2 3" xfId="25534" xr:uid="{00000000-0005-0000-0000-0000EA660000}"/>
    <cellStyle name="Normal 4 5 2 3 2 2 3" xfId="11906" xr:uid="{00000000-0005-0000-0000-0000EB660000}"/>
    <cellStyle name="Normal 4 5 2 3 2 2 3 2" xfId="30088" xr:uid="{00000000-0005-0000-0000-0000EC660000}"/>
    <cellStyle name="Normal 4 5 2 3 2 2 4" xfId="20998" xr:uid="{00000000-0005-0000-0000-0000ED660000}"/>
    <cellStyle name="Normal 4 5 2 3 2 3" xfId="4365" xr:uid="{00000000-0005-0000-0000-0000EE660000}"/>
    <cellStyle name="Normal 4 5 2 3 2 3 2" xfId="8921" xr:uid="{00000000-0005-0000-0000-0000EF660000}"/>
    <cellStyle name="Normal 4 5 2 3 2 3 2 2" xfId="18017" xr:uid="{00000000-0005-0000-0000-0000F0660000}"/>
    <cellStyle name="Normal 4 5 2 3 2 3 2 2 2" xfId="36199" xr:uid="{00000000-0005-0000-0000-0000F1660000}"/>
    <cellStyle name="Normal 4 5 2 3 2 3 2 3" xfId="27109" xr:uid="{00000000-0005-0000-0000-0000F2660000}"/>
    <cellStyle name="Normal 4 5 2 3 2 3 3" xfId="13477" xr:uid="{00000000-0005-0000-0000-0000F3660000}"/>
    <cellStyle name="Normal 4 5 2 3 2 3 3 2" xfId="31659" xr:uid="{00000000-0005-0000-0000-0000F4660000}"/>
    <cellStyle name="Normal 4 5 2 3 2 3 4" xfId="22569" xr:uid="{00000000-0005-0000-0000-0000F5660000}"/>
    <cellStyle name="Normal 4 5 2 3 2 4" xfId="6004" xr:uid="{00000000-0005-0000-0000-0000F6660000}"/>
    <cellStyle name="Normal 4 5 2 3 2 4 2" xfId="15104" xr:uid="{00000000-0005-0000-0000-0000F7660000}"/>
    <cellStyle name="Normal 4 5 2 3 2 4 2 2" xfId="33286" xr:uid="{00000000-0005-0000-0000-0000F8660000}"/>
    <cellStyle name="Normal 4 5 2 3 2 4 3" xfId="24196" xr:uid="{00000000-0005-0000-0000-0000F9660000}"/>
    <cellStyle name="Normal 4 5 2 3 2 5" xfId="10570" xr:uid="{00000000-0005-0000-0000-0000FA660000}"/>
    <cellStyle name="Normal 4 5 2 3 2 5 2" xfId="28752" xr:uid="{00000000-0005-0000-0000-0000FB660000}"/>
    <cellStyle name="Normal 4 5 2 3 2 6" xfId="19661" xr:uid="{00000000-0005-0000-0000-0000FC660000}"/>
    <cellStyle name="Normal 4 5 2 3 3" xfId="2758" xr:uid="{00000000-0005-0000-0000-0000FD660000}"/>
    <cellStyle name="Normal 4 5 2 3 3 2" xfId="7343" xr:uid="{00000000-0005-0000-0000-0000FE660000}"/>
    <cellStyle name="Normal 4 5 2 3 3 2 2" xfId="16443" xr:uid="{00000000-0005-0000-0000-0000FF660000}"/>
    <cellStyle name="Normal 4 5 2 3 3 2 2 2" xfId="34625" xr:uid="{00000000-0005-0000-0000-000000670000}"/>
    <cellStyle name="Normal 4 5 2 3 3 2 3" xfId="25535" xr:uid="{00000000-0005-0000-0000-000001670000}"/>
    <cellStyle name="Normal 4 5 2 3 3 3" xfId="11907" xr:uid="{00000000-0005-0000-0000-000002670000}"/>
    <cellStyle name="Normal 4 5 2 3 3 3 2" xfId="30089" xr:uid="{00000000-0005-0000-0000-000003670000}"/>
    <cellStyle name="Normal 4 5 2 3 3 4" xfId="20999" xr:uid="{00000000-0005-0000-0000-000004670000}"/>
    <cellStyle name="Normal 4 5 2 3 4" xfId="4364" xr:uid="{00000000-0005-0000-0000-000005670000}"/>
    <cellStyle name="Normal 4 5 2 3 4 2" xfId="8920" xr:uid="{00000000-0005-0000-0000-000006670000}"/>
    <cellStyle name="Normal 4 5 2 3 4 2 2" xfId="18016" xr:uid="{00000000-0005-0000-0000-000007670000}"/>
    <cellStyle name="Normal 4 5 2 3 4 2 2 2" xfId="36198" xr:uid="{00000000-0005-0000-0000-000008670000}"/>
    <cellStyle name="Normal 4 5 2 3 4 2 3" xfId="27108" xr:uid="{00000000-0005-0000-0000-000009670000}"/>
    <cellStyle name="Normal 4 5 2 3 4 3" xfId="13476" xr:uid="{00000000-0005-0000-0000-00000A670000}"/>
    <cellStyle name="Normal 4 5 2 3 4 3 2" xfId="31658" xr:uid="{00000000-0005-0000-0000-00000B670000}"/>
    <cellStyle name="Normal 4 5 2 3 4 4" xfId="22568" xr:uid="{00000000-0005-0000-0000-00000C670000}"/>
    <cellStyle name="Normal 4 5 2 3 5" xfId="6003" xr:uid="{00000000-0005-0000-0000-00000D670000}"/>
    <cellStyle name="Normal 4 5 2 3 5 2" xfId="15103" xr:uid="{00000000-0005-0000-0000-00000E670000}"/>
    <cellStyle name="Normal 4 5 2 3 5 2 2" xfId="33285" xr:uid="{00000000-0005-0000-0000-00000F670000}"/>
    <cellStyle name="Normal 4 5 2 3 5 3" xfId="24195" xr:uid="{00000000-0005-0000-0000-000010670000}"/>
    <cellStyle name="Normal 4 5 2 3 6" xfId="10569" xr:uid="{00000000-0005-0000-0000-000011670000}"/>
    <cellStyle name="Normal 4 5 2 3 6 2" xfId="28751" xr:uid="{00000000-0005-0000-0000-000012670000}"/>
    <cellStyle name="Normal 4 5 2 3 7" xfId="19660" xr:uid="{00000000-0005-0000-0000-000013670000}"/>
    <cellStyle name="Normal 4 5 2 4" xfId="1364" xr:uid="{00000000-0005-0000-0000-000014670000}"/>
    <cellStyle name="Normal 4 5 2 4 2" xfId="2759" xr:uid="{00000000-0005-0000-0000-000015670000}"/>
    <cellStyle name="Normal 4 5 2 4 2 2" xfId="7344" xr:uid="{00000000-0005-0000-0000-000016670000}"/>
    <cellStyle name="Normal 4 5 2 4 2 2 2" xfId="16444" xr:uid="{00000000-0005-0000-0000-000017670000}"/>
    <cellStyle name="Normal 4 5 2 4 2 2 2 2" xfId="34626" xr:uid="{00000000-0005-0000-0000-000018670000}"/>
    <cellStyle name="Normal 4 5 2 4 2 2 3" xfId="25536" xr:uid="{00000000-0005-0000-0000-000019670000}"/>
    <cellStyle name="Normal 4 5 2 4 2 3" xfId="11908" xr:uid="{00000000-0005-0000-0000-00001A670000}"/>
    <cellStyle name="Normal 4 5 2 4 2 3 2" xfId="30090" xr:uid="{00000000-0005-0000-0000-00001B670000}"/>
    <cellStyle name="Normal 4 5 2 4 2 4" xfId="21000" xr:uid="{00000000-0005-0000-0000-00001C670000}"/>
    <cellStyle name="Normal 4 5 2 4 3" xfId="4366" xr:uid="{00000000-0005-0000-0000-00001D670000}"/>
    <cellStyle name="Normal 4 5 2 4 3 2" xfId="8922" xr:uid="{00000000-0005-0000-0000-00001E670000}"/>
    <cellStyle name="Normal 4 5 2 4 3 2 2" xfId="18018" xr:uid="{00000000-0005-0000-0000-00001F670000}"/>
    <cellStyle name="Normal 4 5 2 4 3 2 2 2" xfId="36200" xr:uid="{00000000-0005-0000-0000-000020670000}"/>
    <cellStyle name="Normal 4 5 2 4 3 2 3" xfId="27110" xr:uid="{00000000-0005-0000-0000-000021670000}"/>
    <cellStyle name="Normal 4 5 2 4 3 3" xfId="13478" xr:uid="{00000000-0005-0000-0000-000022670000}"/>
    <cellStyle name="Normal 4 5 2 4 3 3 2" xfId="31660" xr:uid="{00000000-0005-0000-0000-000023670000}"/>
    <cellStyle name="Normal 4 5 2 4 3 4" xfId="22570" xr:uid="{00000000-0005-0000-0000-000024670000}"/>
    <cellStyle name="Normal 4 5 2 4 4" xfId="6005" xr:uid="{00000000-0005-0000-0000-000025670000}"/>
    <cellStyle name="Normal 4 5 2 4 4 2" xfId="15105" xr:uid="{00000000-0005-0000-0000-000026670000}"/>
    <cellStyle name="Normal 4 5 2 4 4 2 2" xfId="33287" xr:uid="{00000000-0005-0000-0000-000027670000}"/>
    <cellStyle name="Normal 4 5 2 4 4 3" xfId="24197" xr:uid="{00000000-0005-0000-0000-000028670000}"/>
    <cellStyle name="Normal 4 5 2 4 5" xfId="10571" xr:uid="{00000000-0005-0000-0000-000029670000}"/>
    <cellStyle name="Normal 4 5 2 4 5 2" xfId="28753" xr:uid="{00000000-0005-0000-0000-00002A670000}"/>
    <cellStyle name="Normal 4 5 2 4 6" xfId="19662" xr:uid="{00000000-0005-0000-0000-00002B670000}"/>
    <cellStyle name="Normal 4 5 2 5" xfId="1365" xr:uid="{00000000-0005-0000-0000-00002C670000}"/>
    <cellStyle name="Normal 4 5 2 5 2" xfId="4367" xr:uid="{00000000-0005-0000-0000-00002D670000}"/>
    <cellStyle name="Normal 4 5 2 5 2 2" xfId="8923" xr:uid="{00000000-0005-0000-0000-00002E670000}"/>
    <cellStyle name="Normal 4 5 2 5 2 2 2" xfId="18019" xr:uid="{00000000-0005-0000-0000-00002F670000}"/>
    <cellStyle name="Normal 4 5 2 5 2 2 2 2" xfId="36201" xr:uid="{00000000-0005-0000-0000-000030670000}"/>
    <cellStyle name="Normal 4 5 2 5 2 2 3" xfId="27111" xr:uid="{00000000-0005-0000-0000-000031670000}"/>
    <cellStyle name="Normal 4 5 2 5 2 3" xfId="13479" xr:uid="{00000000-0005-0000-0000-000032670000}"/>
    <cellStyle name="Normal 4 5 2 5 2 3 2" xfId="31661" xr:uid="{00000000-0005-0000-0000-000033670000}"/>
    <cellStyle name="Normal 4 5 2 5 2 4" xfId="22571" xr:uid="{00000000-0005-0000-0000-000034670000}"/>
    <cellStyle name="Normal 4 5 2 5 3" xfId="6006" xr:uid="{00000000-0005-0000-0000-000035670000}"/>
    <cellStyle name="Normal 4 5 2 5 3 2" xfId="15106" xr:uid="{00000000-0005-0000-0000-000036670000}"/>
    <cellStyle name="Normal 4 5 2 5 3 2 2" xfId="33288" xr:uid="{00000000-0005-0000-0000-000037670000}"/>
    <cellStyle name="Normal 4 5 2 5 3 3" xfId="24198" xr:uid="{00000000-0005-0000-0000-000038670000}"/>
    <cellStyle name="Normal 4 5 2 5 4" xfId="10572" xr:uid="{00000000-0005-0000-0000-000039670000}"/>
    <cellStyle name="Normal 4 5 2 5 4 2" xfId="28754" xr:uid="{00000000-0005-0000-0000-00003A670000}"/>
    <cellStyle name="Normal 4 5 2 5 5" xfId="19663" xr:uid="{00000000-0005-0000-0000-00003B670000}"/>
    <cellStyle name="Normal 4 5 2 6" xfId="2760" xr:uid="{00000000-0005-0000-0000-00003C670000}"/>
    <cellStyle name="Normal 4 5 2 6 2" xfId="7345" xr:uid="{00000000-0005-0000-0000-00003D670000}"/>
    <cellStyle name="Normal 4 5 2 6 2 2" xfId="16445" xr:uid="{00000000-0005-0000-0000-00003E670000}"/>
    <cellStyle name="Normal 4 5 2 6 2 2 2" xfId="34627" xr:uid="{00000000-0005-0000-0000-00003F670000}"/>
    <cellStyle name="Normal 4 5 2 6 2 3" xfId="25537" xr:uid="{00000000-0005-0000-0000-000040670000}"/>
    <cellStyle name="Normal 4 5 2 6 3" xfId="11909" xr:uid="{00000000-0005-0000-0000-000041670000}"/>
    <cellStyle name="Normal 4 5 2 6 3 2" xfId="30091" xr:uid="{00000000-0005-0000-0000-000042670000}"/>
    <cellStyle name="Normal 4 5 2 6 4" xfId="21001" xr:uid="{00000000-0005-0000-0000-000043670000}"/>
    <cellStyle name="Normal 4 5 2 7" xfId="4358" xr:uid="{00000000-0005-0000-0000-000044670000}"/>
    <cellStyle name="Normal 4 5 2 7 2" xfId="8914" xr:uid="{00000000-0005-0000-0000-000045670000}"/>
    <cellStyle name="Normal 4 5 2 7 2 2" xfId="18010" xr:uid="{00000000-0005-0000-0000-000046670000}"/>
    <cellStyle name="Normal 4 5 2 7 2 2 2" xfId="36192" xr:uid="{00000000-0005-0000-0000-000047670000}"/>
    <cellStyle name="Normal 4 5 2 7 2 3" xfId="27102" xr:uid="{00000000-0005-0000-0000-000048670000}"/>
    <cellStyle name="Normal 4 5 2 7 3" xfId="13470" xr:uid="{00000000-0005-0000-0000-000049670000}"/>
    <cellStyle name="Normal 4 5 2 7 3 2" xfId="31652" xr:uid="{00000000-0005-0000-0000-00004A670000}"/>
    <cellStyle name="Normal 4 5 2 7 4" xfId="22562" xr:uid="{00000000-0005-0000-0000-00004B670000}"/>
    <cellStyle name="Normal 4 5 2 8" xfId="5997" xr:uid="{00000000-0005-0000-0000-00004C670000}"/>
    <cellStyle name="Normal 4 5 2 8 2" xfId="15097" xr:uid="{00000000-0005-0000-0000-00004D670000}"/>
    <cellStyle name="Normal 4 5 2 8 2 2" xfId="33279" xr:uid="{00000000-0005-0000-0000-00004E670000}"/>
    <cellStyle name="Normal 4 5 2 8 3" xfId="24189" xr:uid="{00000000-0005-0000-0000-00004F670000}"/>
    <cellStyle name="Normal 4 5 2 9" xfId="10563" xr:uid="{00000000-0005-0000-0000-000050670000}"/>
    <cellStyle name="Normal 4 5 2 9 2" xfId="28745" xr:uid="{00000000-0005-0000-0000-000051670000}"/>
    <cellStyle name="Normal 4 5 3" xfId="1366" xr:uid="{00000000-0005-0000-0000-000052670000}"/>
    <cellStyle name="Normal 4 5 3 2" xfId="1367" xr:uid="{00000000-0005-0000-0000-000053670000}"/>
    <cellStyle name="Normal 4 5 3 2 2" xfId="1368" xr:uid="{00000000-0005-0000-0000-000054670000}"/>
    <cellStyle name="Normal 4 5 3 2 2 2" xfId="2761" xr:uid="{00000000-0005-0000-0000-000055670000}"/>
    <cellStyle name="Normal 4 5 3 2 2 2 2" xfId="7346" xr:uid="{00000000-0005-0000-0000-000056670000}"/>
    <cellStyle name="Normal 4 5 3 2 2 2 2 2" xfId="16446" xr:uid="{00000000-0005-0000-0000-000057670000}"/>
    <cellStyle name="Normal 4 5 3 2 2 2 2 2 2" xfId="34628" xr:uid="{00000000-0005-0000-0000-000058670000}"/>
    <cellStyle name="Normal 4 5 3 2 2 2 2 3" xfId="25538" xr:uid="{00000000-0005-0000-0000-000059670000}"/>
    <cellStyle name="Normal 4 5 3 2 2 2 3" xfId="11910" xr:uid="{00000000-0005-0000-0000-00005A670000}"/>
    <cellStyle name="Normal 4 5 3 2 2 2 3 2" xfId="30092" xr:uid="{00000000-0005-0000-0000-00005B670000}"/>
    <cellStyle name="Normal 4 5 3 2 2 2 4" xfId="21002" xr:uid="{00000000-0005-0000-0000-00005C670000}"/>
    <cellStyle name="Normal 4 5 3 2 2 3" xfId="4370" xr:uid="{00000000-0005-0000-0000-00005D670000}"/>
    <cellStyle name="Normal 4 5 3 2 2 3 2" xfId="8926" xr:uid="{00000000-0005-0000-0000-00005E670000}"/>
    <cellStyle name="Normal 4 5 3 2 2 3 2 2" xfId="18022" xr:uid="{00000000-0005-0000-0000-00005F670000}"/>
    <cellStyle name="Normal 4 5 3 2 2 3 2 2 2" xfId="36204" xr:uid="{00000000-0005-0000-0000-000060670000}"/>
    <cellStyle name="Normal 4 5 3 2 2 3 2 3" xfId="27114" xr:uid="{00000000-0005-0000-0000-000061670000}"/>
    <cellStyle name="Normal 4 5 3 2 2 3 3" xfId="13482" xr:uid="{00000000-0005-0000-0000-000062670000}"/>
    <cellStyle name="Normal 4 5 3 2 2 3 3 2" xfId="31664" xr:uid="{00000000-0005-0000-0000-000063670000}"/>
    <cellStyle name="Normal 4 5 3 2 2 3 4" xfId="22574" xr:uid="{00000000-0005-0000-0000-000064670000}"/>
    <cellStyle name="Normal 4 5 3 2 2 4" xfId="6009" xr:uid="{00000000-0005-0000-0000-000065670000}"/>
    <cellStyle name="Normal 4 5 3 2 2 4 2" xfId="15109" xr:uid="{00000000-0005-0000-0000-000066670000}"/>
    <cellStyle name="Normal 4 5 3 2 2 4 2 2" xfId="33291" xr:uid="{00000000-0005-0000-0000-000067670000}"/>
    <cellStyle name="Normal 4 5 3 2 2 4 3" xfId="24201" xr:uid="{00000000-0005-0000-0000-000068670000}"/>
    <cellStyle name="Normal 4 5 3 2 2 5" xfId="10575" xr:uid="{00000000-0005-0000-0000-000069670000}"/>
    <cellStyle name="Normal 4 5 3 2 2 5 2" xfId="28757" xr:uid="{00000000-0005-0000-0000-00006A670000}"/>
    <cellStyle name="Normal 4 5 3 2 2 6" xfId="19666" xr:uid="{00000000-0005-0000-0000-00006B670000}"/>
    <cellStyle name="Normal 4 5 3 2 3" xfId="2762" xr:uid="{00000000-0005-0000-0000-00006C670000}"/>
    <cellStyle name="Normal 4 5 3 2 3 2" xfId="7347" xr:uid="{00000000-0005-0000-0000-00006D670000}"/>
    <cellStyle name="Normal 4 5 3 2 3 2 2" xfId="16447" xr:uid="{00000000-0005-0000-0000-00006E670000}"/>
    <cellStyle name="Normal 4 5 3 2 3 2 2 2" xfId="34629" xr:uid="{00000000-0005-0000-0000-00006F670000}"/>
    <cellStyle name="Normal 4 5 3 2 3 2 3" xfId="25539" xr:uid="{00000000-0005-0000-0000-000070670000}"/>
    <cellStyle name="Normal 4 5 3 2 3 3" xfId="11911" xr:uid="{00000000-0005-0000-0000-000071670000}"/>
    <cellStyle name="Normal 4 5 3 2 3 3 2" xfId="30093" xr:uid="{00000000-0005-0000-0000-000072670000}"/>
    <cellStyle name="Normal 4 5 3 2 3 4" xfId="21003" xr:uid="{00000000-0005-0000-0000-000073670000}"/>
    <cellStyle name="Normal 4 5 3 2 4" xfId="4369" xr:uid="{00000000-0005-0000-0000-000074670000}"/>
    <cellStyle name="Normal 4 5 3 2 4 2" xfId="8925" xr:uid="{00000000-0005-0000-0000-000075670000}"/>
    <cellStyle name="Normal 4 5 3 2 4 2 2" xfId="18021" xr:uid="{00000000-0005-0000-0000-000076670000}"/>
    <cellStyle name="Normal 4 5 3 2 4 2 2 2" xfId="36203" xr:uid="{00000000-0005-0000-0000-000077670000}"/>
    <cellStyle name="Normal 4 5 3 2 4 2 3" xfId="27113" xr:uid="{00000000-0005-0000-0000-000078670000}"/>
    <cellStyle name="Normal 4 5 3 2 4 3" xfId="13481" xr:uid="{00000000-0005-0000-0000-000079670000}"/>
    <cellStyle name="Normal 4 5 3 2 4 3 2" xfId="31663" xr:uid="{00000000-0005-0000-0000-00007A670000}"/>
    <cellStyle name="Normal 4 5 3 2 4 4" xfId="22573" xr:uid="{00000000-0005-0000-0000-00007B670000}"/>
    <cellStyle name="Normal 4 5 3 2 5" xfId="6008" xr:uid="{00000000-0005-0000-0000-00007C670000}"/>
    <cellStyle name="Normal 4 5 3 2 5 2" xfId="15108" xr:uid="{00000000-0005-0000-0000-00007D670000}"/>
    <cellStyle name="Normal 4 5 3 2 5 2 2" xfId="33290" xr:uid="{00000000-0005-0000-0000-00007E670000}"/>
    <cellStyle name="Normal 4 5 3 2 5 3" xfId="24200" xr:uid="{00000000-0005-0000-0000-00007F670000}"/>
    <cellStyle name="Normal 4 5 3 2 6" xfId="10574" xr:uid="{00000000-0005-0000-0000-000080670000}"/>
    <cellStyle name="Normal 4 5 3 2 6 2" xfId="28756" xr:uid="{00000000-0005-0000-0000-000081670000}"/>
    <cellStyle name="Normal 4 5 3 2 7" xfId="19665" xr:uid="{00000000-0005-0000-0000-000082670000}"/>
    <cellStyle name="Normal 4 5 3 3" xfId="1369" xr:uid="{00000000-0005-0000-0000-000083670000}"/>
    <cellStyle name="Normal 4 5 3 3 2" xfId="2763" xr:uid="{00000000-0005-0000-0000-000084670000}"/>
    <cellStyle name="Normal 4 5 3 3 2 2" xfId="7348" xr:uid="{00000000-0005-0000-0000-000085670000}"/>
    <cellStyle name="Normal 4 5 3 3 2 2 2" xfId="16448" xr:uid="{00000000-0005-0000-0000-000086670000}"/>
    <cellStyle name="Normal 4 5 3 3 2 2 2 2" xfId="34630" xr:uid="{00000000-0005-0000-0000-000087670000}"/>
    <cellStyle name="Normal 4 5 3 3 2 2 3" xfId="25540" xr:uid="{00000000-0005-0000-0000-000088670000}"/>
    <cellStyle name="Normal 4 5 3 3 2 3" xfId="11912" xr:uid="{00000000-0005-0000-0000-000089670000}"/>
    <cellStyle name="Normal 4 5 3 3 2 3 2" xfId="30094" xr:uid="{00000000-0005-0000-0000-00008A670000}"/>
    <cellStyle name="Normal 4 5 3 3 2 4" xfId="21004" xr:uid="{00000000-0005-0000-0000-00008B670000}"/>
    <cellStyle name="Normal 4 5 3 3 3" xfId="4371" xr:uid="{00000000-0005-0000-0000-00008C670000}"/>
    <cellStyle name="Normal 4 5 3 3 3 2" xfId="8927" xr:uid="{00000000-0005-0000-0000-00008D670000}"/>
    <cellStyle name="Normal 4 5 3 3 3 2 2" xfId="18023" xr:uid="{00000000-0005-0000-0000-00008E670000}"/>
    <cellStyle name="Normal 4 5 3 3 3 2 2 2" xfId="36205" xr:uid="{00000000-0005-0000-0000-00008F670000}"/>
    <cellStyle name="Normal 4 5 3 3 3 2 3" xfId="27115" xr:uid="{00000000-0005-0000-0000-000090670000}"/>
    <cellStyle name="Normal 4 5 3 3 3 3" xfId="13483" xr:uid="{00000000-0005-0000-0000-000091670000}"/>
    <cellStyle name="Normal 4 5 3 3 3 3 2" xfId="31665" xr:uid="{00000000-0005-0000-0000-000092670000}"/>
    <cellStyle name="Normal 4 5 3 3 3 4" xfId="22575" xr:uid="{00000000-0005-0000-0000-000093670000}"/>
    <cellStyle name="Normal 4 5 3 3 4" xfId="6010" xr:uid="{00000000-0005-0000-0000-000094670000}"/>
    <cellStyle name="Normal 4 5 3 3 4 2" xfId="15110" xr:uid="{00000000-0005-0000-0000-000095670000}"/>
    <cellStyle name="Normal 4 5 3 3 4 2 2" xfId="33292" xr:uid="{00000000-0005-0000-0000-000096670000}"/>
    <cellStyle name="Normal 4 5 3 3 4 3" xfId="24202" xr:uid="{00000000-0005-0000-0000-000097670000}"/>
    <cellStyle name="Normal 4 5 3 3 5" xfId="10576" xr:uid="{00000000-0005-0000-0000-000098670000}"/>
    <cellStyle name="Normal 4 5 3 3 5 2" xfId="28758" xr:uid="{00000000-0005-0000-0000-000099670000}"/>
    <cellStyle name="Normal 4 5 3 3 6" xfId="19667" xr:uid="{00000000-0005-0000-0000-00009A670000}"/>
    <cellStyle name="Normal 4 5 3 4" xfId="1370" xr:uid="{00000000-0005-0000-0000-00009B670000}"/>
    <cellStyle name="Normal 4 5 3 4 2" xfId="4372" xr:uid="{00000000-0005-0000-0000-00009C670000}"/>
    <cellStyle name="Normal 4 5 3 4 2 2" xfId="8928" xr:uid="{00000000-0005-0000-0000-00009D670000}"/>
    <cellStyle name="Normal 4 5 3 4 2 2 2" xfId="18024" xr:uid="{00000000-0005-0000-0000-00009E670000}"/>
    <cellStyle name="Normal 4 5 3 4 2 2 2 2" xfId="36206" xr:uid="{00000000-0005-0000-0000-00009F670000}"/>
    <cellStyle name="Normal 4 5 3 4 2 2 3" xfId="27116" xr:uid="{00000000-0005-0000-0000-0000A0670000}"/>
    <cellStyle name="Normal 4 5 3 4 2 3" xfId="13484" xr:uid="{00000000-0005-0000-0000-0000A1670000}"/>
    <cellStyle name="Normal 4 5 3 4 2 3 2" xfId="31666" xr:uid="{00000000-0005-0000-0000-0000A2670000}"/>
    <cellStyle name="Normal 4 5 3 4 2 4" xfId="22576" xr:uid="{00000000-0005-0000-0000-0000A3670000}"/>
    <cellStyle name="Normal 4 5 3 4 3" xfId="6011" xr:uid="{00000000-0005-0000-0000-0000A4670000}"/>
    <cellStyle name="Normal 4 5 3 4 3 2" xfId="15111" xr:uid="{00000000-0005-0000-0000-0000A5670000}"/>
    <cellStyle name="Normal 4 5 3 4 3 2 2" xfId="33293" xr:uid="{00000000-0005-0000-0000-0000A6670000}"/>
    <cellStyle name="Normal 4 5 3 4 3 3" xfId="24203" xr:uid="{00000000-0005-0000-0000-0000A7670000}"/>
    <cellStyle name="Normal 4 5 3 4 4" xfId="10577" xr:uid="{00000000-0005-0000-0000-0000A8670000}"/>
    <cellStyle name="Normal 4 5 3 4 4 2" xfId="28759" xr:uid="{00000000-0005-0000-0000-0000A9670000}"/>
    <cellStyle name="Normal 4 5 3 4 5" xfId="19668" xr:uid="{00000000-0005-0000-0000-0000AA670000}"/>
    <cellStyle name="Normal 4 5 3 5" xfId="2764" xr:uid="{00000000-0005-0000-0000-0000AB670000}"/>
    <cellStyle name="Normal 4 5 3 5 2" xfId="7349" xr:uid="{00000000-0005-0000-0000-0000AC670000}"/>
    <cellStyle name="Normal 4 5 3 5 2 2" xfId="16449" xr:uid="{00000000-0005-0000-0000-0000AD670000}"/>
    <cellStyle name="Normal 4 5 3 5 2 2 2" xfId="34631" xr:uid="{00000000-0005-0000-0000-0000AE670000}"/>
    <cellStyle name="Normal 4 5 3 5 2 3" xfId="25541" xr:uid="{00000000-0005-0000-0000-0000AF670000}"/>
    <cellStyle name="Normal 4 5 3 5 3" xfId="11913" xr:uid="{00000000-0005-0000-0000-0000B0670000}"/>
    <cellStyle name="Normal 4 5 3 5 3 2" xfId="30095" xr:uid="{00000000-0005-0000-0000-0000B1670000}"/>
    <cellStyle name="Normal 4 5 3 5 4" xfId="21005" xr:uid="{00000000-0005-0000-0000-0000B2670000}"/>
    <cellStyle name="Normal 4 5 3 6" xfId="4368" xr:uid="{00000000-0005-0000-0000-0000B3670000}"/>
    <cellStyle name="Normal 4 5 3 6 2" xfId="8924" xr:uid="{00000000-0005-0000-0000-0000B4670000}"/>
    <cellStyle name="Normal 4 5 3 6 2 2" xfId="18020" xr:uid="{00000000-0005-0000-0000-0000B5670000}"/>
    <cellStyle name="Normal 4 5 3 6 2 2 2" xfId="36202" xr:uid="{00000000-0005-0000-0000-0000B6670000}"/>
    <cellStyle name="Normal 4 5 3 6 2 3" xfId="27112" xr:uid="{00000000-0005-0000-0000-0000B7670000}"/>
    <cellStyle name="Normal 4 5 3 6 3" xfId="13480" xr:uid="{00000000-0005-0000-0000-0000B8670000}"/>
    <cellStyle name="Normal 4 5 3 6 3 2" xfId="31662" xr:uid="{00000000-0005-0000-0000-0000B9670000}"/>
    <cellStyle name="Normal 4 5 3 6 4" xfId="22572" xr:uid="{00000000-0005-0000-0000-0000BA670000}"/>
    <cellStyle name="Normal 4 5 3 7" xfId="6007" xr:uid="{00000000-0005-0000-0000-0000BB670000}"/>
    <cellStyle name="Normal 4 5 3 7 2" xfId="15107" xr:uid="{00000000-0005-0000-0000-0000BC670000}"/>
    <cellStyle name="Normal 4 5 3 7 2 2" xfId="33289" xr:uid="{00000000-0005-0000-0000-0000BD670000}"/>
    <cellStyle name="Normal 4 5 3 7 3" xfId="24199" xr:uid="{00000000-0005-0000-0000-0000BE670000}"/>
    <cellStyle name="Normal 4 5 3 8" xfId="10573" xr:uid="{00000000-0005-0000-0000-0000BF670000}"/>
    <cellStyle name="Normal 4 5 3 8 2" xfId="28755" xr:uid="{00000000-0005-0000-0000-0000C0670000}"/>
    <cellStyle name="Normal 4 5 3 9" xfId="19664" xr:uid="{00000000-0005-0000-0000-0000C1670000}"/>
    <cellStyle name="Normal 4 5 4" xfId="1371" xr:uid="{00000000-0005-0000-0000-0000C2670000}"/>
    <cellStyle name="Normal 4 5 4 2" xfId="1372" xr:uid="{00000000-0005-0000-0000-0000C3670000}"/>
    <cellStyle name="Normal 4 5 4 2 2" xfId="2765" xr:uid="{00000000-0005-0000-0000-0000C4670000}"/>
    <cellStyle name="Normal 4 5 4 2 2 2" xfId="7350" xr:uid="{00000000-0005-0000-0000-0000C5670000}"/>
    <cellStyle name="Normal 4 5 4 2 2 2 2" xfId="16450" xr:uid="{00000000-0005-0000-0000-0000C6670000}"/>
    <cellStyle name="Normal 4 5 4 2 2 2 2 2" xfId="34632" xr:uid="{00000000-0005-0000-0000-0000C7670000}"/>
    <cellStyle name="Normal 4 5 4 2 2 2 3" xfId="25542" xr:uid="{00000000-0005-0000-0000-0000C8670000}"/>
    <cellStyle name="Normal 4 5 4 2 2 3" xfId="11914" xr:uid="{00000000-0005-0000-0000-0000C9670000}"/>
    <cellStyle name="Normal 4 5 4 2 2 3 2" xfId="30096" xr:uid="{00000000-0005-0000-0000-0000CA670000}"/>
    <cellStyle name="Normal 4 5 4 2 2 4" xfId="21006" xr:uid="{00000000-0005-0000-0000-0000CB670000}"/>
    <cellStyle name="Normal 4 5 4 2 3" xfId="4374" xr:uid="{00000000-0005-0000-0000-0000CC670000}"/>
    <cellStyle name="Normal 4 5 4 2 3 2" xfId="8930" xr:uid="{00000000-0005-0000-0000-0000CD670000}"/>
    <cellStyle name="Normal 4 5 4 2 3 2 2" xfId="18026" xr:uid="{00000000-0005-0000-0000-0000CE670000}"/>
    <cellStyle name="Normal 4 5 4 2 3 2 2 2" xfId="36208" xr:uid="{00000000-0005-0000-0000-0000CF670000}"/>
    <cellStyle name="Normal 4 5 4 2 3 2 3" xfId="27118" xr:uid="{00000000-0005-0000-0000-0000D0670000}"/>
    <cellStyle name="Normal 4 5 4 2 3 3" xfId="13486" xr:uid="{00000000-0005-0000-0000-0000D1670000}"/>
    <cellStyle name="Normal 4 5 4 2 3 3 2" xfId="31668" xr:uid="{00000000-0005-0000-0000-0000D2670000}"/>
    <cellStyle name="Normal 4 5 4 2 3 4" xfId="22578" xr:uid="{00000000-0005-0000-0000-0000D3670000}"/>
    <cellStyle name="Normal 4 5 4 2 4" xfId="6013" xr:uid="{00000000-0005-0000-0000-0000D4670000}"/>
    <cellStyle name="Normal 4 5 4 2 4 2" xfId="15113" xr:uid="{00000000-0005-0000-0000-0000D5670000}"/>
    <cellStyle name="Normal 4 5 4 2 4 2 2" xfId="33295" xr:uid="{00000000-0005-0000-0000-0000D6670000}"/>
    <cellStyle name="Normal 4 5 4 2 4 3" xfId="24205" xr:uid="{00000000-0005-0000-0000-0000D7670000}"/>
    <cellStyle name="Normal 4 5 4 2 5" xfId="10579" xr:uid="{00000000-0005-0000-0000-0000D8670000}"/>
    <cellStyle name="Normal 4 5 4 2 5 2" xfId="28761" xr:uid="{00000000-0005-0000-0000-0000D9670000}"/>
    <cellStyle name="Normal 4 5 4 2 6" xfId="19670" xr:uid="{00000000-0005-0000-0000-0000DA670000}"/>
    <cellStyle name="Normal 4 5 4 3" xfId="2766" xr:uid="{00000000-0005-0000-0000-0000DB670000}"/>
    <cellStyle name="Normal 4 5 4 3 2" xfId="7351" xr:uid="{00000000-0005-0000-0000-0000DC670000}"/>
    <cellStyle name="Normal 4 5 4 3 2 2" xfId="16451" xr:uid="{00000000-0005-0000-0000-0000DD670000}"/>
    <cellStyle name="Normal 4 5 4 3 2 2 2" xfId="34633" xr:uid="{00000000-0005-0000-0000-0000DE670000}"/>
    <cellStyle name="Normal 4 5 4 3 2 3" xfId="25543" xr:uid="{00000000-0005-0000-0000-0000DF670000}"/>
    <cellStyle name="Normal 4 5 4 3 3" xfId="11915" xr:uid="{00000000-0005-0000-0000-0000E0670000}"/>
    <cellStyle name="Normal 4 5 4 3 3 2" xfId="30097" xr:uid="{00000000-0005-0000-0000-0000E1670000}"/>
    <cellStyle name="Normal 4 5 4 3 4" xfId="21007" xr:uid="{00000000-0005-0000-0000-0000E2670000}"/>
    <cellStyle name="Normal 4 5 4 4" xfId="4373" xr:uid="{00000000-0005-0000-0000-0000E3670000}"/>
    <cellStyle name="Normal 4 5 4 4 2" xfId="8929" xr:uid="{00000000-0005-0000-0000-0000E4670000}"/>
    <cellStyle name="Normal 4 5 4 4 2 2" xfId="18025" xr:uid="{00000000-0005-0000-0000-0000E5670000}"/>
    <cellStyle name="Normal 4 5 4 4 2 2 2" xfId="36207" xr:uid="{00000000-0005-0000-0000-0000E6670000}"/>
    <cellStyle name="Normal 4 5 4 4 2 3" xfId="27117" xr:uid="{00000000-0005-0000-0000-0000E7670000}"/>
    <cellStyle name="Normal 4 5 4 4 3" xfId="13485" xr:uid="{00000000-0005-0000-0000-0000E8670000}"/>
    <cellStyle name="Normal 4 5 4 4 3 2" xfId="31667" xr:uid="{00000000-0005-0000-0000-0000E9670000}"/>
    <cellStyle name="Normal 4 5 4 4 4" xfId="22577" xr:uid="{00000000-0005-0000-0000-0000EA670000}"/>
    <cellStyle name="Normal 4 5 4 5" xfId="6012" xr:uid="{00000000-0005-0000-0000-0000EB670000}"/>
    <cellStyle name="Normal 4 5 4 5 2" xfId="15112" xr:uid="{00000000-0005-0000-0000-0000EC670000}"/>
    <cellStyle name="Normal 4 5 4 5 2 2" xfId="33294" xr:uid="{00000000-0005-0000-0000-0000ED670000}"/>
    <cellStyle name="Normal 4 5 4 5 3" xfId="24204" xr:uid="{00000000-0005-0000-0000-0000EE670000}"/>
    <cellStyle name="Normal 4 5 4 6" xfId="10578" xr:uid="{00000000-0005-0000-0000-0000EF670000}"/>
    <cellStyle name="Normal 4 5 4 6 2" xfId="28760" xr:uid="{00000000-0005-0000-0000-0000F0670000}"/>
    <cellStyle name="Normal 4 5 4 7" xfId="19669" xr:uid="{00000000-0005-0000-0000-0000F1670000}"/>
    <cellStyle name="Normal 4 5 5" xfId="1373" xr:uid="{00000000-0005-0000-0000-0000F2670000}"/>
    <cellStyle name="Normal 4 5 5 2" xfId="2767" xr:uid="{00000000-0005-0000-0000-0000F3670000}"/>
    <cellStyle name="Normal 4 5 5 2 2" xfId="7352" xr:uid="{00000000-0005-0000-0000-0000F4670000}"/>
    <cellStyle name="Normal 4 5 5 2 2 2" xfId="16452" xr:uid="{00000000-0005-0000-0000-0000F5670000}"/>
    <cellStyle name="Normal 4 5 5 2 2 2 2" xfId="34634" xr:uid="{00000000-0005-0000-0000-0000F6670000}"/>
    <cellStyle name="Normal 4 5 5 2 2 3" xfId="25544" xr:uid="{00000000-0005-0000-0000-0000F7670000}"/>
    <cellStyle name="Normal 4 5 5 2 3" xfId="11916" xr:uid="{00000000-0005-0000-0000-0000F8670000}"/>
    <cellStyle name="Normal 4 5 5 2 3 2" xfId="30098" xr:uid="{00000000-0005-0000-0000-0000F9670000}"/>
    <cellStyle name="Normal 4 5 5 2 4" xfId="21008" xr:uid="{00000000-0005-0000-0000-0000FA670000}"/>
    <cellStyle name="Normal 4 5 5 3" xfId="4375" xr:uid="{00000000-0005-0000-0000-0000FB670000}"/>
    <cellStyle name="Normal 4 5 5 3 2" xfId="8931" xr:uid="{00000000-0005-0000-0000-0000FC670000}"/>
    <cellStyle name="Normal 4 5 5 3 2 2" xfId="18027" xr:uid="{00000000-0005-0000-0000-0000FD670000}"/>
    <cellStyle name="Normal 4 5 5 3 2 2 2" xfId="36209" xr:uid="{00000000-0005-0000-0000-0000FE670000}"/>
    <cellStyle name="Normal 4 5 5 3 2 3" xfId="27119" xr:uid="{00000000-0005-0000-0000-0000FF670000}"/>
    <cellStyle name="Normal 4 5 5 3 3" xfId="13487" xr:uid="{00000000-0005-0000-0000-000000680000}"/>
    <cellStyle name="Normal 4 5 5 3 3 2" xfId="31669" xr:uid="{00000000-0005-0000-0000-000001680000}"/>
    <cellStyle name="Normal 4 5 5 3 4" xfId="22579" xr:uid="{00000000-0005-0000-0000-000002680000}"/>
    <cellStyle name="Normal 4 5 5 4" xfId="6014" xr:uid="{00000000-0005-0000-0000-000003680000}"/>
    <cellStyle name="Normal 4 5 5 4 2" xfId="15114" xr:uid="{00000000-0005-0000-0000-000004680000}"/>
    <cellStyle name="Normal 4 5 5 4 2 2" xfId="33296" xr:uid="{00000000-0005-0000-0000-000005680000}"/>
    <cellStyle name="Normal 4 5 5 4 3" xfId="24206" xr:uid="{00000000-0005-0000-0000-000006680000}"/>
    <cellStyle name="Normal 4 5 5 5" xfId="10580" xr:uid="{00000000-0005-0000-0000-000007680000}"/>
    <cellStyle name="Normal 4 5 5 5 2" xfId="28762" xr:uid="{00000000-0005-0000-0000-000008680000}"/>
    <cellStyle name="Normal 4 5 5 6" xfId="19671" xr:uid="{00000000-0005-0000-0000-000009680000}"/>
    <cellStyle name="Normal 4 5 6" xfId="1374" xr:uid="{00000000-0005-0000-0000-00000A680000}"/>
    <cellStyle name="Normal 4 5 6 2" xfId="4376" xr:uid="{00000000-0005-0000-0000-00000B680000}"/>
    <cellStyle name="Normal 4 5 6 2 2" xfId="8932" xr:uid="{00000000-0005-0000-0000-00000C680000}"/>
    <cellStyle name="Normal 4 5 6 2 2 2" xfId="18028" xr:uid="{00000000-0005-0000-0000-00000D680000}"/>
    <cellStyle name="Normal 4 5 6 2 2 2 2" xfId="36210" xr:uid="{00000000-0005-0000-0000-00000E680000}"/>
    <cellStyle name="Normal 4 5 6 2 2 3" xfId="27120" xr:uid="{00000000-0005-0000-0000-00000F680000}"/>
    <cellStyle name="Normal 4 5 6 2 3" xfId="13488" xr:uid="{00000000-0005-0000-0000-000010680000}"/>
    <cellStyle name="Normal 4 5 6 2 3 2" xfId="31670" xr:uid="{00000000-0005-0000-0000-000011680000}"/>
    <cellStyle name="Normal 4 5 6 2 4" xfId="22580" xr:uid="{00000000-0005-0000-0000-000012680000}"/>
    <cellStyle name="Normal 4 5 6 3" xfId="6015" xr:uid="{00000000-0005-0000-0000-000013680000}"/>
    <cellStyle name="Normal 4 5 6 3 2" xfId="15115" xr:uid="{00000000-0005-0000-0000-000014680000}"/>
    <cellStyle name="Normal 4 5 6 3 2 2" xfId="33297" xr:uid="{00000000-0005-0000-0000-000015680000}"/>
    <cellStyle name="Normal 4 5 6 3 3" xfId="24207" xr:uid="{00000000-0005-0000-0000-000016680000}"/>
    <cellStyle name="Normal 4 5 6 4" xfId="10581" xr:uid="{00000000-0005-0000-0000-000017680000}"/>
    <cellStyle name="Normal 4 5 6 4 2" xfId="28763" xr:uid="{00000000-0005-0000-0000-000018680000}"/>
    <cellStyle name="Normal 4 5 6 5" xfId="19672" xr:uid="{00000000-0005-0000-0000-000019680000}"/>
    <cellStyle name="Normal 4 5 7" xfId="2768" xr:uid="{00000000-0005-0000-0000-00001A680000}"/>
    <cellStyle name="Normal 4 5 7 2" xfId="7353" xr:uid="{00000000-0005-0000-0000-00001B680000}"/>
    <cellStyle name="Normal 4 5 7 2 2" xfId="16453" xr:uid="{00000000-0005-0000-0000-00001C680000}"/>
    <cellStyle name="Normal 4 5 7 2 2 2" xfId="34635" xr:uid="{00000000-0005-0000-0000-00001D680000}"/>
    <cellStyle name="Normal 4 5 7 2 3" xfId="25545" xr:uid="{00000000-0005-0000-0000-00001E680000}"/>
    <cellStyle name="Normal 4 5 7 3" xfId="11917" xr:uid="{00000000-0005-0000-0000-00001F680000}"/>
    <cellStyle name="Normal 4 5 7 3 2" xfId="30099" xr:uid="{00000000-0005-0000-0000-000020680000}"/>
    <cellStyle name="Normal 4 5 7 4" xfId="21009" xr:uid="{00000000-0005-0000-0000-000021680000}"/>
    <cellStyle name="Normal 4 5 8" xfId="3220" xr:uid="{00000000-0005-0000-0000-000022680000}"/>
    <cellStyle name="Normal 4 5 8 2" xfId="7780" xr:uid="{00000000-0005-0000-0000-000023680000}"/>
    <cellStyle name="Normal 4 5 8 2 2" xfId="16876" xr:uid="{00000000-0005-0000-0000-000024680000}"/>
    <cellStyle name="Normal 4 5 8 2 2 2" xfId="35058" xr:uid="{00000000-0005-0000-0000-000025680000}"/>
    <cellStyle name="Normal 4 5 8 2 3" xfId="25968" xr:uid="{00000000-0005-0000-0000-000026680000}"/>
    <cellStyle name="Normal 4 5 8 3" xfId="12336" xr:uid="{00000000-0005-0000-0000-000027680000}"/>
    <cellStyle name="Normal 4 5 8 3 2" xfId="30518" xr:uid="{00000000-0005-0000-0000-000028680000}"/>
    <cellStyle name="Normal 4 5 8 4" xfId="21428" xr:uid="{00000000-0005-0000-0000-000029680000}"/>
    <cellStyle name="Normal 4 5 9" xfId="4868" xr:uid="{00000000-0005-0000-0000-00002A680000}"/>
    <cellStyle name="Normal 4 5 9 2" xfId="13968" xr:uid="{00000000-0005-0000-0000-00002B680000}"/>
    <cellStyle name="Normal 4 5 9 2 2" xfId="32150" xr:uid="{00000000-0005-0000-0000-00002C680000}"/>
    <cellStyle name="Normal 4 5 9 3" xfId="23060" xr:uid="{00000000-0005-0000-0000-00002D680000}"/>
    <cellStyle name="Normal 4 6" xfId="179" xr:uid="{00000000-0005-0000-0000-00002E680000}"/>
    <cellStyle name="Normal 4 6 2" xfId="1375" xr:uid="{00000000-0005-0000-0000-00002F680000}"/>
    <cellStyle name="Normal 40" xfId="1376" xr:uid="{00000000-0005-0000-0000-000030680000}"/>
    <cellStyle name="Normal 40 10" xfId="19673" xr:uid="{00000000-0005-0000-0000-000031680000}"/>
    <cellStyle name="Normal 40 2" xfId="1377" xr:uid="{00000000-0005-0000-0000-000032680000}"/>
    <cellStyle name="Normal 40 2 2" xfId="1378" xr:uid="{00000000-0005-0000-0000-000033680000}"/>
    <cellStyle name="Normal 40 2 2 2" xfId="1379" xr:uid="{00000000-0005-0000-0000-000034680000}"/>
    <cellStyle name="Normal 40 2 2 2 2" xfId="2769" xr:uid="{00000000-0005-0000-0000-000035680000}"/>
    <cellStyle name="Normal 40 2 2 2 2 2" xfId="7354" xr:uid="{00000000-0005-0000-0000-000036680000}"/>
    <cellStyle name="Normal 40 2 2 2 2 2 2" xfId="16454" xr:uid="{00000000-0005-0000-0000-000037680000}"/>
    <cellStyle name="Normal 40 2 2 2 2 2 2 2" xfId="34636" xr:uid="{00000000-0005-0000-0000-000038680000}"/>
    <cellStyle name="Normal 40 2 2 2 2 2 3" xfId="25546" xr:uid="{00000000-0005-0000-0000-000039680000}"/>
    <cellStyle name="Normal 40 2 2 2 2 3" xfId="11918" xr:uid="{00000000-0005-0000-0000-00003A680000}"/>
    <cellStyle name="Normal 40 2 2 2 2 3 2" xfId="30100" xr:uid="{00000000-0005-0000-0000-00003B680000}"/>
    <cellStyle name="Normal 40 2 2 2 2 4" xfId="21010" xr:uid="{00000000-0005-0000-0000-00003C680000}"/>
    <cellStyle name="Normal 40 2 2 2 3" xfId="4380" xr:uid="{00000000-0005-0000-0000-00003D680000}"/>
    <cellStyle name="Normal 40 2 2 2 3 2" xfId="8936" xr:uid="{00000000-0005-0000-0000-00003E680000}"/>
    <cellStyle name="Normal 40 2 2 2 3 2 2" xfId="18032" xr:uid="{00000000-0005-0000-0000-00003F680000}"/>
    <cellStyle name="Normal 40 2 2 2 3 2 2 2" xfId="36214" xr:uid="{00000000-0005-0000-0000-000040680000}"/>
    <cellStyle name="Normal 40 2 2 2 3 2 3" xfId="27124" xr:uid="{00000000-0005-0000-0000-000041680000}"/>
    <cellStyle name="Normal 40 2 2 2 3 3" xfId="13492" xr:uid="{00000000-0005-0000-0000-000042680000}"/>
    <cellStyle name="Normal 40 2 2 2 3 3 2" xfId="31674" xr:uid="{00000000-0005-0000-0000-000043680000}"/>
    <cellStyle name="Normal 40 2 2 2 3 4" xfId="22584" xr:uid="{00000000-0005-0000-0000-000044680000}"/>
    <cellStyle name="Normal 40 2 2 2 4" xfId="6019" xr:uid="{00000000-0005-0000-0000-000045680000}"/>
    <cellStyle name="Normal 40 2 2 2 4 2" xfId="15119" xr:uid="{00000000-0005-0000-0000-000046680000}"/>
    <cellStyle name="Normal 40 2 2 2 4 2 2" xfId="33301" xr:uid="{00000000-0005-0000-0000-000047680000}"/>
    <cellStyle name="Normal 40 2 2 2 4 3" xfId="24211" xr:uid="{00000000-0005-0000-0000-000048680000}"/>
    <cellStyle name="Normal 40 2 2 2 5" xfId="10585" xr:uid="{00000000-0005-0000-0000-000049680000}"/>
    <cellStyle name="Normal 40 2 2 2 5 2" xfId="28767" xr:uid="{00000000-0005-0000-0000-00004A680000}"/>
    <cellStyle name="Normal 40 2 2 2 6" xfId="19676" xr:uid="{00000000-0005-0000-0000-00004B680000}"/>
    <cellStyle name="Normal 40 2 2 3" xfId="2770" xr:uid="{00000000-0005-0000-0000-00004C680000}"/>
    <cellStyle name="Normal 40 2 2 3 2" xfId="7355" xr:uid="{00000000-0005-0000-0000-00004D680000}"/>
    <cellStyle name="Normal 40 2 2 3 2 2" xfId="16455" xr:uid="{00000000-0005-0000-0000-00004E680000}"/>
    <cellStyle name="Normal 40 2 2 3 2 2 2" xfId="34637" xr:uid="{00000000-0005-0000-0000-00004F680000}"/>
    <cellStyle name="Normal 40 2 2 3 2 3" xfId="25547" xr:uid="{00000000-0005-0000-0000-000050680000}"/>
    <cellStyle name="Normal 40 2 2 3 3" xfId="11919" xr:uid="{00000000-0005-0000-0000-000051680000}"/>
    <cellStyle name="Normal 40 2 2 3 3 2" xfId="30101" xr:uid="{00000000-0005-0000-0000-000052680000}"/>
    <cellStyle name="Normal 40 2 2 3 4" xfId="21011" xr:uid="{00000000-0005-0000-0000-000053680000}"/>
    <cellStyle name="Normal 40 2 2 4" xfId="4379" xr:uid="{00000000-0005-0000-0000-000054680000}"/>
    <cellStyle name="Normal 40 2 2 4 2" xfId="8935" xr:uid="{00000000-0005-0000-0000-000055680000}"/>
    <cellStyle name="Normal 40 2 2 4 2 2" xfId="18031" xr:uid="{00000000-0005-0000-0000-000056680000}"/>
    <cellStyle name="Normal 40 2 2 4 2 2 2" xfId="36213" xr:uid="{00000000-0005-0000-0000-000057680000}"/>
    <cellStyle name="Normal 40 2 2 4 2 3" xfId="27123" xr:uid="{00000000-0005-0000-0000-000058680000}"/>
    <cellStyle name="Normal 40 2 2 4 3" xfId="13491" xr:uid="{00000000-0005-0000-0000-000059680000}"/>
    <cellStyle name="Normal 40 2 2 4 3 2" xfId="31673" xr:uid="{00000000-0005-0000-0000-00005A680000}"/>
    <cellStyle name="Normal 40 2 2 4 4" xfId="22583" xr:uid="{00000000-0005-0000-0000-00005B680000}"/>
    <cellStyle name="Normal 40 2 2 5" xfId="6018" xr:uid="{00000000-0005-0000-0000-00005C680000}"/>
    <cellStyle name="Normal 40 2 2 5 2" xfId="15118" xr:uid="{00000000-0005-0000-0000-00005D680000}"/>
    <cellStyle name="Normal 40 2 2 5 2 2" xfId="33300" xr:uid="{00000000-0005-0000-0000-00005E680000}"/>
    <cellStyle name="Normal 40 2 2 5 3" xfId="24210" xr:uid="{00000000-0005-0000-0000-00005F680000}"/>
    <cellStyle name="Normal 40 2 2 6" xfId="10584" xr:uid="{00000000-0005-0000-0000-000060680000}"/>
    <cellStyle name="Normal 40 2 2 6 2" xfId="28766" xr:uid="{00000000-0005-0000-0000-000061680000}"/>
    <cellStyle name="Normal 40 2 2 7" xfId="19675" xr:uid="{00000000-0005-0000-0000-000062680000}"/>
    <cellStyle name="Normal 40 2 3" xfId="1380" xr:uid="{00000000-0005-0000-0000-000063680000}"/>
    <cellStyle name="Normal 40 2 3 2" xfId="2771" xr:uid="{00000000-0005-0000-0000-000064680000}"/>
    <cellStyle name="Normal 40 2 3 2 2" xfId="7356" xr:uid="{00000000-0005-0000-0000-000065680000}"/>
    <cellStyle name="Normal 40 2 3 2 2 2" xfId="16456" xr:uid="{00000000-0005-0000-0000-000066680000}"/>
    <cellStyle name="Normal 40 2 3 2 2 2 2" xfId="34638" xr:uid="{00000000-0005-0000-0000-000067680000}"/>
    <cellStyle name="Normal 40 2 3 2 2 3" xfId="25548" xr:uid="{00000000-0005-0000-0000-000068680000}"/>
    <cellStyle name="Normal 40 2 3 2 3" xfId="11920" xr:uid="{00000000-0005-0000-0000-000069680000}"/>
    <cellStyle name="Normal 40 2 3 2 3 2" xfId="30102" xr:uid="{00000000-0005-0000-0000-00006A680000}"/>
    <cellStyle name="Normal 40 2 3 2 4" xfId="21012" xr:uid="{00000000-0005-0000-0000-00006B680000}"/>
    <cellStyle name="Normal 40 2 3 3" xfId="4381" xr:uid="{00000000-0005-0000-0000-00006C680000}"/>
    <cellStyle name="Normal 40 2 3 3 2" xfId="8937" xr:uid="{00000000-0005-0000-0000-00006D680000}"/>
    <cellStyle name="Normal 40 2 3 3 2 2" xfId="18033" xr:uid="{00000000-0005-0000-0000-00006E680000}"/>
    <cellStyle name="Normal 40 2 3 3 2 2 2" xfId="36215" xr:uid="{00000000-0005-0000-0000-00006F680000}"/>
    <cellStyle name="Normal 40 2 3 3 2 3" xfId="27125" xr:uid="{00000000-0005-0000-0000-000070680000}"/>
    <cellStyle name="Normal 40 2 3 3 3" xfId="13493" xr:uid="{00000000-0005-0000-0000-000071680000}"/>
    <cellStyle name="Normal 40 2 3 3 3 2" xfId="31675" xr:uid="{00000000-0005-0000-0000-000072680000}"/>
    <cellStyle name="Normal 40 2 3 3 4" xfId="22585" xr:uid="{00000000-0005-0000-0000-000073680000}"/>
    <cellStyle name="Normal 40 2 3 4" xfId="6020" xr:uid="{00000000-0005-0000-0000-000074680000}"/>
    <cellStyle name="Normal 40 2 3 4 2" xfId="15120" xr:uid="{00000000-0005-0000-0000-000075680000}"/>
    <cellStyle name="Normal 40 2 3 4 2 2" xfId="33302" xr:uid="{00000000-0005-0000-0000-000076680000}"/>
    <cellStyle name="Normal 40 2 3 4 3" xfId="24212" xr:uid="{00000000-0005-0000-0000-000077680000}"/>
    <cellStyle name="Normal 40 2 3 5" xfId="10586" xr:uid="{00000000-0005-0000-0000-000078680000}"/>
    <cellStyle name="Normal 40 2 3 5 2" xfId="28768" xr:uid="{00000000-0005-0000-0000-000079680000}"/>
    <cellStyle name="Normal 40 2 3 6" xfId="19677" xr:uid="{00000000-0005-0000-0000-00007A680000}"/>
    <cellStyle name="Normal 40 2 4" xfId="1381" xr:uid="{00000000-0005-0000-0000-00007B680000}"/>
    <cellStyle name="Normal 40 2 4 2" xfId="4382" xr:uid="{00000000-0005-0000-0000-00007C680000}"/>
    <cellStyle name="Normal 40 2 4 2 2" xfId="8938" xr:uid="{00000000-0005-0000-0000-00007D680000}"/>
    <cellStyle name="Normal 40 2 4 2 2 2" xfId="18034" xr:uid="{00000000-0005-0000-0000-00007E680000}"/>
    <cellStyle name="Normal 40 2 4 2 2 2 2" xfId="36216" xr:uid="{00000000-0005-0000-0000-00007F680000}"/>
    <cellStyle name="Normal 40 2 4 2 2 3" xfId="27126" xr:uid="{00000000-0005-0000-0000-000080680000}"/>
    <cellStyle name="Normal 40 2 4 2 3" xfId="13494" xr:uid="{00000000-0005-0000-0000-000081680000}"/>
    <cellStyle name="Normal 40 2 4 2 3 2" xfId="31676" xr:uid="{00000000-0005-0000-0000-000082680000}"/>
    <cellStyle name="Normal 40 2 4 2 4" xfId="22586" xr:uid="{00000000-0005-0000-0000-000083680000}"/>
    <cellStyle name="Normal 40 2 4 3" xfId="6021" xr:uid="{00000000-0005-0000-0000-000084680000}"/>
    <cellStyle name="Normal 40 2 4 3 2" xfId="15121" xr:uid="{00000000-0005-0000-0000-000085680000}"/>
    <cellStyle name="Normal 40 2 4 3 2 2" xfId="33303" xr:uid="{00000000-0005-0000-0000-000086680000}"/>
    <cellStyle name="Normal 40 2 4 3 3" xfId="24213" xr:uid="{00000000-0005-0000-0000-000087680000}"/>
    <cellStyle name="Normal 40 2 4 4" xfId="10587" xr:uid="{00000000-0005-0000-0000-000088680000}"/>
    <cellStyle name="Normal 40 2 4 4 2" xfId="28769" xr:uid="{00000000-0005-0000-0000-000089680000}"/>
    <cellStyle name="Normal 40 2 4 5" xfId="19678" xr:uid="{00000000-0005-0000-0000-00008A680000}"/>
    <cellStyle name="Normal 40 2 5" xfId="2772" xr:uid="{00000000-0005-0000-0000-00008B680000}"/>
    <cellStyle name="Normal 40 2 5 2" xfId="7357" xr:uid="{00000000-0005-0000-0000-00008C680000}"/>
    <cellStyle name="Normal 40 2 5 2 2" xfId="16457" xr:uid="{00000000-0005-0000-0000-00008D680000}"/>
    <cellStyle name="Normal 40 2 5 2 2 2" xfId="34639" xr:uid="{00000000-0005-0000-0000-00008E680000}"/>
    <cellStyle name="Normal 40 2 5 2 3" xfId="25549" xr:uid="{00000000-0005-0000-0000-00008F680000}"/>
    <cellStyle name="Normal 40 2 5 3" xfId="11921" xr:uid="{00000000-0005-0000-0000-000090680000}"/>
    <cellStyle name="Normal 40 2 5 3 2" xfId="30103" xr:uid="{00000000-0005-0000-0000-000091680000}"/>
    <cellStyle name="Normal 40 2 5 4" xfId="21013" xr:uid="{00000000-0005-0000-0000-000092680000}"/>
    <cellStyle name="Normal 40 2 6" xfId="4378" xr:uid="{00000000-0005-0000-0000-000093680000}"/>
    <cellStyle name="Normal 40 2 6 2" xfId="8934" xr:uid="{00000000-0005-0000-0000-000094680000}"/>
    <cellStyle name="Normal 40 2 6 2 2" xfId="18030" xr:uid="{00000000-0005-0000-0000-000095680000}"/>
    <cellStyle name="Normal 40 2 6 2 2 2" xfId="36212" xr:uid="{00000000-0005-0000-0000-000096680000}"/>
    <cellStyle name="Normal 40 2 6 2 3" xfId="27122" xr:uid="{00000000-0005-0000-0000-000097680000}"/>
    <cellStyle name="Normal 40 2 6 3" xfId="13490" xr:uid="{00000000-0005-0000-0000-000098680000}"/>
    <cellStyle name="Normal 40 2 6 3 2" xfId="31672" xr:uid="{00000000-0005-0000-0000-000099680000}"/>
    <cellStyle name="Normal 40 2 6 4" xfId="22582" xr:uid="{00000000-0005-0000-0000-00009A680000}"/>
    <cellStyle name="Normal 40 2 7" xfId="6017" xr:uid="{00000000-0005-0000-0000-00009B680000}"/>
    <cellStyle name="Normal 40 2 7 2" xfId="15117" xr:uid="{00000000-0005-0000-0000-00009C680000}"/>
    <cellStyle name="Normal 40 2 7 2 2" xfId="33299" xr:uid="{00000000-0005-0000-0000-00009D680000}"/>
    <cellStyle name="Normal 40 2 7 3" xfId="24209" xr:uid="{00000000-0005-0000-0000-00009E680000}"/>
    <cellStyle name="Normal 40 2 8" xfId="10583" xr:uid="{00000000-0005-0000-0000-00009F680000}"/>
    <cellStyle name="Normal 40 2 8 2" xfId="28765" xr:uid="{00000000-0005-0000-0000-0000A0680000}"/>
    <cellStyle name="Normal 40 2 9" xfId="19674" xr:uid="{00000000-0005-0000-0000-0000A1680000}"/>
    <cellStyle name="Normal 40 3" xfId="1382" xr:uid="{00000000-0005-0000-0000-0000A2680000}"/>
    <cellStyle name="Normal 40 3 2" xfId="1383" xr:uid="{00000000-0005-0000-0000-0000A3680000}"/>
    <cellStyle name="Normal 40 3 2 2" xfId="2773" xr:uid="{00000000-0005-0000-0000-0000A4680000}"/>
    <cellStyle name="Normal 40 3 2 2 2" xfId="7358" xr:uid="{00000000-0005-0000-0000-0000A5680000}"/>
    <cellStyle name="Normal 40 3 2 2 2 2" xfId="16458" xr:uid="{00000000-0005-0000-0000-0000A6680000}"/>
    <cellStyle name="Normal 40 3 2 2 2 2 2" xfId="34640" xr:uid="{00000000-0005-0000-0000-0000A7680000}"/>
    <cellStyle name="Normal 40 3 2 2 2 3" xfId="25550" xr:uid="{00000000-0005-0000-0000-0000A8680000}"/>
    <cellStyle name="Normal 40 3 2 2 3" xfId="11922" xr:uid="{00000000-0005-0000-0000-0000A9680000}"/>
    <cellStyle name="Normal 40 3 2 2 3 2" xfId="30104" xr:uid="{00000000-0005-0000-0000-0000AA680000}"/>
    <cellStyle name="Normal 40 3 2 2 4" xfId="21014" xr:uid="{00000000-0005-0000-0000-0000AB680000}"/>
    <cellStyle name="Normal 40 3 2 3" xfId="4384" xr:uid="{00000000-0005-0000-0000-0000AC680000}"/>
    <cellStyle name="Normal 40 3 2 3 2" xfId="8940" xr:uid="{00000000-0005-0000-0000-0000AD680000}"/>
    <cellStyle name="Normal 40 3 2 3 2 2" xfId="18036" xr:uid="{00000000-0005-0000-0000-0000AE680000}"/>
    <cellStyle name="Normal 40 3 2 3 2 2 2" xfId="36218" xr:uid="{00000000-0005-0000-0000-0000AF680000}"/>
    <cellStyle name="Normal 40 3 2 3 2 3" xfId="27128" xr:uid="{00000000-0005-0000-0000-0000B0680000}"/>
    <cellStyle name="Normal 40 3 2 3 3" xfId="13496" xr:uid="{00000000-0005-0000-0000-0000B1680000}"/>
    <cellStyle name="Normal 40 3 2 3 3 2" xfId="31678" xr:uid="{00000000-0005-0000-0000-0000B2680000}"/>
    <cellStyle name="Normal 40 3 2 3 4" xfId="22588" xr:uid="{00000000-0005-0000-0000-0000B3680000}"/>
    <cellStyle name="Normal 40 3 2 4" xfId="6023" xr:uid="{00000000-0005-0000-0000-0000B4680000}"/>
    <cellStyle name="Normal 40 3 2 4 2" xfId="15123" xr:uid="{00000000-0005-0000-0000-0000B5680000}"/>
    <cellStyle name="Normal 40 3 2 4 2 2" xfId="33305" xr:uid="{00000000-0005-0000-0000-0000B6680000}"/>
    <cellStyle name="Normal 40 3 2 4 3" xfId="24215" xr:uid="{00000000-0005-0000-0000-0000B7680000}"/>
    <cellStyle name="Normal 40 3 2 5" xfId="10589" xr:uid="{00000000-0005-0000-0000-0000B8680000}"/>
    <cellStyle name="Normal 40 3 2 5 2" xfId="28771" xr:uid="{00000000-0005-0000-0000-0000B9680000}"/>
    <cellStyle name="Normal 40 3 2 6" xfId="19680" xr:uid="{00000000-0005-0000-0000-0000BA680000}"/>
    <cellStyle name="Normal 40 3 3" xfId="2774" xr:uid="{00000000-0005-0000-0000-0000BB680000}"/>
    <cellStyle name="Normal 40 3 3 2" xfId="7359" xr:uid="{00000000-0005-0000-0000-0000BC680000}"/>
    <cellStyle name="Normal 40 3 3 2 2" xfId="16459" xr:uid="{00000000-0005-0000-0000-0000BD680000}"/>
    <cellStyle name="Normal 40 3 3 2 2 2" xfId="34641" xr:uid="{00000000-0005-0000-0000-0000BE680000}"/>
    <cellStyle name="Normal 40 3 3 2 3" xfId="25551" xr:uid="{00000000-0005-0000-0000-0000BF680000}"/>
    <cellStyle name="Normal 40 3 3 3" xfId="11923" xr:uid="{00000000-0005-0000-0000-0000C0680000}"/>
    <cellStyle name="Normal 40 3 3 3 2" xfId="30105" xr:uid="{00000000-0005-0000-0000-0000C1680000}"/>
    <cellStyle name="Normal 40 3 3 4" xfId="21015" xr:uid="{00000000-0005-0000-0000-0000C2680000}"/>
    <cellStyle name="Normal 40 3 4" xfId="4383" xr:uid="{00000000-0005-0000-0000-0000C3680000}"/>
    <cellStyle name="Normal 40 3 4 2" xfId="8939" xr:uid="{00000000-0005-0000-0000-0000C4680000}"/>
    <cellStyle name="Normal 40 3 4 2 2" xfId="18035" xr:uid="{00000000-0005-0000-0000-0000C5680000}"/>
    <cellStyle name="Normal 40 3 4 2 2 2" xfId="36217" xr:uid="{00000000-0005-0000-0000-0000C6680000}"/>
    <cellStyle name="Normal 40 3 4 2 3" xfId="27127" xr:uid="{00000000-0005-0000-0000-0000C7680000}"/>
    <cellStyle name="Normal 40 3 4 3" xfId="13495" xr:uid="{00000000-0005-0000-0000-0000C8680000}"/>
    <cellStyle name="Normal 40 3 4 3 2" xfId="31677" xr:uid="{00000000-0005-0000-0000-0000C9680000}"/>
    <cellStyle name="Normal 40 3 4 4" xfId="22587" xr:uid="{00000000-0005-0000-0000-0000CA680000}"/>
    <cellStyle name="Normal 40 3 5" xfId="6022" xr:uid="{00000000-0005-0000-0000-0000CB680000}"/>
    <cellStyle name="Normal 40 3 5 2" xfId="15122" xr:uid="{00000000-0005-0000-0000-0000CC680000}"/>
    <cellStyle name="Normal 40 3 5 2 2" xfId="33304" xr:uid="{00000000-0005-0000-0000-0000CD680000}"/>
    <cellStyle name="Normal 40 3 5 3" xfId="24214" xr:uid="{00000000-0005-0000-0000-0000CE680000}"/>
    <cellStyle name="Normal 40 3 6" xfId="10588" xr:uid="{00000000-0005-0000-0000-0000CF680000}"/>
    <cellStyle name="Normal 40 3 6 2" xfId="28770" xr:uid="{00000000-0005-0000-0000-0000D0680000}"/>
    <cellStyle name="Normal 40 3 7" xfId="19679" xr:uid="{00000000-0005-0000-0000-0000D1680000}"/>
    <cellStyle name="Normal 40 4" xfId="1384" xr:uid="{00000000-0005-0000-0000-0000D2680000}"/>
    <cellStyle name="Normal 40 4 2" xfId="2775" xr:uid="{00000000-0005-0000-0000-0000D3680000}"/>
    <cellStyle name="Normal 40 4 2 2" xfId="7360" xr:uid="{00000000-0005-0000-0000-0000D4680000}"/>
    <cellStyle name="Normal 40 4 2 2 2" xfId="16460" xr:uid="{00000000-0005-0000-0000-0000D5680000}"/>
    <cellStyle name="Normal 40 4 2 2 2 2" xfId="34642" xr:uid="{00000000-0005-0000-0000-0000D6680000}"/>
    <cellStyle name="Normal 40 4 2 2 3" xfId="25552" xr:uid="{00000000-0005-0000-0000-0000D7680000}"/>
    <cellStyle name="Normal 40 4 2 3" xfId="11924" xr:uid="{00000000-0005-0000-0000-0000D8680000}"/>
    <cellStyle name="Normal 40 4 2 3 2" xfId="30106" xr:uid="{00000000-0005-0000-0000-0000D9680000}"/>
    <cellStyle name="Normal 40 4 2 4" xfId="21016" xr:uid="{00000000-0005-0000-0000-0000DA680000}"/>
    <cellStyle name="Normal 40 4 3" xfId="4385" xr:uid="{00000000-0005-0000-0000-0000DB680000}"/>
    <cellStyle name="Normal 40 4 3 2" xfId="8941" xr:uid="{00000000-0005-0000-0000-0000DC680000}"/>
    <cellStyle name="Normal 40 4 3 2 2" xfId="18037" xr:uid="{00000000-0005-0000-0000-0000DD680000}"/>
    <cellStyle name="Normal 40 4 3 2 2 2" xfId="36219" xr:uid="{00000000-0005-0000-0000-0000DE680000}"/>
    <cellStyle name="Normal 40 4 3 2 3" xfId="27129" xr:uid="{00000000-0005-0000-0000-0000DF680000}"/>
    <cellStyle name="Normal 40 4 3 3" xfId="13497" xr:uid="{00000000-0005-0000-0000-0000E0680000}"/>
    <cellStyle name="Normal 40 4 3 3 2" xfId="31679" xr:uid="{00000000-0005-0000-0000-0000E1680000}"/>
    <cellStyle name="Normal 40 4 3 4" xfId="22589" xr:uid="{00000000-0005-0000-0000-0000E2680000}"/>
    <cellStyle name="Normal 40 4 4" xfId="6024" xr:uid="{00000000-0005-0000-0000-0000E3680000}"/>
    <cellStyle name="Normal 40 4 4 2" xfId="15124" xr:uid="{00000000-0005-0000-0000-0000E4680000}"/>
    <cellStyle name="Normal 40 4 4 2 2" xfId="33306" xr:uid="{00000000-0005-0000-0000-0000E5680000}"/>
    <cellStyle name="Normal 40 4 4 3" xfId="24216" xr:uid="{00000000-0005-0000-0000-0000E6680000}"/>
    <cellStyle name="Normal 40 4 5" xfId="10590" xr:uid="{00000000-0005-0000-0000-0000E7680000}"/>
    <cellStyle name="Normal 40 4 5 2" xfId="28772" xr:uid="{00000000-0005-0000-0000-0000E8680000}"/>
    <cellStyle name="Normal 40 4 6" xfId="19681" xr:uid="{00000000-0005-0000-0000-0000E9680000}"/>
    <cellStyle name="Normal 40 5" xfId="1385" xr:uid="{00000000-0005-0000-0000-0000EA680000}"/>
    <cellStyle name="Normal 40 5 2" xfId="4386" xr:uid="{00000000-0005-0000-0000-0000EB680000}"/>
    <cellStyle name="Normal 40 5 2 2" xfId="8942" xr:uid="{00000000-0005-0000-0000-0000EC680000}"/>
    <cellStyle name="Normal 40 5 2 2 2" xfId="18038" xr:uid="{00000000-0005-0000-0000-0000ED680000}"/>
    <cellStyle name="Normal 40 5 2 2 2 2" xfId="36220" xr:uid="{00000000-0005-0000-0000-0000EE680000}"/>
    <cellStyle name="Normal 40 5 2 2 3" xfId="27130" xr:uid="{00000000-0005-0000-0000-0000EF680000}"/>
    <cellStyle name="Normal 40 5 2 3" xfId="13498" xr:uid="{00000000-0005-0000-0000-0000F0680000}"/>
    <cellStyle name="Normal 40 5 2 3 2" xfId="31680" xr:uid="{00000000-0005-0000-0000-0000F1680000}"/>
    <cellStyle name="Normal 40 5 2 4" xfId="22590" xr:uid="{00000000-0005-0000-0000-0000F2680000}"/>
    <cellStyle name="Normal 40 5 3" xfId="6025" xr:uid="{00000000-0005-0000-0000-0000F3680000}"/>
    <cellStyle name="Normal 40 5 3 2" xfId="15125" xr:uid="{00000000-0005-0000-0000-0000F4680000}"/>
    <cellStyle name="Normal 40 5 3 2 2" xfId="33307" xr:uid="{00000000-0005-0000-0000-0000F5680000}"/>
    <cellStyle name="Normal 40 5 3 3" xfId="24217" xr:uid="{00000000-0005-0000-0000-0000F6680000}"/>
    <cellStyle name="Normal 40 5 4" xfId="10591" xr:uid="{00000000-0005-0000-0000-0000F7680000}"/>
    <cellStyle name="Normal 40 5 4 2" xfId="28773" xr:uid="{00000000-0005-0000-0000-0000F8680000}"/>
    <cellStyle name="Normal 40 5 5" xfId="19682" xr:uid="{00000000-0005-0000-0000-0000F9680000}"/>
    <cellStyle name="Normal 40 6" xfId="2776" xr:uid="{00000000-0005-0000-0000-0000FA680000}"/>
    <cellStyle name="Normal 40 6 2" xfId="7361" xr:uid="{00000000-0005-0000-0000-0000FB680000}"/>
    <cellStyle name="Normal 40 6 2 2" xfId="16461" xr:uid="{00000000-0005-0000-0000-0000FC680000}"/>
    <cellStyle name="Normal 40 6 2 2 2" xfId="34643" xr:uid="{00000000-0005-0000-0000-0000FD680000}"/>
    <cellStyle name="Normal 40 6 2 3" xfId="25553" xr:uid="{00000000-0005-0000-0000-0000FE680000}"/>
    <cellStyle name="Normal 40 6 3" xfId="11925" xr:uid="{00000000-0005-0000-0000-0000FF680000}"/>
    <cellStyle name="Normal 40 6 3 2" xfId="30107" xr:uid="{00000000-0005-0000-0000-000000690000}"/>
    <cellStyle name="Normal 40 6 4" xfId="21017" xr:uid="{00000000-0005-0000-0000-000001690000}"/>
    <cellStyle name="Normal 40 7" xfId="4377" xr:uid="{00000000-0005-0000-0000-000002690000}"/>
    <cellStyle name="Normal 40 7 2" xfId="8933" xr:uid="{00000000-0005-0000-0000-000003690000}"/>
    <cellStyle name="Normal 40 7 2 2" xfId="18029" xr:uid="{00000000-0005-0000-0000-000004690000}"/>
    <cellStyle name="Normal 40 7 2 2 2" xfId="36211" xr:uid="{00000000-0005-0000-0000-000005690000}"/>
    <cellStyle name="Normal 40 7 2 3" xfId="27121" xr:uid="{00000000-0005-0000-0000-000006690000}"/>
    <cellStyle name="Normal 40 7 3" xfId="13489" xr:uid="{00000000-0005-0000-0000-000007690000}"/>
    <cellStyle name="Normal 40 7 3 2" xfId="31671" xr:uid="{00000000-0005-0000-0000-000008690000}"/>
    <cellStyle name="Normal 40 7 4" xfId="22581" xr:uid="{00000000-0005-0000-0000-000009690000}"/>
    <cellStyle name="Normal 40 8" xfId="6016" xr:uid="{00000000-0005-0000-0000-00000A690000}"/>
    <cellStyle name="Normal 40 8 2" xfId="15116" xr:uid="{00000000-0005-0000-0000-00000B690000}"/>
    <cellStyle name="Normal 40 8 2 2" xfId="33298" xr:uid="{00000000-0005-0000-0000-00000C690000}"/>
    <cellStyle name="Normal 40 8 3" xfId="24208" xr:uid="{00000000-0005-0000-0000-00000D690000}"/>
    <cellStyle name="Normal 40 9" xfId="10582" xr:uid="{00000000-0005-0000-0000-00000E690000}"/>
    <cellStyle name="Normal 40 9 2" xfId="28764" xr:uid="{00000000-0005-0000-0000-00000F690000}"/>
    <cellStyle name="Normal 41" xfId="1386" xr:uid="{00000000-0005-0000-0000-000010690000}"/>
    <cellStyle name="Normal 41 2" xfId="1387" xr:uid="{00000000-0005-0000-0000-000011690000}"/>
    <cellStyle name="Normal 41 2 2" xfId="1388" xr:uid="{00000000-0005-0000-0000-000012690000}"/>
    <cellStyle name="Normal 41 2 2 2" xfId="2777" xr:uid="{00000000-0005-0000-0000-000013690000}"/>
    <cellStyle name="Normal 41 2 2 2 2" xfId="7362" xr:uid="{00000000-0005-0000-0000-000014690000}"/>
    <cellStyle name="Normal 41 2 2 2 2 2" xfId="16462" xr:uid="{00000000-0005-0000-0000-000015690000}"/>
    <cellStyle name="Normal 41 2 2 2 2 2 2" xfId="34644" xr:uid="{00000000-0005-0000-0000-000016690000}"/>
    <cellStyle name="Normal 41 2 2 2 2 3" xfId="25554" xr:uid="{00000000-0005-0000-0000-000017690000}"/>
    <cellStyle name="Normal 41 2 2 2 3" xfId="11926" xr:uid="{00000000-0005-0000-0000-000018690000}"/>
    <cellStyle name="Normal 41 2 2 2 3 2" xfId="30108" xr:uid="{00000000-0005-0000-0000-000019690000}"/>
    <cellStyle name="Normal 41 2 2 2 4" xfId="21018" xr:uid="{00000000-0005-0000-0000-00001A690000}"/>
    <cellStyle name="Normal 41 2 2 3" xfId="4389" xr:uid="{00000000-0005-0000-0000-00001B690000}"/>
    <cellStyle name="Normal 41 2 2 3 2" xfId="8945" xr:uid="{00000000-0005-0000-0000-00001C690000}"/>
    <cellStyle name="Normal 41 2 2 3 2 2" xfId="18041" xr:uid="{00000000-0005-0000-0000-00001D690000}"/>
    <cellStyle name="Normal 41 2 2 3 2 2 2" xfId="36223" xr:uid="{00000000-0005-0000-0000-00001E690000}"/>
    <cellStyle name="Normal 41 2 2 3 2 3" xfId="27133" xr:uid="{00000000-0005-0000-0000-00001F690000}"/>
    <cellStyle name="Normal 41 2 2 3 3" xfId="13501" xr:uid="{00000000-0005-0000-0000-000020690000}"/>
    <cellStyle name="Normal 41 2 2 3 3 2" xfId="31683" xr:uid="{00000000-0005-0000-0000-000021690000}"/>
    <cellStyle name="Normal 41 2 2 3 4" xfId="22593" xr:uid="{00000000-0005-0000-0000-000022690000}"/>
    <cellStyle name="Normal 41 2 2 4" xfId="6028" xr:uid="{00000000-0005-0000-0000-000023690000}"/>
    <cellStyle name="Normal 41 2 2 4 2" xfId="15128" xr:uid="{00000000-0005-0000-0000-000024690000}"/>
    <cellStyle name="Normal 41 2 2 4 2 2" xfId="33310" xr:uid="{00000000-0005-0000-0000-000025690000}"/>
    <cellStyle name="Normal 41 2 2 4 3" xfId="24220" xr:uid="{00000000-0005-0000-0000-000026690000}"/>
    <cellStyle name="Normal 41 2 2 5" xfId="10594" xr:uid="{00000000-0005-0000-0000-000027690000}"/>
    <cellStyle name="Normal 41 2 2 5 2" xfId="28776" xr:uid="{00000000-0005-0000-0000-000028690000}"/>
    <cellStyle name="Normal 41 2 2 6" xfId="19685" xr:uid="{00000000-0005-0000-0000-000029690000}"/>
    <cellStyle name="Normal 41 2 3" xfId="2778" xr:uid="{00000000-0005-0000-0000-00002A690000}"/>
    <cellStyle name="Normal 41 2 3 2" xfId="7363" xr:uid="{00000000-0005-0000-0000-00002B690000}"/>
    <cellStyle name="Normal 41 2 3 2 2" xfId="16463" xr:uid="{00000000-0005-0000-0000-00002C690000}"/>
    <cellStyle name="Normal 41 2 3 2 2 2" xfId="34645" xr:uid="{00000000-0005-0000-0000-00002D690000}"/>
    <cellStyle name="Normal 41 2 3 2 3" xfId="25555" xr:uid="{00000000-0005-0000-0000-00002E690000}"/>
    <cellStyle name="Normal 41 2 3 3" xfId="11927" xr:uid="{00000000-0005-0000-0000-00002F690000}"/>
    <cellStyle name="Normal 41 2 3 3 2" xfId="30109" xr:uid="{00000000-0005-0000-0000-000030690000}"/>
    <cellStyle name="Normal 41 2 3 4" xfId="21019" xr:uid="{00000000-0005-0000-0000-000031690000}"/>
    <cellStyle name="Normal 41 2 4" xfId="4388" xr:uid="{00000000-0005-0000-0000-000032690000}"/>
    <cellStyle name="Normal 41 2 4 2" xfId="8944" xr:uid="{00000000-0005-0000-0000-000033690000}"/>
    <cellStyle name="Normal 41 2 4 2 2" xfId="18040" xr:uid="{00000000-0005-0000-0000-000034690000}"/>
    <cellStyle name="Normal 41 2 4 2 2 2" xfId="36222" xr:uid="{00000000-0005-0000-0000-000035690000}"/>
    <cellStyle name="Normal 41 2 4 2 3" xfId="27132" xr:uid="{00000000-0005-0000-0000-000036690000}"/>
    <cellStyle name="Normal 41 2 4 3" xfId="13500" xr:uid="{00000000-0005-0000-0000-000037690000}"/>
    <cellStyle name="Normal 41 2 4 3 2" xfId="31682" xr:uid="{00000000-0005-0000-0000-000038690000}"/>
    <cellStyle name="Normal 41 2 4 4" xfId="22592" xr:uid="{00000000-0005-0000-0000-000039690000}"/>
    <cellStyle name="Normal 41 2 5" xfId="6027" xr:uid="{00000000-0005-0000-0000-00003A690000}"/>
    <cellStyle name="Normal 41 2 5 2" xfId="15127" xr:uid="{00000000-0005-0000-0000-00003B690000}"/>
    <cellStyle name="Normal 41 2 5 2 2" xfId="33309" xr:uid="{00000000-0005-0000-0000-00003C690000}"/>
    <cellStyle name="Normal 41 2 5 3" xfId="24219" xr:uid="{00000000-0005-0000-0000-00003D690000}"/>
    <cellStyle name="Normal 41 2 6" xfId="10593" xr:uid="{00000000-0005-0000-0000-00003E690000}"/>
    <cellStyle name="Normal 41 2 6 2" xfId="28775" xr:uid="{00000000-0005-0000-0000-00003F690000}"/>
    <cellStyle name="Normal 41 2 7" xfId="19684" xr:uid="{00000000-0005-0000-0000-000040690000}"/>
    <cellStyle name="Normal 41 3" xfId="1389" xr:uid="{00000000-0005-0000-0000-000041690000}"/>
    <cellStyle name="Normal 41 3 2" xfId="2779" xr:uid="{00000000-0005-0000-0000-000042690000}"/>
    <cellStyle name="Normal 41 3 2 2" xfId="7364" xr:uid="{00000000-0005-0000-0000-000043690000}"/>
    <cellStyle name="Normal 41 3 2 2 2" xfId="16464" xr:uid="{00000000-0005-0000-0000-000044690000}"/>
    <cellStyle name="Normal 41 3 2 2 2 2" xfId="34646" xr:uid="{00000000-0005-0000-0000-000045690000}"/>
    <cellStyle name="Normal 41 3 2 2 3" xfId="25556" xr:uid="{00000000-0005-0000-0000-000046690000}"/>
    <cellStyle name="Normal 41 3 2 3" xfId="11928" xr:uid="{00000000-0005-0000-0000-000047690000}"/>
    <cellStyle name="Normal 41 3 2 3 2" xfId="30110" xr:uid="{00000000-0005-0000-0000-000048690000}"/>
    <cellStyle name="Normal 41 3 2 4" xfId="21020" xr:uid="{00000000-0005-0000-0000-000049690000}"/>
    <cellStyle name="Normal 41 3 3" xfId="4390" xr:uid="{00000000-0005-0000-0000-00004A690000}"/>
    <cellStyle name="Normal 41 3 3 2" xfId="8946" xr:uid="{00000000-0005-0000-0000-00004B690000}"/>
    <cellStyle name="Normal 41 3 3 2 2" xfId="18042" xr:uid="{00000000-0005-0000-0000-00004C690000}"/>
    <cellStyle name="Normal 41 3 3 2 2 2" xfId="36224" xr:uid="{00000000-0005-0000-0000-00004D690000}"/>
    <cellStyle name="Normal 41 3 3 2 3" xfId="27134" xr:uid="{00000000-0005-0000-0000-00004E690000}"/>
    <cellStyle name="Normal 41 3 3 3" xfId="13502" xr:uid="{00000000-0005-0000-0000-00004F690000}"/>
    <cellStyle name="Normal 41 3 3 3 2" xfId="31684" xr:uid="{00000000-0005-0000-0000-000050690000}"/>
    <cellStyle name="Normal 41 3 3 4" xfId="22594" xr:uid="{00000000-0005-0000-0000-000051690000}"/>
    <cellStyle name="Normal 41 3 4" xfId="6029" xr:uid="{00000000-0005-0000-0000-000052690000}"/>
    <cellStyle name="Normal 41 3 4 2" xfId="15129" xr:uid="{00000000-0005-0000-0000-000053690000}"/>
    <cellStyle name="Normal 41 3 4 2 2" xfId="33311" xr:uid="{00000000-0005-0000-0000-000054690000}"/>
    <cellStyle name="Normal 41 3 4 3" xfId="24221" xr:uid="{00000000-0005-0000-0000-000055690000}"/>
    <cellStyle name="Normal 41 3 5" xfId="10595" xr:uid="{00000000-0005-0000-0000-000056690000}"/>
    <cellStyle name="Normal 41 3 5 2" xfId="28777" xr:uid="{00000000-0005-0000-0000-000057690000}"/>
    <cellStyle name="Normal 41 3 6" xfId="19686" xr:uid="{00000000-0005-0000-0000-000058690000}"/>
    <cellStyle name="Normal 41 4" xfId="1390" xr:uid="{00000000-0005-0000-0000-000059690000}"/>
    <cellStyle name="Normal 41 4 2" xfId="4391" xr:uid="{00000000-0005-0000-0000-00005A690000}"/>
    <cellStyle name="Normal 41 4 2 2" xfId="8947" xr:uid="{00000000-0005-0000-0000-00005B690000}"/>
    <cellStyle name="Normal 41 4 2 2 2" xfId="18043" xr:uid="{00000000-0005-0000-0000-00005C690000}"/>
    <cellStyle name="Normal 41 4 2 2 2 2" xfId="36225" xr:uid="{00000000-0005-0000-0000-00005D690000}"/>
    <cellStyle name="Normal 41 4 2 2 3" xfId="27135" xr:uid="{00000000-0005-0000-0000-00005E690000}"/>
    <cellStyle name="Normal 41 4 2 3" xfId="13503" xr:uid="{00000000-0005-0000-0000-00005F690000}"/>
    <cellStyle name="Normal 41 4 2 3 2" xfId="31685" xr:uid="{00000000-0005-0000-0000-000060690000}"/>
    <cellStyle name="Normal 41 4 2 4" xfId="22595" xr:uid="{00000000-0005-0000-0000-000061690000}"/>
    <cellStyle name="Normal 41 4 3" xfId="6030" xr:uid="{00000000-0005-0000-0000-000062690000}"/>
    <cellStyle name="Normal 41 4 3 2" xfId="15130" xr:uid="{00000000-0005-0000-0000-000063690000}"/>
    <cellStyle name="Normal 41 4 3 2 2" xfId="33312" xr:uid="{00000000-0005-0000-0000-000064690000}"/>
    <cellStyle name="Normal 41 4 3 3" xfId="24222" xr:uid="{00000000-0005-0000-0000-000065690000}"/>
    <cellStyle name="Normal 41 4 4" xfId="10596" xr:uid="{00000000-0005-0000-0000-000066690000}"/>
    <cellStyle name="Normal 41 4 4 2" xfId="28778" xr:uid="{00000000-0005-0000-0000-000067690000}"/>
    <cellStyle name="Normal 41 4 5" xfId="19687" xr:uid="{00000000-0005-0000-0000-000068690000}"/>
    <cellStyle name="Normal 41 5" xfId="2780" xr:uid="{00000000-0005-0000-0000-000069690000}"/>
    <cellStyle name="Normal 41 5 2" xfId="7365" xr:uid="{00000000-0005-0000-0000-00006A690000}"/>
    <cellStyle name="Normal 41 5 2 2" xfId="16465" xr:uid="{00000000-0005-0000-0000-00006B690000}"/>
    <cellStyle name="Normal 41 5 2 2 2" xfId="34647" xr:uid="{00000000-0005-0000-0000-00006C690000}"/>
    <cellStyle name="Normal 41 5 2 3" xfId="25557" xr:uid="{00000000-0005-0000-0000-00006D690000}"/>
    <cellStyle name="Normal 41 5 3" xfId="11929" xr:uid="{00000000-0005-0000-0000-00006E690000}"/>
    <cellStyle name="Normal 41 5 3 2" xfId="30111" xr:uid="{00000000-0005-0000-0000-00006F690000}"/>
    <cellStyle name="Normal 41 5 4" xfId="21021" xr:uid="{00000000-0005-0000-0000-000070690000}"/>
    <cellStyle name="Normal 41 6" xfId="4387" xr:uid="{00000000-0005-0000-0000-000071690000}"/>
    <cellStyle name="Normal 41 6 2" xfId="8943" xr:uid="{00000000-0005-0000-0000-000072690000}"/>
    <cellStyle name="Normal 41 6 2 2" xfId="18039" xr:uid="{00000000-0005-0000-0000-000073690000}"/>
    <cellStyle name="Normal 41 6 2 2 2" xfId="36221" xr:uid="{00000000-0005-0000-0000-000074690000}"/>
    <cellStyle name="Normal 41 6 2 3" xfId="27131" xr:uid="{00000000-0005-0000-0000-000075690000}"/>
    <cellStyle name="Normal 41 6 3" xfId="13499" xr:uid="{00000000-0005-0000-0000-000076690000}"/>
    <cellStyle name="Normal 41 6 3 2" xfId="31681" xr:uid="{00000000-0005-0000-0000-000077690000}"/>
    <cellStyle name="Normal 41 6 4" xfId="22591" xr:uid="{00000000-0005-0000-0000-000078690000}"/>
    <cellStyle name="Normal 41 7" xfId="6026" xr:uid="{00000000-0005-0000-0000-000079690000}"/>
    <cellStyle name="Normal 41 7 2" xfId="15126" xr:uid="{00000000-0005-0000-0000-00007A690000}"/>
    <cellStyle name="Normal 41 7 2 2" xfId="33308" xr:uid="{00000000-0005-0000-0000-00007B690000}"/>
    <cellStyle name="Normal 41 7 3" xfId="24218" xr:uid="{00000000-0005-0000-0000-00007C690000}"/>
    <cellStyle name="Normal 41 8" xfId="10592" xr:uid="{00000000-0005-0000-0000-00007D690000}"/>
    <cellStyle name="Normal 41 8 2" xfId="28774" xr:uid="{00000000-0005-0000-0000-00007E690000}"/>
    <cellStyle name="Normal 41 9" xfId="19683" xr:uid="{00000000-0005-0000-0000-00007F690000}"/>
    <cellStyle name="Normal 42" xfId="1391" xr:uid="{00000000-0005-0000-0000-000080690000}"/>
    <cellStyle name="Normal 42 2" xfId="1392" xr:uid="{00000000-0005-0000-0000-000081690000}"/>
    <cellStyle name="Normal 42 2 2" xfId="1393" xr:uid="{00000000-0005-0000-0000-000082690000}"/>
    <cellStyle name="Normal 42 2 2 2" xfId="2781" xr:uid="{00000000-0005-0000-0000-000083690000}"/>
    <cellStyle name="Normal 42 2 2 2 2" xfId="7366" xr:uid="{00000000-0005-0000-0000-000084690000}"/>
    <cellStyle name="Normal 42 2 2 2 2 2" xfId="16466" xr:uid="{00000000-0005-0000-0000-000085690000}"/>
    <cellStyle name="Normal 42 2 2 2 2 2 2" xfId="34648" xr:uid="{00000000-0005-0000-0000-000086690000}"/>
    <cellStyle name="Normal 42 2 2 2 2 3" xfId="25558" xr:uid="{00000000-0005-0000-0000-000087690000}"/>
    <cellStyle name="Normal 42 2 2 2 3" xfId="11930" xr:uid="{00000000-0005-0000-0000-000088690000}"/>
    <cellStyle name="Normal 42 2 2 2 3 2" xfId="30112" xr:uid="{00000000-0005-0000-0000-000089690000}"/>
    <cellStyle name="Normal 42 2 2 2 4" xfId="21022" xr:uid="{00000000-0005-0000-0000-00008A690000}"/>
    <cellStyle name="Normal 42 2 2 3" xfId="4394" xr:uid="{00000000-0005-0000-0000-00008B690000}"/>
    <cellStyle name="Normal 42 2 2 3 2" xfId="8950" xr:uid="{00000000-0005-0000-0000-00008C690000}"/>
    <cellStyle name="Normal 42 2 2 3 2 2" xfId="18046" xr:uid="{00000000-0005-0000-0000-00008D690000}"/>
    <cellStyle name="Normal 42 2 2 3 2 2 2" xfId="36228" xr:uid="{00000000-0005-0000-0000-00008E690000}"/>
    <cellStyle name="Normal 42 2 2 3 2 3" xfId="27138" xr:uid="{00000000-0005-0000-0000-00008F690000}"/>
    <cellStyle name="Normal 42 2 2 3 3" xfId="13506" xr:uid="{00000000-0005-0000-0000-000090690000}"/>
    <cellStyle name="Normal 42 2 2 3 3 2" xfId="31688" xr:uid="{00000000-0005-0000-0000-000091690000}"/>
    <cellStyle name="Normal 42 2 2 3 4" xfId="22598" xr:uid="{00000000-0005-0000-0000-000092690000}"/>
    <cellStyle name="Normal 42 2 2 4" xfId="6033" xr:uid="{00000000-0005-0000-0000-000093690000}"/>
    <cellStyle name="Normal 42 2 2 4 2" xfId="15133" xr:uid="{00000000-0005-0000-0000-000094690000}"/>
    <cellStyle name="Normal 42 2 2 4 2 2" xfId="33315" xr:uid="{00000000-0005-0000-0000-000095690000}"/>
    <cellStyle name="Normal 42 2 2 4 3" xfId="24225" xr:uid="{00000000-0005-0000-0000-000096690000}"/>
    <cellStyle name="Normal 42 2 2 5" xfId="10599" xr:uid="{00000000-0005-0000-0000-000097690000}"/>
    <cellStyle name="Normal 42 2 2 5 2" xfId="28781" xr:uid="{00000000-0005-0000-0000-000098690000}"/>
    <cellStyle name="Normal 42 2 2 6" xfId="19690" xr:uid="{00000000-0005-0000-0000-000099690000}"/>
    <cellStyle name="Normal 42 2 3" xfId="2782" xr:uid="{00000000-0005-0000-0000-00009A690000}"/>
    <cellStyle name="Normal 42 2 3 2" xfId="7367" xr:uid="{00000000-0005-0000-0000-00009B690000}"/>
    <cellStyle name="Normal 42 2 3 2 2" xfId="16467" xr:uid="{00000000-0005-0000-0000-00009C690000}"/>
    <cellStyle name="Normal 42 2 3 2 2 2" xfId="34649" xr:uid="{00000000-0005-0000-0000-00009D690000}"/>
    <cellStyle name="Normal 42 2 3 2 3" xfId="25559" xr:uid="{00000000-0005-0000-0000-00009E690000}"/>
    <cellStyle name="Normal 42 2 3 3" xfId="11931" xr:uid="{00000000-0005-0000-0000-00009F690000}"/>
    <cellStyle name="Normal 42 2 3 3 2" xfId="30113" xr:uid="{00000000-0005-0000-0000-0000A0690000}"/>
    <cellStyle name="Normal 42 2 3 4" xfId="21023" xr:uid="{00000000-0005-0000-0000-0000A1690000}"/>
    <cellStyle name="Normal 42 2 4" xfId="4393" xr:uid="{00000000-0005-0000-0000-0000A2690000}"/>
    <cellStyle name="Normal 42 2 4 2" xfId="8949" xr:uid="{00000000-0005-0000-0000-0000A3690000}"/>
    <cellStyle name="Normal 42 2 4 2 2" xfId="18045" xr:uid="{00000000-0005-0000-0000-0000A4690000}"/>
    <cellStyle name="Normal 42 2 4 2 2 2" xfId="36227" xr:uid="{00000000-0005-0000-0000-0000A5690000}"/>
    <cellStyle name="Normal 42 2 4 2 3" xfId="27137" xr:uid="{00000000-0005-0000-0000-0000A6690000}"/>
    <cellStyle name="Normal 42 2 4 3" xfId="13505" xr:uid="{00000000-0005-0000-0000-0000A7690000}"/>
    <cellStyle name="Normal 42 2 4 3 2" xfId="31687" xr:uid="{00000000-0005-0000-0000-0000A8690000}"/>
    <cellStyle name="Normal 42 2 4 4" xfId="22597" xr:uid="{00000000-0005-0000-0000-0000A9690000}"/>
    <cellStyle name="Normal 42 2 5" xfId="6032" xr:uid="{00000000-0005-0000-0000-0000AA690000}"/>
    <cellStyle name="Normal 42 2 5 2" xfId="15132" xr:uid="{00000000-0005-0000-0000-0000AB690000}"/>
    <cellStyle name="Normal 42 2 5 2 2" xfId="33314" xr:uid="{00000000-0005-0000-0000-0000AC690000}"/>
    <cellStyle name="Normal 42 2 5 3" xfId="24224" xr:uid="{00000000-0005-0000-0000-0000AD690000}"/>
    <cellStyle name="Normal 42 2 6" xfId="10598" xr:uid="{00000000-0005-0000-0000-0000AE690000}"/>
    <cellStyle name="Normal 42 2 6 2" xfId="28780" xr:uid="{00000000-0005-0000-0000-0000AF690000}"/>
    <cellStyle name="Normal 42 2 7" xfId="19689" xr:uid="{00000000-0005-0000-0000-0000B0690000}"/>
    <cellStyle name="Normal 42 3" xfId="1394" xr:uid="{00000000-0005-0000-0000-0000B1690000}"/>
    <cellStyle name="Normal 42 3 2" xfId="2783" xr:uid="{00000000-0005-0000-0000-0000B2690000}"/>
    <cellStyle name="Normal 42 3 2 2" xfId="7368" xr:uid="{00000000-0005-0000-0000-0000B3690000}"/>
    <cellStyle name="Normal 42 3 2 2 2" xfId="16468" xr:uid="{00000000-0005-0000-0000-0000B4690000}"/>
    <cellStyle name="Normal 42 3 2 2 2 2" xfId="34650" xr:uid="{00000000-0005-0000-0000-0000B5690000}"/>
    <cellStyle name="Normal 42 3 2 2 3" xfId="25560" xr:uid="{00000000-0005-0000-0000-0000B6690000}"/>
    <cellStyle name="Normal 42 3 2 3" xfId="11932" xr:uid="{00000000-0005-0000-0000-0000B7690000}"/>
    <cellStyle name="Normal 42 3 2 3 2" xfId="30114" xr:uid="{00000000-0005-0000-0000-0000B8690000}"/>
    <cellStyle name="Normal 42 3 2 4" xfId="21024" xr:uid="{00000000-0005-0000-0000-0000B9690000}"/>
    <cellStyle name="Normal 42 3 3" xfId="4395" xr:uid="{00000000-0005-0000-0000-0000BA690000}"/>
    <cellStyle name="Normal 42 3 3 2" xfId="8951" xr:uid="{00000000-0005-0000-0000-0000BB690000}"/>
    <cellStyle name="Normal 42 3 3 2 2" xfId="18047" xr:uid="{00000000-0005-0000-0000-0000BC690000}"/>
    <cellStyle name="Normal 42 3 3 2 2 2" xfId="36229" xr:uid="{00000000-0005-0000-0000-0000BD690000}"/>
    <cellStyle name="Normal 42 3 3 2 3" xfId="27139" xr:uid="{00000000-0005-0000-0000-0000BE690000}"/>
    <cellStyle name="Normal 42 3 3 3" xfId="13507" xr:uid="{00000000-0005-0000-0000-0000BF690000}"/>
    <cellStyle name="Normal 42 3 3 3 2" xfId="31689" xr:uid="{00000000-0005-0000-0000-0000C0690000}"/>
    <cellStyle name="Normal 42 3 3 4" xfId="22599" xr:uid="{00000000-0005-0000-0000-0000C1690000}"/>
    <cellStyle name="Normal 42 3 4" xfId="6034" xr:uid="{00000000-0005-0000-0000-0000C2690000}"/>
    <cellStyle name="Normal 42 3 4 2" xfId="15134" xr:uid="{00000000-0005-0000-0000-0000C3690000}"/>
    <cellStyle name="Normal 42 3 4 2 2" xfId="33316" xr:uid="{00000000-0005-0000-0000-0000C4690000}"/>
    <cellStyle name="Normal 42 3 4 3" xfId="24226" xr:uid="{00000000-0005-0000-0000-0000C5690000}"/>
    <cellStyle name="Normal 42 3 5" xfId="10600" xr:uid="{00000000-0005-0000-0000-0000C6690000}"/>
    <cellStyle name="Normal 42 3 5 2" xfId="28782" xr:uid="{00000000-0005-0000-0000-0000C7690000}"/>
    <cellStyle name="Normal 42 3 6" xfId="19691" xr:uid="{00000000-0005-0000-0000-0000C8690000}"/>
    <cellStyle name="Normal 42 4" xfId="2784" xr:uid="{00000000-0005-0000-0000-0000C9690000}"/>
    <cellStyle name="Normal 42 4 2" xfId="7369" xr:uid="{00000000-0005-0000-0000-0000CA690000}"/>
    <cellStyle name="Normal 42 4 2 2" xfId="16469" xr:uid="{00000000-0005-0000-0000-0000CB690000}"/>
    <cellStyle name="Normal 42 4 2 2 2" xfId="34651" xr:uid="{00000000-0005-0000-0000-0000CC690000}"/>
    <cellStyle name="Normal 42 4 2 3" xfId="25561" xr:uid="{00000000-0005-0000-0000-0000CD690000}"/>
    <cellStyle name="Normal 42 4 3" xfId="11933" xr:uid="{00000000-0005-0000-0000-0000CE690000}"/>
    <cellStyle name="Normal 42 4 3 2" xfId="30115" xr:uid="{00000000-0005-0000-0000-0000CF690000}"/>
    <cellStyle name="Normal 42 4 4" xfId="21025" xr:uid="{00000000-0005-0000-0000-0000D0690000}"/>
    <cellStyle name="Normal 42 5" xfId="2785" xr:uid="{00000000-0005-0000-0000-0000D1690000}"/>
    <cellStyle name="Normal 42 5 2" xfId="7370" xr:uid="{00000000-0005-0000-0000-0000D2690000}"/>
    <cellStyle name="Normal 42 5 2 2" xfId="16470" xr:uid="{00000000-0005-0000-0000-0000D3690000}"/>
    <cellStyle name="Normal 42 5 2 2 2" xfId="34652" xr:uid="{00000000-0005-0000-0000-0000D4690000}"/>
    <cellStyle name="Normal 42 5 2 3" xfId="25562" xr:uid="{00000000-0005-0000-0000-0000D5690000}"/>
    <cellStyle name="Normal 42 5 3" xfId="11934" xr:uid="{00000000-0005-0000-0000-0000D6690000}"/>
    <cellStyle name="Normal 42 5 3 2" xfId="30116" xr:uid="{00000000-0005-0000-0000-0000D7690000}"/>
    <cellStyle name="Normal 42 5 4" xfId="21026" xr:uid="{00000000-0005-0000-0000-0000D8690000}"/>
    <cellStyle name="Normal 42 6" xfId="4392" xr:uid="{00000000-0005-0000-0000-0000D9690000}"/>
    <cellStyle name="Normal 42 6 2" xfId="8948" xr:uid="{00000000-0005-0000-0000-0000DA690000}"/>
    <cellStyle name="Normal 42 6 2 2" xfId="18044" xr:uid="{00000000-0005-0000-0000-0000DB690000}"/>
    <cellStyle name="Normal 42 6 2 2 2" xfId="36226" xr:uid="{00000000-0005-0000-0000-0000DC690000}"/>
    <cellStyle name="Normal 42 6 2 3" xfId="27136" xr:uid="{00000000-0005-0000-0000-0000DD690000}"/>
    <cellStyle name="Normal 42 6 3" xfId="13504" xr:uid="{00000000-0005-0000-0000-0000DE690000}"/>
    <cellStyle name="Normal 42 6 3 2" xfId="31686" xr:uid="{00000000-0005-0000-0000-0000DF690000}"/>
    <cellStyle name="Normal 42 6 4" xfId="22596" xr:uid="{00000000-0005-0000-0000-0000E0690000}"/>
    <cellStyle name="Normal 42 7" xfId="6031" xr:uid="{00000000-0005-0000-0000-0000E1690000}"/>
    <cellStyle name="Normal 42 7 2" xfId="15131" xr:uid="{00000000-0005-0000-0000-0000E2690000}"/>
    <cellStyle name="Normal 42 7 2 2" xfId="33313" xr:uid="{00000000-0005-0000-0000-0000E3690000}"/>
    <cellStyle name="Normal 42 7 3" xfId="24223" xr:uid="{00000000-0005-0000-0000-0000E4690000}"/>
    <cellStyle name="Normal 42 8" xfId="10597" xr:uid="{00000000-0005-0000-0000-0000E5690000}"/>
    <cellStyle name="Normal 42 8 2" xfId="28779" xr:uid="{00000000-0005-0000-0000-0000E6690000}"/>
    <cellStyle name="Normal 42 9" xfId="19688" xr:uid="{00000000-0005-0000-0000-0000E7690000}"/>
    <cellStyle name="Normal 43" xfId="1395" xr:uid="{00000000-0005-0000-0000-0000E8690000}"/>
    <cellStyle name="Normal 43 2" xfId="1396" xr:uid="{00000000-0005-0000-0000-0000E9690000}"/>
    <cellStyle name="Normal 43 2 2" xfId="2786" xr:uid="{00000000-0005-0000-0000-0000EA690000}"/>
    <cellStyle name="Normal 43 2 2 2" xfId="7371" xr:uid="{00000000-0005-0000-0000-0000EB690000}"/>
    <cellStyle name="Normal 43 2 2 2 2" xfId="16471" xr:uid="{00000000-0005-0000-0000-0000EC690000}"/>
    <cellStyle name="Normal 43 2 2 2 2 2" xfId="34653" xr:uid="{00000000-0005-0000-0000-0000ED690000}"/>
    <cellStyle name="Normal 43 2 2 2 3" xfId="25563" xr:uid="{00000000-0005-0000-0000-0000EE690000}"/>
    <cellStyle name="Normal 43 2 2 3" xfId="11935" xr:uid="{00000000-0005-0000-0000-0000EF690000}"/>
    <cellStyle name="Normal 43 2 2 3 2" xfId="30117" xr:uid="{00000000-0005-0000-0000-0000F0690000}"/>
    <cellStyle name="Normal 43 2 2 4" xfId="21027" xr:uid="{00000000-0005-0000-0000-0000F1690000}"/>
    <cellStyle name="Normal 43 2 3" xfId="4397" xr:uid="{00000000-0005-0000-0000-0000F2690000}"/>
    <cellStyle name="Normal 43 2 3 2" xfId="8953" xr:uid="{00000000-0005-0000-0000-0000F3690000}"/>
    <cellStyle name="Normal 43 2 3 2 2" xfId="18049" xr:uid="{00000000-0005-0000-0000-0000F4690000}"/>
    <cellStyle name="Normal 43 2 3 2 2 2" xfId="36231" xr:uid="{00000000-0005-0000-0000-0000F5690000}"/>
    <cellStyle name="Normal 43 2 3 2 3" xfId="27141" xr:uid="{00000000-0005-0000-0000-0000F6690000}"/>
    <cellStyle name="Normal 43 2 3 3" xfId="13509" xr:uid="{00000000-0005-0000-0000-0000F7690000}"/>
    <cellStyle name="Normal 43 2 3 3 2" xfId="31691" xr:uid="{00000000-0005-0000-0000-0000F8690000}"/>
    <cellStyle name="Normal 43 2 3 4" xfId="22601" xr:uid="{00000000-0005-0000-0000-0000F9690000}"/>
    <cellStyle name="Normal 43 2 4" xfId="6036" xr:uid="{00000000-0005-0000-0000-0000FA690000}"/>
    <cellStyle name="Normal 43 2 4 2" xfId="15136" xr:uid="{00000000-0005-0000-0000-0000FB690000}"/>
    <cellStyle name="Normal 43 2 4 2 2" xfId="33318" xr:uid="{00000000-0005-0000-0000-0000FC690000}"/>
    <cellStyle name="Normal 43 2 4 3" xfId="24228" xr:uid="{00000000-0005-0000-0000-0000FD690000}"/>
    <cellStyle name="Normal 43 2 5" xfId="10602" xr:uid="{00000000-0005-0000-0000-0000FE690000}"/>
    <cellStyle name="Normal 43 2 5 2" xfId="28784" xr:uid="{00000000-0005-0000-0000-0000FF690000}"/>
    <cellStyle name="Normal 43 2 6" xfId="19693" xr:uid="{00000000-0005-0000-0000-0000006A0000}"/>
    <cellStyle name="Normal 43 3" xfId="2787" xr:uid="{00000000-0005-0000-0000-0000016A0000}"/>
    <cellStyle name="Normal 43 3 2" xfId="7372" xr:uid="{00000000-0005-0000-0000-0000026A0000}"/>
    <cellStyle name="Normal 43 3 2 2" xfId="16472" xr:uid="{00000000-0005-0000-0000-0000036A0000}"/>
    <cellStyle name="Normal 43 3 2 2 2" xfId="34654" xr:uid="{00000000-0005-0000-0000-0000046A0000}"/>
    <cellStyle name="Normal 43 3 2 3" xfId="25564" xr:uid="{00000000-0005-0000-0000-0000056A0000}"/>
    <cellStyle name="Normal 43 3 3" xfId="11936" xr:uid="{00000000-0005-0000-0000-0000066A0000}"/>
    <cellStyle name="Normal 43 3 3 2" xfId="30118" xr:uid="{00000000-0005-0000-0000-0000076A0000}"/>
    <cellStyle name="Normal 43 3 4" xfId="21028" xr:uid="{00000000-0005-0000-0000-0000086A0000}"/>
    <cellStyle name="Normal 43 4" xfId="2788" xr:uid="{00000000-0005-0000-0000-0000096A0000}"/>
    <cellStyle name="Normal 43 5" xfId="4396" xr:uid="{00000000-0005-0000-0000-00000A6A0000}"/>
    <cellStyle name="Normal 43 5 2" xfId="8952" xr:uid="{00000000-0005-0000-0000-00000B6A0000}"/>
    <cellStyle name="Normal 43 5 2 2" xfId="18048" xr:uid="{00000000-0005-0000-0000-00000C6A0000}"/>
    <cellStyle name="Normal 43 5 2 2 2" xfId="36230" xr:uid="{00000000-0005-0000-0000-00000D6A0000}"/>
    <cellStyle name="Normal 43 5 2 3" xfId="27140" xr:uid="{00000000-0005-0000-0000-00000E6A0000}"/>
    <cellStyle name="Normal 43 5 3" xfId="13508" xr:uid="{00000000-0005-0000-0000-00000F6A0000}"/>
    <cellStyle name="Normal 43 5 3 2" xfId="31690" xr:uid="{00000000-0005-0000-0000-0000106A0000}"/>
    <cellStyle name="Normal 43 5 4" xfId="22600" xr:uid="{00000000-0005-0000-0000-0000116A0000}"/>
    <cellStyle name="Normal 43 6" xfId="6035" xr:uid="{00000000-0005-0000-0000-0000126A0000}"/>
    <cellStyle name="Normal 43 6 2" xfId="15135" xr:uid="{00000000-0005-0000-0000-0000136A0000}"/>
    <cellStyle name="Normal 43 6 2 2" xfId="33317" xr:uid="{00000000-0005-0000-0000-0000146A0000}"/>
    <cellStyle name="Normal 43 6 3" xfId="24227" xr:uid="{00000000-0005-0000-0000-0000156A0000}"/>
    <cellStyle name="Normal 43 7" xfId="10601" xr:uid="{00000000-0005-0000-0000-0000166A0000}"/>
    <cellStyle name="Normal 43 7 2" xfId="28783" xr:uid="{00000000-0005-0000-0000-0000176A0000}"/>
    <cellStyle name="Normal 43 8" xfId="19692" xr:uid="{00000000-0005-0000-0000-0000186A0000}"/>
    <cellStyle name="Normal 44" xfId="1397" xr:uid="{00000000-0005-0000-0000-0000196A0000}"/>
    <cellStyle name="Normal 44 2" xfId="2789" xr:uid="{00000000-0005-0000-0000-00001A6A0000}"/>
    <cellStyle name="Normal 44 2 2" xfId="7373" xr:uid="{00000000-0005-0000-0000-00001B6A0000}"/>
    <cellStyle name="Normal 44 2 2 2" xfId="16473" xr:uid="{00000000-0005-0000-0000-00001C6A0000}"/>
    <cellStyle name="Normal 44 2 2 2 2" xfId="34655" xr:uid="{00000000-0005-0000-0000-00001D6A0000}"/>
    <cellStyle name="Normal 44 2 2 3" xfId="25565" xr:uid="{00000000-0005-0000-0000-00001E6A0000}"/>
    <cellStyle name="Normal 44 2 3" xfId="11937" xr:uid="{00000000-0005-0000-0000-00001F6A0000}"/>
    <cellStyle name="Normal 44 2 3 2" xfId="30119" xr:uid="{00000000-0005-0000-0000-0000206A0000}"/>
    <cellStyle name="Normal 44 2 4" xfId="21029" xr:uid="{00000000-0005-0000-0000-0000216A0000}"/>
    <cellStyle name="Normal 45" xfId="1398" xr:uid="{00000000-0005-0000-0000-0000226A0000}"/>
    <cellStyle name="Normal 45 2" xfId="2790" xr:uid="{00000000-0005-0000-0000-0000236A0000}"/>
    <cellStyle name="Normal 45 2 2" xfId="7374" xr:uid="{00000000-0005-0000-0000-0000246A0000}"/>
    <cellStyle name="Normal 45 2 2 2" xfId="16474" xr:uid="{00000000-0005-0000-0000-0000256A0000}"/>
    <cellStyle name="Normal 45 2 2 2 2" xfId="34656" xr:uid="{00000000-0005-0000-0000-0000266A0000}"/>
    <cellStyle name="Normal 45 2 2 3" xfId="25566" xr:uid="{00000000-0005-0000-0000-0000276A0000}"/>
    <cellStyle name="Normal 45 2 3" xfId="11938" xr:uid="{00000000-0005-0000-0000-0000286A0000}"/>
    <cellStyle name="Normal 45 2 3 2" xfId="30120" xr:uid="{00000000-0005-0000-0000-0000296A0000}"/>
    <cellStyle name="Normal 45 2 4" xfId="21030" xr:uid="{00000000-0005-0000-0000-00002A6A0000}"/>
    <cellStyle name="Normal 45 3" xfId="2791" xr:uid="{00000000-0005-0000-0000-00002B6A0000}"/>
    <cellStyle name="Normal 45 4" xfId="4398" xr:uid="{00000000-0005-0000-0000-00002C6A0000}"/>
    <cellStyle name="Normal 45 4 2" xfId="8954" xr:uid="{00000000-0005-0000-0000-00002D6A0000}"/>
    <cellStyle name="Normal 45 4 2 2" xfId="18050" xr:uid="{00000000-0005-0000-0000-00002E6A0000}"/>
    <cellStyle name="Normal 45 4 2 2 2" xfId="36232" xr:uid="{00000000-0005-0000-0000-00002F6A0000}"/>
    <cellStyle name="Normal 45 4 2 3" xfId="27142" xr:uid="{00000000-0005-0000-0000-0000306A0000}"/>
    <cellStyle name="Normal 45 4 3" xfId="13510" xr:uid="{00000000-0005-0000-0000-0000316A0000}"/>
    <cellStyle name="Normal 45 4 3 2" xfId="31692" xr:uid="{00000000-0005-0000-0000-0000326A0000}"/>
    <cellStyle name="Normal 45 4 4" xfId="22602" xr:uid="{00000000-0005-0000-0000-0000336A0000}"/>
    <cellStyle name="Normal 45 5" xfId="6037" xr:uid="{00000000-0005-0000-0000-0000346A0000}"/>
    <cellStyle name="Normal 45 5 2" xfId="15137" xr:uid="{00000000-0005-0000-0000-0000356A0000}"/>
    <cellStyle name="Normal 45 5 2 2" xfId="33319" xr:uid="{00000000-0005-0000-0000-0000366A0000}"/>
    <cellStyle name="Normal 45 5 3" xfId="24229" xr:uid="{00000000-0005-0000-0000-0000376A0000}"/>
    <cellStyle name="Normal 45 6" xfId="10603" xr:uid="{00000000-0005-0000-0000-0000386A0000}"/>
    <cellStyle name="Normal 45 6 2" xfId="28785" xr:uid="{00000000-0005-0000-0000-0000396A0000}"/>
    <cellStyle name="Normal 45 7" xfId="19694" xr:uid="{00000000-0005-0000-0000-00003A6A0000}"/>
    <cellStyle name="Normal 46" xfId="1399" xr:uid="{00000000-0005-0000-0000-00003B6A0000}"/>
    <cellStyle name="Normal 46 2" xfId="2792" xr:uid="{00000000-0005-0000-0000-00003C6A0000}"/>
    <cellStyle name="Normal 46 2 2" xfId="7375" xr:uid="{00000000-0005-0000-0000-00003D6A0000}"/>
    <cellStyle name="Normal 46 2 2 2" xfId="16475" xr:uid="{00000000-0005-0000-0000-00003E6A0000}"/>
    <cellStyle name="Normal 46 2 2 2 2" xfId="34657" xr:uid="{00000000-0005-0000-0000-00003F6A0000}"/>
    <cellStyle name="Normal 46 2 2 3" xfId="25567" xr:uid="{00000000-0005-0000-0000-0000406A0000}"/>
    <cellStyle name="Normal 46 2 3" xfId="11939" xr:uid="{00000000-0005-0000-0000-0000416A0000}"/>
    <cellStyle name="Normal 46 2 3 2" xfId="30121" xr:uid="{00000000-0005-0000-0000-0000426A0000}"/>
    <cellStyle name="Normal 46 2 4" xfId="21031" xr:uid="{00000000-0005-0000-0000-0000436A0000}"/>
    <cellStyle name="Normal 46 3" xfId="4399" xr:uid="{00000000-0005-0000-0000-0000446A0000}"/>
    <cellStyle name="Normal 46 3 2" xfId="8955" xr:uid="{00000000-0005-0000-0000-0000456A0000}"/>
    <cellStyle name="Normal 46 3 2 2" xfId="18051" xr:uid="{00000000-0005-0000-0000-0000466A0000}"/>
    <cellStyle name="Normal 46 3 2 2 2" xfId="36233" xr:uid="{00000000-0005-0000-0000-0000476A0000}"/>
    <cellStyle name="Normal 46 3 2 3" xfId="27143" xr:uid="{00000000-0005-0000-0000-0000486A0000}"/>
    <cellStyle name="Normal 46 3 3" xfId="13511" xr:uid="{00000000-0005-0000-0000-0000496A0000}"/>
    <cellStyle name="Normal 46 3 3 2" xfId="31693" xr:uid="{00000000-0005-0000-0000-00004A6A0000}"/>
    <cellStyle name="Normal 46 3 4" xfId="22603" xr:uid="{00000000-0005-0000-0000-00004B6A0000}"/>
    <cellStyle name="Normal 46 4" xfId="6038" xr:uid="{00000000-0005-0000-0000-00004C6A0000}"/>
    <cellStyle name="Normal 46 4 2" xfId="15138" xr:uid="{00000000-0005-0000-0000-00004D6A0000}"/>
    <cellStyle name="Normal 46 4 2 2" xfId="33320" xr:uid="{00000000-0005-0000-0000-00004E6A0000}"/>
    <cellStyle name="Normal 46 4 3" xfId="24230" xr:uid="{00000000-0005-0000-0000-00004F6A0000}"/>
    <cellStyle name="Normal 46 5" xfId="10604" xr:uid="{00000000-0005-0000-0000-0000506A0000}"/>
    <cellStyle name="Normal 46 5 2" xfId="28786" xr:uid="{00000000-0005-0000-0000-0000516A0000}"/>
    <cellStyle name="Normal 46 6" xfId="19695" xr:uid="{00000000-0005-0000-0000-0000526A0000}"/>
    <cellStyle name="Normal 47" xfId="1400" xr:uid="{00000000-0005-0000-0000-0000536A0000}"/>
    <cellStyle name="Normal 47 2" xfId="4400" xr:uid="{00000000-0005-0000-0000-0000546A0000}"/>
    <cellStyle name="Normal 47 2 2" xfId="8956" xr:uid="{00000000-0005-0000-0000-0000556A0000}"/>
    <cellStyle name="Normal 47 2 2 2" xfId="18052" xr:uid="{00000000-0005-0000-0000-0000566A0000}"/>
    <cellStyle name="Normal 47 2 2 2 2" xfId="36234" xr:uid="{00000000-0005-0000-0000-0000576A0000}"/>
    <cellStyle name="Normal 47 2 2 3" xfId="27144" xr:uid="{00000000-0005-0000-0000-0000586A0000}"/>
    <cellStyle name="Normal 47 2 3" xfId="13512" xr:uid="{00000000-0005-0000-0000-0000596A0000}"/>
    <cellStyle name="Normal 47 2 3 2" xfId="31694" xr:uid="{00000000-0005-0000-0000-00005A6A0000}"/>
    <cellStyle name="Normal 47 2 4" xfId="22604" xr:uid="{00000000-0005-0000-0000-00005B6A0000}"/>
    <cellStyle name="Normal 47 3" xfId="6039" xr:uid="{00000000-0005-0000-0000-00005C6A0000}"/>
    <cellStyle name="Normal 47 3 2" xfId="15139" xr:uid="{00000000-0005-0000-0000-00005D6A0000}"/>
    <cellStyle name="Normal 47 3 2 2" xfId="33321" xr:uid="{00000000-0005-0000-0000-00005E6A0000}"/>
    <cellStyle name="Normal 47 3 3" xfId="24231" xr:uid="{00000000-0005-0000-0000-00005F6A0000}"/>
    <cellStyle name="Normal 47 4" xfId="10605" xr:uid="{00000000-0005-0000-0000-0000606A0000}"/>
    <cellStyle name="Normal 47 4 2" xfId="28787" xr:uid="{00000000-0005-0000-0000-0000616A0000}"/>
    <cellStyle name="Normal 47 5" xfId="19696" xr:uid="{00000000-0005-0000-0000-0000626A0000}"/>
    <cellStyle name="Normal 48" xfId="1401" xr:uid="{00000000-0005-0000-0000-0000636A0000}"/>
    <cellStyle name="Normal 48 2" xfId="4401" xr:uid="{00000000-0005-0000-0000-0000646A0000}"/>
    <cellStyle name="Normal 48 2 2" xfId="8957" xr:uid="{00000000-0005-0000-0000-0000656A0000}"/>
    <cellStyle name="Normal 48 2 2 2" xfId="18053" xr:uid="{00000000-0005-0000-0000-0000666A0000}"/>
    <cellStyle name="Normal 48 2 2 2 2" xfId="36235" xr:uid="{00000000-0005-0000-0000-0000676A0000}"/>
    <cellStyle name="Normal 48 2 2 3" xfId="27145" xr:uid="{00000000-0005-0000-0000-0000686A0000}"/>
    <cellStyle name="Normal 48 2 3" xfId="13513" xr:uid="{00000000-0005-0000-0000-0000696A0000}"/>
    <cellStyle name="Normal 48 2 3 2" xfId="31695" xr:uid="{00000000-0005-0000-0000-00006A6A0000}"/>
    <cellStyle name="Normal 48 2 4" xfId="22605" xr:uid="{00000000-0005-0000-0000-00006B6A0000}"/>
    <cellStyle name="Normal 48 3" xfId="6040" xr:uid="{00000000-0005-0000-0000-00006C6A0000}"/>
    <cellStyle name="Normal 48 3 2" xfId="15140" xr:uid="{00000000-0005-0000-0000-00006D6A0000}"/>
    <cellStyle name="Normal 48 3 2 2" xfId="33322" xr:uid="{00000000-0005-0000-0000-00006E6A0000}"/>
    <cellStyle name="Normal 48 3 3" xfId="24232" xr:uid="{00000000-0005-0000-0000-00006F6A0000}"/>
    <cellStyle name="Normal 48 4" xfId="10606" xr:uid="{00000000-0005-0000-0000-0000706A0000}"/>
    <cellStyle name="Normal 48 4 2" xfId="28788" xr:uid="{00000000-0005-0000-0000-0000716A0000}"/>
    <cellStyle name="Normal 48 5" xfId="19697" xr:uid="{00000000-0005-0000-0000-0000726A0000}"/>
    <cellStyle name="Normal 49" xfId="1807" xr:uid="{00000000-0005-0000-0000-0000736A0000}"/>
    <cellStyle name="Normal 49 2" xfId="3150" xr:uid="{00000000-0005-0000-0000-0000746A0000}"/>
    <cellStyle name="Normal 49 2 2" xfId="7711" xr:uid="{00000000-0005-0000-0000-0000756A0000}"/>
    <cellStyle name="Normal 49 2 2 2" xfId="16808" xr:uid="{00000000-0005-0000-0000-0000766A0000}"/>
    <cellStyle name="Normal 49 2 2 2 2" xfId="34990" xr:uid="{00000000-0005-0000-0000-0000776A0000}"/>
    <cellStyle name="Normal 49 2 2 3" xfId="25900" xr:uid="{00000000-0005-0000-0000-0000786A0000}"/>
    <cellStyle name="Normal 49 2 3" xfId="12268" xr:uid="{00000000-0005-0000-0000-0000796A0000}"/>
    <cellStyle name="Normal 49 2 3 2" xfId="30450" xr:uid="{00000000-0005-0000-0000-00007A6A0000}"/>
    <cellStyle name="Normal 49 2 4" xfId="21360" xr:uid="{00000000-0005-0000-0000-00007B6A0000}"/>
    <cellStyle name="Normal 49 3" xfId="4792" xr:uid="{00000000-0005-0000-0000-00007C6A0000}"/>
    <cellStyle name="Normal 49 3 2" xfId="9348" xr:uid="{00000000-0005-0000-0000-00007D6A0000}"/>
    <cellStyle name="Normal 49 3 2 2" xfId="18444" xr:uid="{00000000-0005-0000-0000-00007E6A0000}"/>
    <cellStyle name="Normal 49 3 2 2 2" xfId="36626" xr:uid="{00000000-0005-0000-0000-00007F6A0000}"/>
    <cellStyle name="Normal 49 3 2 3" xfId="27536" xr:uid="{00000000-0005-0000-0000-0000806A0000}"/>
    <cellStyle name="Normal 49 3 3" xfId="13902" xr:uid="{00000000-0005-0000-0000-0000816A0000}"/>
    <cellStyle name="Normal 49 3 3 2" xfId="32084" xr:uid="{00000000-0005-0000-0000-0000826A0000}"/>
    <cellStyle name="Normal 49 3 4" xfId="22994" xr:uid="{00000000-0005-0000-0000-0000836A0000}"/>
    <cellStyle name="Normal 49 4" xfId="6430" xr:uid="{00000000-0005-0000-0000-0000846A0000}"/>
    <cellStyle name="Normal 49 4 2" xfId="15530" xr:uid="{00000000-0005-0000-0000-0000856A0000}"/>
    <cellStyle name="Normal 49 4 2 2" xfId="33712" xr:uid="{00000000-0005-0000-0000-0000866A0000}"/>
    <cellStyle name="Normal 49 4 3" xfId="24622" xr:uid="{00000000-0005-0000-0000-0000876A0000}"/>
    <cellStyle name="Normal 49 5" xfId="10995" xr:uid="{00000000-0005-0000-0000-0000886A0000}"/>
    <cellStyle name="Normal 49 5 2" xfId="29177" xr:uid="{00000000-0005-0000-0000-0000896A0000}"/>
    <cellStyle name="Normal 49 6" xfId="20087" xr:uid="{00000000-0005-0000-0000-00008A6A0000}"/>
    <cellStyle name="Normal 5" xfId="10" xr:uid="{00000000-0005-0000-0000-00008B6A0000}"/>
    <cellStyle name="Normal 5 2" xfId="147" xr:uid="{00000000-0005-0000-0000-00008C6A0000}"/>
    <cellStyle name="Normal 50" xfId="1815" xr:uid="{00000000-0005-0000-0000-00008D6A0000}"/>
    <cellStyle name="Normal 50 2" xfId="2793" xr:uid="{00000000-0005-0000-0000-00008E6A0000}"/>
    <cellStyle name="Normal 50 2 2" xfId="7376" xr:uid="{00000000-0005-0000-0000-00008F6A0000}"/>
    <cellStyle name="Normal 50 2 2 2" xfId="16476" xr:uid="{00000000-0005-0000-0000-0000906A0000}"/>
    <cellStyle name="Normal 50 2 2 2 2" xfId="34658" xr:uid="{00000000-0005-0000-0000-0000916A0000}"/>
    <cellStyle name="Normal 50 2 2 3" xfId="25568" xr:uid="{00000000-0005-0000-0000-0000926A0000}"/>
    <cellStyle name="Normal 50 2 3" xfId="11940" xr:uid="{00000000-0005-0000-0000-0000936A0000}"/>
    <cellStyle name="Normal 50 2 3 2" xfId="30122" xr:uid="{00000000-0005-0000-0000-0000946A0000}"/>
    <cellStyle name="Normal 50 2 4" xfId="21032" xr:uid="{00000000-0005-0000-0000-0000956A0000}"/>
    <cellStyle name="Normal 50 3" xfId="2794" xr:uid="{00000000-0005-0000-0000-0000966A0000}"/>
    <cellStyle name="Normal 50 3 2" xfId="7377" xr:uid="{00000000-0005-0000-0000-0000976A0000}"/>
    <cellStyle name="Normal 50 3 2 2" xfId="16477" xr:uid="{00000000-0005-0000-0000-0000986A0000}"/>
    <cellStyle name="Normal 50 3 2 2 2" xfId="34659" xr:uid="{00000000-0005-0000-0000-0000996A0000}"/>
    <cellStyle name="Normal 50 3 2 3" xfId="25569" xr:uid="{00000000-0005-0000-0000-00009A6A0000}"/>
    <cellStyle name="Normal 50 3 3" xfId="11941" xr:uid="{00000000-0005-0000-0000-00009B6A0000}"/>
    <cellStyle name="Normal 50 3 3 2" xfId="30123" xr:uid="{00000000-0005-0000-0000-00009C6A0000}"/>
    <cellStyle name="Normal 50 3 4" xfId="21033" xr:uid="{00000000-0005-0000-0000-00009D6A0000}"/>
    <cellStyle name="Normal 50 4" xfId="2795" xr:uid="{00000000-0005-0000-0000-00009E6A0000}"/>
    <cellStyle name="Normal 50 4 2" xfId="7378" xr:uid="{00000000-0005-0000-0000-00009F6A0000}"/>
    <cellStyle name="Normal 50 4 2 2" xfId="16478" xr:uid="{00000000-0005-0000-0000-0000A06A0000}"/>
    <cellStyle name="Normal 50 4 2 2 2" xfId="34660" xr:uid="{00000000-0005-0000-0000-0000A16A0000}"/>
    <cellStyle name="Normal 50 4 2 3" xfId="25570" xr:uid="{00000000-0005-0000-0000-0000A26A0000}"/>
    <cellStyle name="Normal 50 4 3" xfId="11942" xr:uid="{00000000-0005-0000-0000-0000A36A0000}"/>
    <cellStyle name="Normal 50 4 3 2" xfId="30124" xr:uid="{00000000-0005-0000-0000-0000A46A0000}"/>
    <cellStyle name="Normal 50 4 4" xfId="21034" xr:uid="{00000000-0005-0000-0000-0000A56A0000}"/>
    <cellStyle name="Normal 50 5" xfId="3151" xr:uid="{00000000-0005-0000-0000-0000A66A0000}"/>
    <cellStyle name="Normal 50 5 2" xfId="7712" xr:uid="{00000000-0005-0000-0000-0000A76A0000}"/>
    <cellStyle name="Normal 50 5 2 2" xfId="16809" xr:uid="{00000000-0005-0000-0000-0000A86A0000}"/>
    <cellStyle name="Normal 50 5 2 2 2" xfId="34991" xr:uid="{00000000-0005-0000-0000-0000A96A0000}"/>
    <cellStyle name="Normal 50 5 2 3" xfId="25901" xr:uid="{00000000-0005-0000-0000-0000AA6A0000}"/>
    <cellStyle name="Normal 50 5 3" xfId="12269" xr:uid="{00000000-0005-0000-0000-0000AB6A0000}"/>
    <cellStyle name="Normal 50 5 3 2" xfId="30451" xr:uid="{00000000-0005-0000-0000-0000AC6A0000}"/>
    <cellStyle name="Normal 50 5 4" xfId="21361" xr:uid="{00000000-0005-0000-0000-0000AD6A0000}"/>
    <cellStyle name="Normal 50 6" xfId="4793" xr:uid="{00000000-0005-0000-0000-0000AE6A0000}"/>
    <cellStyle name="Normal 50 6 2" xfId="9349" xr:uid="{00000000-0005-0000-0000-0000AF6A0000}"/>
    <cellStyle name="Normal 50 6 2 2" xfId="18445" xr:uid="{00000000-0005-0000-0000-0000B06A0000}"/>
    <cellStyle name="Normal 50 6 2 2 2" xfId="36627" xr:uid="{00000000-0005-0000-0000-0000B16A0000}"/>
    <cellStyle name="Normal 50 6 2 3" xfId="27537" xr:uid="{00000000-0005-0000-0000-0000B26A0000}"/>
    <cellStyle name="Normal 50 6 3" xfId="13903" xr:uid="{00000000-0005-0000-0000-0000B36A0000}"/>
    <cellStyle name="Normal 50 6 3 2" xfId="32085" xr:uid="{00000000-0005-0000-0000-0000B46A0000}"/>
    <cellStyle name="Normal 50 6 4" xfId="22995" xr:uid="{00000000-0005-0000-0000-0000B56A0000}"/>
    <cellStyle name="Normal 50 7" xfId="6431" xr:uid="{00000000-0005-0000-0000-0000B66A0000}"/>
    <cellStyle name="Normal 50 7 2" xfId="15531" xr:uid="{00000000-0005-0000-0000-0000B76A0000}"/>
    <cellStyle name="Normal 50 7 2 2" xfId="33713" xr:uid="{00000000-0005-0000-0000-0000B86A0000}"/>
    <cellStyle name="Normal 50 7 3" xfId="24623" xr:uid="{00000000-0005-0000-0000-0000B96A0000}"/>
    <cellStyle name="Normal 50 8" xfId="10996" xr:uid="{00000000-0005-0000-0000-0000BA6A0000}"/>
    <cellStyle name="Normal 50 8 2" xfId="29178" xr:uid="{00000000-0005-0000-0000-0000BB6A0000}"/>
    <cellStyle name="Normal 50 9" xfId="20088" xr:uid="{00000000-0005-0000-0000-0000BC6A0000}"/>
    <cellStyle name="Normal 51" xfId="2796" xr:uid="{00000000-0005-0000-0000-0000BD6A0000}"/>
    <cellStyle name="Normal 51 2" xfId="4795" xr:uid="{00000000-0005-0000-0000-0000BE6A0000}"/>
    <cellStyle name="Normal 51 2 2" xfId="9351" xr:uid="{00000000-0005-0000-0000-0000BF6A0000}"/>
    <cellStyle name="Normal 51 2 2 2" xfId="18447" xr:uid="{00000000-0005-0000-0000-0000C06A0000}"/>
    <cellStyle name="Normal 51 2 2 2 2" xfId="36629" xr:uid="{00000000-0005-0000-0000-0000C16A0000}"/>
    <cellStyle name="Normal 51 2 2 3" xfId="27539" xr:uid="{00000000-0005-0000-0000-0000C26A0000}"/>
    <cellStyle name="Normal 51 2 3" xfId="13905" xr:uid="{00000000-0005-0000-0000-0000C36A0000}"/>
    <cellStyle name="Normal 51 2 3 2" xfId="32087" xr:uid="{00000000-0005-0000-0000-0000C46A0000}"/>
    <cellStyle name="Normal 51 2 4" xfId="22997" xr:uid="{00000000-0005-0000-0000-0000C56A0000}"/>
    <cellStyle name="Normal 51 3" xfId="7379" xr:uid="{00000000-0005-0000-0000-0000C66A0000}"/>
    <cellStyle name="Normal 51 3 2" xfId="16479" xr:uid="{00000000-0005-0000-0000-0000C76A0000}"/>
    <cellStyle name="Normal 51 3 2 2" xfId="34661" xr:uid="{00000000-0005-0000-0000-0000C86A0000}"/>
    <cellStyle name="Normal 51 3 3" xfId="25571" xr:uid="{00000000-0005-0000-0000-0000C96A0000}"/>
    <cellStyle name="Normal 51 4" xfId="11943" xr:uid="{00000000-0005-0000-0000-0000CA6A0000}"/>
    <cellStyle name="Normal 51 4 2" xfId="30125" xr:uid="{00000000-0005-0000-0000-0000CB6A0000}"/>
    <cellStyle name="Normal 51 5" xfId="21035" xr:uid="{00000000-0005-0000-0000-0000CC6A0000}"/>
    <cellStyle name="Normal 52" xfId="2797" xr:uid="{00000000-0005-0000-0000-0000CD6A0000}"/>
    <cellStyle name="Normal 52 2" xfId="7380" xr:uid="{00000000-0005-0000-0000-0000CE6A0000}"/>
    <cellStyle name="Normal 52 2 2" xfId="16480" xr:uid="{00000000-0005-0000-0000-0000CF6A0000}"/>
    <cellStyle name="Normal 52 2 2 2" xfId="34662" xr:uid="{00000000-0005-0000-0000-0000D06A0000}"/>
    <cellStyle name="Normal 52 2 3" xfId="25572" xr:uid="{00000000-0005-0000-0000-0000D16A0000}"/>
    <cellStyle name="Normal 52 3" xfId="11944" xr:uid="{00000000-0005-0000-0000-0000D26A0000}"/>
    <cellStyle name="Normal 52 3 2" xfId="30126" xr:uid="{00000000-0005-0000-0000-0000D36A0000}"/>
    <cellStyle name="Normal 52 4" xfId="21036" xr:uid="{00000000-0005-0000-0000-0000D46A0000}"/>
    <cellStyle name="Normal 53" xfId="2798" xr:uid="{00000000-0005-0000-0000-0000D56A0000}"/>
    <cellStyle name="Normal 53 2" xfId="7381" xr:uid="{00000000-0005-0000-0000-0000D66A0000}"/>
    <cellStyle name="Normal 53 2 2" xfId="16481" xr:uid="{00000000-0005-0000-0000-0000D76A0000}"/>
    <cellStyle name="Normal 53 2 2 2" xfId="34663" xr:uid="{00000000-0005-0000-0000-0000D86A0000}"/>
    <cellStyle name="Normal 53 2 3" xfId="25573" xr:uid="{00000000-0005-0000-0000-0000D96A0000}"/>
    <cellStyle name="Normal 53 3" xfId="11945" xr:uid="{00000000-0005-0000-0000-0000DA6A0000}"/>
    <cellStyle name="Normal 53 3 2" xfId="30127" xr:uid="{00000000-0005-0000-0000-0000DB6A0000}"/>
    <cellStyle name="Normal 53 4" xfId="21037" xr:uid="{00000000-0005-0000-0000-0000DC6A0000}"/>
    <cellStyle name="Normal 54" xfId="2799" xr:uid="{00000000-0005-0000-0000-0000DD6A0000}"/>
    <cellStyle name="Normal 54 2" xfId="2800" xr:uid="{00000000-0005-0000-0000-0000DE6A0000}"/>
    <cellStyle name="Normal 54 2 2" xfId="7383" xr:uid="{00000000-0005-0000-0000-0000DF6A0000}"/>
    <cellStyle name="Normal 54 2 2 2" xfId="16483" xr:uid="{00000000-0005-0000-0000-0000E06A0000}"/>
    <cellStyle name="Normal 54 2 2 2 2" xfId="34665" xr:uid="{00000000-0005-0000-0000-0000E16A0000}"/>
    <cellStyle name="Normal 54 2 2 3" xfId="25575" xr:uid="{00000000-0005-0000-0000-0000E26A0000}"/>
    <cellStyle name="Normal 54 2 3" xfId="11947" xr:uid="{00000000-0005-0000-0000-0000E36A0000}"/>
    <cellStyle name="Normal 54 2 3 2" xfId="30129" xr:uid="{00000000-0005-0000-0000-0000E46A0000}"/>
    <cellStyle name="Normal 54 2 4" xfId="21039" xr:uid="{00000000-0005-0000-0000-0000E56A0000}"/>
    <cellStyle name="Normal 54 3" xfId="7382" xr:uid="{00000000-0005-0000-0000-0000E66A0000}"/>
    <cellStyle name="Normal 54 3 2" xfId="16482" xr:uid="{00000000-0005-0000-0000-0000E76A0000}"/>
    <cellStyle name="Normal 54 3 2 2" xfId="34664" xr:uid="{00000000-0005-0000-0000-0000E86A0000}"/>
    <cellStyle name="Normal 54 3 3" xfId="25574" xr:uid="{00000000-0005-0000-0000-0000E96A0000}"/>
    <cellStyle name="Normal 54 4" xfId="11946" xr:uid="{00000000-0005-0000-0000-0000EA6A0000}"/>
    <cellStyle name="Normal 54 4 2" xfId="30128" xr:uid="{00000000-0005-0000-0000-0000EB6A0000}"/>
    <cellStyle name="Normal 54 5" xfId="21038" xr:uid="{00000000-0005-0000-0000-0000EC6A0000}"/>
    <cellStyle name="Normal 55" xfId="2801" xr:uid="{00000000-0005-0000-0000-0000ED6A0000}"/>
    <cellStyle name="Normal 55 2" xfId="3144" xr:uid="{00000000-0005-0000-0000-0000EE6A0000}"/>
    <cellStyle name="Normal 55 2 2" xfId="7706" xr:uid="{00000000-0005-0000-0000-0000EF6A0000}"/>
    <cellStyle name="Normal 55 2 2 2" xfId="16806" xr:uid="{00000000-0005-0000-0000-0000F06A0000}"/>
    <cellStyle name="Normal 55 2 2 2 2" xfId="34988" xr:uid="{00000000-0005-0000-0000-0000F16A0000}"/>
    <cellStyle name="Normal 55 2 2 3" xfId="25898" xr:uid="{00000000-0005-0000-0000-0000F26A0000}"/>
    <cellStyle name="Normal 55 2 3" xfId="12267" xr:uid="{00000000-0005-0000-0000-0000F36A0000}"/>
    <cellStyle name="Normal 55 2 3 2" xfId="30449" xr:uid="{00000000-0005-0000-0000-0000F46A0000}"/>
    <cellStyle name="Normal 55 2 4" xfId="21359" xr:uid="{00000000-0005-0000-0000-0000F56A0000}"/>
    <cellStyle name="Normal 55 3" xfId="7384" xr:uid="{00000000-0005-0000-0000-0000F66A0000}"/>
    <cellStyle name="Normal 55 3 2" xfId="16484" xr:uid="{00000000-0005-0000-0000-0000F76A0000}"/>
    <cellStyle name="Normal 55 3 2 2" xfId="34666" xr:uid="{00000000-0005-0000-0000-0000F86A0000}"/>
    <cellStyle name="Normal 55 3 3" xfId="25576" xr:uid="{00000000-0005-0000-0000-0000F96A0000}"/>
    <cellStyle name="Normal 55 4" xfId="11948" xr:uid="{00000000-0005-0000-0000-0000FA6A0000}"/>
    <cellStyle name="Normal 55 4 2" xfId="30130" xr:uid="{00000000-0005-0000-0000-0000FB6A0000}"/>
    <cellStyle name="Normal 55 5" xfId="21040" xr:uid="{00000000-0005-0000-0000-0000FC6A0000}"/>
    <cellStyle name="Normal 56" xfId="2802" xr:uid="{00000000-0005-0000-0000-0000FD6A0000}"/>
    <cellStyle name="Normal 57" xfId="2803" xr:uid="{00000000-0005-0000-0000-0000FE6A0000}"/>
    <cellStyle name="Normal 58" xfId="2804" xr:uid="{00000000-0005-0000-0000-0000FF6A0000}"/>
    <cellStyle name="Normal 58 2" xfId="7385" xr:uid="{00000000-0005-0000-0000-0000006B0000}"/>
    <cellStyle name="Normal 58 2 2" xfId="16485" xr:uid="{00000000-0005-0000-0000-0000016B0000}"/>
    <cellStyle name="Normal 58 2 2 2" xfId="34667" xr:uid="{00000000-0005-0000-0000-0000026B0000}"/>
    <cellStyle name="Normal 58 2 3" xfId="25577" xr:uid="{00000000-0005-0000-0000-0000036B0000}"/>
    <cellStyle name="Normal 58 3" xfId="11949" xr:uid="{00000000-0005-0000-0000-0000046B0000}"/>
    <cellStyle name="Normal 58 3 2" xfId="30131" xr:uid="{00000000-0005-0000-0000-0000056B0000}"/>
    <cellStyle name="Normal 58 4" xfId="21041" xr:uid="{00000000-0005-0000-0000-0000066B0000}"/>
    <cellStyle name="Normal 59" xfId="2805" xr:uid="{00000000-0005-0000-0000-0000076B0000}"/>
    <cellStyle name="Normal 59 2" xfId="7386" xr:uid="{00000000-0005-0000-0000-0000086B0000}"/>
    <cellStyle name="Normal 59 2 2" xfId="16486" xr:uid="{00000000-0005-0000-0000-0000096B0000}"/>
    <cellStyle name="Normal 59 2 2 2" xfId="34668" xr:uid="{00000000-0005-0000-0000-00000A6B0000}"/>
    <cellStyle name="Normal 59 2 3" xfId="25578" xr:uid="{00000000-0005-0000-0000-00000B6B0000}"/>
    <cellStyle name="Normal 59 3" xfId="11950" xr:uid="{00000000-0005-0000-0000-00000C6B0000}"/>
    <cellStyle name="Normal 59 3 2" xfId="30132" xr:uid="{00000000-0005-0000-0000-00000D6B0000}"/>
    <cellStyle name="Normal 59 4" xfId="21042" xr:uid="{00000000-0005-0000-0000-00000E6B0000}"/>
    <cellStyle name="Normal 6" xfId="21" xr:uid="{00000000-0005-0000-0000-00000F6B0000}"/>
    <cellStyle name="Normal 6 10" xfId="3164" xr:uid="{00000000-0005-0000-0000-0000106B0000}"/>
    <cellStyle name="Normal 6 10 2" xfId="7724" xr:uid="{00000000-0005-0000-0000-0000116B0000}"/>
    <cellStyle name="Normal 6 10 2 2" xfId="16820" xr:uid="{00000000-0005-0000-0000-0000126B0000}"/>
    <cellStyle name="Normal 6 10 2 2 2" xfId="35002" xr:uid="{00000000-0005-0000-0000-0000136B0000}"/>
    <cellStyle name="Normal 6 10 2 3" xfId="25912" xr:uid="{00000000-0005-0000-0000-0000146B0000}"/>
    <cellStyle name="Normal 6 10 3" xfId="12280" xr:uid="{00000000-0005-0000-0000-0000156B0000}"/>
    <cellStyle name="Normal 6 10 3 2" xfId="30462" xr:uid="{00000000-0005-0000-0000-0000166B0000}"/>
    <cellStyle name="Normal 6 10 4" xfId="21372" xr:uid="{00000000-0005-0000-0000-0000176B0000}"/>
    <cellStyle name="Normal 6 11" xfId="4818" xr:uid="{00000000-0005-0000-0000-0000186B0000}"/>
    <cellStyle name="Normal 6 11 2" xfId="13918" xr:uid="{00000000-0005-0000-0000-0000196B0000}"/>
    <cellStyle name="Normal 6 11 2 2" xfId="32100" xr:uid="{00000000-0005-0000-0000-00001A6B0000}"/>
    <cellStyle name="Normal 6 11 3" xfId="23010" xr:uid="{00000000-0005-0000-0000-00001B6B0000}"/>
    <cellStyle name="Normal 6 12" xfId="9384" xr:uid="{00000000-0005-0000-0000-00001C6B0000}"/>
    <cellStyle name="Normal 6 12 2" xfId="27566" xr:uid="{00000000-0005-0000-0000-00001D6B0000}"/>
    <cellStyle name="Normal 6 13" xfId="18475" xr:uid="{00000000-0005-0000-0000-00001E6B0000}"/>
    <cellStyle name="Normal 6 2" xfId="45" xr:uid="{00000000-0005-0000-0000-00001F6B0000}"/>
    <cellStyle name="Normal 6 2 10" xfId="4827" xr:uid="{00000000-0005-0000-0000-0000206B0000}"/>
    <cellStyle name="Normal 6 2 10 2" xfId="13927" xr:uid="{00000000-0005-0000-0000-0000216B0000}"/>
    <cellStyle name="Normal 6 2 10 2 2" xfId="32109" xr:uid="{00000000-0005-0000-0000-0000226B0000}"/>
    <cellStyle name="Normal 6 2 10 3" xfId="23019" xr:uid="{00000000-0005-0000-0000-0000236B0000}"/>
    <cellStyle name="Normal 6 2 11" xfId="9393" xr:uid="{00000000-0005-0000-0000-0000246B0000}"/>
    <cellStyle name="Normal 6 2 11 2" xfId="27575" xr:uid="{00000000-0005-0000-0000-0000256B0000}"/>
    <cellStyle name="Normal 6 2 12" xfId="18484" xr:uid="{00000000-0005-0000-0000-0000266B0000}"/>
    <cellStyle name="Normal 6 2 2" xfId="83" xr:uid="{00000000-0005-0000-0000-0000276B0000}"/>
    <cellStyle name="Normal 6 2 2 10" xfId="9410" xr:uid="{00000000-0005-0000-0000-0000286B0000}"/>
    <cellStyle name="Normal 6 2 2 10 2" xfId="27592" xr:uid="{00000000-0005-0000-0000-0000296B0000}"/>
    <cellStyle name="Normal 6 2 2 11" xfId="18501" xr:uid="{00000000-0005-0000-0000-00002A6B0000}"/>
    <cellStyle name="Normal 6 2 2 2" xfId="1402" xr:uid="{00000000-0005-0000-0000-00002B6B0000}"/>
    <cellStyle name="Normal 6 2 2 2 10" xfId="19698" xr:uid="{00000000-0005-0000-0000-00002C6B0000}"/>
    <cellStyle name="Normal 6 2 2 2 2" xfId="1403" xr:uid="{00000000-0005-0000-0000-00002D6B0000}"/>
    <cellStyle name="Normal 6 2 2 2 2 2" xfId="1404" xr:uid="{00000000-0005-0000-0000-00002E6B0000}"/>
    <cellStyle name="Normal 6 2 2 2 2 2 2" xfId="1405" xr:uid="{00000000-0005-0000-0000-00002F6B0000}"/>
    <cellStyle name="Normal 6 2 2 2 2 2 2 2" xfId="2806" xr:uid="{00000000-0005-0000-0000-0000306B0000}"/>
    <cellStyle name="Normal 6 2 2 2 2 2 2 2 2" xfId="7387" xr:uid="{00000000-0005-0000-0000-0000316B0000}"/>
    <cellStyle name="Normal 6 2 2 2 2 2 2 2 2 2" xfId="16487" xr:uid="{00000000-0005-0000-0000-0000326B0000}"/>
    <cellStyle name="Normal 6 2 2 2 2 2 2 2 2 2 2" xfId="34669" xr:uid="{00000000-0005-0000-0000-0000336B0000}"/>
    <cellStyle name="Normal 6 2 2 2 2 2 2 2 2 3" xfId="25579" xr:uid="{00000000-0005-0000-0000-0000346B0000}"/>
    <cellStyle name="Normal 6 2 2 2 2 2 2 2 3" xfId="11951" xr:uid="{00000000-0005-0000-0000-0000356B0000}"/>
    <cellStyle name="Normal 6 2 2 2 2 2 2 2 3 2" xfId="30133" xr:uid="{00000000-0005-0000-0000-0000366B0000}"/>
    <cellStyle name="Normal 6 2 2 2 2 2 2 2 4" xfId="21043" xr:uid="{00000000-0005-0000-0000-0000376B0000}"/>
    <cellStyle name="Normal 6 2 2 2 2 2 2 3" xfId="4405" xr:uid="{00000000-0005-0000-0000-0000386B0000}"/>
    <cellStyle name="Normal 6 2 2 2 2 2 2 3 2" xfId="8961" xr:uid="{00000000-0005-0000-0000-0000396B0000}"/>
    <cellStyle name="Normal 6 2 2 2 2 2 2 3 2 2" xfId="18057" xr:uid="{00000000-0005-0000-0000-00003A6B0000}"/>
    <cellStyle name="Normal 6 2 2 2 2 2 2 3 2 2 2" xfId="36239" xr:uid="{00000000-0005-0000-0000-00003B6B0000}"/>
    <cellStyle name="Normal 6 2 2 2 2 2 2 3 2 3" xfId="27149" xr:uid="{00000000-0005-0000-0000-00003C6B0000}"/>
    <cellStyle name="Normal 6 2 2 2 2 2 2 3 3" xfId="13517" xr:uid="{00000000-0005-0000-0000-00003D6B0000}"/>
    <cellStyle name="Normal 6 2 2 2 2 2 2 3 3 2" xfId="31699" xr:uid="{00000000-0005-0000-0000-00003E6B0000}"/>
    <cellStyle name="Normal 6 2 2 2 2 2 2 3 4" xfId="22609" xr:uid="{00000000-0005-0000-0000-00003F6B0000}"/>
    <cellStyle name="Normal 6 2 2 2 2 2 2 4" xfId="6044" xr:uid="{00000000-0005-0000-0000-0000406B0000}"/>
    <cellStyle name="Normal 6 2 2 2 2 2 2 4 2" xfId="15144" xr:uid="{00000000-0005-0000-0000-0000416B0000}"/>
    <cellStyle name="Normal 6 2 2 2 2 2 2 4 2 2" xfId="33326" xr:uid="{00000000-0005-0000-0000-0000426B0000}"/>
    <cellStyle name="Normal 6 2 2 2 2 2 2 4 3" xfId="24236" xr:uid="{00000000-0005-0000-0000-0000436B0000}"/>
    <cellStyle name="Normal 6 2 2 2 2 2 2 5" xfId="10610" xr:uid="{00000000-0005-0000-0000-0000446B0000}"/>
    <cellStyle name="Normal 6 2 2 2 2 2 2 5 2" xfId="28792" xr:uid="{00000000-0005-0000-0000-0000456B0000}"/>
    <cellStyle name="Normal 6 2 2 2 2 2 2 6" xfId="19701" xr:uid="{00000000-0005-0000-0000-0000466B0000}"/>
    <cellStyle name="Normal 6 2 2 2 2 2 3" xfId="2807" xr:uid="{00000000-0005-0000-0000-0000476B0000}"/>
    <cellStyle name="Normal 6 2 2 2 2 2 3 2" xfId="7388" xr:uid="{00000000-0005-0000-0000-0000486B0000}"/>
    <cellStyle name="Normal 6 2 2 2 2 2 3 2 2" xfId="16488" xr:uid="{00000000-0005-0000-0000-0000496B0000}"/>
    <cellStyle name="Normal 6 2 2 2 2 2 3 2 2 2" xfId="34670" xr:uid="{00000000-0005-0000-0000-00004A6B0000}"/>
    <cellStyle name="Normal 6 2 2 2 2 2 3 2 3" xfId="25580" xr:uid="{00000000-0005-0000-0000-00004B6B0000}"/>
    <cellStyle name="Normal 6 2 2 2 2 2 3 3" xfId="11952" xr:uid="{00000000-0005-0000-0000-00004C6B0000}"/>
    <cellStyle name="Normal 6 2 2 2 2 2 3 3 2" xfId="30134" xr:uid="{00000000-0005-0000-0000-00004D6B0000}"/>
    <cellStyle name="Normal 6 2 2 2 2 2 3 4" xfId="21044" xr:uid="{00000000-0005-0000-0000-00004E6B0000}"/>
    <cellStyle name="Normal 6 2 2 2 2 2 4" xfId="4404" xr:uid="{00000000-0005-0000-0000-00004F6B0000}"/>
    <cellStyle name="Normal 6 2 2 2 2 2 4 2" xfId="8960" xr:uid="{00000000-0005-0000-0000-0000506B0000}"/>
    <cellStyle name="Normal 6 2 2 2 2 2 4 2 2" xfId="18056" xr:uid="{00000000-0005-0000-0000-0000516B0000}"/>
    <cellStyle name="Normal 6 2 2 2 2 2 4 2 2 2" xfId="36238" xr:uid="{00000000-0005-0000-0000-0000526B0000}"/>
    <cellStyle name="Normal 6 2 2 2 2 2 4 2 3" xfId="27148" xr:uid="{00000000-0005-0000-0000-0000536B0000}"/>
    <cellStyle name="Normal 6 2 2 2 2 2 4 3" xfId="13516" xr:uid="{00000000-0005-0000-0000-0000546B0000}"/>
    <cellStyle name="Normal 6 2 2 2 2 2 4 3 2" xfId="31698" xr:uid="{00000000-0005-0000-0000-0000556B0000}"/>
    <cellStyle name="Normal 6 2 2 2 2 2 4 4" xfId="22608" xr:uid="{00000000-0005-0000-0000-0000566B0000}"/>
    <cellStyle name="Normal 6 2 2 2 2 2 5" xfId="6043" xr:uid="{00000000-0005-0000-0000-0000576B0000}"/>
    <cellStyle name="Normal 6 2 2 2 2 2 5 2" xfId="15143" xr:uid="{00000000-0005-0000-0000-0000586B0000}"/>
    <cellStyle name="Normal 6 2 2 2 2 2 5 2 2" xfId="33325" xr:uid="{00000000-0005-0000-0000-0000596B0000}"/>
    <cellStyle name="Normal 6 2 2 2 2 2 5 3" xfId="24235" xr:uid="{00000000-0005-0000-0000-00005A6B0000}"/>
    <cellStyle name="Normal 6 2 2 2 2 2 6" xfId="10609" xr:uid="{00000000-0005-0000-0000-00005B6B0000}"/>
    <cellStyle name="Normal 6 2 2 2 2 2 6 2" xfId="28791" xr:uid="{00000000-0005-0000-0000-00005C6B0000}"/>
    <cellStyle name="Normal 6 2 2 2 2 2 7" xfId="19700" xr:uid="{00000000-0005-0000-0000-00005D6B0000}"/>
    <cellStyle name="Normal 6 2 2 2 2 3" xfId="1406" xr:uid="{00000000-0005-0000-0000-00005E6B0000}"/>
    <cellStyle name="Normal 6 2 2 2 2 3 2" xfId="2808" xr:uid="{00000000-0005-0000-0000-00005F6B0000}"/>
    <cellStyle name="Normal 6 2 2 2 2 3 2 2" xfId="7389" xr:uid="{00000000-0005-0000-0000-0000606B0000}"/>
    <cellStyle name="Normal 6 2 2 2 2 3 2 2 2" xfId="16489" xr:uid="{00000000-0005-0000-0000-0000616B0000}"/>
    <cellStyle name="Normal 6 2 2 2 2 3 2 2 2 2" xfId="34671" xr:uid="{00000000-0005-0000-0000-0000626B0000}"/>
    <cellStyle name="Normal 6 2 2 2 2 3 2 2 3" xfId="25581" xr:uid="{00000000-0005-0000-0000-0000636B0000}"/>
    <cellStyle name="Normal 6 2 2 2 2 3 2 3" xfId="11953" xr:uid="{00000000-0005-0000-0000-0000646B0000}"/>
    <cellStyle name="Normal 6 2 2 2 2 3 2 3 2" xfId="30135" xr:uid="{00000000-0005-0000-0000-0000656B0000}"/>
    <cellStyle name="Normal 6 2 2 2 2 3 2 4" xfId="21045" xr:uid="{00000000-0005-0000-0000-0000666B0000}"/>
    <cellStyle name="Normal 6 2 2 2 2 3 3" xfId="4406" xr:uid="{00000000-0005-0000-0000-0000676B0000}"/>
    <cellStyle name="Normal 6 2 2 2 2 3 3 2" xfId="8962" xr:uid="{00000000-0005-0000-0000-0000686B0000}"/>
    <cellStyle name="Normal 6 2 2 2 2 3 3 2 2" xfId="18058" xr:uid="{00000000-0005-0000-0000-0000696B0000}"/>
    <cellStyle name="Normal 6 2 2 2 2 3 3 2 2 2" xfId="36240" xr:uid="{00000000-0005-0000-0000-00006A6B0000}"/>
    <cellStyle name="Normal 6 2 2 2 2 3 3 2 3" xfId="27150" xr:uid="{00000000-0005-0000-0000-00006B6B0000}"/>
    <cellStyle name="Normal 6 2 2 2 2 3 3 3" xfId="13518" xr:uid="{00000000-0005-0000-0000-00006C6B0000}"/>
    <cellStyle name="Normal 6 2 2 2 2 3 3 3 2" xfId="31700" xr:uid="{00000000-0005-0000-0000-00006D6B0000}"/>
    <cellStyle name="Normal 6 2 2 2 2 3 3 4" xfId="22610" xr:uid="{00000000-0005-0000-0000-00006E6B0000}"/>
    <cellStyle name="Normal 6 2 2 2 2 3 4" xfId="6045" xr:uid="{00000000-0005-0000-0000-00006F6B0000}"/>
    <cellStyle name="Normal 6 2 2 2 2 3 4 2" xfId="15145" xr:uid="{00000000-0005-0000-0000-0000706B0000}"/>
    <cellStyle name="Normal 6 2 2 2 2 3 4 2 2" xfId="33327" xr:uid="{00000000-0005-0000-0000-0000716B0000}"/>
    <cellStyle name="Normal 6 2 2 2 2 3 4 3" xfId="24237" xr:uid="{00000000-0005-0000-0000-0000726B0000}"/>
    <cellStyle name="Normal 6 2 2 2 2 3 5" xfId="10611" xr:uid="{00000000-0005-0000-0000-0000736B0000}"/>
    <cellStyle name="Normal 6 2 2 2 2 3 5 2" xfId="28793" xr:uid="{00000000-0005-0000-0000-0000746B0000}"/>
    <cellStyle name="Normal 6 2 2 2 2 3 6" xfId="19702" xr:uid="{00000000-0005-0000-0000-0000756B0000}"/>
    <cellStyle name="Normal 6 2 2 2 2 4" xfId="1407" xr:uid="{00000000-0005-0000-0000-0000766B0000}"/>
    <cellStyle name="Normal 6 2 2 2 2 4 2" xfId="4407" xr:uid="{00000000-0005-0000-0000-0000776B0000}"/>
    <cellStyle name="Normal 6 2 2 2 2 4 2 2" xfId="8963" xr:uid="{00000000-0005-0000-0000-0000786B0000}"/>
    <cellStyle name="Normal 6 2 2 2 2 4 2 2 2" xfId="18059" xr:uid="{00000000-0005-0000-0000-0000796B0000}"/>
    <cellStyle name="Normal 6 2 2 2 2 4 2 2 2 2" xfId="36241" xr:uid="{00000000-0005-0000-0000-00007A6B0000}"/>
    <cellStyle name="Normal 6 2 2 2 2 4 2 2 3" xfId="27151" xr:uid="{00000000-0005-0000-0000-00007B6B0000}"/>
    <cellStyle name="Normal 6 2 2 2 2 4 2 3" xfId="13519" xr:uid="{00000000-0005-0000-0000-00007C6B0000}"/>
    <cellStyle name="Normal 6 2 2 2 2 4 2 3 2" xfId="31701" xr:uid="{00000000-0005-0000-0000-00007D6B0000}"/>
    <cellStyle name="Normal 6 2 2 2 2 4 2 4" xfId="22611" xr:uid="{00000000-0005-0000-0000-00007E6B0000}"/>
    <cellStyle name="Normal 6 2 2 2 2 4 3" xfId="6046" xr:uid="{00000000-0005-0000-0000-00007F6B0000}"/>
    <cellStyle name="Normal 6 2 2 2 2 4 3 2" xfId="15146" xr:uid="{00000000-0005-0000-0000-0000806B0000}"/>
    <cellStyle name="Normal 6 2 2 2 2 4 3 2 2" xfId="33328" xr:uid="{00000000-0005-0000-0000-0000816B0000}"/>
    <cellStyle name="Normal 6 2 2 2 2 4 3 3" xfId="24238" xr:uid="{00000000-0005-0000-0000-0000826B0000}"/>
    <cellStyle name="Normal 6 2 2 2 2 4 4" xfId="10612" xr:uid="{00000000-0005-0000-0000-0000836B0000}"/>
    <cellStyle name="Normal 6 2 2 2 2 4 4 2" xfId="28794" xr:uid="{00000000-0005-0000-0000-0000846B0000}"/>
    <cellStyle name="Normal 6 2 2 2 2 4 5" xfId="19703" xr:uid="{00000000-0005-0000-0000-0000856B0000}"/>
    <cellStyle name="Normal 6 2 2 2 2 5" xfId="2809" xr:uid="{00000000-0005-0000-0000-0000866B0000}"/>
    <cellStyle name="Normal 6 2 2 2 2 5 2" xfId="7390" xr:uid="{00000000-0005-0000-0000-0000876B0000}"/>
    <cellStyle name="Normal 6 2 2 2 2 5 2 2" xfId="16490" xr:uid="{00000000-0005-0000-0000-0000886B0000}"/>
    <cellStyle name="Normal 6 2 2 2 2 5 2 2 2" xfId="34672" xr:uid="{00000000-0005-0000-0000-0000896B0000}"/>
    <cellStyle name="Normal 6 2 2 2 2 5 2 3" xfId="25582" xr:uid="{00000000-0005-0000-0000-00008A6B0000}"/>
    <cellStyle name="Normal 6 2 2 2 2 5 3" xfId="11954" xr:uid="{00000000-0005-0000-0000-00008B6B0000}"/>
    <cellStyle name="Normal 6 2 2 2 2 5 3 2" xfId="30136" xr:uid="{00000000-0005-0000-0000-00008C6B0000}"/>
    <cellStyle name="Normal 6 2 2 2 2 5 4" xfId="21046" xr:uid="{00000000-0005-0000-0000-00008D6B0000}"/>
    <cellStyle name="Normal 6 2 2 2 2 6" xfId="4403" xr:uid="{00000000-0005-0000-0000-00008E6B0000}"/>
    <cellStyle name="Normal 6 2 2 2 2 6 2" xfId="8959" xr:uid="{00000000-0005-0000-0000-00008F6B0000}"/>
    <cellStyle name="Normal 6 2 2 2 2 6 2 2" xfId="18055" xr:uid="{00000000-0005-0000-0000-0000906B0000}"/>
    <cellStyle name="Normal 6 2 2 2 2 6 2 2 2" xfId="36237" xr:uid="{00000000-0005-0000-0000-0000916B0000}"/>
    <cellStyle name="Normal 6 2 2 2 2 6 2 3" xfId="27147" xr:uid="{00000000-0005-0000-0000-0000926B0000}"/>
    <cellStyle name="Normal 6 2 2 2 2 6 3" xfId="13515" xr:uid="{00000000-0005-0000-0000-0000936B0000}"/>
    <cellStyle name="Normal 6 2 2 2 2 6 3 2" xfId="31697" xr:uid="{00000000-0005-0000-0000-0000946B0000}"/>
    <cellStyle name="Normal 6 2 2 2 2 6 4" xfId="22607" xr:uid="{00000000-0005-0000-0000-0000956B0000}"/>
    <cellStyle name="Normal 6 2 2 2 2 7" xfId="6042" xr:uid="{00000000-0005-0000-0000-0000966B0000}"/>
    <cellStyle name="Normal 6 2 2 2 2 7 2" xfId="15142" xr:uid="{00000000-0005-0000-0000-0000976B0000}"/>
    <cellStyle name="Normal 6 2 2 2 2 7 2 2" xfId="33324" xr:uid="{00000000-0005-0000-0000-0000986B0000}"/>
    <cellStyle name="Normal 6 2 2 2 2 7 3" xfId="24234" xr:uid="{00000000-0005-0000-0000-0000996B0000}"/>
    <cellStyle name="Normal 6 2 2 2 2 8" xfId="10608" xr:uid="{00000000-0005-0000-0000-00009A6B0000}"/>
    <cellStyle name="Normal 6 2 2 2 2 8 2" xfId="28790" xr:uid="{00000000-0005-0000-0000-00009B6B0000}"/>
    <cellStyle name="Normal 6 2 2 2 2 9" xfId="19699" xr:uid="{00000000-0005-0000-0000-00009C6B0000}"/>
    <cellStyle name="Normal 6 2 2 2 3" xfId="1408" xr:uid="{00000000-0005-0000-0000-00009D6B0000}"/>
    <cellStyle name="Normal 6 2 2 2 3 2" xfId="1409" xr:uid="{00000000-0005-0000-0000-00009E6B0000}"/>
    <cellStyle name="Normal 6 2 2 2 3 2 2" xfId="2810" xr:uid="{00000000-0005-0000-0000-00009F6B0000}"/>
    <cellStyle name="Normal 6 2 2 2 3 2 2 2" xfId="7391" xr:uid="{00000000-0005-0000-0000-0000A06B0000}"/>
    <cellStyle name="Normal 6 2 2 2 3 2 2 2 2" xfId="16491" xr:uid="{00000000-0005-0000-0000-0000A16B0000}"/>
    <cellStyle name="Normal 6 2 2 2 3 2 2 2 2 2" xfId="34673" xr:uid="{00000000-0005-0000-0000-0000A26B0000}"/>
    <cellStyle name="Normal 6 2 2 2 3 2 2 2 3" xfId="25583" xr:uid="{00000000-0005-0000-0000-0000A36B0000}"/>
    <cellStyle name="Normal 6 2 2 2 3 2 2 3" xfId="11955" xr:uid="{00000000-0005-0000-0000-0000A46B0000}"/>
    <cellStyle name="Normal 6 2 2 2 3 2 2 3 2" xfId="30137" xr:uid="{00000000-0005-0000-0000-0000A56B0000}"/>
    <cellStyle name="Normal 6 2 2 2 3 2 2 4" xfId="21047" xr:uid="{00000000-0005-0000-0000-0000A66B0000}"/>
    <cellStyle name="Normal 6 2 2 2 3 2 3" xfId="4409" xr:uid="{00000000-0005-0000-0000-0000A76B0000}"/>
    <cellStyle name="Normal 6 2 2 2 3 2 3 2" xfId="8965" xr:uid="{00000000-0005-0000-0000-0000A86B0000}"/>
    <cellStyle name="Normal 6 2 2 2 3 2 3 2 2" xfId="18061" xr:uid="{00000000-0005-0000-0000-0000A96B0000}"/>
    <cellStyle name="Normal 6 2 2 2 3 2 3 2 2 2" xfId="36243" xr:uid="{00000000-0005-0000-0000-0000AA6B0000}"/>
    <cellStyle name="Normal 6 2 2 2 3 2 3 2 3" xfId="27153" xr:uid="{00000000-0005-0000-0000-0000AB6B0000}"/>
    <cellStyle name="Normal 6 2 2 2 3 2 3 3" xfId="13521" xr:uid="{00000000-0005-0000-0000-0000AC6B0000}"/>
    <cellStyle name="Normal 6 2 2 2 3 2 3 3 2" xfId="31703" xr:uid="{00000000-0005-0000-0000-0000AD6B0000}"/>
    <cellStyle name="Normal 6 2 2 2 3 2 3 4" xfId="22613" xr:uid="{00000000-0005-0000-0000-0000AE6B0000}"/>
    <cellStyle name="Normal 6 2 2 2 3 2 4" xfId="6048" xr:uid="{00000000-0005-0000-0000-0000AF6B0000}"/>
    <cellStyle name="Normal 6 2 2 2 3 2 4 2" xfId="15148" xr:uid="{00000000-0005-0000-0000-0000B06B0000}"/>
    <cellStyle name="Normal 6 2 2 2 3 2 4 2 2" xfId="33330" xr:uid="{00000000-0005-0000-0000-0000B16B0000}"/>
    <cellStyle name="Normal 6 2 2 2 3 2 4 3" xfId="24240" xr:uid="{00000000-0005-0000-0000-0000B26B0000}"/>
    <cellStyle name="Normal 6 2 2 2 3 2 5" xfId="10614" xr:uid="{00000000-0005-0000-0000-0000B36B0000}"/>
    <cellStyle name="Normal 6 2 2 2 3 2 5 2" xfId="28796" xr:uid="{00000000-0005-0000-0000-0000B46B0000}"/>
    <cellStyle name="Normal 6 2 2 2 3 2 6" xfId="19705" xr:uid="{00000000-0005-0000-0000-0000B56B0000}"/>
    <cellStyle name="Normal 6 2 2 2 3 3" xfId="2811" xr:uid="{00000000-0005-0000-0000-0000B66B0000}"/>
    <cellStyle name="Normal 6 2 2 2 3 3 2" xfId="7392" xr:uid="{00000000-0005-0000-0000-0000B76B0000}"/>
    <cellStyle name="Normal 6 2 2 2 3 3 2 2" xfId="16492" xr:uid="{00000000-0005-0000-0000-0000B86B0000}"/>
    <cellStyle name="Normal 6 2 2 2 3 3 2 2 2" xfId="34674" xr:uid="{00000000-0005-0000-0000-0000B96B0000}"/>
    <cellStyle name="Normal 6 2 2 2 3 3 2 3" xfId="25584" xr:uid="{00000000-0005-0000-0000-0000BA6B0000}"/>
    <cellStyle name="Normal 6 2 2 2 3 3 3" xfId="11956" xr:uid="{00000000-0005-0000-0000-0000BB6B0000}"/>
    <cellStyle name="Normal 6 2 2 2 3 3 3 2" xfId="30138" xr:uid="{00000000-0005-0000-0000-0000BC6B0000}"/>
    <cellStyle name="Normal 6 2 2 2 3 3 4" xfId="21048" xr:uid="{00000000-0005-0000-0000-0000BD6B0000}"/>
    <cellStyle name="Normal 6 2 2 2 3 4" xfId="4408" xr:uid="{00000000-0005-0000-0000-0000BE6B0000}"/>
    <cellStyle name="Normal 6 2 2 2 3 4 2" xfId="8964" xr:uid="{00000000-0005-0000-0000-0000BF6B0000}"/>
    <cellStyle name="Normal 6 2 2 2 3 4 2 2" xfId="18060" xr:uid="{00000000-0005-0000-0000-0000C06B0000}"/>
    <cellStyle name="Normal 6 2 2 2 3 4 2 2 2" xfId="36242" xr:uid="{00000000-0005-0000-0000-0000C16B0000}"/>
    <cellStyle name="Normal 6 2 2 2 3 4 2 3" xfId="27152" xr:uid="{00000000-0005-0000-0000-0000C26B0000}"/>
    <cellStyle name="Normal 6 2 2 2 3 4 3" xfId="13520" xr:uid="{00000000-0005-0000-0000-0000C36B0000}"/>
    <cellStyle name="Normal 6 2 2 2 3 4 3 2" xfId="31702" xr:uid="{00000000-0005-0000-0000-0000C46B0000}"/>
    <cellStyle name="Normal 6 2 2 2 3 4 4" xfId="22612" xr:uid="{00000000-0005-0000-0000-0000C56B0000}"/>
    <cellStyle name="Normal 6 2 2 2 3 5" xfId="6047" xr:uid="{00000000-0005-0000-0000-0000C66B0000}"/>
    <cellStyle name="Normal 6 2 2 2 3 5 2" xfId="15147" xr:uid="{00000000-0005-0000-0000-0000C76B0000}"/>
    <cellStyle name="Normal 6 2 2 2 3 5 2 2" xfId="33329" xr:uid="{00000000-0005-0000-0000-0000C86B0000}"/>
    <cellStyle name="Normal 6 2 2 2 3 5 3" xfId="24239" xr:uid="{00000000-0005-0000-0000-0000C96B0000}"/>
    <cellStyle name="Normal 6 2 2 2 3 6" xfId="10613" xr:uid="{00000000-0005-0000-0000-0000CA6B0000}"/>
    <cellStyle name="Normal 6 2 2 2 3 6 2" xfId="28795" xr:uid="{00000000-0005-0000-0000-0000CB6B0000}"/>
    <cellStyle name="Normal 6 2 2 2 3 7" xfId="19704" xr:uid="{00000000-0005-0000-0000-0000CC6B0000}"/>
    <cellStyle name="Normal 6 2 2 2 4" xfId="1410" xr:uid="{00000000-0005-0000-0000-0000CD6B0000}"/>
    <cellStyle name="Normal 6 2 2 2 4 2" xfId="2812" xr:uid="{00000000-0005-0000-0000-0000CE6B0000}"/>
    <cellStyle name="Normal 6 2 2 2 4 2 2" xfId="7393" xr:uid="{00000000-0005-0000-0000-0000CF6B0000}"/>
    <cellStyle name="Normal 6 2 2 2 4 2 2 2" xfId="16493" xr:uid="{00000000-0005-0000-0000-0000D06B0000}"/>
    <cellStyle name="Normal 6 2 2 2 4 2 2 2 2" xfId="34675" xr:uid="{00000000-0005-0000-0000-0000D16B0000}"/>
    <cellStyle name="Normal 6 2 2 2 4 2 2 3" xfId="25585" xr:uid="{00000000-0005-0000-0000-0000D26B0000}"/>
    <cellStyle name="Normal 6 2 2 2 4 2 3" xfId="11957" xr:uid="{00000000-0005-0000-0000-0000D36B0000}"/>
    <cellStyle name="Normal 6 2 2 2 4 2 3 2" xfId="30139" xr:uid="{00000000-0005-0000-0000-0000D46B0000}"/>
    <cellStyle name="Normal 6 2 2 2 4 2 4" xfId="21049" xr:uid="{00000000-0005-0000-0000-0000D56B0000}"/>
    <cellStyle name="Normal 6 2 2 2 4 3" xfId="4410" xr:uid="{00000000-0005-0000-0000-0000D66B0000}"/>
    <cellStyle name="Normal 6 2 2 2 4 3 2" xfId="8966" xr:uid="{00000000-0005-0000-0000-0000D76B0000}"/>
    <cellStyle name="Normal 6 2 2 2 4 3 2 2" xfId="18062" xr:uid="{00000000-0005-0000-0000-0000D86B0000}"/>
    <cellStyle name="Normal 6 2 2 2 4 3 2 2 2" xfId="36244" xr:uid="{00000000-0005-0000-0000-0000D96B0000}"/>
    <cellStyle name="Normal 6 2 2 2 4 3 2 3" xfId="27154" xr:uid="{00000000-0005-0000-0000-0000DA6B0000}"/>
    <cellStyle name="Normal 6 2 2 2 4 3 3" xfId="13522" xr:uid="{00000000-0005-0000-0000-0000DB6B0000}"/>
    <cellStyle name="Normal 6 2 2 2 4 3 3 2" xfId="31704" xr:uid="{00000000-0005-0000-0000-0000DC6B0000}"/>
    <cellStyle name="Normal 6 2 2 2 4 3 4" xfId="22614" xr:uid="{00000000-0005-0000-0000-0000DD6B0000}"/>
    <cellStyle name="Normal 6 2 2 2 4 4" xfId="6049" xr:uid="{00000000-0005-0000-0000-0000DE6B0000}"/>
    <cellStyle name="Normal 6 2 2 2 4 4 2" xfId="15149" xr:uid="{00000000-0005-0000-0000-0000DF6B0000}"/>
    <cellStyle name="Normal 6 2 2 2 4 4 2 2" xfId="33331" xr:uid="{00000000-0005-0000-0000-0000E06B0000}"/>
    <cellStyle name="Normal 6 2 2 2 4 4 3" xfId="24241" xr:uid="{00000000-0005-0000-0000-0000E16B0000}"/>
    <cellStyle name="Normal 6 2 2 2 4 5" xfId="10615" xr:uid="{00000000-0005-0000-0000-0000E26B0000}"/>
    <cellStyle name="Normal 6 2 2 2 4 5 2" xfId="28797" xr:uid="{00000000-0005-0000-0000-0000E36B0000}"/>
    <cellStyle name="Normal 6 2 2 2 4 6" xfId="19706" xr:uid="{00000000-0005-0000-0000-0000E46B0000}"/>
    <cellStyle name="Normal 6 2 2 2 5" xfId="1411" xr:uid="{00000000-0005-0000-0000-0000E56B0000}"/>
    <cellStyle name="Normal 6 2 2 2 5 2" xfId="4411" xr:uid="{00000000-0005-0000-0000-0000E66B0000}"/>
    <cellStyle name="Normal 6 2 2 2 5 2 2" xfId="8967" xr:uid="{00000000-0005-0000-0000-0000E76B0000}"/>
    <cellStyle name="Normal 6 2 2 2 5 2 2 2" xfId="18063" xr:uid="{00000000-0005-0000-0000-0000E86B0000}"/>
    <cellStyle name="Normal 6 2 2 2 5 2 2 2 2" xfId="36245" xr:uid="{00000000-0005-0000-0000-0000E96B0000}"/>
    <cellStyle name="Normal 6 2 2 2 5 2 2 3" xfId="27155" xr:uid="{00000000-0005-0000-0000-0000EA6B0000}"/>
    <cellStyle name="Normal 6 2 2 2 5 2 3" xfId="13523" xr:uid="{00000000-0005-0000-0000-0000EB6B0000}"/>
    <cellStyle name="Normal 6 2 2 2 5 2 3 2" xfId="31705" xr:uid="{00000000-0005-0000-0000-0000EC6B0000}"/>
    <cellStyle name="Normal 6 2 2 2 5 2 4" xfId="22615" xr:uid="{00000000-0005-0000-0000-0000ED6B0000}"/>
    <cellStyle name="Normal 6 2 2 2 5 3" xfId="6050" xr:uid="{00000000-0005-0000-0000-0000EE6B0000}"/>
    <cellStyle name="Normal 6 2 2 2 5 3 2" xfId="15150" xr:uid="{00000000-0005-0000-0000-0000EF6B0000}"/>
    <cellStyle name="Normal 6 2 2 2 5 3 2 2" xfId="33332" xr:uid="{00000000-0005-0000-0000-0000F06B0000}"/>
    <cellStyle name="Normal 6 2 2 2 5 3 3" xfId="24242" xr:uid="{00000000-0005-0000-0000-0000F16B0000}"/>
    <cellStyle name="Normal 6 2 2 2 5 4" xfId="10616" xr:uid="{00000000-0005-0000-0000-0000F26B0000}"/>
    <cellStyle name="Normal 6 2 2 2 5 4 2" xfId="28798" xr:uid="{00000000-0005-0000-0000-0000F36B0000}"/>
    <cellStyle name="Normal 6 2 2 2 5 5" xfId="19707" xr:uid="{00000000-0005-0000-0000-0000F46B0000}"/>
    <cellStyle name="Normal 6 2 2 2 6" xfId="2813" xr:uid="{00000000-0005-0000-0000-0000F56B0000}"/>
    <cellStyle name="Normal 6 2 2 2 6 2" xfId="7394" xr:uid="{00000000-0005-0000-0000-0000F66B0000}"/>
    <cellStyle name="Normal 6 2 2 2 6 2 2" xfId="16494" xr:uid="{00000000-0005-0000-0000-0000F76B0000}"/>
    <cellStyle name="Normal 6 2 2 2 6 2 2 2" xfId="34676" xr:uid="{00000000-0005-0000-0000-0000F86B0000}"/>
    <cellStyle name="Normal 6 2 2 2 6 2 3" xfId="25586" xr:uid="{00000000-0005-0000-0000-0000F96B0000}"/>
    <cellStyle name="Normal 6 2 2 2 6 3" xfId="11958" xr:uid="{00000000-0005-0000-0000-0000FA6B0000}"/>
    <cellStyle name="Normal 6 2 2 2 6 3 2" xfId="30140" xr:uid="{00000000-0005-0000-0000-0000FB6B0000}"/>
    <cellStyle name="Normal 6 2 2 2 6 4" xfId="21050" xr:uid="{00000000-0005-0000-0000-0000FC6B0000}"/>
    <cellStyle name="Normal 6 2 2 2 7" xfId="4402" xr:uid="{00000000-0005-0000-0000-0000FD6B0000}"/>
    <cellStyle name="Normal 6 2 2 2 7 2" xfId="8958" xr:uid="{00000000-0005-0000-0000-0000FE6B0000}"/>
    <cellStyle name="Normal 6 2 2 2 7 2 2" xfId="18054" xr:uid="{00000000-0005-0000-0000-0000FF6B0000}"/>
    <cellStyle name="Normal 6 2 2 2 7 2 2 2" xfId="36236" xr:uid="{00000000-0005-0000-0000-0000006C0000}"/>
    <cellStyle name="Normal 6 2 2 2 7 2 3" xfId="27146" xr:uid="{00000000-0005-0000-0000-0000016C0000}"/>
    <cellStyle name="Normal 6 2 2 2 7 3" xfId="13514" xr:uid="{00000000-0005-0000-0000-0000026C0000}"/>
    <cellStyle name="Normal 6 2 2 2 7 3 2" xfId="31696" xr:uid="{00000000-0005-0000-0000-0000036C0000}"/>
    <cellStyle name="Normal 6 2 2 2 7 4" xfId="22606" xr:uid="{00000000-0005-0000-0000-0000046C0000}"/>
    <cellStyle name="Normal 6 2 2 2 8" xfId="6041" xr:uid="{00000000-0005-0000-0000-0000056C0000}"/>
    <cellStyle name="Normal 6 2 2 2 8 2" xfId="15141" xr:uid="{00000000-0005-0000-0000-0000066C0000}"/>
    <cellStyle name="Normal 6 2 2 2 8 2 2" xfId="33323" xr:uid="{00000000-0005-0000-0000-0000076C0000}"/>
    <cellStyle name="Normal 6 2 2 2 8 3" xfId="24233" xr:uid="{00000000-0005-0000-0000-0000086C0000}"/>
    <cellStyle name="Normal 6 2 2 2 9" xfId="10607" xr:uid="{00000000-0005-0000-0000-0000096C0000}"/>
    <cellStyle name="Normal 6 2 2 2 9 2" xfId="28789" xr:uid="{00000000-0005-0000-0000-00000A6C0000}"/>
    <cellStyle name="Normal 6 2 2 3" xfId="1412" xr:uid="{00000000-0005-0000-0000-00000B6C0000}"/>
    <cellStyle name="Normal 6 2 2 3 2" xfId="1413" xr:uid="{00000000-0005-0000-0000-00000C6C0000}"/>
    <cellStyle name="Normal 6 2 2 3 2 2" xfId="1414" xr:uid="{00000000-0005-0000-0000-00000D6C0000}"/>
    <cellStyle name="Normal 6 2 2 3 2 2 2" xfId="2814" xr:uid="{00000000-0005-0000-0000-00000E6C0000}"/>
    <cellStyle name="Normal 6 2 2 3 2 2 2 2" xfId="7395" xr:uid="{00000000-0005-0000-0000-00000F6C0000}"/>
    <cellStyle name="Normal 6 2 2 3 2 2 2 2 2" xfId="16495" xr:uid="{00000000-0005-0000-0000-0000106C0000}"/>
    <cellStyle name="Normal 6 2 2 3 2 2 2 2 2 2" xfId="34677" xr:uid="{00000000-0005-0000-0000-0000116C0000}"/>
    <cellStyle name="Normal 6 2 2 3 2 2 2 2 3" xfId="25587" xr:uid="{00000000-0005-0000-0000-0000126C0000}"/>
    <cellStyle name="Normal 6 2 2 3 2 2 2 3" xfId="11959" xr:uid="{00000000-0005-0000-0000-0000136C0000}"/>
    <cellStyle name="Normal 6 2 2 3 2 2 2 3 2" xfId="30141" xr:uid="{00000000-0005-0000-0000-0000146C0000}"/>
    <cellStyle name="Normal 6 2 2 3 2 2 2 4" xfId="21051" xr:uid="{00000000-0005-0000-0000-0000156C0000}"/>
    <cellStyle name="Normal 6 2 2 3 2 2 3" xfId="4414" xr:uid="{00000000-0005-0000-0000-0000166C0000}"/>
    <cellStyle name="Normal 6 2 2 3 2 2 3 2" xfId="8970" xr:uid="{00000000-0005-0000-0000-0000176C0000}"/>
    <cellStyle name="Normal 6 2 2 3 2 2 3 2 2" xfId="18066" xr:uid="{00000000-0005-0000-0000-0000186C0000}"/>
    <cellStyle name="Normal 6 2 2 3 2 2 3 2 2 2" xfId="36248" xr:uid="{00000000-0005-0000-0000-0000196C0000}"/>
    <cellStyle name="Normal 6 2 2 3 2 2 3 2 3" xfId="27158" xr:uid="{00000000-0005-0000-0000-00001A6C0000}"/>
    <cellStyle name="Normal 6 2 2 3 2 2 3 3" xfId="13526" xr:uid="{00000000-0005-0000-0000-00001B6C0000}"/>
    <cellStyle name="Normal 6 2 2 3 2 2 3 3 2" xfId="31708" xr:uid="{00000000-0005-0000-0000-00001C6C0000}"/>
    <cellStyle name="Normal 6 2 2 3 2 2 3 4" xfId="22618" xr:uid="{00000000-0005-0000-0000-00001D6C0000}"/>
    <cellStyle name="Normal 6 2 2 3 2 2 4" xfId="6053" xr:uid="{00000000-0005-0000-0000-00001E6C0000}"/>
    <cellStyle name="Normal 6 2 2 3 2 2 4 2" xfId="15153" xr:uid="{00000000-0005-0000-0000-00001F6C0000}"/>
    <cellStyle name="Normal 6 2 2 3 2 2 4 2 2" xfId="33335" xr:uid="{00000000-0005-0000-0000-0000206C0000}"/>
    <cellStyle name="Normal 6 2 2 3 2 2 4 3" xfId="24245" xr:uid="{00000000-0005-0000-0000-0000216C0000}"/>
    <cellStyle name="Normal 6 2 2 3 2 2 5" xfId="10619" xr:uid="{00000000-0005-0000-0000-0000226C0000}"/>
    <cellStyle name="Normal 6 2 2 3 2 2 5 2" xfId="28801" xr:uid="{00000000-0005-0000-0000-0000236C0000}"/>
    <cellStyle name="Normal 6 2 2 3 2 2 6" xfId="19710" xr:uid="{00000000-0005-0000-0000-0000246C0000}"/>
    <cellStyle name="Normal 6 2 2 3 2 3" xfId="2815" xr:uid="{00000000-0005-0000-0000-0000256C0000}"/>
    <cellStyle name="Normal 6 2 2 3 2 3 2" xfId="7396" xr:uid="{00000000-0005-0000-0000-0000266C0000}"/>
    <cellStyle name="Normal 6 2 2 3 2 3 2 2" xfId="16496" xr:uid="{00000000-0005-0000-0000-0000276C0000}"/>
    <cellStyle name="Normal 6 2 2 3 2 3 2 2 2" xfId="34678" xr:uid="{00000000-0005-0000-0000-0000286C0000}"/>
    <cellStyle name="Normal 6 2 2 3 2 3 2 3" xfId="25588" xr:uid="{00000000-0005-0000-0000-0000296C0000}"/>
    <cellStyle name="Normal 6 2 2 3 2 3 3" xfId="11960" xr:uid="{00000000-0005-0000-0000-00002A6C0000}"/>
    <cellStyle name="Normal 6 2 2 3 2 3 3 2" xfId="30142" xr:uid="{00000000-0005-0000-0000-00002B6C0000}"/>
    <cellStyle name="Normal 6 2 2 3 2 3 4" xfId="21052" xr:uid="{00000000-0005-0000-0000-00002C6C0000}"/>
    <cellStyle name="Normal 6 2 2 3 2 4" xfId="4413" xr:uid="{00000000-0005-0000-0000-00002D6C0000}"/>
    <cellStyle name="Normal 6 2 2 3 2 4 2" xfId="8969" xr:uid="{00000000-0005-0000-0000-00002E6C0000}"/>
    <cellStyle name="Normal 6 2 2 3 2 4 2 2" xfId="18065" xr:uid="{00000000-0005-0000-0000-00002F6C0000}"/>
    <cellStyle name="Normal 6 2 2 3 2 4 2 2 2" xfId="36247" xr:uid="{00000000-0005-0000-0000-0000306C0000}"/>
    <cellStyle name="Normal 6 2 2 3 2 4 2 3" xfId="27157" xr:uid="{00000000-0005-0000-0000-0000316C0000}"/>
    <cellStyle name="Normal 6 2 2 3 2 4 3" xfId="13525" xr:uid="{00000000-0005-0000-0000-0000326C0000}"/>
    <cellStyle name="Normal 6 2 2 3 2 4 3 2" xfId="31707" xr:uid="{00000000-0005-0000-0000-0000336C0000}"/>
    <cellStyle name="Normal 6 2 2 3 2 4 4" xfId="22617" xr:uid="{00000000-0005-0000-0000-0000346C0000}"/>
    <cellStyle name="Normal 6 2 2 3 2 5" xfId="6052" xr:uid="{00000000-0005-0000-0000-0000356C0000}"/>
    <cellStyle name="Normal 6 2 2 3 2 5 2" xfId="15152" xr:uid="{00000000-0005-0000-0000-0000366C0000}"/>
    <cellStyle name="Normal 6 2 2 3 2 5 2 2" xfId="33334" xr:uid="{00000000-0005-0000-0000-0000376C0000}"/>
    <cellStyle name="Normal 6 2 2 3 2 5 3" xfId="24244" xr:uid="{00000000-0005-0000-0000-0000386C0000}"/>
    <cellStyle name="Normal 6 2 2 3 2 6" xfId="10618" xr:uid="{00000000-0005-0000-0000-0000396C0000}"/>
    <cellStyle name="Normal 6 2 2 3 2 6 2" xfId="28800" xr:uid="{00000000-0005-0000-0000-00003A6C0000}"/>
    <cellStyle name="Normal 6 2 2 3 2 7" xfId="19709" xr:uid="{00000000-0005-0000-0000-00003B6C0000}"/>
    <cellStyle name="Normal 6 2 2 3 3" xfId="1415" xr:uid="{00000000-0005-0000-0000-00003C6C0000}"/>
    <cellStyle name="Normal 6 2 2 3 3 2" xfId="2816" xr:uid="{00000000-0005-0000-0000-00003D6C0000}"/>
    <cellStyle name="Normal 6 2 2 3 3 2 2" xfId="7397" xr:uid="{00000000-0005-0000-0000-00003E6C0000}"/>
    <cellStyle name="Normal 6 2 2 3 3 2 2 2" xfId="16497" xr:uid="{00000000-0005-0000-0000-00003F6C0000}"/>
    <cellStyle name="Normal 6 2 2 3 3 2 2 2 2" xfId="34679" xr:uid="{00000000-0005-0000-0000-0000406C0000}"/>
    <cellStyle name="Normal 6 2 2 3 3 2 2 3" xfId="25589" xr:uid="{00000000-0005-0000-0000-0000416C0000}"/>
    <cellStyle name="Normal 6 2 2 3 3 2 3" xfId="11961" xr:uid="{00000000-0005-0000-0000-0000426C0000}"/>
    <cellStyle name="Normal 6 2 2 3 3 2 3 2" xfId="30143" xr:uid="{00000000-0005-0000-0000-0000436C0000}"/>
    <cellStyle name="Normal 6 2 2 3 3 2 4" xfId="21053" xr:uid="{00000000-0005-0000-0000-0000446C0000}"/>
    <cellStyle name="Normal 6 2 2 3 3 3" xfId="4415" xr:uid="{00000000-0005-0000-0000-0000456C0000}"/>
    <cellStyle name="Normal 6 2 2 3 3 3 2" xfId="8971" xr:uid="{00000000-0005-0000-0000-0000466C0000}"/>
    <cellStyle name="Normal 6 2 2 3 3 3 2 2" xfId="18067" xr:uid="{00000000-0005-0000-0000-0000476C0000}"/>
    <cellStyle name="Normal 6 2 2 3 3 3 2 2 2" xfId="36249" xr:uid="{00000000-0005-0000-0000-0000486C0000}"/>
    <cellStyle name="Normal 6 2 2 3 3 3 2 3" xfId="27159" xr:uid="{00000000-0005-0000-0000-0000496C0000}"/>
    <cellStyle name="Normal 6 2 2 3 3 3 3" xfId="13527" xr:uid="{00000000-0005-0000-0000-00004A6C0000}"/>
    <cellStyle name="Normal 6 2 2 3 3 3 3 2" xfId="31709" xr:uid="{00000000-0005-0000-0000-00004B6C0000}"/>
    <cellStyle name="Normal 6 2 2 3 3 3 4" xfId="22619" xr:uid="{00000000-0005-0000-0000-00004C6C0000}"/>
    <cellStyle name="Normal 6 2 2 3 3 4" xfId="6054" xr:uid="{00000000-0005-0000-0000-00004D6C0000}"/>
    <cellStyle name="Normal 6 2 2 3 3 4 2" xfId="15154" xr:uid="{00000000-0005-0000-0000-00004E6C0000}"/>
    <cellStyle name="Normal 6 2 2 3 3 4 2 2" xfId="33336" xr:uid="{00000000-0005-0000-0000-00004F6C0000}"/>
    <cellStyle name="Normal 6 2 2 3 3 4 3" xfId="24246" xr:uid="{00000000-0005-0000-0000-0000506C0000}"/>
    <cellStyle name="Normal 6 2 2 3 3 5" xfId="10620" xr:uid="{00000000-0005-0000-0000-0000516C0000}"/>
    <cellStyle name="Normal 6 2 2 3 3 5 2" xfId="28802" xr:uid="{00000000-0005-0000-0000-0000526C0000}"/>
    <cellStyle name="Normal 6 2 2 3 3 6" xfId="19711" xr:uid="{00000000-0005-0000-0000-0000536C0000}"/>
    <cellStyle name="Normal 6 2 2 3 4" xfId="1416" xr:uid="{00000000-0005-0000-0000-0000546C0000}"/>
    <cellStyle name="Normal 6 2 2 3 4 2" xfId="4416" xr:uid="{00000000-0005-0000-0000-0000556C0000}"/>
    <cellStyle name="Normal 6 2 2 3 4 2 2" xfId="8972" xr:uid="{00000000-0005-0000-0000-0000566C0000}"/>
    <cellStyle name="Normal 6 2 2 3 4 2 2 2" xfId="18068" xr:uid="{00000000-0005-0000-0000-0000576C0000}"/>
    <cellStyle name="Normal 6 2 2 3 4 2 2 2 2" xfId="36250" xr:uid="{00000000-0005-0000-0000-0000586C0000}"/>
    <cellStyle name="Normal 6 2 2 3 4 2 2 3" xfId="27160" xr:uid="{00000000-0005-0000-0000-0000596C0000}"/>
    <cellStyle name="Normal 6 2 2 3 4 2 3" xfId="13528" xr:uid="{00000000-0005-0000-0000-00005A6C0000}"/>
    <cellStyle name="Normal 6 2 2 3 4 2 3 2" xfId="31710" xr:uid="{00000000-0005-0000-0000-00005B6C0000}"/>
    <cellStyle name="Normal 6 2 2 3 4 2 4" xfId="22620" xr:uid="{00000000-0005-0000-0000-00005C6C0000}"/>
    <cellStyle name="Normal 6 2 2 3 4 3" xfId="6055" xr:uid="{00000000-0005-0000-0000-00005D6C0000}"/>
    <cellStyle name="Normal 6 2 2 3 4 3 2" xfId="15155" xr:uid="{00000000-0005-0000-0000-00005E6C0000}"/>
    <cellStyle name="Normal 6 2 2 3 4 3 2 2" xfId="33337" xr:uid="{00000000-0005-0000-0000-00005F6C0000}"/>
    <cellStyle name="Normal 6 2 2 3 4 3 3" xfId="24247" xr:uid="{00000000-0005-0000-0000-0000606C0000}"/>
    <cellStyle name="Normal 6 2 2 3 4 4" xfId="10621" xr:uid="{00000000-0005-0000-0000-0000616C0000}"/>
    <cellStyle name="Normal 6 2 2 3 4 4 2" xfId="28803" xr:uid="{00000000-0005-0000-0000-0000626C0000}"/>
    <cellStyle name="Normal 6 2 2 3 4 5" xfId="19712" xr:uid="{00000000-0005-0000-0000-0000636C0000}"/>
    <cellStyle name="Normal 6 2 2 3 5" xfId="2817" xr:uid="{00000000-0005-0000-0000-0000646C0000}"/>
    <cellStyle name="Normal 6 2 2 3 5 2" xfId="7398" xr:uid="{00000000-0005-0000-0000-0000656C0000}"/>
    <cellStyle name="Normal 6 2 2 3 5 2 2" xfId="16498" xr:uid="{00000000-0005-0000-0000-0000666C0000}"/>
    <cellStyle name="Normal 6 2 2 3 5 2 2 2" xfId="34680" xr:uid="{00000000-0005-0000-0000-0000676C0000}"/>
    <cellStyle name="Normal 6 2 2 3 5 2 3" xfId="25590" xr:uid="{00000000-0005-0000-0000-0000686C0000}"/>
    <cellStyle name="Normal 6 2 2 3 5 3" xfId="11962" xr:uid="{00000000-0005-0000-0000-0000696C0000}"/>
    <cellStyle name="Normal 6 2 2 3 5 3 2" xfId="30144" xr:uid="{00000000-0005-0000-0000-00006A6C0000}"/>
    <cellStyle name="Normal 6 2 2 3 5 4" xfId="21054" xr:uid="{00000000-0005-0000-0000-00006B6C0000}"/>
    <cellStyle name="Normal 6 2 2 3 6" xfId="4412" xr:uid="{00000000-0005-0000-0000-00006C6C0000}"/>
    <cellStyle name="Normal 6 2 2 3 6 2" xfId="8968" xr:uid="{00000000-0005-0000-0000-00006D6C0000}"/>
    <cellStyle name="Normal 6 2 2 3 6 2 2" xfId="18064" xr:uid="{00000000-0005-0000-0000-00006E6C0000}"/>
    <cellStyle name="Normal 6 2 2 3 6 2 2 2" xfId="36246" xr:uid="{00000000-0005-0000-0000-00006F6C0000}"/>
    <cellStyle name="Normal 6 2 2 3 6 2 3" xfId="27156" xr:uid="{00000000-0005-0000-0000-0000706C0000}"/>
    <cellStyle name="Normal 6 2 2 3 6 3" xfId="13524" xr:uid="{00000000-0005-0000-0000-0000716C0000}"/>
    <cellStyle name="Normal 6 2 2 3 6 3 2" xfId="31706" xr:uid="{00000000-0005-0000-0000-0000726C0000}"/>
    <cellStyle name="Normal 6 2 2 3 6 4" xfId="22616" xr:uid="{00000000-0005-0000-0000-0000736C0000}"/>
    <cellStyle name="Normal 6 2 2 3 7" xfId="6051" xr:uid="{00000000-0005-0000-0000-0000746C0000}"/>
    <cellStyle name="Normal 6 2 2 3 7 2" xfId="15151" xr:uid="{00000000-0005-0000-0000-0000756C0000}"/>
    <cellStyle name="Normal 6 2 2 3 7 2 2" xfId="33333" xr:uid="{00000000-0005-0000-0000-0000766C0000}"/>
    <cellStyle name="Normal 6 2 2 3 7 3" xfId="24243" xr:uid="{00000000-0005-0000-0000-0000776C0000}"/>
    <cellStyle name="Normal 6 2 2 3 8" xfId="10617" xr:uid="{00000000-0005-0000-0000-0000786C0000}"/>
    <cellStyle name="Normal 6 2 2 3 8 2" xfId="28799" xr:uid="{00000000-0005-0000-0000-0000796C0000}"/>
    <cellStyle name="Normal 6 2 2 3 9" xfId="19708" xr:uid="{00000000-0005-0000-0000-00007A6C0000}"/>
    <cellStyle name="Normal 6 2 2 4" xfId="1417" xr:uid="{00000000-0005-0000-0000-00007B6C0000}"/>
    <cellStyle name="Normal 6 2 2 4 2" xfId="1418" xr:uid="{00000000-0005-0000-0000-00007C6C0000}"/>
    <cellStyle name="Normal 6 2 2 4 2 2" xfId="2818" xr:uid="{00000000-0005-0000-0000-00007D6C0000}"/>
    <cellStyle name="Normal 6 2 2 4 2 2 2" xfId="7399" xr:uid="{00000000-0005-0000-0000-00007E6C0000}"/>
    <cellStyle name="Normal 6 2 2 4 2 2 2 2" xfId="16499" xr:uid="{00000000-0005-0000-0000-00007F6C0000}"/>
    <cellStyle name="Normal 6 2 2 4 2 2 2 2 2" xfId="34681" xr:uid="{00000000-0005-0000-0000-0000806C0000}"/>
    <cellStyle name="Normal 6 2 2 4 2 2 2 3" xfId="25591" xr:uid="{00000000-0005-0000-0000-0000816C0000}"/>
    <cellStyle name="Normal 6 2 2 4 2 2 3" xfId="11963" xr:uid="{00000000-0005-0000-0000-0000826C0000}"/>
    <cellStyle name="Normal 6 2 2 4 2 2 3 2" xfId="30145" xr:uid="{00000000-0005-0000-0000-0000836C0000}"/>
    <cellStyle name="Normal 6 2 2 4 2 2 4" xfId="21055" xr:uid="{00000000-0005-0000-0000-0000846C0000}"/>
    <cellStyle name="Normal 6 2 2 4 2 3" xfId="4418" xr:uid="{00000000-0005-0000-0000-0000856C0000}"/>
    <cellStyle name="Normal 6 2 2 4 2 3 2" xfId="8974" xr:uid="{00000000-0005-0000-0000-0000866C0000}"/>
    <cellStyle name="Normal 6 2 2 4 2 3 2 2" xfId="18070" xr:uid="{00000000-0005-0000-0000-0000876C0000}"/>
    <cellStyle name="Normal 6 2 2 4 2 3 2 2 2" xfId="36252" xr:uid="{00000000-0005-0000-0000-0000886C0000}"/>
    <cellStyle name="Normal 6 2 2 4 2 3 2 3" xfId="27162" xr:uid="{00000000-0005-0000-0000-0000896C0000}"/>
    <cellStyle name="Normal 6 2 2 4 2 3 3" xfId="13530" xr:uid="{00000000-0005-0000-0000-00008A6C0000}"/>
    <cellStyle name="Normal 6 2 2 4 2 3 3 2" xfId="31712" xr:uid="{00000000-0005-0000-0000-00008B6C0000}"/>
    <cellStyle name="Normal 6 2 2 4 2 3 4" xfId="22622" xr:uid="{00000000-0005-0000-0000-00008C6C0000}"/>
    <cellStyle name="Normal 6 2 2 4 2 4" xfId="6057" xr:uid="{00000000-0005-0000-0000-00008D6C0000}"/>
    <cellStyle name="Normal 6 2 2 4 2 4 2" xfId="15157" xr:uid="{00000000-0005-0000-0000-00008E6C0000}"/>
    <cellStyle name="Normal 6 2 2 4 2 4 2 2" xfId="33339" xr:uid="{00000000-0005-0000-0000-00008F6C0000}"/>
    <cellStyle name="Normal 6 2 2 4 2 4 3" xfId="24249" xr:uid="{00000000-0005-0000-0000-0000906C0000}"/>
    <cellStyle name="Normal 6 2 2 4 2 5" xfId="10623" xr:uid="{00000000-0005-0000-0000-0000916C0000}"/>
    <cellStyle name="Normal 6 2 2 4 2 5 2" xfId="28805" xr:uid="{00000000-0005-0000-0000-0000926C0000}"/>
    <cellStyle name="Normal 6 2 2 4 2 6" xfId="19714" xr:uid="{00000000-0005-0000-0000-0000936C0000}"/>
    <cellStyle name="Normal 6 2 2 4 3" xfId="2819" xr:uid="{00000000-0005-0000-0000-0000946C0000}"/>
    <cellStyle name="Normal 6 2 2 4 3 2" xfId="7400" xr:uid="{00000000-0005-0000-0000-0000956C0000}"/>
    <cellStyle name="Normal 6 2 2 4 3 2 2" xfId="16500" xr:uid="{00000000-0005-0000-0000-0000966C0000}"/>
    <cellStyle name="Normal 6 2 2 4 3 2 2 2" xfId="34682" xr:uid="{00000000-0005-0000-0000-0000976C0000}"/>
    <cellStyle name="Normal 6 2 2 4 3 2 3" xfId="25592" xr:uid="{00000000-0005-0000-0000-0000986C0000}"/>
    <cellStyle name="Normal 6 2 2 4 3 3" xfId="11964" xr:uid="{00000000-0005-0000-0000-0000996C0000}"/>
    <cellStyle name="Normal 6 2 2 4 3 3 2" xfId="30146" xr:uid="{00000000-0005-0000-0000-00009A6C0000}"/>
    <cellStyle name="Normal 6 2 2 4 3 4" xfId="21056" xr:uid="{00000000-0005-0000-0000-00009B6C0000}"/>
    <cellStyle name="Normal 6 2 2 4 4" xfId="4417" xr:uid="{00000000-0005-0000-0000-00009C6C0000}"/>
    <cellStyle name="Normal 6 2 2 4 4 2" xfId="8973" xr:uid="{00000000-0005-0000-0000-00009D6C0000}"/>
    <cellStyle name="Normal 6 2 2 4 4 2 2" xfId="18069" xr:uid="{00000000-0005-0000-0000-00009E6C0000}"/>
    <cellStyle name="Normal 6 2 2 4 4 2 2 2" xfId="36251" xr:uid="{00000000-0005-0000-0000-00009F6C0000}"/>
    <cellStyle name="Normal 6 2 2 4 4 2 3" xfId="27161" xr:uid="{00000000-0005-0000-0000-0000A06C0000}"/>
    <cellStyle name="Normal 6 2 2 4 4 3" xfId="13529" xr:uid="{00000000-0005-0000-0000-0000A16C0000}"/>
    <cellStyle name="Normal 6 2 2 4 4 3 2" xfId="31711" xr:uid="{00000000-0005-0000-0000-0000A26C0000}"/>
    <cellStyle name="Normal 6 2 2 4 4 4" xfId="22621" xr:uid="{00000000-0005-0000-0000-0000A36C0000}"/>
    <cellStyle name="Normal 6 2 2 4 5" xfId="6056" xr:uid="{00000000-0005-0000-0000-0000A46C0000}"/>
    <cellStyle name="Normal 6 2 2 4 5 2" xfId="15156" xr:uid="{00000000-0005-0000-0000-0000A56C0000}"/>
    <cellStyle name="Normal 6 2 2 4 5 2 2" xfId="33338" xr:uid="{00000000-0005-0000-0000-0000A66C0000}"/>
    <cellStyle name="Normal 6 2 2 4 5 3" xfId="24248" xr:uid="{00000000-0005-0000-0000-0000A76C0000}"/>
    <cellStyle name="Normal 6 2 2 4 6" xfId="10622" xr:uid="{00000000-0005-0000-0000-0000A86C0000}"/>
    <cellStyle name="Normal 6 2 2 4 6 2" xfId="28804" xr:uid="{00000000-0005-0000-0000-0000A96C0000}"/>
    <cellStyle name="Normal 6 2 2 4 7" xfId="19713" xr:uid="{00000000-0005-0000-0000-0000AA6C0000}"/>
    <cellStyle name="Normal 6 2 2 5" xfId="1419" xr:uid="{00000000-0005-0000-0000-0000AB6C0000}"/>
    <cellStyle name="Normal 6 2 2 5 2" xfId="2820" xr:uid="{00000000-0005-0000-0000-0000AC6C0000}"/>
    <cellStyle name="Normal 6 2 2 5 2 2" xfId="7401" xr:uid="{00000000-0005-0000-0000-0000AD6C0000}"/>
    <cellStyle name="Normal 6 2 2 5 2 2 2" xfId="16501" xr:uid="{00000000-0005-0000-0000-0000AE6C0000}"/>
    <cellStyle name="Normal 6 2 2 5 2 2 2 2" xfId="34683" xr:uid="{00000000-0005-0000-0000-0000AF6C0000}"/>
    <cellStyle name="Normal 6 2 2 5 2 2 3" xfId="25593" xr:uid="{00000000-0005-0000-0000-0000B06C0000}"/>
    <cellStyle name="Normal 6 2 2 5 2 3" xfId="11965" xr:uid="{00000000-0005-0000-0000-0000B16C0000}"/>
    <cellStyle name="Normal 6 2 2 5 2 3 2" xfId="30147" xr:uid="{00000000-0005-0000-0000-0000B26C0000}"/>
    <cellStyle name="Normal 6 2 2 5 2 4" xfId="21057" xr:uid="{00000000-0005-0000-0000-0000B36C0000}"/>
    <cellStyle name="Normal 6 2 2 5 3" xfId="4419" xr:uid="{00000000-0005-0000-0000-0000B46C0000}"/>
    <cellStyle name="Normal 6 2 2 5 3 2" xfId="8975" xr:uid="{00000000-0005-0000-0000-0000B56C0000}"/>
    <cellStyle name="Normal 6 2 2 5 3 2 2" xfId="18071" xr:uid="{00000000-0005-0000-0000-0000B66C0000}"/>
    <cellStyle name="Normal 6 2 2 5 3 2 2 2" xfId="36253" xr:uid="{00000000-0005-0000-0000-0000B76C0000}"/>
    <cellStyle name="Normal 6 2 2 5 3 2 3" xfId="27163" xr:uid="{00000000-0005-0000-0000-0000B86C0000}"/>
    <cellStyle name="Normal 6 2 2 5 3 3" xfId="13531" xr:uid="{00000000-0005-0000-0000-0000B96C0000}"/>
    <cellStyle name="Normal 6 2 2 5 3 3 2" xfId="31713" xr:uid="{00000000-0005-0000-0000-0000BA6C0000}"/>
    <cellStyle name="Normal 6 2 2 5 3 4" xfId="22623" xr:uid="{00000000-0005-0000-0000-0000BB6C0000}"/>
    <cellStyle name="Normal 6 2 2 5 4" xfId="6058" xr:uid="{00000000-0005-0000-0000-0000BC6C0000}"/>
    <cellStyle name="Normal 6 2 2 5 4 2" xfId="15158" xr:uid="{00000000-0005-0000-0000-0000BD6C0000}"/>
    <cellStyle name="Normal 6 2 2 5 4 2 2" xfId="33340" xr:uid="{00000000-0005-0000-0000-0000BE6C0000}"/>
    <cellStyle name="Normal 6 2 2 5 4 3" xfId="24250" xr:uid="{00000000-0005-0000-0000-0000BF6C0000}"/>
    <cellStyle name="Normal 6 2 2 5 5" xfId="10624" xr:uid="{00000000-0005-0000-0000-0000C06C0000}"/>
    <cellStyle name="Normal 6 2 2 5 5 2" xfId="28806" xr:uid="{00000000-0005-0000-0000-0000C16C0000}"/>
    <cellStyle name="Normal 6 2 2 5 6" xfId="19715" xr:uid="{00000000-0005-0000-0000-0000C26C0000}"/>
    <cellStyle name="Normal 6 2 2 6" xfId="1420" xr:uid="{00000000-0005-0000-0000-0000C36C0000}"/>
    <cellStyle name="Normal 6 2 2 6 2" xfId="4420" xr:uid="{00000000-0005-0000-0000-0000C46C0000}"/>
    <cellStyle name="Normal 6 2 2 6 2 2" xfId="8976" xr:uid="{00000000-0005-0000-0000-0000C56C0000}"/>
    <cellStyle name="Normal 6 2 2 6 2 2 2" xfId="18072" xr:uid="{00000000-0005-0000-0000-0000C66C0000}"/>
    <cellStyle name="Normal 6 2 2 6 2 2 2 2" xfId="36254" xr:uid="{00000000-0005-0000-0000-0000C76C0000}"/>
    <cellStyle name="Normal 6 2 2 6 2 2 3" xfId="27164" xr:uid="{00000000-0005-0000-0000-0000C86C0000}"/>
    <cellStyle name="Normal 6 2 2 6 2 3" xfId="13532" xr:uid="{00000000-0005-0000-0000-0000C96C0000}"/>
    <cellStyle name="Normal 6 2 2 6 2 3 2" xfId="31714" xr:uid="{00000000-0005-0000-0000-0000CA6C0000}"/>
    <cellStyle name="Normal 6 2 2 6 2 4" xfId="22624" xr:uid="{00000000-0005-0000-0000-0000CB6C0000}"/>
    <cellStyle name="Normal 6 2 2 6 3" xfId="6059" xr:uid="{00000000-0005-0000-0000-0000CC6C0000}"/>
    <cellStyle name="Normal 6 2 2 6 3 2" xfId="15159" xr:uid="{00000000-0005-0000-0000-0000CD6C0000}"/>
    <cellStyle name="Normal 6 2 2 6 3 2 2" xfId="33341" xr:uid="{00000000-0005-0000-0000-0000CE6C0000}"/>
    <cellStyle name="Normal 6 2 2 6 3 3" xfId="24251" xr:uid="{00000000-0005-0000-0000-0000CF6C0000}"/>
    <cellStyle name="Normal 6 2 2 6 4" xfId="10625" xr:uid="{00000000-0005-0000-0000-0000D06C0000}"/>
    <cellStyle name="Normal 6 2 2 6 4 2" xfId="28807" xr:uid="{00000000-0005-0000-0000-0000D16C0000}"/>
    <cellStyle name="Normal 6 2 2 6 5" xfId="19716" xr:uid="{00000000-0005-0000-0000-0000D26C0000}"/>
    <cellStyle name="Normal 6 2 2 7" xfId="2821" xr:uid="{00000000-0005-0000-0000-0000D36C0000}"/>
    <cellStyle name="Normal 6 2 2 7 2" xfId="7402" xr:uid="{00000000-0005-0000-0000-0000D46C0000}"/>
    <cellStyle name="Normal 6 2 2 7 2 2" xfId="16502" xr:uid="{00000000-0005-0000-0000-0000D56C0000}"/>
    <cellStyle name="Normal 6 2 2 7 2 2 2" xfId="34684" xr:uid="{00000000-0005-0000-0000-0000D66C0000}"/>
    <cellStyle name="Normal 6 2 2 7 2 3" xfId="25594" xr:uid="{00000000-0005-0000-0000-0000D76C0000}"/>
    <cellStyle name="Normal 6 2 2 7 3" xfId="11966" xr:uid="{00000000-0005-0000-0000-0000D86C0000}"/>
    <cellStyle name="Normal 6 2 2 7 3 2" xfId="30148" xr:uid="{00000000-0005-0000-0000-0000D96C0000}"/>
    <cellStyle name="Normal 6 2 2 7 4" xfId="21058" xr:uid="{00000000-0005-0000-0000-0000DA6C0000}"/>
    <cellStyle name="Normal 6 2 2 8" xfId="3194" xr:uid="{00000000-0005-0000-0000-0000DB6C0000}"/>
    <cellStyle name="Normal 6 2 2 8 2" xfId="7754" xr:uid="{00000000-0005-0000-0000-0000DC6C0000}"/>
    <cellStyle name="Normal 6 2 2 8 2 2" xfId="16850" xr:uid="{00000000-0005-0000-0000-0000DD6C0000}"/>
    <cellStyle name="Normal 6 2 2 8 2 2 2" xfId="35032" xr:uid="{00000000-0005-0000-0000-0000DE6C0000}"/>
    <cellStyle name="Normal 6 2 2 8 2 3" xfId="25942" xr:uid="{00000000-0005-0000-0000-0000DF6C0000}"/>
    <cellStyle name="Normal 6 2 2 8 3" xfId="12310" xr:uid="{00000000-0005-0000-0000-0000E06C0000}"/>
    <cellStyle name="Normal 6 2 2 8 3 2" xfId="30492" xr:uid="{00000000-0005-0000-0000-0000E16C0000}"/>
    <cellStyle name="Normal 6 2 2 8 4" xfId="21402" xr:uid="{00000000-0005-0000-0000-0000E26C0000}"/>
    <cellStyle name="Normal 6 2 2 9" xfId="4844" xr:uid="{00000000-0005-0000-0000-0000E36C0000}"/>
    <cellStyle name="Normal 6 2 2 9 2" xfId="13944" xr:uid="{00000000-0005-0000-0000-0000E46C0000}"/>
    <cellStyle name="Normal 6 2 2 9 2 2" xfId="32126" xr:uid="{00000000-0005-0000-0000-0000E56C0000}"/>
    <cellStyle name="Normal 6 2 2 9 3" xfId="23036" xr:uid="{00000000-0005-0000-0000-0000E66C0000}"/>
    <cellStyle name="Normal 6 2 3" xfId="1421" xr:uid="{00000000-0005-0000-0000-0000E76C0000}"/>
    <cellStyle name="Normal 6 2 3 10" xfId="19717" xr:uid="{00000000-0005-0000-0000-0000E86C0000}"/>
    <cellStyle name="Normal 6 2 3 2" xfId="1422" xr:uid="{00000000-0005-0000-0000-0000E96C0000}"/>
    <cellStyle name="Normal 6 2 3 2 2" xfId="1423" xr:uid="{00000000-0005-0000-0000-0000EA6C0000}"/>
    <cellStyle name="Normal 6 2 3 2 2 2" xfId="1424" xr:uid="{00000000-0005-0000-0000-0000EB6C0000}"/>
    <cellStyle name="Normal 6 2 3 2 2 2 2" xfId="2822" xr:uid="{00000000-0005-0000-0000-0000EC6C0000}"/>
    <cellStyle name="Normal 6 2 3 2 2 2 2 2" xfId="7403" xr:uid="{00000000-0005-0000-0000-0000ED6C0000}"/>
    <cellStyle name="Normal 6 2 3 2 2 2 2 2 2" xfId="16503" xr:uid="{00000000-0005-0000-0000-0000EE6C0000}"/>
    <cellStyle name="Normal 6 2 3 2 2 2 2 2 2 2" xfId="34685" xr:uid="{00000000-0005-0000-0000-0000EF6C0000}"/>
    <cellStyle name="Normal 6 2 3 2 2 2 2 2 3" xfId="25595" xr:uid="{00000000-0005-0000-0000-0000F06C0000}"/>
    <cellStyle name="Normal 6 2 3 2 2 2 2 3" xfId="11967" xr:uid="{00000000-0005-0000-0000-0000F16C0000}"/>
    <cellStyle name="Normal 6 2 3 2 2 2 2 3 2" xfId="30149" xr:uid="{00000000-0005-0000-0000-0000F26C0000}"/>
    <cellStyle name="Normal 6 2 3 2 2 2 2 4" xfId="21059" xr:uid="{00000000-0005-0000-0000-0000F36C0000}"/>
    <cellStyle name="Normal 6 2 3 2 2 2 3" xfId="4424" xr:uid="{00000000-0005-0000-0000-0000F46C0000}"/>
    <cellStyle name="Normal 6 2 3 2 2 2 3 2" xfId="8980" xr:uid="{00000000-0005-0000-0000-0000F56C0000}"/>
    <cellStyle name="Normal 6 2 3 2 2 2 3 2 2" xfId="18076" xr:uid="{00000000-0005-0000-0000-0000F66C0000}"/>
    <cellStyle name="Normal 6 2 3 2 2 2 3 2 2 2" xfId="36258" xr:uid="{00000000-0005-0000-0000-0000F76C0000}"/>
    <cellStyle name="Normal 6 2 3 2 2 2 3 2 3" xfId="27168" xr:uid="{00000000-0005-0000-0000-0000F86C0000}"/>
    <cellStyle name="Normal 6 2 3 2 2 2 3 3" xfId="13536" xr:uid="{00000000-0005-0000-0000-0000F96C0000}"/>
    <cellStyle name="Normal 6 2 3 2 2 2 3 3 2" xfId="31718" xr:uid="{00000000-0005-0000-0000-0000FA6C0000}"/>
    <cellStyle name="Normal 6 2 3 2 2 2 3 4" xfId="22628" xr:uid="{00000000-0005-0000-0000-0000FB6C0000}"/>
    <cellStyle name="Normal 6 2 3 2 2 2 4" xfId="6063" xr:uid="{00000000-0005-0000-0000-0000FC6C0000}"/>
    <cellStyle name="Normal 6 2 3 2 2 2 4 2" xfId="15163" xr:uid="{00000000-0005-0000-0000-0000FD6C0000}"/>
    <cellStyle name="Normal 6 2 3 2 2 2 4 2 2" xfId="33345" xr:uid="{00000000-0005-0000-0000-0000FE6C0000}"/>
    <cellStyle name="Normal 6 2 3 2 2 2 4 3" xfId="24255" xr:uid="{00000000-0005-0000-0000-0000FF6C0000}"/>
    <cellStyle name="Normal 6 2 3 2 2 2 5" xfId="10629" xr:uid="{00000000-0005-0000-0000-0000006D0000}"/>
    <cellStyle name="Normal 6 2 3 2 2 2 5 2" xfId="28811" xr:uid="{00000000-0005-0000-0000-0000016D0000}"/>
    <cellStyle name="Normal 6 2 3 2 2 2 6" xfId="19720" xr:uid="{00000000-0005-0000-0000-0000026D0000}"/>
    <cellStyle name="Normal 6 2 3 2 2 3" xfId="2823" xr:uid="{00000000-0005-0000-0000-0000036D0000}"/>
    <cellStyle name="Normal 6 2 3 2 2 3 2" xfId="7404" xr:uid="{00000000-0005-0000-0000-0000046D0000}"/>
    <cellStyle name="Normal 6 2 3 2 2 3 2 2" xfId="16504" xr:uid="{00000000-0005-0000-0000-0000056D0000}"/>
    <cellStyle name="Normal 6 2 3 2 2 3 2 2 2" xfId="34686" xr:uid="{00000000-0005-0000-0000-0000066D0000}"/>
    <cellStyle name="Normal 6 2 3 2 2 3 2 3" xfId="25596" xr:uid="{00000000-0005-0000-0000-0000076D0000}"/>
    <cellStyle name="Normal 6 2 3 2 2 3 3" xfId="11968" xr:uid="{00000000-0005-0000-0000-0000086D0000}"/>
    <cellStyle name="Normal 6 2 3 2 2 3 3 2" xfId="30150" xr:uid="{00000000-0005-0000-0000-0000096D0000}"/>
    <cellStyle name="Normal 6 2 3 2 2 3 4" xfId="21060" xr:uid="{00000000-0005-0000-0000-00000A6D0000}"/>
    <cellStyle name="Normal 6 2 3 2 2 4" xfId="4423" xr:uid="{00000000-0005-0000-0000-00000B6D0000}"/>
    <cellStyle name="Normal 6 2 3 2 2 4 2" xfId="8979" xr:uid="{00000000-0005-0000-0000-00000C6D0000}"/>
    <cellStyle name="Normal 6 2 3 2 2 4 2 2" xfId="18075" xr:uid="{00000000-0005-0000-0000-00000D6D0000}"/>
    <cellStyle name="Normal 6 2 3 2 2 4 2 2 2" xfId="36257" xr:uid="{00000000-0005-0000-0000-00000E6D0000}"/>
    <cellStyle name="Normal 6 2 3 2 2 4 2 3" xfId="27167" xr:uid="{00000000-0005-0000-0000-00000F6D0000}"/>
    <cellStyle name="Normal 6 2 3 2 2 4 3" xfId="13535" xr:uid="{00000000-0005-0000-0000-0000106D0000}"/>
    <cellStyle name="Normal 6 2 3 2 2 4 3 2" xfId="31717" xr:uid="{00000000-0005-0000-0000-0000116D0000}"/>
    <cellStyle name="Normal 6 2 3 2 2 4 4" xfId="22627" xr:uid="{00000000-0005-0000-0000-0000126D0000}"/>
    <cellStyle name="Normal 6 2 3 2 2 5" xfId="6062" xr:uid="{00000000-0005-0000-0000-0000136D0000}"/>
    <cellStyle name="Normal 6 2 3 2 2 5 2" xfId="15162" xr:uid="{00000000-0005-0000-0000-0000146D0000}"/>
    <cellStyle name="Normal 6 2 3 2 2 5 2 2" xfId="33344" xr:uid="{00000000-0005-0000-0000-0000156D0000}"/>
    <cellStyle name="Normal 6 2 3 2 2 5 3" xfId="24254" xr:uid="{00000000-0005-0000-0000-0000166D0000}"/>
    <cellStyle name="Normal 6 2 3 2 2 6" xfId="10628" xr:uid="{00000000-0005-0000-0000-0000176D0000}"/>
    <cellStyle name="Normal 6 2 3 2 2 6 2" xfId="28810" xr:uid="{00000000-0005-0000-0000-0000186D0000}"/>
    <cellStyle name="Normal 6 2 3 2 2 7" xfId="19719" xr:uid="{00000000-0005-0000-0000-0000196D0000}"/>
    <cellStyle name="Normal 6 2 3 2 3" xfId="1425" xr:uid="{00000000-0005-0000-0000-00001A6D0000}"/>
    <cellStyle name="Normal 6 2 3 2 3 2" xfId="2824" xr:uid="{00000000-0005-0000-0000-00001B6D0000}"/>
    <cellStyle name="Normal 6 2 3 2 3 2 2" xfId="7405" xr:uid="{00000000-0005-0000-0000-00001C6D0000}"/>
    <cellStyle name="Normal 6 2 3 2 3 2 2 2" xfId="16505" xr:uid="{00000000-0005-0000-0000-00001D6D0000}"/>
    <cellStyle name="Normal 6 2 3 2 3 2 2 2 2" xfId="34687" xr:uid="{00000000-0005-0000-0000-00001E6D0000}"/>
    <cellStyle name="Normal 6 2 3 2 3 2 2 3" xfId="25597" xr:uid="{00000000-0005-0000-0000-00001F6D0000}"/>
    <cellStyle name="Normal 6 2 3 2 3 2 3" xfId="11969" xr:uid="{00000000-0005-0000-0000-0000206D0000}"/>
    <cellStyle name="Normal 6 2 3 2 3 2 3 2" xfId="30151" xr:uid="{00000000-0005-0000-0000-0000216D0000}"/>
    <cellStyle name="Normal 6 2 3 2 3 2 4" xfId="21061" xr:uid="{00000000-0005-0000-0000-0000226D0000}"/>
    <cellStyle name="Normal 6 2 3 2 3 3" xfId="4425" xr:uid="{00000000-0005-0000-0000-0000236D0000}"/>
    <cellStyle name="Normal 6 2 3 2 3 3 2" xfId="8981" xr:uid="{00000000-0005-0000-0000-0000246D0000}"/>
    <cellStyle name="Normal 6 2 3 2 3 3 2 2" xfId="18077" xr:uid="{00000000-0005-0000-0000-0000256D0000}"/>
    <cellStyle name="Normal 6 2 3 2 3 3 2 2 2" xfId="36259" xr:uid="{00000000-0005-0000-0000-0000266D0000}"/>
    <cellStyle name="Normal 6 2 3 2 3 3 2 3" xfId="27169" xr:uid="{00000000-0005-0000-0000-0000276D0000}"/>
    <cellStyle name="Normal 6 2 3 2 3 3 3" xfId="13537" xr:uid="{00000000-0005-0000-0000-0000286D0000}"/>
    <cellStyle name="Normal 6 2 3 2 3 3 3 2" xfId="31719" xr:uid="{00000000-0005-0000-0000-0000296D0000}"/>
    <cellStyle name="Normal 6 2 3 2 3 3 4" xfId="22629" xr:uid="{00000000-0005-0000-0000-00002A6D0000}"/>
    <cellStyle name="Normal 6 2 3 2 3 4" xfId="6064" xr:uid="{00000000-0005-0000-0000-00002B6D0000}"/>
    <cellStyle name="Normal 6 2 3 2 3 4 2" xfId="15164" xr:uid="{00000000-0005-0000-0000-00002C6D0000}"/>
    <cellStyle name="Normal 6 2 3 2 3 4 2 2" xfId="33346" xr:uid="{00000000-0005-0000-0000-00002D6D0000}"/>
    <cellStyle name="Normal 6 2 3 2 3 4 3" xfId="24256" xr:uid="{00000000-0005-0000-0000-00002E6D0000}"/>
    <cellStyle name="Normal 6 2 3 2 3 5" xfId="10630" xr:uid="{00000000-0005-0000-0000-00002F6D0000}"/>
    <cellStyle name="Normal 6 2 3 2 3 5 2" xfId="28812" xr:uid="{00000000-0005-0000-0000-0000306D0000}"/>
    <cellStyle name="Normal 6 2 3 2 3 6" xfId="19721" xr:uid="{00000000-0005-0000-0000-0000316D0000}"/>
    <cellStyle name="Normal 6 2 3 2 4" xfId="1426" xr:uid="{00000000-0005-0000-0000-0000326D0000}"/>
    <cellStyle name="Normal 6 2 3 2 4 2" xfId="4426" xr:uid="{00000000-0005-0000-0000-0000336D0000}"/>
    <cellStyle name="Normal 6 2 3 2 4 2 2" xfId="8982" xr:uid="{00000000-0005-0000-0000-0000346D0000}"/>
    <cellStyle name="Normal 6 2 3 2 4 2 2 2" xfId="18078" xr:uid="{00000000-0005-0000-0000-0000356D0000}"/>
    <cellStyle name="Normal 6 2 3 2 4 2 2 2 2" xfId="36260" xr:uid="{00000000-0005-0000-0000-0000366D0000}"/>
    <cellStyle name="Normal 6 2 3 2 4 2 2 3" xfId="27170" xr:uid="{00000000-0005-0000-0000-0000376D0000}"/>
    <cellStyle name="Normal 6 2 3 2 4 2 3" xfId="13538" xr:uid="{00000000-0005-0000-0000-0000386D0000}"/>
    <cellStyle name="Normal 6 2 3 2 4 2 3 2" xfId="31720" xr:uid="{00000000-0005-0000-0000-0000396D0000}"/>
    <cellStyle name="Normal 6 2 3 2 4 2 4" xfId="22630" xr:uid="{00000000-0005-0000-0000-00003A6D0000}"/>
    <cellStyle name="Normal 6 2 3 2 4 3" xfId="6065" xr:uid="{00000000-0005-0000-0000-00003B6D0000}"/>
    <cellStyle name="Normal 6 2 3 2 4 3 2" xfId="15165" xr:uid="{00000000-0005-0000-0000-00003C6D0000}"/>
    <cellStyle name="Normal 6 2 3 2 4 3 2 2" xfId="33347" xr:uid="{00000000-0005-0000-0000-00003D6D0000}"/>
    <cellStyle name="Normal 6 2 3 2 4 3 3" xfId="24257" xr:uid="{00000000-0005-0000-0000-00003E6D0000}"/>
    <cellStyle name="Normal 6 2 3 2 4 4" xfId="10631" xr:uid="{00000000-0005-0000-0000-00003F6D0000}"/>
    <cellStyle name="Normal 6 2 3 2 4 4 2" xfId="28813" xr:uid="{00000000-0005-0000-0000-0000406D0000}"/>
    <cellStyle name="Normal 6 2 3 2 4 5" xfId="19722" xr:uid="{00000000-0005-0000-0000-0000416D0000}"/>
    <cellStyle name="Normal 6 2 3 2 5" xfId="2825" xr:uid="{00000000-0005-0000-0000-0000426D0000}"/>
    <cellStyle name="Normal 6 2 3 2 5 2" xfId="7406" xr:uid="{00000000-0005-0000-0000-0000436D0000}"/>
    <cellStyle name="Normal 6 2 3 2 5 2 2" xfId="16506" xr:uid="{00000000-0005-0000-0000-0000446D0000}"/>
    <cellStyle name="Normal 6 2 3 2 5 2 2 2" xfId="34688" xr:uid="{00000000-0005-0000-0000-0000456D0000}"/>
    <cellStyle name="Normal 6 2 3 2 5 2 3" xfId="25598" xr:uid="{00000000-0005-0000-0000-0000466D0000}"/>
    <cellStyle name="Normal 6 2 3 2 5 3" xfId="11970" xr:uid="{00000000-0005-0000-0000-0000476D0000}"/>
    <cellStyle name="Normal 6 2 3 2 5 3 2" xfId="30152" xr:uid="{00000000-0005-0000-0000-0000486D0000}"/>
    <cellStyle name="Normal 6 2 3 2 5 4" xfId="21062" xr:uid="{00000000-0005-0000-0000-0000496D0000}"/>
    <cellStyle name="Normal 6 2 3 2 6" xfId="4422" xr:uid="{00000000-0005-0000-0000-00004A6D0000}"/>
    <cellStyle name="Normal 6 2 3 2 6 2" xfId="8978" xr:uid="{00000000-0005-0000-0000-00004B6D0000}"/>
    <cellStyle name="Normal 6 2 3 2 6 2 2" xfId="18074" xr:uid="{00000000-0005-0000-0000-00004C6D0000}"/>
    <cellStyle name="Normal 6 2 3 2 6 2 2 2" xfId="36256" xr:uid="{00000000-0005-0000-0000-00004D6D0000}"/>
    <cellStyle name="Normal 6 2 3 2 6 2 3" xfId="27166" xr:uid="{00000000-0005-0000-0000-00004E6D0000}"/>
    <cellStyle name="Normal 6 2 3 2 6 3" xfId="13534" xr:uid="{00000000-0005-0000-0000-00004F6D0000}"/>
    <cellStyle name="Normal 6 2 3 2 6 3 2" xfId="31716" xr:uid="{00000000-0005-0000-0000-0000506D0000}"/>
    <cellStyle name="Normal 6 2 3 2 6 4" xfId="22626" xr:uid="{00000000-0005-0000-0000-0000516D0000}"/>
    <cellStyle name="Normal 6 2 3 2 7" xfId="6061" xr:uid="{00000000-0005-0000-0000-0000526D0000}"/>
    <cellStyle name="Normal 6 2 3 2 7 2" xfId="15161" xr:uid="{00000000-0005-0000-0000-0000536D0000}"/>
    <cellStyle name="Normal 6 2 3 2 7 2 2" xfId="33343" xr:uid="{00000000-0005-0000-0000-0000546D0000}"/>
    <cellStyle name="Normal 6 2 3 2 7 3" xfId="24253" xr:uid="{00000000-0005-0000-0000-0000556D0000}"/>
    <cellStyle name="Normal 6 2 3 2 8" xfId="10627" xr:uid="{00000000-0005-0000-0000-0000566D0000}"/>
    <cellStyle name="Normal 6 2 3 2 8 2" xfId="28809" xr:uid="{00000000-0005-0000-0000-0000576D0000}"/>
    <cellStyle name="Normal 6 2 3 2 9" xfId="19718" xr:uid="{00000000-0005-0000-0000-0000586D0000}"/>
    <cellStyle name="Normal 6 2 3 3" xfId="1427" xr:uid="{00000000-0005-0000-0000-0000596D0000}"/>
    <cellStyle name="Normal 6 2 3 3 2" xfId="1428" xr:uid="{00000000-0005-0000-0000-00005A6D0000}"/>
    <cellStyle name="Normal 6 2 3 3 2 2" xfId="2826" xr:uid="{00000000-0005-0000-0000-00005B6D0000}"/>
    <cellStyle name="Normal 6 2 3 3 2 2 2" xfId="7407" xr:uid="{00000000-0005-0000-0000-00005C6D0000}"/>
    <cellStyle name="Normal 6 2 3 3 2 2 2 2" xfId="16507" xr:uid="{00000000-0005-0000-0000-00005D6D0000}"/>
    <cellStyle name="Normal 6 2 3 3 2 2 2 2 2" xfId="34689" xr:uid="{00000000-0005-0000-0000-00005E6D0000}"/>
    <cellStyle name="Normal 6 2 3 3 2 2 2 3" xfId="25599" xr:uid="{00000000-0005-0000-0000-00005F6D0000}"/>
    <cellStyle name="Normal 6 2 3 3 2 2 3" xfId="11971" xr:uid="{00000000-0005-0000-0000-0000606D0000}"/>
    <cellStyle name="Normal 6 2 3 3 2 2 3 2" xfId="30153" xr:uid="{00000000-0005-0000-0000-0000616D0000}"/>
    <cellStyle name="Normal 6 2 3 3 2 2 4" xfId="21063" xr:uid="{00000000-0005-0000-0000-0000626D0000}"/>
    <cellStyle name="Normal 6 2 3 3 2 3" xfId="4428" xr:uid="{00000000-0005-0000-0000-0000636D0000}"/>
    <cellStyle name="Normal 6 2 3 3 2 3 2" xfId="8984" xr:uid="{00000000-0005-0000-0000-0000646D0000}"/>
    <cellStyle name="Normal 6 2 3 3 2 3 2 2" xfId="18080" xr:uid="{00000000-0005-0000-0000-0000656D0000}"/>
    <cellStyle name="Normal 6 2 3 3 2 3 2 2 2" xfId="36262" xr:uid="{00000000-0005-0000-0000-0000666D0000}"/>
    <cellStyle name="Normal 6 2 3 3 2 3 2 3" xfId="27172" xr:uid="{00000000-0005-0000-0000-0000676D0000}"/>
    <cellStyle name="Normal 6 2 3 3 2 3 3" xfId="13540" xr:uid="{00000000-0005-0000-0000-0000686D0000}"/>
    <cellStyle name="Normal 6 2 3 3 2 3 3 2" xfId="31722" xr:uid="{00000000-0005-0000-0000-0000696D0000}"/>
    <cellStyle name="Normal 6 2 3 3 2 3 4" xfId="22632" xr:uid="{00000000-0005-0000-0000-00006A6D0000}"/>
    <cellStyle name="Normal 6 2 3 3 2 4" xfId="6067" xr:uid="{00000000-0005-0000-0000-00006B6D0000}"/>
    <cellStyle name="Normal 6 2 3 3 2 4 2" xfId="15167" xr:uid="{00000000-0005-0000-0000-00006C6D0000}"/>
    <cellStyle name="Normal 6 2 3 3 2 4 2 2" xfId="33349" xr:uid="{00000000-0005-0000-0000-00006D6D0000}"/>
    <cellStyle name="Normal 6 2 3 3 2 4 3" xfId="24259" xr:uid="{00000000-0005-0000-0000-00006E6D0000}"/>
    <cellStyle name="Normal 6 2 3 3 2 5" xfId="10633" xr:uid="{00000000-0005-0000-0000-00006F6D0000}"/>
    <cellStyle name="Normal 6 2 3 3 2 5 2" xfId="28815" xr:uid="{00000000-0005-0000-0000-0000706D0000}"/>
    <cellStyle name="Normal 6 2 3 3 2 6" xfId="19724" xr:uid="{00000000-0005-0000-0000-0000716D0000}"/>
    <cellStyle name="Normal 6 2 3 3 3" xfId="2827" xr:uid="{00000000-0005-0000-0000-0000726D0000}"/>
    <cellStyle name="Normal 6 2 3 3 3 2" xfId="7408" xr:uid="{00000000-0005-0000-0000-0000736D0000}"/>
    <cellStyle name="Normal 6 2 3 3 3 2 2" xfId="16508" xr:uid="{00000000-0005-0000-0000-0000746D0000}"/>
    <cellStyle name="Normal 6 2 3 3 3 2 2 2" xfId="34690" xr:uid="{00000000-0005-0000-0000-0000756D0000}"/>
    <cellStyle name="Normal 6 2 3 3 3 2 3" xfId="25600" xr:uid="{00000000-0005-0000-0000-0000766D0000}"/>
    <cellStyle name="Normal 6 2 3 3 3 3" xfId="11972" xr:uid="{00000000-0005-0000-0000-0000776D0000}"/>
    <cellStyle name="Normal 6 2 3 3 3 3 2" xfId="30154" xr:uid="{00000000-0005-0000-0000-0000786D0000}"/>
    <cellStyle name="Normal 6 2 3 3 3 4" xfId="21064" xr:uid="{00000000-0005-0000-0000-0000796D0000}"/>
    <cellStyle name="Normal 6 2 3 3 4" xfId="4427" xr:uid="{00000000-0005-0000-0000-00007A6D0000}"/>
    <cellStyle name="Normal 6 2 3 3 4 2" xfId="8983" xr:uid="{00000000-0005-0000-0000-00007B6D0000}"/>
    <cellStyle name="Normal 6 2 3 3 4 2 2" xfId="18079" xr:uid="{00000000-0005-0000-0000-00007C6D0000}"/>
    <cellStyle name="Normal 6 2 3 3 4 2 2 2" xfId="36261" xr:uid="{00000000-0005-0000-0000-00007D6D0000}"/>
    <cellStyle name="Normal 6 2 3 3 4 2 3" xfId="27171" xr:uid="{00000000-0005-0000-0000-00007E6D0000}"/>
    <cellStyle name="Normal 6 2 3 3 4 3" xfId="13539" xr:uid="{00000000-0005-0000-0000-00007F6D0000}"/>
    <cellStyle name="Normal 6 2 3 3 4 3 2" xfId="31721" xr:uid="{00000000-0005-0000-0000-0000806D0000}"/>
    <cellStyle name="Normal 6 2 3 3 4 4" xfId="22631" xr:uid="{00000000-0005-0000-0000-0000816D0000}"/>
    <cellStyle name="Normal 6 2 3 3 5" xfId="6066" xr:uid="{00000000-0005-0000-0000-0000826D0000}"/>
    <cellStyle name="Normal 6 2 3 3 5 2" xfId="15166" xr:uid="{00000000-0005-0000-0000-0000836D0000}"/>
    <cellStyle name="Normal 6 2 3 3 5 2 2" xfId="33348" xr:uid="{00000000-0005-0000-0000-0000846D0000}"/>
    <cellStyle name="Normal 6 2 3 3 5 3" xfId="24258" xr:uid="{00000000-0005-0000-0000-0000856D0000}"/>
    <cellStyle name="Normal 6 2 3 3 6" xfId="10632" xr:uid="{00000000-0005-0000-0000-0000866D0000}"/>
    <cellStyle name="Normal 6 2 3 3 6 2" xfId="28814" xr:uid="{00000000-0005-0000-0000-0000876D0000}"/>
    <cellStyle name="Normal 6 2 3 3 7" xfId="19723" xr:uid="{00000000-0005-0000-0000-0000886D0000}"/>
    <cellStyle name="Normal 6 2 3 4" xfId="1429" xr:uid="{00000000-0005-0000-0000-0000896D0000}"/>
    <cellStyle name="Normal 6 2 3 4 2" xfId="2828" xr:uid="{00000000-0005-0000-0000-00008A6D0000}"/>
    <cellStyle name="Normal 6 2 3 4 2 2" xfId="7409" xr:uid="{00000000-0005-0000-0000-00008B6D0000}"/>
    <cellStyle name="Normal 6 2 3 4 2 2 2" xfId="16509" xr:uid="{00000000-0005-0000-0000-00008C6D0000}"/>
    <cellStyle name="Normal 6 2 3 4 2 2 2 2" xfId="34691" xr:uid="{00000000-0005-0000-0000-00008D6D0000}"/>
    <cellStyle name="Normal 6 2 3 4 2 2 3" xfId="25601" xr:uid="{00000000-0005-0000-0000-00008E6D0000}"/>
    <cellStyle name="Normal 6 2 3 4 2 3" xfId="11973" xr:uid="{00000000-0005-0000-0000-00008F6D0000}"/>
    <cellStyle name="Normal 6 2 3 4 2 3 2" xfId="30155" xr:uid="{00000000-0005-0000-0000-0000906D0000}"/>
    <cellStyle name="Normal 6 2 3 4 2 4" xfId="21065" xr:uid="{00000000-0005-0000-0000-0000916D0000}"/>
    <cellStyle name="Normal 6 2 3 4 3" xfId="4429" xr:uid="{00000000-0005-0000-0000-0000926D0000}"/>
    <cellStyle name="Normal 6 2 3 4 3 2" xfId="8985" xr:uid="{00000000-0005-0000-0000-0000936D0000}"/>
    <cellStyle name="Normal 6 2 3 4 3 2 2" xfId="18081" xr:uid="{00000000-0005-0000-0000-0000946D0000}"/>
    <cellStyle name="Normal 6 2 3 4 3 2 2 2" xfId="36263" xr:uid="{00000000-0005-0000-0000-0000956D0000}"/>
    <cellStyle name="Normal 6 2 3 4 3 2 3" xfId="27173" xr:uid="{00000000-0005-0000-0000-0000966D0000}"/>
    <cellStyle name="Normal 6 2 3 4 3 3" xfId="13541" xr:uid="{00000000-0005-0000-0000-0000976D0000}"/>
    <cellStyle name="Normal 6 2 3 4 3 3 2" xfId="31723" xr:uid="{00000000-0005-0000-0000-0000986D0000}"/>
    <cellStyle name="Normal 6 2 3 4 3 4" xfId="22633" xr:uid="{00000000-0005-0000-0000-0000996D0000}"/>
    <cellStyle name="Normal 6 2 3 4 4" xfId="6068" xr:uid="{00000000-0005-0000-0000-00009A6D0000}"/>
    <cellStyle name="Normal 6 2 3 4 4 2" xfId="15168" xr:uid="{00000000-0005-0000-0000-00009B6D0000}"/>
    <cellStyle name="Normal 6 2 3 4 4 2 2" xfId="33350" xr:uid="{00000000-0005-0000-0000-00009C6D0000}"/>
    <cellStyle name="Normal 6 2 3 4 4 3" xfId="24260" xr:uid="{00000000-0005-0000-0000-00009D6D0000}"/>
    <cellStyle name="Normal 6 2 3 4 5" xfId="10634" xr:uid="{00000000-0005-0000-0000-00009E6D0000}"/>
    <cellStyle name="Normal 6 2 3 4 5 2" xfId="28816" xr:uid="{00000000-0005-0000-0000-00009F6D0000}"/>
    <cellStyle name="Normal 6 2 3 4 6" xfId="19725" xr:uid="{00000000-0005-0000-0000-0000A06D0000}"/>
    <cellStyle name="Normal 6 2 3 5" xfId="1430" xr:uid="{00000000-0005-0000-0000-0000A16D0000}"/>
    <cellStyle name="Normal 6 2 3 5 2" xfId="4430" xr:uid="{00000000-0005-0000-0000-0000A26D0000}"/>
    <cellStyle name="Normal 6 2 3 5 2 2" xfId="8986" xr:uid="{00000000-0005-0000-0000-0000A36D0000}"/>
    <cellStyle name="Normal 6 2 3 5 2 2 2" xfId="18082" xr:uid="{00000000-0005-0000-0000-0000A46D0000}"/>
    <cellStyle name="Normal 6 2 3 5 2 2 2 2" xfId="36264" xr:uid="{00000000-0005-0000-0000-0000A56D0000}"/>
    <cellStyle name="Normal 6 2 3 5 2 2 3" xfId="27174" xr:uid="{00000000-0005-0000-0000-0000A66D0000}"/>
    <cellStyle name="Normal 6 2 3 5 2 3" xfId="13542" xr:uid="{00000000-0005-0000-0000-0000A76D0000}"/>
    <cellStyle name="Normal 6 2 3 5 2 3 2" xfId="31724" xr:uid="{00000000-0005-0000-0000-0000A86D0000}"/>
    <cellStyle name="Normal 6 2 3 5 2 4" xfId="22634" xr:uid="{00000000-0005-0000-0000-0000A96D0000}"/>
    <cellStyle name="Normal 6 2 3 5 3" xfId="6069" xr:uid="{00000000-0005-0000-0000-0000AA6D0000}"/>
    <cellStyle name="Normal 6 2 3 5 3 2" xfId="15169" xr:uid="{00000000-0005-0000-0000-0000AB6D0000}"/>
    <cellStyle name="Normal 6 2 3 5 3 2 2" xfId="33351" xr:uid="{00000000-0005-0000-0000-0000AC6D0000}"/>
    <cellStyle name="Normal 6 2 3 5 3 3" xfId="24261" xr:uid="{00000000-0005-0000-0000-0000AD6D0000}"/>
    <cellStyle name="Normal 6 2 3 5 4" xfId="10635" xr:uid="{00000000-0005-0000-0000-0000AE6D0000}"/>
    <cellStyle name="Normal 6 2 3 5 4 2" xfId="28817" xr:uid="{00000000-0005-0000-0000-0000AF6D0000}"/>
    <cellStyle name="Normal 6 2 3 5 5" xfId="19726" xr:uid="{00000000-0005-0000-0000-0000B06D0000}"/>
    <cellStyle name="Normal 6 2 3 6" xfId="2829" xr:uid="{00000000-0005-0000-0000-0000B16D0000}"/>
    <cellStyle name="Normal 6 2 3 6 2" xfId="7410" xr:uid="{00000000-0005-0000-0000-0000B26D0000}"/>
    <cellStyle name="Normal 6 2 3 6 2 2" xfId="16510" xr:uid="{00000000-0005-0000-0000-0000B36D0000}"/>
    <cellStyle name="Normal 6 2 3 6 2 2 2" xfId="34692" xr:uid="{00000000-0005-0000-0000-0000B46D0000}"/>
    <cellStyle name="Normal 6 2 3 6 2 3" xfId="25602" xr:uid="{00000000-0005-0000-0000-0000B56D0000}"/>
    <cellStyle name="Normal 6 2 3 6 3" xfId="11974" xr:uid="{00000000-0005-0000-0000-0000B66D0000}"/>
    <cellStyle name="Normal 6 2 3 6 3 2" xfId="30156" xr:uid="{00000000-0005-0000-0000-0000B76D0000}"/>
    <cellStyle name="Normal 6 2 3 6 4" xfId="21066" xr:uid="{00000000-0005-0000-0000-0000B86D0000}"/>
    <cellStyle name="Normal 6 2 3 7" xfId="4421" xr:uid="{00000000-0005-0000-0000-0000B96D0000}"/>
    <cellStyle name="Normal 6 2 3 7 2" xfId="8977" xr:uid="{00000000-0005-0000-0000-0000BA6D0000}"/>
    <cellStyle name="Normal 6 2 3 7 2 2" xfId="18073" xr:uid="{00000000-0005-0000-0000-0000BB6D0000}"/>
    <cellStyle name="Normal 6 2 3 7 2 2 2" xfId="36255" xr:uid="{00000000-0005-0000-0000-0000BC6D0000}"/>
    <cellStyle name="Normal 6 2 3 7 2 3" xfId="27165" xr:uid="{00000000-0005-0000-0000-0000BD6D0000}"/>
    <cellStyle name="Normal 6 2 3 7 3" xfId="13533" xr:uid="{00000000-0005-0000-0000-0000BE6D0000}"/>
    <cellStyle name="Normal 6 2 3 7 3 2" xfId="31715" xr:uid="{00000000-0005-0000-0000-0000BF6D0000}"/>
    <cellStyle name="Normal 6 2 3 7 4" xfId="22625" xr:uid="{00000000-0005-0000-0000-0000C06D0000}"/>
    <cellStyle name="Normal 6 2 3 8" xfId="6060" xr:uid="{00000000-0005-0000-0000-0000C16D0000}"/>
    <cellStyle name="Normal 6 2 3 8 2" xfId="15160" xr:uid="{00000000-0005-0000-0000-0000C26D0000}"/>
    <cellStyle name="Normal 6 2 3 8 2 2" xfId="33342" xr:uid="{00000000-0005-0000-0000-0000C36D0000}"/>
    <cellStyle name="Normal 6 2 3 8 3" xfId="24252" xr:uid="{00000000-0005-0000-0000-0000C46D0000}"/>
    <cellStyle name="Normal 6 2 3 9" xfId="10626" xr:uid="{00000000-0005-0000-0000-0000C56D0000}"/>
    <cellStyle name="Normal 6 2 3 9 2" xfId="28808" xr:uid="{00000000-0005-0000-0000-0000C66D0000}"/>
    <cellStyle name="Normal 6 2 4" xfId="1431" xr:uid="{00000000-0005-0000-0000-0000C76D0000}"/>
    <cellStyle name="Normal 6 2 4 2" xfId="1432" xr:uid="{00000000-0005-0000-0000-0000C86D0000}"/>
    <cellStyle name="Normal 6 2 4 2 2" xfId="1433" xr:uid="{00000000-0005-0000-0000-0000C96D0000}"/>
    <cellStyle name="Normal 6 2 4 2 2 2" xfId="2830" xr:uid="{00000000-0005-0000-0000-0000CA6D0000}"/>
    <cellStyle name="Normal 6 2 4 2 2 2 2" xfId="7411" xr:uid="{00000000-0005-0000-0000-0000CB6D0000}"/>
    <cellStyle name="Normal 6 2 4 2 2 2 2 2" xfId="16511" xr:uid="{00000000-0005-0000-0000-0000CC6D0000}"/>
    <cellStyle name="Normal 6 2 4 2 2 2 2 2 2" xfId="34693" xr:uid="{00000000-0005-0000-0000-0000CD6D0000}"/>
    <cellStyle name="Normal 6 2 4 2 2 2 2 3" xfId="25603" xr:uid="{00000000-0005-0000-0000-0000CE6D0000}"/>
    <cellStyle name="Normal 6 2 4 2 2 2 3" xfId="11975" xr:uid="{00000000-0005-0000-0000-0000CF6D0000}"/>
    <cellStyle name="Normal 6 2 4 2 2 2 3 2" xfId="30157" xr:uid="{00000000-0005-0000-0000-0000D06D0000}"/>
    <cellStyle name="Normal 6 2 4 2 2 2 4" xfId="21067" xr:uid="{00000000-0005-0000-0000-0000D16D0000}"/>
    <cellStyle name="Normal 6 2 4 2 2 3" xfId="4433" xr:uid="{00000000-0005-0000-0000-0000D26D0000}"/>
    <cellStyle name="Normal 6 2 4 2 2 3 2" xfId="8989" xr:uid="{00000000-0005-0000-0000-0000D36D0000}"/>
    <cellStyle name="Normal 6 2 4 2 2 3 2 2" xfId="18085" xr:uid="{00000000-0005-0000-0000-0000D46D0000}"/>
    <cellStyle name="Normal 6 2 4 2 2 3 2 2 2" xfId="36267" xr:uid="{00000000-0005-0000-0000-0000D56D0000}"/>
    <cellStyle name="Normal 6 2 4 2 2 3 2 3" xfId="27177" xr:uid="{00000000-0005-0000-0000-0000D66D0000}"/>
    <cellStyle name="Normal 6 2 4 2 2 3 3" xfId="13545" xr:uid="{00000000-0005-0000-0000-0000D76D0000}"/>
    <cellStyle name="Normal 6 2 4 2 2 3 3 2" xfId="31727" xr:uid="{00000000-0005-0000-0000-0000D86D0000}"/>
    <cellStyle name="Normal 6 2 4 2 2 3 4" xfId="22637" xr:uid="{00000000-0005-0000-0000-0000D96D0000}"/>
    <cellStyle name="Normal 6 2 4 2 2 4" xfId="6072" xr:uid="{00000000-0005-0000-0000-0000DA6D0000}"/>
    <cellStyle name="Normal 6 2 4 2 2 4 2" xfId="15172" xr:uid="{00000000-0005-0000-0000-0000DB6D0000}"/>
    <cellStyle name="Normal 6 2 4 2 2 4 2 2" xfId="33354" xr:uid="{00000000-0005-0000-0000-0000DC6D0000}"/>
    <cellStyle name="Normal 6 2 4 2 2 4 3" xfId="24264" xr:uid="{00000000-0005-0000-0000-0000DD6D0000}"/>
    <cellStyle name="Normal 6 2 4 2 2 5" xfId="10638" xr:uid="{00000000-0005-0000-0000-0000DE6D0000}"/>
    <cellStyle name="Normal 6 2 4 2 2 5 2" xfId="28820" xr:uid="{00000000-0005-0000-0000-0000DF6D0000}"/>
    <cellStyle name="Normal 6 2 4 2 2 6" xfId="19729" xr:uid="{00000000-0005-0000-0000-0000E06D0000}"/>
    <cellStyle name="Normal 6 2 4 2 3" xfId="2831" xr:uid="{00000000-0005-0000-0000-0000E16D0000}"/>
    <cellStyle name="Normal 6 2 4 2 3 2" xfId="7412" xr:uid="{00000000-0005-0000-0000-0000E26D0000}"/>
    <cellStyle name="Normal 6 2 4 2 3 2 2" xfId="16512" xr:uid="{00000000-0005-0000-0000-0000E36D0000}"/>
    <cellStyle name="Normal 6 2 4 2 3 2 2 2" xfId="34694" xr:uid="{00000000-0005-0000-0000-0000E46D0000}"/>
    <cellStyle name="Normal 6 2 4 2 3 2 3" xfId="25604" xr:uid="{00000000-0005-0000-0000-0000E56D0000}"/>
    <cellStyle name="Normal 6 2 4 2 3 3" xfId="11976" xr:uid="{00000000-0005-0000-0000-0000E66D0000}"/>
    <cellStyle name="Normal 6 2 4 2 3 3 2" xfId="30158" xr:uid="{00000000-0005-0000-0000-0000E76D0000}"/>
    <cellStyle name="Normal 6 2 4 2 3 4" xfId="21068" xr:uid="{00000000-0005-0000-0000-0000E86D0000}"/>
    <cellStyle name="Normal 6 2 4 2 4" xfId="4432" xr:uid="{00000000-0005-0000-0000-0000E96D0000}"/>
    <cellStyle name="Normal 6 2 4 2 4 2" xfId="8988" xr:uid="{00000000-0005-0000-0000-0000EA6D0000}"/>
    <cellStyle name="Normal 6 2 4 2 4 2 2" xfId="18084" xr:uid="{00000000-0005-0000-0000-0000EB6D0000}"/>
    <cellStyle name="Normal 6 2 4 2 4 2 2 2" xfId="36266" xr:uid="{00000000-0005-0000-0000-0000EC6D0000}"/>
    <cellStyle name="Normal 6 2 4 2 4 2 3" xfId="27176" xr:uid="{00000000-0005-0000-0000-0000ED6D0000}"/>
    <cellStyle name="Normal 6 2 4 2 4 3" xfId="13544" xr:uid="{00000000-0005-0000-0000-0000EE6D0000}"/>
    <cellStyle name="Normal 6 2 4 2 4 3 2" xfId="31726" xr:uid="{00000000-0005-0000-0000-0000EF6D0000}"/>
    <cellStyle name="Normal 6 2 4 2 4 4" xfId="22636" xr:uid="{00000000-0005-0000-0000-0000F06D0000}"/>
    <cellStyle name="Normal 6 2 4 2 5" xfId="6071" xr:uid="{00000000-0005-0000-0000-0000F16D0000}"/>
    <cellStyle name="Normal 6 2 4 2 5 2" xfId="15171" xr:uid="{00000000-0005-0000-0000-0000F26D0000}"/>
    <cellStyle name="Normal 6 2 4 2 5 2 2" xfId="33353" xr:uid="{00000000-0005-0000-0000-0000F36D0000}"/>
    <cellStyle name="Normal 6 2 4 2 5 3" xfId="24263" xr:uid="{00000000-0005-0000-0000-0000F46D0000}"/>
    <cellStyle name="Normal 6 2 4 2 6" xfId="10637" xr:uid="{00000000-0005-0000-0000-0000F56D0000}"/>
    <cellStyle name="Normal 6 2 4 2 6 2" xfId="28819" xr:uid="{00000000-0005-0000-0000-0000F66D0000}"/>
    <cellStyle name="Normal 6 2 4 2 7" xfId="19728" xr:uid="{00000000-0005-0000-0000-0000F76D0000}"/>
    <cellStyle name="Normal 6 2 4 3" xfId="1434" xr:uid="{00000000-0005-0000-0000-0000F86D0000}"/>
    <cellStyle name="Normal 6 2 4 3 2" xfId="2832" xr:uid="{00000000-0005-0000-0000-0000F96D0000}"/>
    <cellStyle name="Normal 6 2 4 3 2 2" xfId="7413" xr:uid="{00000000-0005-0000-0000-0000FA6D0000}"/>
    <cellStyle name="Normal 6 2 4 3 2 2 2" xfId="16513" xr:uid="{00000000-0005-0000-0000-0000FB6D0000}"/>
    <cellStyle name="Normal 6 2 4 3 2 2 2 2" xfId="34695" xr:uid="{00000000-0005-0000-0000-0000FC6D0000}"/>
    <cellStyle name="Normal 6 2 4 3 2 2 3" xfId="25605" xr:uid="{00000000-0005-0000-0000-0000FD6D0000}"/>
    <cellStyle name="Normal 6 2 4 3 2 3" xfId="11977" xr:uid="{00000000-0005-0000-0000-0000FE6D0000}"/>
    <cellStyle name="Normal 6 2 4 3 2 3 2" xfId="30159" xr:uid="{00000000-0005-0000-0000-0000FF6D0000}"/>
    <cellStyle name="Normal 6 2 4 3 2 4" xfId="21069" xr:uid="{00000000-0005-0000-0000-0000006E0000}"/>
    <cellStyle name="Normal 6 2 4 3 3" xfId="4434" xr:uid="{00000000-0005-0000-0000-0000016E0000}"/>
    <cellStyle name="Normal 6 2 4 3 3 2" xfId="8990" xr:uid="{00000000-0005-0000-0000-0000026E0000}"/>
    <cellStyle name="Normal 6 2 4 3 3 2 2" xfId="18086" xr:uid="{00000000-0005-0000-0000-0000036E0000}"/>
    <cellStyle name="Normal 6 2 4 3 3 2 2 2" xfId="36268" xr:uid="{00000000-0005-0000-0000-0000046E0000}"/>
    <cellStyle name="Normal 6 2 4 3 3 2 3" xfId="27178" xr:uid="{00000000-0005-0000-0000-0000056E0000}"/>
    <cellStyle name="Normal 6 2 4 3 3 3" xfId="13546" xr:uid="{00000000-0005-0000-0000-0000066E0000}"/>
    <cellStyle name="Normal 6 2 4 3 3 3 2" xfId="31728" xr:uid="{00000000-0005-0000-0000-0000076E0000}"/>
    <cellStyle name="Normal 6 2 4 3 3 4" xfId="22638" xr:uid="{00000000-0005-0000-0000-0000086E0000}"/>
    <cellStyle name="Normal 6 2 4 3 4" xfId="6073" xr:uid="{00000000-0005-0000-0000-0000096E0000}"/>
    <cellStyle name="Normal 6 2 4 3 4 2" xfId="15173" xr:uid="{00000000-0005-0000-0000-00000A6E0000}"/>
    <cellStyle name="Normal 6 2 4 3 4 2 2" xfId="33355" xr:uid="{00000000-0005-0000-0000-00000B6E0000}"/>
    <cellStyle name="Normal 6 2 4 3 4 3" xfId="24265" xr:uid="{00000000-0005-0000-0000-00000C6E0000}"/>
    <cellStyle name="Normal 6 2 4 3 5" xfId="10639" xr:uid="{00000000-0005-0000-0000-00000D6E0000}"/>
    <cellStyle name="Normal 6 2 4 3 5 2" xfId="28821" xr:uid="{00000000-0005-0000-0000-00000E6E0000}"/>
    <cellStyle name="Normal 6 2 4 3 6" xfId="19730" xr:uid="{00000000-0005-0000-0000-00000F6E0000}"/>
    <cellStyle name="Normal 6 2 4 4" xfId="1435" xr:uid="{00000000-0005-0000-0000-0000106E0000}"/>
    <cellStyle name="Normal 6 2 4 4 2" xfId="4435" xr:uid="{00000000-0005-0000-0000-0000116E0000}"/>
    <cellStyle name="Normal 6 2 4 4 2 2" xfId="8991" xr:uid="{00000000-0005-0000-0000-0000126E0000}"/>
    <cellStyle name="Normal 6 2 4 4 2 2 2" xfId="18087" xr:uid="{00000000-0005-0000-0000-0000136E0000}"/>
    <cellStyle name="Normal 6 2 4 4 2 2 2 2" xfId="36269" xr:uid="{00000000-0005-0000-0000-0000146E0000}"/>
    <cellStyle name="Normal 6 2 4 4 2 2 3" xfId="27179" xr:uid="{00000000-0005-0000-0000-0000156E0000}"/>
    <cellStyle name="Normal 6 2 4 4 2 3" xfId="13547" xr:uid="{00000000-0005-0000-0000-0000166E0000}"/>
    <cellStyle name="Normal 6 2 4 4 2 3 2" xfId="31729" xr:uid="{00000000-0005-0000-0000-0000176E0000}"/>
    <cellStyle name="Normal 6 2 4 4 2 4" xfId="22639" xr:uid="{00000000-0005-0000-0000-0000186E0000}"/>
    <cellStyle name="Normal 6 2 4 4 3" xfId="6074" xr:uid="{00000000-0005-0000-0000-0000196E0000}"/>
    <cellStyle name="Normal 6 2 4 4 3 2" xfId="15174" xr:uid="{00000000-0005-0000-0000-00001A6E0000}"/>
    <cellStyle name="Normal 6 2 4 4 3 2 2" xfId="33356" xr:uid="{00000000-0005-0000-0000-00001B6E0000}"/>
    <cellStyle name="Normal 6 2 4 4 3 3" xfId="24266" xr:uid="{00000000-0005-0000-0000-00001C6E0000}"/>
    <cellStyle name="Normal 6 2 4 4 4" xfId="10640" xr:uid="{00000000-0005-0000-0000-00001D6E0000}"/>
    <cellStyle name="Normal 6 2 4 4 4 2" xfId="28822" xr:uid="{00000000-0005-0000-0000-00001E6E0000}"/>
    <cellStyle name="Normal 6 2 4 4 5" xfId="19731" xr:uid="{00000000-0005-0000-0000-00001F6E0000}"/>
    <cellStyle name="Normal 6 2 4 5" xfId="2833" xr:uid="{00000000-0005-0000-0000-0000206E0000}"/>
    <cellStyle name="Normal 6 2 4 5 2" xfId="7414" xr:uid="{00000000-0005-0000-0000-0000216E0000}"/>
    <cellStyle name="Normal 6 2 4 5 2 2" xfId="16514" xr:uid="{00000000-0005-0000-0000-0000226E0000}"/>
    <cellStyle name="Normal 6 2 4 5 2 2 2" xfId="34696" xr:uid="{00000000-0005-0000-0000-0000236E0000}"/>
    <cellStyle name="Normal 6 2 4 5 2 3" xfId="25606" xr:uid="{00000000-0005-0000-0000-0000246E0000}"/>
    <cellStyle name="Normal 6 2 4 5 3" xfId="11978" xr:uid="{00000000-0005-0000-0000-0000256E0000}"/>
    <cellStyle name="Normal 6 2 4 5 3 2" xfId="30160" xr:uid="{00000000-0005-0000-0000-0000266E0000}"/>
    <cellStyle name="Normal 6 2 4 5 4" xfId="21070" xr:uid="{00000000-0005-0000-0000-0000276E0000}"/>
    <cellStyle name="Normal 6 2 4 6" xfId="4431" xr:uid="{00000000-0005-0000-0000-0000286E0000}"/>
    <cellStyle name="Normal 6 2 4 6 2" xfId="8987" xr:uid="{00000000-0005-0000-0000-0000296E0000}"/>
    <cellStyle name="Normal 6 2 4 6 2 2" xfId="18083" xr:uid="{00000000-0005-0000-0000-00002A6E0000}"/>
    <cellStyle name="Normal 6 2 4 6 2 2 2" xfId="36265" xr:uid="{00000000-0005-0000-0000-00002B6E0000}"/>
    <cellStyle name="Normal 6 2 4 6 2 3" xfId="27175" xr:uid="{00000000-0005-0000-0000-00002C6E0000}"/>
    <cellStyle name="Normal 6 2 4 6 3" xfId="13543" xr:uid="{00000000-0005-0000-0000-00002D6E0000}"/>
    <cellStyle name="Normal 6 2 4 6 3 2" xfId="31725" xr:uid="{00000000-0005-0000-0000-00002E6E0000}"/>
    <cellStyle name="Normal 6 2 4 6 4" xfId="22635" xr:uid="{00000000-0005-0000-0000-00002F6E0000}"/>
    <cellStyle name="Normal 6 2 4 7" xfId="6070" xr:uid="{00000000-0005-0000-0000-0000306E0000}"/>
    <cellStyle name="Normal 6 2 4 7 2" xfId="15170" xr:uid="{00000000-0005-0000-0000-0000316E0000}"/>
    <cellStyle name="Normal 6 2 4 7 2 2" xfId="33352" xr:uid="{00000000-0005-0000-0000-0000326E0000}"/>
    <cellStyle name="Normal 6 2 4 7 3" xfId="24262" xr:uid="{00000000-0005-0000-0000-0000336E0000}"/>
    <cellStyle name="Normal 6 2 4 8" xfId="10636" xr:uid="{00000000-0005-0000-0000-0000346E0000}"/>
    <cellStyle name="Normal 6 2 4 8 2" xfId="28818" xr:uid="{00000000-0005-0000-0000-0000356E0000}"/>
    <cellStyle name="Normal 6 2 4 9" xfId="19727" xr:uid="{00000000-0005-0000-0000-0000366E0000}"/>
    <cellStyle name="Normal 6 2 5" xfId="1436" xr:uid="{00000000-0005-0000-0000-0000376E0000}"/>
    <cellStyle name="Normal 6 2 5 2" xfId="1437" xr:uid="{00000000-0005-0000-0000-0000386E0000}"/>
    <cellStyle name="Normal 6 2 5 2 2" xfId="2834" xr:uid="{00000000-0005-0000-0000-0000396E0000}"/>
    <cellStyle name="Normal 6 2 5 2 2 2" xfId="7415" xr:uid="{00000000-0005-0000-0000-00003A6E0000}"/>
    <cellStyle name="Normal 6 2 5 2 2 2 2" xfId="16515" xr:uid="{00000000-0005-0000-0000-00003B6E0000}"/>
    <cellStyle name="Normal 6 2 5 2 2 2 2 2" xfId="34697" xr:uid="{00000000-0005-0000-0000-00003C6E0000}"/>
    <cellStyle name="Normal 6 2 5 2 2 2 3" xfId="25607" xr:uid="{00000000-0005-0000-0000-00003D6E0000}"/>
    <cellStyle name="Normal 6 2 5 2 2 3" xfId="11979" xr:uid="{00000000-0005-0000-0000-00003E6E0000}"/>
    <cellStyle name="Normal 6 2 5 2 2 3 2" xfId="30161" xr:uid="{00000000-0005-0000-0000-00003F6E0000}"/>
    <cellStyle name="Normal 6 2 5 2 2 4" xfId="21071" xr:uid="{00000000-0005-0000-0000-0000406E0000}"/>
    <cellStyle name="Normal 6 2 5 2 3" xfId="4437" xr:uid="{00000000-0005-0000-0000-0000416E0000}"/>
    <cellStyle name="Normal 6 2 5 2 3 2" xfId="8993" xr:uid="{00000000-0005-0000-0000-0000426E0000}"/>
    <cellStyle name="Normal 6 2 5 2 3 2 2" xfId="18089" xr:uid="{00000000-0005-0000-0000-0000436E0000}"/>
    <cellStyle name="Normal 6 2 5 2 3 2 2 2" xfId="36271" xr:uid="{00000000-0005-0000-0000-0000446E0000}"/>
    <cellStyle name="Normal 6 2 5 2 3 2 3" xfId="27181" xr:uid="{00000000-0005-0000-0000-0000456E0000}"/>
    <cellStyle name="Normal 6 2 5 2 3 3" xfId="13549" xr:uid="{00000000-0005-0000-0000-0000466E0000}"/>
    <cellStyle name="Normal 6 2 5 2 3 3 2" xfId="31731" xr:uid="{00000000-0005-0000-0000-0000476E0000}"/>
    <cellStyle name="Normal 6 2 5 2 3 4" xfId="22641" xr:uid="{00000000-0005-0000-0000-0000486E0000}"/>
    <cellStyle name="Normal 6 2 5 2 4" xfId="6076" xr:uid="{00000000-0005-0000-0000-0000496E0000}"/>
    <cellStyle name="Normal 6 2 5 2 4 2" xfId="15176" xr:uid="{00000000-0005-0000-0000-00004A6E0000}"/>
    <cellStyle name="Normal 6 2 5 2 4 2 2" xfId="33358" xr:uid="{00000000-0005-0000-0000-00004B6E0000}"/>
    <cellStyle name="Normal 6 2 5 2 4 3" xfId="24268" xr:uid="{00000000-0005-0000-0000-00004C6E0000}"/>
    <cellStyle name="Normal 6 2 5 2 5" xfId="10642" xr:uid="{00000000-0005-0000-0000-00004D6E0000}"/>
    <cellStyle name="Normal 6 2 5 2 5 2" xfId="28824" xr:uid="{00000000-0005-0000-0000-00004E6E0000}"/>
    <cellStyle name="Normal 6 2 5 2 6" xfId="19733" xr:uid="{00000000-0005-0000-0000-00004F6E0000}"/>
    <cellStyle name="Normal 6 2 5 3" xfId="2835" xr:uid="{00000000-0005-0000-0000-0000506E0000}"/>
    <cellStyle name="Normal 6 2 5 3 2" xfId="7416" xr:uid="{00000000-0005-0000-0000-0000516E0000}"/>
    <cellStyle name="Normal 6 2 5 3 2 2" xfId="16516" xr:uid="{00000000-0005-0000-0000-0000526E0000}"/>
    <cellStyle name="Normal 6 2 5 3 2 2 2" xfId="34698" xr:uid="{00000000-0005-0000-0000-0000536E0000}"/>
    <cellStyle name="Normal 6 2 5 3 2 3" xfId="25608" xr:uid="{00000000-0005-0000-0000-0000546E0000}"/>
    <cellStyle name="Normal 6 2 5 3 3" xfId="11980" xr:uid="{00000000-0005-0000-0000-0000556E0000}"/>
    <cellStyle name="Normal 6 2 5 3 3 2" xfId="30162" xr:uid="{00000000-0005-0000-0000-0000566E0000}"/>
    <cellStyle name="Normal 6 2 5 3 4" xfId="21072" xr:uid="{00000000-0005-0000-0000-0000576E0000}"/>
    <cellStyle name="Normal 6 2 5 4" xfId="4436" xr:uid="{00000000-0005-0000-0000-0000586E0000}"/>
    <cellStyle name="Normal 6 2 5 4 2" xfId="8992" xr:uid="{00000000-0005-0000-0000-0000596E0000}"/>
    <cellStyle name="Normal 6 2 5 4 2 2" xfId="18088" xr:uid="{00000000-0005-0000-0000-00005A6E0000}"/>
    <cellStyle name="Normal 6 2 5 4 2 2 2" xfId="36270" xr:uid="{00000000-0005-0000-0000-00005B6E0000}"/>
    <cellStyle name="Normal 6 2 5 4 2 3" xfId="27180" xr:uid="{00000000-0005-0000-0000-00005C6E0000}"/>
    <cellStyle name="Normal 6 2 5 4 3" xfId="13548" xr:uid="{00000000-0005-0000-0000-00005D6E0000}"/>
    <cellStyle name="Normal 6 2 5 4 3 2" xfId="31730" xr:uid="{00000000-0005-0000-0000-00005E6E0000}"/>
    <cellStyle name="Normal 6 2 5 4 4" xfId="22640" xr:uid="{00000000-0005-0000-0000-00005F6E0000}"/>
    <cellStyle name="Normal 6 2 5 5" xfId="6075" xr:uid="{00000000-0005-0000-0000-0000606E0000}"/>
    <cellStyle name="Normal 6 2 5 5 2" xfId="15175" xr:uid="{00000000-0005-0000-0000-0000616E0000}"/>
    <cellStyle name="Normal 6 2 5 5 2 2" xfId="33357" xr:uid="{00000000-0005-0000-0000-0000626E0000}"/>
    <cellStyle name="Normal 6 2 5 5 3" xfId="24267" xr:uid="{00000000-0005-0000-0000-0000636E0000}"/>
    <cellStyle name="Normal 6 2 5 6" xfId="10641" xr:uid="{00000000-0005-0000-0000-0000646E0000}"/>
    <cellStyle name="Normal 6 2 5 6 2" xfId="28823" xr:uid="{00000000-0005-0000-0000-0000656E0000}"/>
    <cellStyle name="Normal 6 2 5 7" xfId="19732" xr:uid="{00000000-0005-0000-0000-0000666E0000}"/>
    <cellStyle name="Normal 6 2 6" xfId="1438" xr:uid="{00000000-0005-0000-0000-0000676E0000}"/>
    <cellStyle name="Normal 6 2 6 2" xfId="2836" xr:uid="{00000000-0005-0000-0000-0000686E0000}"/>
    <cellStyle name="Normal 6 2 6 2 2" xfId="7417" xr:uid="{00000000-0005-0000-0000-0000696E0000}"/>
    <cellStyle name="Normal 6 2 6 2 2 2" xfId="16517" xr:uid="{00000000-0005-0000-0000-00006A6E0000}"/>
    <cellStyle name="Normal 6 2 6 2 2 2 2" xfId="34699" xr:uid="{00000000-0005-0000-0000-00006B6E0000}"/>
    <cellStyle name="Normal 6 2 6 2 2 3" xfId="25609" xr:uid="{00000000-0005-0000-0000-00006C6E0000}"/>
    <cellStyle name="Normal 6 2 6 2 3" xfId="11981" xr:uid="{00000000-0005-0000-0000-00006D6E0000}"/>
    <cellStyle name="Normal 6 2 6 2 3 2" xfId="30163" xr:uid="{00000000-0005-0000-0000-00006E6E0000}"/>
    <cellStyle name="Normal 6 2 6 2 4" xfId="21073" xr:uid="{00000000-0005-0000-0000-00006F6E0000}"/>
    <cellStyle name="Normal 6 2 6 3" xfId="4438" xr:uid="{00000000-0005-0000-0000-0000706E0000}"/>
    <cellStyle name="Normal 6 2 6 3 2" xfId="8994" xr:uid="{00000000-0005-0000-0000-0000716E0000}"/>
    <cellStyle name="Normal 6 2 6 3 2 2" xfId="18090" xr:uid="{00000000-0005-0000-0000-0000726E0000}"/>
    <cellStyle name="Normal 6 2 6 3 2 2 2" xfId="36272" xr:uid="{00000000-0005-0000-0000-0000736E0000}"/>
    <cellStyle name="Normal 6 2 6 3 2 3" xfId="27182" xr:uid="{00000000-0005-0000-0000-0000746E0000}"/>
    <cellStyle name="Normal 6 2 6 3 3" xfId="13550" xr:uid="{00000000-0005-0000-0000-0000756E0000}"/>
    <cellStyle name="Normal 6 2 6 3 3 2" xfId="31732" xr:uid="{00000000-0005-0000-0000-0000766E0000}"/>
    <cellStyle name="Normal 6 2 6 3 4" xfId="22642" xr:uid="{00000000-0005-0000-0000-0000776E0000}"/>
    <cellStyle name="Normal 6 2 6 4" xfId="6077" xr:uid="{00000000-0005-0000-0000-0000786E0000}"/>
    <cellStyle name="Normal 6 2 6 4 2" xfId="15177" xr:uid="{00000000-0005-0000-0000-0000796E0000}"/>
    <cellStyle name="Normal 6 2 6 4 2 2" xfId="33359" xr:uid="{00000000-0005-0000-0000-00007A6E0000}"/>
    <cellStyle name="Normal 6 2 6 4 3" xfId="24269" xr:uid="{00000000-0005-0000-0000-00007B6E0000}"/>
    <cellStyle name="Normal 6 2 6 5" xfId="10643" xr:uid="{00000000-0005-0000-0000-00007C6E0000}"/>
    <cellStyle name="Normal 6 2 6 5 2" xfId="28825" xr:uid="{00000000-0005-0000-0000-00007D6E0000}"/>
    <cellStyle name="Normal 6 2 6 6" xfId="19734" xr:uid="{00000000-0005-0000-0000-00007E6E0000}"/>
    <cellStyle name="Normal 6 2 7" xfId="1439" xr:uid="{00000000-0005-0000-0000-00007F6E0000}"/>
    <cellStyle name="Normal 6 2 7 2" xfId="4439" xr:uid="{00000000-0005-0000-0000-0000806E0000}"/>
    <cellStyle name="Normal 6 2 7 2 2" xfId="8995" xr:uid="{00000000-0005-0000-0000-0000816E0000}"/>
    <cellStyle name="Normal 6 2 7 2 2 2" xfId="18091" xr:uid="{00000000-0005-0000-0000-0000826E0000}"/>
    <cellStyle name="Normal 6 2 7 2 2 2 2" xfId="36273" xr:uid="{00000000-0005-0000-0000-0000836E0000}"/>
    <cellStyle name="Normal 6 2 7 2 2 3" xfId="27183" xr:uid="{00000000-0005-0000-0000-0000846E0000}"/>
    <cellStyle name="Normal 6 2 7 2 3" xfId="13551" xr:uid="{00000000-0005-0000-0000-0000856E0000}"/>
    <cellStyle name="Normal 6 2 7 2 3 2" xfId="31733" xr:uid="{00000000-0005-0000-0000-0000866E0000}"/>
    <cellStyle name="Normal 6 2 7 2 4" xfId="22643" xr:uid="{00000000-0005-0000-0000-0000876E0000}"/>
    <cellStyle name="Normal 6 2 7 3" xfId="6078" xr:uid="{00000000-0005-0000-0000-0000886E0000}"/>
    <cellStyle name="Normal 6 2 7 3 2" xfId="15178" xr:uid="{00000000-0005-0000-0000-0000896E0000}"/>
    <cellStyle name="Normal 6 2 7 3 2 2" xfId="33360" xr:uid="{00000000-0005-0000-0000-00008A6E0000}"/>
    <cellStyle name="Normal 6 2 7 3 3" xfId="24270" xr:uid="{00000000-0005-0000-0000-00008B6E0000}"/>
    <cellStyle name="Normal 6 2 7 4" xfId="10644" xr:uid="{00000000-0005-0000-0000-00008C6E0000}"/>
    <cellStyle name="Normal 6 2 7 4 2" xfId="28826" xr:uid="{00000000-0005-0000-0000-00008D6E0000}"/>
    <cellStyle name="Normal 6 2 7 5" xfId="19735" xr:uid="{00000000-0005-0000-0000-00008E6E0000}"/>
    <cellStyle name="Normal 6 2 8" xfId="2837" xr:uid="{00000000-0005-0000-0000-00008F6E0000}"/>
    <cellStyle name="Normal 6 2 8 2" xfId="7418" xr:uid="{00000000-0005-0000-0000-0000906E0000}"/>
    <cellStyle name="Normal 6 2 8 2 2" xfId="16518" xr:uid="{00000000-0005-0000-0000-0000916E0000}"/>
    <cellStyle name="Normal 6 2 8 2 2 2" xfId="34700" xr:uid="{00000000-0005-0000-0000-0000926E0000}"/>
    <cellStyle name="Normal 6 2 8 2 3" xfId="25610" xr:uid="{00000000-0005-0000-0000-0000936E0000}"/>
    <cellStyle name="Normal 6 2 8 3" xfId="11982" xr:uid="{00000000-0005-0000-0000-0000946E0000}"/>
    <cellStyle name="Normal 6 2 8 3 2" xfId="30164" xr:uid="{00000000-0005-0000-0000-0000956E0000}"/>
    <cellStyle name="Normal 6 2 8 4" xfId="21074" xr:uid="{00000000-0005-0000-0000-0000966E0000}"/>
    <cellStyle name="Normal 6 2 9" xfId="3175" xr:uid="{00000000-0005-0000-0000-0000976E0000}"/>
    <cellStyle name="Normal 6 2 9 2" xfId="7735" xr:uid="{00000000-0005-0000-0000-0000986E0000}"/>
    <cellStyle name="Normal 6 2 9 2 2" xfId="16831" xr:uid="{00000000-0005-0000-0000-0000996E0000}"/>
    <cellStyle name="Normal 6 2 9 2 2 2" xfId="35013" xr:uid="{00000000-0005-0000-0000-00009A6E0000}"/>
    <cellStyle name="Normal 6 2 9 2 3" xfId="25923" xr:uid="{00000000-0005-0000-0000-00009B6E0000}"/>
    <cellStyle name="Normal 6 2 9 3" xfId="12291" xr:uid="{00000000-0005-0000-0000-00009C6E0000}"/>
    <cellStyle name="Normal 6 2 9 3 2" xfId="30473" xr:uid="{00000000-0005-0000-0000-00009D6E0000}"/>
    <cellStyle name="Normal 6 2 9 4" xfId="21383" xr:uid="{00000000-0005-0000-0000-00009E6E0000}"/>
    <cellStyle name="Normal 6 3" xfId="82" xr:uid="{00000000-0005-0000-0000-00009F6E0000}"/>
    <cellStyle name="Normal 6 3 10" xfId="9409" xr:uid="{00000000-0005-0000-0000-0000A06E0000}"/>
    <cellStyle name="Normal 6 3 10 2" xfId="27591" xr:uid="{00000000-0005-0000-0000-0000A16E0000}"/>
    <cellStyle name="Normal 6 3 11" xfId="18500" xr:uid="{00000000-0005-0000-0000-0000A26E0000}"/>
    <cellStyle name="Normal 6 3 2" xfId="1440" xr:uid="{00000000-0005-0000-0000-0000A36E0000}"/>
    <cellStyle name="Normal 6 3 2 10" xfId="19736" xr:uid="{00000000-0005-0000-0000-0000A46E0000}"/>
    <cellStyle name="Normal 6 3 2 2" xfId="1441" xr:uid="{00000000-0005-0000-0000-0000A56E0000}"/>
    <cellStyle name="Normal 6 3 2 2 2" xfId="1442" xr:uid="{00000000-0005-0000-0000-0000A66E0000}"/>
    <cellStyle name="Normal 6 3 2 2 2 2" xfId="1443" xr:uid="{00000000-0005-0000-0000-0000A76E0000}"/>
    <cellStyle name="Normal 6 3 2 2 2 2 2" xfId="2838" xr:uid="{00000000-0005-0000-0000-0000A86E0000}"/>
    <cellStyle name="Normal 6 3 2 2 2 2 2 2" xfId="7419" xr:uid="{00000000-0005-0000-0000-0000A96E0000}"/>
    <cellStyle name="Normal 6 3 2 2 2 2 2 2 2" xfId="16519" xr:uid="{00000000-0005-0000-0000-0000AA6E0000}"/>
    <cellStyle name="Normal 6 3 2 2 2 2 2 2 2 2" xfId="34701" xr:uid="{00000000-0005-0000-0000-0000AB6E0000}"/>
    <cellStyle name="Normal 6 3 2 2 2 2 2 2 3" xfId="25611" xr:uid="{00000000-0005-0000-0000-0000AC6E0000}"/>
    <cellStyle name="Normal 6 3 2 2 2 2 2 3" xfId="11983" xr:uid="{00000000-0005-0000-0000-0000AD6E0000}"/>
    <cellStyle name="Normal 6 3 2 2 2 2 2 3 2" xfId="30165" xr:uid="{00000000-0005-0000-0000-0000AE6E0000}"/>
    <cellStyle name="Normal 6 3 2 2 2 2 2 4" xfId="21075" xr:uid="{00000000-0005-0000-0000-0000AF6E0000}"/>
    <cellStyle name="Normal 6 3 2 2 2 2 3" xfId="4443" xr:uid="{00000000-0005-0000-0000-0000B06E0000}"/>
    <cellStyle name="Normal 6 3 2 2 2 2 3 2" xfId="8999" xr:uid="{00000000-0005-0000-0000-0000B16E0000}"/>
    <cellStyle name="Normal 6 3 2 2 2 2 3 2 2" xfId="18095" xr:uid="{00000000-0005-0000-0000-0000B26E0000}"/>
    <cellStyle name="Normal 6 3 2 2 2 2 3 2 2 2" xfId="36277" xr:uid="{00000000-0005-0000-0000-0000B36E0000}"/>
    <cellStyle name="Normal 6 3 2 2 2 2 3 2 3" xfId="27187" xr:uid="{00000000-0005-0000-0000-0000B46E0000}"/>
    <cellStyle name="Normal 6 3 2 2 2 2 3 3" xfId="13555" xr:uid="{00000000-0005-0000-0000-0000B56E0000}"/>
    <cellStyle name="Normal 6 3 2 2 2 2 3 3 2" xfId="31737" xr:uid="{00000000-0005-0000-0000-0000B66E0000}"/>
    <cellStyle name="Normal 6 3 2 2 2 2 3 4" xfId="22647" xr:uid="{00000000-0005-0000-0000-0000B76E0000}"/>
    <cellStyle name="Normal 6 3 2 2 2 2 4" xfId="6082" xr:uid="{00000000-0005-0000-0000-0000B86E0000}"/>
    <cellStyle name="Normal 6 3 2 2 2 2 4 2" xfId="15182" xr:uid="{00000000-0005-0000-0000-0000B96E0000}"/>
    <cellStyle name="Normal 6 3 2 2 2 2 4 2 2" xfId="33364" xr:uid="{00000000-0005-0000-0000-0000BA6E0000}"/>
    <cellStyle name="Normal 6 3 2 2 2 2 4 3" xfId="24274" xr:uid="{00000000-0005-0000-0000-0000BB6E0000}"/>
    <cellStyle name="Normal 6 3 2 2 2 2 5" xfId="10648" xr:uid="{00000000-0005-0000-0000-0000BC6E0000}"/>
    <cellStyle name="Normal 6 3 2 2 2 2 5 2" xfId="28830" xr:uid="{00000000-0005-0000-0000-0000BD6E0000}"/>
    <cellStyle name="Normal 6 3 2 2 2 2 6" xfId="19739" xr:uid="{00000000-0005-0000-0000-0000BE6E0000}"/>
    <cellStyle name="Normal 6 3 2 2 2 3" xfId="2839" xr:uid="{00000000-0005-0000-0000-0000BF6E0000}"/>
    <cellStyle name="Normal 6 3 2 2 2 3 2" xfId="7420" xr:uid="{00000000-0005-0000-0000-0000C06E0000}"/>
    <cellStyle name="Normal 6 3 2 2 2 3 2 2" xfId="16520" xr:uid="{00000000-0005-0000-0000-0000C16E0000}"/>
    <cellStyle name="Normal 6 3 2 2 2 3 2 2 2" xfId="34702" xr:uid="{00000000-0005-0000-0000-0000C26E0000}"/>
    <cellStyle name="Normal 6 3 2 2 2 3 2 3" xfId="25612" xr:uid="{00000000-0005-0000-0000-0000C36E0000}"/>
    <cellStyle name="Normal 6 3 2 2 2 3 3" xfId="11984" xr:uid="{00000000-0005-0000-0000-0000C46E0000}"/>
    <cellStyle name="Normal 6 3 2 2 2 3 3 2" xfId="30166" xr:uid="{00000000-0005-0000-0000-0000C56E0000}"/>
    <cellStyle name="Normal 6 3 2 2 2 3 4" xfId="21076" xr:uid="{00000000-0005-0000-0000-0000C66E0000}"/>
    <cellStyle name="Normal 6 3 2 2 2 4" xfId="4442" xr:uid="{00000000-0005-0000-0000-0000C76E0000}"/>
    <cellStyle name="Normal 6 3 2 2 2 4 2" xfId="8998" xr:uid="{00000000-0005-0000-0000-0000C86E0000}"/>
    <cellStyle name="Normal 6 3 2 2 2 4 2 2" xfId="18094" xr:uid="{00000000-0005-0000-0000-0000C96E0000}"/>
    <cellStyle name="Normal 6 3 2 2 2 4 2 2 2" xfId="36276" xr:uid="{00000000-0005-0000-0000-0000CA6E0000}"/>
    <cellStyle name="Normal 6 3 2 2 2 4 2 3" xfId="27186" xr:uid="{00000000-0005-0000-0000-0000CB6E0000}"/>
    <cellStyle name="Normal 6 3 2 2 2 4 3" xfId="13554" xr:uid="{00000000-0005-0000-0000-0000CC6E0000}"/>
    <cellStyle name="Normal 6 3 2 2 2 4 3 2" xfId="31736" xr:uid="{00000000-0005-0000-0000-0000CD6E0000}"/>
    <cellStyle name="Normal 6 3 2 2 2 4 4" xfId="22646" xr:uid="{00000000-0005-0000-0000-0000CE6E0000}"/>
    <cellStyle name="Normal 6 3 2 2 2 5" xfId="6081" xr:uid="{00000000-0005-0000-0000-0000CF6E0000}"/>
    <cellStyle name="Normal 6 3 2 2 2 5 2" xfId="15181" xr:uid="{00000000-0005-0000-0000-0000D06E0000}"/>
    <cellStyle name="Normal 6 3 2 2 2 5 2 2" xfId="33363" xr:uid="{00000000-0005-0000-0000-0000D16E0000}"/>
    <cellStyle name="Normal 6 3 2 2 2 5 3" xfId="24273" xr:uid="{00000000-0005-0000-0000-0000D26E0000}"/>
    <cellStyle name="Normal 6 3 2 2 2 6" xfId="10647" xr:uid="{00000000-0005-0000-0000-0000D36E0000}"/>
    <cellStyle name="Normal 6 3 2 2 2 6 2" xfId="28829" xr:uid="{00000000-0005-0000-0000-0000D46E0000}"/>
    <cellStyle name="Normal 6 3 2 2 2 7" xfId="19738" xr:uid="{00000000-0005-0000-0000-0000D56E0000}"/>
    <cellStyle name="Normal 6 3 2 2 3" xfId="1444" xr:uid="{00000000-0005-0000-0000-0000D66E0000}"/>
    <cellStyle name="Normal 6 3 2 2 3 2" xfId="2840" xr:uid="{00000000-0005-0000-0000-0000D76E0000}"/>
    <cellStyle name="Normal 6 3 2 2 3 2 2" xfId="7421" xr:uid="{00000000-0005-0000-0000-0000D86E0000}"/>
    <cellStyle name="Normal 6 3 2 2 3 2 2 2" xfId="16521" xr:uid="{00000000-0005-0000-0000-0000D96E0000}"/>
    <cellStyle name="Normal 6 3 2 2 3 2 2 2 2" xfId="34703" xr:uid="{00000000-0005-0000-0000-0000DA6E0000}"/>
    <cellStyle name="Normal 6 3 2 2 3 2 2 3" xfId="25613" xr:uid="{00000000-0005-0000-0000-0000DB6E0000}"/>
    <cellStyle name="Normal 6 3 2 2 3 2 3" xfId="11985" xr:uid="{00000000-0005-0000-0000-0000DC6E0000}"/>
    <cellStyle name="Normal 6 3 2 2 3 2 3 2" xfId="30167" xr:uid="{00000000-0005-0000-0000-0000DD6E0000}"/>
    <cellStyle name="Normal 6 3 2 2 3 2 4" xfId="21077" xr:uid="{00000000-0005-0000-0000-0000DE6E0000}"/>
    <cellStyle name="Normal 6 3 2 2 3 3" xfId="4444" xr:uid="{00000000-0005-0000-0000-0000DF6E0000}"/>
    <cellStyle name="Normal 6 3 2 2 3 3 2" xfId="9000" xr:uid="{00000000-0005-0000-0000-0000E06E0000}"/>
    <cellStyle name="Normal 6 3 2 2 3 3 2 2" xfId="18096" xr:uid="{00000000-0005-0000-0000-0000E16E0000}"/>
    <cellStyle name="Normal 6 3 2 2 3 3 2 2 2" xfId="36278" xr:uid="{00000000-0005-0000-0000-0000E26E0000}"/>
    <cellStyle name="Normal 6 3 2 2 3 3 2 3" xfId="27188" xr:uid="{00000000-0005-0000-0000-0000E36E0000}"/>
    <cellStyle name="Normal 6 3 2 2 3 3 3" xfId="13556" xr:uid="{00000000-0005-0000-0000-0000E46E0000}"/>
    <cellStyle name="Normal 6 3 2 2 3 3 3 2" xfId="31738" xr:uid="{00000000-0005-0000-0000-0000E56E0000}"/>
    <cellStyle name="Normal 6 3 2 2 3 3 4" xfId="22648" xr:uid="{00000000-0005-0000-0000-0000E66E0000}"/>
    <cellStyle name="Normal 6 3 2 2 3 4" xfId="6083" xr:uid="{00000000-0005-0000-0000-0000E76E0000}"/>
    <cellStyle name="Normal 6 3 2 2 3 4 2" xfId="15183" xr:uid="{00000000-0005-0000-0000-0000E86E0000}"/>
    <cellStyle name="Normal 6 3 2 2 3 4 2 2" xfId="33365" xr:uid="{00000000-0005-0000-0000-0000E96E0000}"/>
    <cellStyle name="Normal 6 3 2 2 3 4 3" xfId="24275" xr:uid="{00000000-0005-0000-0000-0000EA6E0000}"/>
    <cellStyle name="Normal 6 3 2 2 3 5" xfId="10649" xr:uid="{00000000-0005-0000-0000-0000EB6E0000}"/>
    <cellStyle name="Normal 6 3 2 2 3 5 2" xfId="28831" xr:uid="{00000000-0005-0000-0000-0000EC6E0000}"/>
    <cellStyle name="Normal 6 3 2 2 3 6" xfId="19740" xr:uid="{00000000-0005-0000-0000-0000ED6E0000}"/>
    <cellStyle name="Normal 6 3 2 2 4" xfId="1445" xr:uid="{00000000-0005-0000-0000-0000EE6E0000}"/>
    <cellStyle name="Normal 6 3 2 2 4 2" xfId="4445" xr:uid="{00000000-0005-0000-0000-0000EF6E0000}"/>
    <cellStyle name="Normal 6 3 2 2 4 2 2" xfId="9001" xr:uid="{00000000-0005-0000-0000-0000F06E0000}"/>
    <cellStyle name="Normal 6 3 2 2 4 2 2 2" xfId="18097" xr:uid="{00000000-0005-0000-0000-0000F16E0000}"/>
    <cellStyle name="Normal 6 3 2 2 4 2 2 2 2" xfId="36279" xr:uid="{00000000-0005-0000-0000-0000F26E0000}"/>
    <cellStyle name="Normal 6 3 2 2 4 2 2 3" xfId="27189" xr:uid="{00000000-0005-0000-0000-0000F36E0000}"/>
    <cellStyle name="Normal 6 3 2 2 4 2 3" xfId="13557" xr:uid="{00000000-0005-0000-0000-0000F46E0000}"/>
    <cellStyle name="Normal 6 3 2 2 4 2 3 2" xfId="31739" xr:uid="{00000000-0005-0000-0000-0000F56E0000}"/>
    <cellStyle name="Normal 6 3 2 2 4 2 4" xfId="22649" xr:uid="{00000000-0005-0000-0000-0000F66E0000}"/>
    <cellStyle name="Normal 6 3 2 2 4 3" xfId="6084" xr:uid="{00000000-0005-0000-0000-0000F76E0000}"/>
    <cellStyle name="Normal 6 3 2 2 4 3 2" xfId="15184" xr:uid="{00000000-0005-0000-0000-0000F86E0000}"/>
    <cellStyle name="Normal 6 3 2 2 4 3 2 2" xfId="33366" xr:uid="{00000000-0005-0000-0000-0000F96E0000}"/>
    <cellStyle name="Normal 6 3 2 2 4 3 3" xfId="24276" xr:uid="{00000000-0005-0000-0000-0000FA6E0000}"/>
    <cellStyle name="Normal 6 3 2 2 4 4" xfId="10650" xr:uid="{00000000-0005-0000-0000-0000FB6E0000}"/>
    <cellStyle name="Normal 6 3 2 2 4 4 2" xfId="28832" xr:uid="{00000000-0005-0000-0000-0000FC6E0000}"/>
    <cellStyle name="Normal 6 3 2 2 4 5" xfId="19741" xr:uid="{00000000-0005-0000-0000-0000FD6E0000}"/>
    <cellStyle name="Normal 6 3 2 2 5" xfId="2841" xr:uid="{00000000-0005-0000-0000-0000FE6E0000}"/>
    <cellStyle name="Normal 6 3 2 2 5 2" xfId="7422" xr:uid="{00000000-0005-0000-0000-0000FF6E0000}"/>
    <cellStyle name="Normal 6 3 2 2 5 2 2" xfId="16522" xr:uid="{00000000-0005-0000-0000-0000006F0000}"/>
    <cellStyle name="Normal 6 3 2 2 5 2 2 2" xfId="34704" xr:uid="{00000000-0005-0000-0000-0000016F0000}"/>
    <cellStyle name="Normal 6 3 2 2 5 2 3" xfId="25614" xr:uid="{00000000-0005-0000-0000-0000026F0000}"/>
    <cellStyle name="Normal 6 3 2 2 5 3" xfId="11986" xr:uid="{00000000-0005-0000-0000-0000036F0000}"/>
    <cellStyle name="Normal 6 3 2 2 5 3 2" xfId="30168" xr:uid="{00000000-0005-0000-0000-0000046F0000}"/>
    <cellStyle name="Normal 6 3 2 2 5 4" xfId="21078" xr:uid="{00000000-0005-0000-0000-0000056F0000}"/>
    <cellStyle name="Normal 6 3 2 2 6" xfId="4441" xr:uid="{00000000-0005-0000-0000-0000066F0000}"/>
    <cellStyle name="Normal 6 3 2 2 6 2" xfId="8997" xr:uid="{00000000-0005-0000-0000-0000076F0000}"/>
    <cellStyle name="Normal 6 3 2 2 6 2 2" xfId="18093" xr:uid="{00000000-0005-0000-0000-0000086F0000}"/>
    <cellStyle name="Normal 6 3 2 2 6 2 2 2" xfId="36275" xr:uid="{00000000-0005-0000-0000-0000096F0000}"/>
    <cellStyle name="Normal 6 3 2 2 6 2 3" xfId="27185" xr:uid="{00000000-0005-0000-0000-00000A6F0000}"/>
    <cellStyle name="Normal 6 3 2 2 6 3" xfId="13553" xr:uid="{00000000-0005-0000-0000-00000B6F0000}"/>
    <cellStyle name="Normal 6 3 2 2 6 3 2" xfId="31735" xr:uid="{00000000-0005-0000-0000-00000C6F0000}"/>
    <cellStyle name="Normal 6 3 2 2 6 4" xfId="22645" xr:uid="{00000000-0005-0000-0000-00000D6F0000}"/>
    <cellStyle name="Normal 6 3 2 2 7" xfId="6080" xr:uid="{00000000-0005-0000-0000-00000E6F0000}"/>
    <cellStyle name="Normal 6 3 2 2 7 2" xfId="15180" xr:uid="{00000000-0005-0000-0000-00000F6F0000}"/>
    <cellStyle name="Normal 6 3 2 2 7 2 2" xfId="33362" xr:uid="{00000000-0005-0000-0000-0000106F0000}"/>
    <cellStyle name="Normal 6 3 2 2 7 3" xfId="24272" xr:uid="{00000000-0005-0000-0000-0000116F0000}"/>
    <cellStyle name="Normal 6 3 2 2 8" xfId="10646" xr:uid="{00000000-0005-0000-0000-0000126F0000}"/>
    <cellStyle name="Normal 6 3 2 2 8 2" xfId="28828" xr:uid="{00000000-0005-0000-0000-0000136F0000}"/>
    <cellStyle name="Normal 6 3 2 2 9" xfId="19737" xr:uid="{00000000-0005-0000-0000-0000146F0000}"/>
    <cellStyle name="Normal 6 3 2 3" xfId="1446" xr:uid="{00000000-0005-0000-0000-0000156F0000}"/>
    <cellStyle name="Normal 6 3 2 3 2" xfId="1447" xr:uid="{00000000-0005-0000-0000-0000166F0000}"/>
    <cellStyle name="Normal 6 3 2 3 2 2" xfId="2842" xr:uid="{00000000-0005-0000-0000-0000176F0000}"/>
    <cellStyle name="Normal 6 3 2 3 2 2 2" xfId="7423" xr:uid="{00000000-0005-0000-0000-0000186F0000}"/>
    <cellStyle name="Normal 6 3 2 3 2 2 2 2" xfId="16523" xr:uid="{00000000-0005-0000-0000-0000196F0000}"/>
    <cellStyle name="Normal 6 3 2 3 2 2 2 2 2" xfId="34705" xr:uid="{00000000-0005-0000-0000-00001A6F0000}"/>
    <cellStyle name="Normal 6 3 2 3 2 2 2 3" xfId="25615" xr:uid="{00000000-0005-0000-0000-00001B6F0000}"/>
    <cellStyle name="Normal 6 3 2 3 2 2 3" xfId="11987" xr:uid="{00000000-0005-0000-0000-00001C6F0000}"/>
    <cellStyle name="Normal 6 3 2 3 2 2 3 2" xfId="30169" xr:uid="{00000000-0005-0000-0000-00001D6F0000}"/>
    <cellStyle name="Normal 6 3 2 3 2 2 4" xfId="21079" xr:uid="{00000000-0005-0000-0000-00001E6F0000}"/>
    <cellStyle name="Normal 6 3 2 3 2 3" xfId="4447" xr:uid="{00000000-0005-0000-0000-00001F6F0000}"/>
    <cellStyle name="Normal 6 3 2 3 2 3 2" xfId="9003" xr:uid="{00000000-0005-0000-0000-0000206F0000}"/>
    <cellStyle name="Normal 6 3 2 3 2 3 2 2" xfId="18099" xr:uid="{00000000-0005-0000-0000-0000216F0000}"/>
    <cellStyle name="Normal 6 3 2 3 2 3 2 2 2" xfId="36281" xr:uid="{00000000-0005-0000-0000-0000226F0000}"/>
    <cellStyle name="Normal 6 3 2 3 2 3 2 3" xfId="27191" xr:uid="{00000000-0005-0000-0000-0000236F0000}"/>
    <cellStyle name="Normal 6 3 2 3 2 3 3" xfId="13559" xr:uid="{00000000-0005-0000-0000-0000246F0000}"/>
    <cellStyle name="Normal 6 3 2 3 2 3 3 2" xfId="31741" xr:uid="{00000000-0005-0000-0000-0000256F0000}"/>
    <cellStyle name="Normal 6 3 2 3 2 3 4" xfId="22651" xr:uid="{00000000-0005-0000-0000-0000266F0000}"/>
    <cellStyle name="Normal 6 3 2 3 2 4" xfId="6086" xr:uid="{00000000-0005-0000-0000-0000276F0000}"/>
    <cellStyle name="Normal 6 3 2 3 2 4 2" xfId="15186" xr:uid="{00000000-0005-0000-0000-0000286F0000}"/>
    <cellStyle name="Normal 6 3 2 3 2 4 2 2" xfId="33368" xr:uid="{00000000-0005-0000-0000-0000296F0000}"/>
    <cellStyle name="Normal 6 3 2 3 2 4 3" xfId="24278" xr:uid="{00000000-0005-0000-0000-00002A6F0000}"/>
    <cellStyle name="Normal 6 3 2 3 2 5" xfId="10652" xr:uid="{00000000-0005-0000-0000-00002B6F0000}"/>
    <cellStyle name="Normal 6 3 2 3 2 5 2" xfId="28834" xr:uid="{00000000-0005-0000-0000-00002C6F0000}"/>
    <cellStyle name="Normal 6 3 2 3 2 6" xfId="19743" xr:uid="{00000000-0005-0000-0000-00002D6F0000}"/>
    <cellStyle name="Normal 6 3 2 3 3" xfId="2843" xr:uid="{00000000-0005-0000-0000-00002E6F0000}"/>
    <cellStyle name="Normal 6 3 2 3 3 2" xfId="7424" xr:uid="{00000000-0005-0000-0000-00002F6F0000}"/>
    <cellStyle name="Normal 6 3 2 3 3 2 2" xfId="16524" xr:uid="{00000000-0005-0000-0000-0000306F0000}"/>
    <cellStyle name="Normal 6 3 2 3 3 2 2 2" xfId="34706" xr:uid="{00000000-0005-0000-0000-0000316F0000}"/>
    <cellStyle name="Normal 6 3 2 3 3 2 3" xfId="25616" xr:uid="{00000000-0005-0000-0000-0000326F0000}"/>
    <cellStyle name="Normal 6 3 2 3 3 3" xfId="11988" xr:uid="{00000000-0005-0000-0000-0000336F0000}"/>
    <cellStyle name="Normal 6 3 2 3 3 3 2" xfId="30170" xr:uid="{00000000-0005-0000-0000-0000346F0000}"/>
    <cellStyle name="Normal 6 3 2 3 3 4" xfId="21080" xr:uid="{00000000-0005-0000-0000-0000356F0000}"/>
    <cellStyle name="Normal 6 3 2 3 4" xfId="4446" xr:uid="{00000000-0005-0000-0000-0000366F0000}"/>
    <cellStyle name="Normal 6 3 2 3 4 2" xfId="9002" xr:uid="{00000000-0005-0000-0000-0000376F0000}"/>
    <cellStyle name="Normal 6 3 2 3 4 2 2" xfId="18098" xr:uid="{00000000-0005-0000-0000-0000386F0000}"/>
    <cellStyle name="Normal 6 3 2 3 4 2 2 2" xfId="36280" xr:uid="{00000000-0005-0000-0000-0000396F0000}"/>
    <cellStyle name="Normal 6 3 2 3 4 2 3" xfId="27190" xr:uid="{00000000-0005-0000-0000-00003A6F0000}"/>
    <cellStyle name="Normal 6 3 2 3 4 3" xfId="13558" xr:uid="{00000000-0005-0000-0000-00003B6F0000}"/>
    <cellStyle name="Normal 6 3 2 3 4 3 2" xfId="31740" xr:uid="{00000000-0005-0000-0000-00003C6F0000}"/>
    <cellStyle name="Normal 6 3 2 3 4 4" xfId="22650" xr:uid="{00000000-0005-0000-0000-00003D6F0000}"/>
    <cellStyle name="Normal 6 3 2 3 5" xfId="6085" xr:uid="{00000000-0005-0000-0000-00003E6F0000}"/>
    <cellStyle name="Normal 6 3 2 3 5 2" xfId="15185" xr:uid="{00000000-0005-0000-0000-00003F6F0000}"/>
    <cellStyle name="Normal 6 3 2 3 5 2 2" xfId="33367" xr:uid="{00000000-0005-0000-0000-0000406F0000}"/>
    <cellStyle name="Normal 6 3 2 3 5 3" xfId="24277" xr:uid="{00000000-0005-0000-0000-0000416F0000}"/>
    <cellStyle name="Normal 6 3 2 3 6" xfId="10651" xr:uid="{00000000-0005-0000-0000-0000426F0000}"/>
    <cellStyle name="Normal 6 3 2 3 6 2" xfId="28833" xr:uid="{00000000-0005-0000-0000-0000436F0000}"/>
    <cellStyle name="Normal 6 3 2 3 7" xfId="19742" xr:uid="{00000000-0005-0000-0000-0000446F0000}"/>
    <cellStyle name="Normal 6 3 2 4" xfId="1448" xr:uid="{00000000-0005-0000-0000-0000456F0000}"/>
    <cellStyle name="Normal 6 3 2 4 2" xfId="2844" xr:uid="{00000000-0005-0000-0000-0000466F0000}"/>
    <cellStyle name="Normal 6 3 2 4 2 2" xfId="7425" xr:uid="{00000000-0005-0000-0000-0000476F0000}"/>
    <cellStyle name="Normal 6 3 2 4 2 2 2" xfId="16525" xr:uid="{00000000-0005-0000-0000-0000486F0000}"/>
    <cellStyle name="Normal 6 3 2 4 2 2 2 2" xfId="34707" xr:uid="{00000000-0005-0000-0000-0000496F0000}"/>
    <cellStyle name="Normal 6 3 2 4 2 2 3" xfId="25617" xr:uid="{00000000-0005-0000-0000-00004A6F0000}"/>
    <cellStyle name="Normal 6 3 2 4 2 3" xfId="11989" xr:uid="{00000000-0005-0000-0000-00004B6F0000}"/>
    <cellStyle name="Normal 6 3 2 4 2 3 2" xfId="30171" xr:uid="{00000000-0005-0000-0000-00004C6F0000}"/>
    <cellStyle name="Normal 6 3 2 4 2 4" xfId="21081" xr:uid="{00000000-0005-0000-0000-00004D6F0000}"/>
    <cellStyle name="Normal 6 3 2 4 3" xfId="4448" xr:uid="{00000000-0005-0000-0000-00004E6F0000}"/>
    <cellStyle name="Normal 6 3 2 4 3 2" xfId="9004" xr:uid="{00000000-0005-0000-0000-00004F6F0000}"/>
    <cellStyle name="Normal 6 3 2 4 3 2 2" xfId="18100" xr:uid="{00000000-0005-0000-0000-0000506F0000}"/>
    <cellStyle name="Normal 6 3 2 4 3 2 2 2" xfId="36282" xr:uid="{00000000-0005-0000-0000-0000516F0000}"/>
    <cellStyle name="Normal 6 3 2 4 3 2 3" xfId="27192" xr:uid="{00000000-0005-0000-0000-0000526F0000}"/>
    <cellStyle name="Normal 6 3 2 4 3 3" xfId="13560" xr:uid="{00000000-0005-0000-0000-0000536F0000}"/>
    <cellStyle name="Normal 6 3 2 4 3 3 2" xfId="31742" xr:uid="{00000000-0005-0000-0000-0000546F0000}"/>
    <cellStyle name="Normal 6 3 2 4 3 4" xfId="22652" xr:uid="{00000000-0005-0000-0000-0000556F0000}"/>
    <cellStyle name="Normal 6 3 2 4 4" xfId="6087" xr:uid="{00000000-0005-0000-0000-0000566F0000}"/>
    <cellStyle name="Normal 6 3 2 4 4 2" xfId="15187" xr:uid="{00000000-0005-0000-0000-0000576F0000}"/>
    <cellStyle name="Normal 6 3 2 4 4 2 2" xfId="33369" xr:uid="{00000000-0005-0000-0000-0000586F0000}"/>
    <cellStyle name="Normal 6 3 2 4 4 3" xfId="24279" xr:uid="{00000000-0005-0000-0000-0000596F0000}"/>
    <cellStyle name="Normal 6 3 2 4 5" xfId="10653" xr:uid="{00000000-0005-0000-0000-00005A6F0000}"/>
    <cellStyle name="Normal 6 3 2 4 5 2" xfId="28835" xr:uid="{00000000-0005-0000-0000-00005B6F0000}"/>
    <cellStyle name="Normal 6 3 2 4 6" xfId="19744" xr:uid="{00000000-0005-0000-0000-00005C6F0000}"/>
    <cellStyle name="Normal 6 3 2 5" xfId="1449" xr:uid="{00000000-0005-0000-0000-00005D6F0000}"/>
    <cellStyle name="Normal 6 3 2 5 2" xfId="4449" xr:uid="{00000000-0005-0000-0000-00005E6F0000}"/>
    <cellStyle name="Normal 6 3 2 5 2 2" xfId="9005" xr:uid="{00000000-0005-0000-0000-00005F6F0000}"/>
    <cellStyle name="Normal 6 3 2 5 2 2 2" xfId="18101" xr:uid="{00000000-0005-0000-0000-0000606F0000}"/>
    <cellStyle name="Normal 6 3 2 5 2 2 2 2" xfId="36283" xr:uid="{00000000-0005-0000-0000-0000616F0000}"/>
    <cellStyle name="Normal 6 3 2 5 2 2 3" xfId="27193" xr:uid="{00000000-0005-0000-0000-0000626F0000}"/>
    <cellStyle name="Normal 6 3 2 5 2 3" xfId="13561" xr:uid="{00000000-0005-0000-0000-0000636F0000}"/>
    <cellStyle name="Normal 6 3 2 5 2 3 2" xfId="31743" xr:uid="{00000000-0005-0000-0000-0000646F0000}"/>
    <cellStyle name="Normal 6 3 2 5 2 4" xfId="22653" xr:uid="{00000000-0005-0000-0000-0000656F0000}"/>
    <cellStyle name="Normal 6 3 2 5 3" xfId="6088" xr:uid="{00000000-0005-0000-0000-0000666F0000}"/>
    <cellStyle name="Normal 6 3 2 5 3 2" xfId="15188" xr:uid="{00000000-0005-0000-0000-0000676F0000}"/>
    <cellStyle name="Normal 6 3 2 5 3 2 2" xfId="33370" xr:uid="{00000000-0005-0000-0000-0000686F0000}"/>
    <cellStyle name="Normal 6 3 2 5 3 3" xfId="24280" xr:uid="{00000000-0005-0000-0000-0000696F0000}"/>
    <cellStyle name="Normal 6 3 2 5 4" xfId="10654" xr:uid="{00000000-0005-0000-0000-00006A6F0000}"/>
    <cellStyle name="Normal 6 3 2 5 4 2" xfId="28836" xr:uid="{00000000-0005-0000-0000-00006B6F0000}"/>
    <cellStyle name="Normal 6 3 2 5 5" xfId="19745" xr:uid="{00000000-0005-0000-0000-00006C6F0000}"/>
    <cellStyle name="Normal 6 3 2 6" xfId="2845" xr:uid="{00000000-0005-0000-0000-00006D6F0000}"/>
    <cellStyle name="Normal 6 3 2 6 2" xfId="7426" xr:uid="{00000000-0005-0000-0000-00006E6F0000}"/>
    <cellStyle name="Normal 6 3 2 6 2 2" xfId="16526" xr:uid="{00000000-0005-0000-0000-00006F6F0000}"/>
    <cellStyle name="Normal 6 3 2 6 2 2 2" xfId="34708" xr:uid="{00000000-0005-0000-0000-0000706F0000}"/>
    <cellStyle name="Normal 6 3 2 6 2 3" xfId="25618" xr:uid="{00000000-0005-0000-0000-0000716F0000}"/>
    <cellStyle name="Normal 6 3 2 6 3" xfId="11990" xr:uid="{00000000-0005-0000-0000-0000726F0000}"/>
    <cellStyle name="Normal 6 3 2 6 3 2" xfId="30172" xr:uid="{00000000-0005-0000-0000-0000736F0000}"/>
    <cellStyle name="Normal 6 3 2 6 4" xfId="21082" xr:uid="{00000000-0005-0000-0000-0000746F0000}"/>
    <cellStyle name="Normal 6 3 2 7" xfId="4440" xr:uid="{00000000-0005-0000-0000-0000756F0000}"/>
    <cellStyle name="Normal 6 3 2 7 2" xfId="8996" xr:uid="{00000000-0005-0000-0000-0000766F0000}"/>
    <cellStyle name="Normal 6 3 2 7 2 2" xfId="18092" xr:uid="{00000000-0005-0000-0000-0000776F0000}"/>
    <cellStyle name="Normal 6 3 2 7 2 2 2" xfId="36274" xr:uid="{00000000-0005-0000-0000-0000786F0000}"/>
    <cellStyle name="Normal 6 3 2 7 2 3" xfId="27184" xr:uid="{00000000-0005-0000-0000-0000796F0000}"/>
    <cellStyle name="Normal 6 3 2 7 3" xfId="13552" xr:uid="{00000000-0005-0000-0000-00007A6F0000}"/>
    <cellStyle name="Normal 6 3 2 7 3 2" xfId="31734" xr:uid="{00000000-0005-0000-0000-00007B6F0000}"/>
    <cellStyle name="Normal 6 3 2 7 4" xfId="22644" xr:uid="{00000000-0005-0000-0000-00007C6F0000}"/>
    <cellStyle name="Normal 6 3 2 8" xfId="6079" xr:uid="{00000000-0005-0000-0000-00007D6F0000}"/>
    <cellStyle name="Normal 6 3 2 8 2" xfId="15179" xr:uid="{00000000-0005-0000-0000-00007E6F0000}"/>
    <cellStyle name="Normal 6 3 2 8 2 2" xfId="33361" xr:uid="{00000000-0005-0000-0000-00007F6F0000}"/>
    <cellStyle name="Normal 6 3 2 8 3" xfId="24271" xr:uid="{00000000-0005-0000-0000-0000806F0000}"/>
    <cellStyle name="Normal 6 3 2 9" xfId="10645" xr:uid="{00000000-0005-0000-0000-0000816F0000}"/>
    <cellStyle name="Normal 6 3 2 9 2" xfId="28827" xr:uid="{00000000-0005-0000-0000-0000826F0000}"/>
    <cellStyle name="Normal 6 3 3" xfId="1450" xr:uid="{00000000-0005-0000-0000-0000836F0000}"/>
    <cellStyle name="Normal 6 3 3 2" xfId="1451" xr:uid="{00000000-0005-0000-0000-0000846F0000}"/>
    <cellStyle name="Normal 6 3 3 2 2" xfId="1452" xr:uid="{00000000-0005-0000-0000-0000856F0000}"/>
    <cellStyle name="Normal 6 3 3 2 2 2" xfId="2846" xr:uid="{00000000-0005-0000-0000-0000866F0000}"/>
    <cellStyle name="Normal 6 3 3 2 2 2 2" xfId="7427" xr:uid="{00000000-0005-0000-0000-0000876F0000}"/>
    <cellStyle name="Normal 6 3 3 2 2 2 2 2" xfId="16527" xr:uid="{00000000-0005-0000-0000-0000886F0000}"/>
    <cellStyle name="Normal 6 3 3 2 2 2 2 2 2" xfId="34709" xr:uid="{00000000-0005-0000-0000-0000896F0000}"/>
    <cellStyle name="Normal 6 3 3 2 2 2 2 3" xfId="25619" xr:uid="{00000000-0005-0000-0000-00008A6F0000}"/>
    <cellStyle name="Normal 6 3 3 2 2 2 3" xfId="11991" xr:uid="{00000000-0005-0000-0000-00008B6F0000}"/>
    <cellStyle name="Normal 6 3 3 2 2 2 3 2" xfId="30173" xr:uid="{00000000-0005-0000-0000-00008C6F0000}"/>
    <cellStyle name="Normal 6 3 3 2 2 2 4" xfId="21083" xr:uid="{00000000-0005-0000-0000-00008D6F0000}"/>
    <cellStyle name="Normal 6 3 3 2 2 3" xfId="4452" xr:uid="{00000000-0005-0000-0000-00008E6F0000}"/>
    <cellStyle name="Normal 6 3 3 2 2 3 2" xfId="9008" xr:uid="{00000000-0005-0000-0000-00008F6F0000}"/>
    <cellStyle name="Normal 6 3 3 2 2 3 2 2" xfId="18104" xr:uid="{00000000-0005-0000-0000-0000906F0000}"/>
    <cellStyle name="Normal 6 3 3 2 2 3 2 2 2" xfId="36286" xr:uid="{00000000-0005-0000-0000-0000916F0000}"/>
    <cellStyle name="Normal 6 3 3 2 2 3 2 3" xfId="27196" xr:uid="{00000000-0005-0000-0000-0000926F0000}"/>
    <cellStyle name="Normal 6 3 3 2 2 3 3" xfId="13564" xr:uid="{00000000-0005-0000-0000-0000936F0000}"/>
    <cellStyle name="Normal 6 3 3 2 2 3 3 2" xfId="31746" xr:uid="{00000000-0005-0000-0000-0000946F0000}"/>
    <cellStyle name="Normal 6 3 3 2 2 3 4" xfId="22656" xr:uid="{00000000-0005-0000-0000-0000956F0000}"/>
    <cellStyle name="Normal 6 3 3 2 2 4" xfId="6091" xr:uid="{00000000-0005-0000-0000-0000966F0000}"/>
    <cellStyle name="Normal 6 3 3 2 2 4 2" xfId="15191" xr:uid="{00000000-0005-0000-0000-0000976F0000}"/>
    <cellStyle name="Normal 6 3 3 2 2 4 2 2" xfId="33373" xr:uid="{00000000-0005-0000-0000-0000986F0000}"/>
    <cellStyle name="Normal 6 3 3 2 2 4 3" xfId="24283" xr:uid="{00000000-0005-0000-0000-0000996F0000}"/>
    <cellStyle name="Normal 6 3 3 2 2 5" xfId="10657" xr:uid="{00000000-0005-0000-0000-00009A6F0000}"/>
    <cellStyle name="Normal 6 3 3 2 2 5 2" xfId="28839" xr:uid="{00000000-0005-0000-0000-00009B6F0000}"/>
    <cellStyle name="Normal 6 3 3 2 2 6" xfId="19748" xr:uid="{00000000-0005-0000-0000-00009C6F0000}"/>
    <cellStyle name="Normal 6 3 3 2 3" xfId="2847" xr:uid="{00000000-0005-0000-0000-00009D6F0000}"/>
    <cellStyle name="Normal 6 3 3 2 3 2" xfId="7428" xr:uid="{00000000-0005-0000-0000-00009E6F0000}"/>
    <cellStyle name="Normal 6 3 3 2 3 2 2" xfId="16528" xr:uid="{00000000-0005-0000-0000-00009F6F0000}"/>
    <cellStyle name="Normal 6 3 3 2 3 2 2 2" xfId="34710" xr:uid="{00000000-0005-0000-0000-0000A06F0000}"/>
    <cellStyle name="Normal 6 3 3 2 3 2 3" xfId="25620" xr:uid="{00000000-0005-0000-0000-0000A16F0000}"/>
    <cellStyle name="Normal 6 3 3 2 3 3" xfId="11992" xr:uid="{00000000-0005-0000-0000-0000A26F0000}"/>
    <cellStyle name="Normal 6 3 3 2 3 3 2" xfId="30174" xr:uid="{00000000-0005-0000-0000-0000A36F0000}"/>
    <cellStyle name="Normal 6 3 3 2 3 4" xfId="21084" xr:uid="{00000000-0005-0000-0000-0000A46F0000}"/>
    <cellStyle name="Normal 6 3 3 2 4" xfId="4451" xr:uid="{00000000-0005-0000-0000-0000A56F0000}"/>
    <cellStyle name="Normal 6 3 3 2 4 2" xfId="9007" xr:uid="{00000000-0005-0000-0000-0000A66F0000}"/>
    <cellStyle name="Normal 6 3 3 2 4 2 2" xfId="18103" xr:uid="{00000000-0005-0000-0000-0000A76F0000}"/>
    <cellStyle name="Normal 6 3 3 2 4 2 2 2" xfId="36285" xr:uid="{00000000-0005-0000-0000-0000A86F0000}"/>
    <cellStyle name="Normal 6 3 3 2 4 2 3" xfId="27195" xr:uid="{00000000-0005-0000-0000-0000A96F0000}"/>
    <cellStyle name="Normal 6 3 3 2 4 3" xfId="13563" xr:uid="{00000000-0005-0000-0000-0000AA6F0000}"/>
    <cellStyle name="Normal 6 3 3 2 4 3 2" xfId="31745" xr:uid="{00000000-0005-0000-0000-0000AB6F0000}"/>
    <cellStyle name="Normal 6 3 3 2 4 4" xfId="22655" xr:uid="{00000000-0005-0000-0000-0000AC6F0000}"/>
    <cellStyle name="Normal 6 3 3 2 5" xfId="6090" xr:uid="{00000000-0005-0000-0000-0000AD6F0000}"/>
    <cellStyle name="Normal 6 3 3 2 5 2" xfId="15190" xr:uid="{00000000-0005-0000-0000-0000AE6F0000}"/>
    <cellStyle name="Normal 6 3 3 2 5 2 2" xfId="33372" xr:uid="{00000000-0005-0000-0000-0000AF6F0000}"/>
    <cellStyle name="Normal 6 3 3 2 5 3" xfId="24282" xr:uid="{00000000-0005-0000-0000-0000B06F0000}"/>
    <cellStyle name="Normal 6 3 3 2 6" xfId="10656" xr:uid="{00000000-0005-0000-0000-0000B16F0000}"/>
    <cellStyle name="Normal 6 3 3 2 6 2" xfId="28838" xr:uid="{00000000-0005-0000-0000-0000B26F0000}"/>
    <cellStyle name="Normal 6 3 3 2 7" xfId="19747" xr:uid="{00000000-0005-0000-0000-0000B36F0000}"/>
    <cellStyle name="Normal 6 3 3 3" xfId="1453" xr:uid="{00000000-0005-0000-0000-0000B46F0000}"/>
    <cellStyle name="Normal 6 3 3 3 2" xfId="2848" xr:uid="{00000000-0005-0000-0000-0000B56F0000}"/>
    <cellStyle name="Normal 6 3 3 3 2 2" xfId="7429" xr:uid="{00000000-0005-0000-0000-0000B66F0000}"/>
    <cellStyle name="Normal 6 3 3 3 2 2 2" xfId="16529" xr:uid="{00000000-0005-0000-0000-0000B76F0000}"/>
    <cellStyle name="Normal 6 3 3 3 2 2 2 2" xfId="34711" xr:uid="{00000000-0005-0000-0000-0000B86F0000}"/>
    <cellStyle name="Normal 6 3 3 3 2 2 3" xfId="25621" xr:uid="{00000000-0005-0000-0000-0000B96F0000}"/>
    <cellStyle name="Normal 6 3 3 3 2 3" xfId="11993" xr:uid="{00000000-0005-0000-0000-0000BA6F0000}"/>
    <cellStyle name="Normal 6 3 3 3 2 3 2" xfId="30175" xr:uid="{00000000-0005-0000-0000-0000BB6F0000}"/>
    <cellStyle name="Normal 6 3 3 3 2 4" xfId="21085" xr:uid="{00000000-0005-0000-0000-0000BC6F0000}"/>
    <cellStyle name="Normal 6 3 3 3 3" xfId="4453" xr:uid="{00000000-0005-0000-0000-0000BD6F0000}"/>
    <cellStyle name="Normal 6 3 3 3 3 2" xfId="9009" xr:uid="{00000000-0005-0000-0000-0000BE6F0000}"/>
    <cellStyle name="Normal 6 3 3 3 3 2 2" xfId="18105" xr:uid="{00000000-0005-0000-0000-0000BF6F0000}"/>
    <cellStyle name="Normal 6 3 3 3 3 2 2 2" xfId="36287" xr:uid="{00000000-0005-0000-0000-0000C06F0000}"/>
    <cellStyle name="Normal 6 3 3 3 3 2 3" xfId="27197" xr:uid="{00000000-0005-0000-0000-0000C16F0000}"/>
    <cellStyle name="Normal 6 3 3 3 3 3" xfId="13565" xr:uid="{00000000-0005-0000-0000-0000C26F0000}"/>
    <cellStyle name="Normal 6 3 3 3 3 3 2" xfId="31747" xr:uid="{00000000-0005-0000-0000-0000C36F0000}"/>
    <cellStyle name="Normal 6 3 3 3 3 4" xfId="22657" xr:uid="{00000000-0005-0000-0000-0000C46F0000}"/>
    <cellStyle name="Normal 6 3 3 3 4" xfId="6092" xr:uid="{00000000-0005-0000-0000-0000C56F0000}"/>
    <cellStyle name="Normal 6 3 3 3 4 2" xfId="15192" xr:uid="{00000000-0005-0000-0000-0000C66F0000}"/>
    <cellStyle name="Normal 6 3 3 3 4 2 2" xfId="33374" xr:uid="{00000000-0005-0000-0000-0000C76F0000}"/>
    <cellStyle name="Normal 6 3 3 3 4 3" xfId="24284" xr:uid="{00000000-0005-0000-0000-0000C86F0000}"/>
    <cellStyle name="Normal 6 3 3 3 5" xfId="10658" xr:uid="{00000000-0005-0000-0000-0000C96F0000}"/>
    <cellStyle name="Normal 6 3 3 3 5 2" xfId="28840" xr:uid="{00000000-0005-0000-0000-0000CA6F0000}"/>
    <cellStyle name="Normal 6 3 3 3 6" xfId="19749" xr:uid="{00000000-0005-0000-0000-0000CB6F0000}"/>
    <cellStyle name="Normal 6 3 3 4" xfId="1454" xr:uid="{00000000-0005-0000-0000-0000CC6F0000}"/>
    <cellStyle name="Normal 6 3 3 4 2" xfId="4454" xr:uid="{00000000-0005-0000-0000-0000CD6F0000}"/>
    <cellStyle name="Normal 6 3 3 4 2 2" xfId="9010" xr:uid="{00000000-0005-0000-0000-0000CE6F0000}"/>
    <cellStyle name="Normal 6 3 3 4 2 2 2" xfId="18106" xr:uid="{00000000-0005-0000-0000-0000CF6F0000}"/>
    <cellStyle name="Normal 6 3 3 4 2 2 2 2" xfId="36288" xr:uid="{00000000-0005-0000-0000-0000D06F0000}"/>
    <cellStyle name="Normal 6 3 3 4 2 2 3" xfId="27198" xr:uid="{00000000-0005-0000-0000-0000D16F0000}"/>
    <cellStyle name="Normal 6 3 3 4 2 3" xfId="13566" xr:uid="{00000000-0005-0000-0000-0000D26F0000}"/>
    <cellStyle name="Normal 6 3 3 4 2 3 2" xfId="31748" xr:uid="{00000000-0005-0000-0000-0000D36F0000}"/>
    <cellStyle name="Normal 6 3 3 4 2 4" xfId="22658" xr:uid="{00000000-0005-0000-0000-0000D46F0000}"/>
    <cellStyle name="Normal 6 3 3 4 3" xfId="6093" xr:uid="{00000000-0005-0000-0000-0000D56F0000}"/>
    <cellStyle name="Normal 6 3 3 4 3 2" xfId="15193" xr:uid="{00000000-0005-0000-0000-0000D66F0000}"/>
    <cellStyle name="Normal 6 3 3 4 3 2 2" xfId="33375" xr:uid="{00000000-0005-0000-0000-0000D76F0000}"/>
    <cellStyle name="Normal 6 3 3 4 3 3" xfId="24285" xr:uid="{00000000-0005-0000-0000-0000D86F0000}"/>
    <cellStyle name="Normal 6 3 3 4 4" xfId="10659" xr:uid="{00000000-0005-0000-0000-0000D96F0000}"/>
    <cellStyle name="Normal 6 3 3 4 4 2" xfId="28841" xr:uid="{00000000-0005-0000-0000-0000DA6F0000}"/>
    <cellStyle name="Normal 6 3 3 4 5" xfId="19750" xr:uid="{00000000-0005-0000-0000-0000DB6F0000}"/>
    <cellStyle name="Normal 6 3 3 5" xfId="2849" xr:uid="{00000000-0005-0000-0000-0000DC6F0000}"/>
    <cellStyle name="Normal 6 3 3 5 2" xfId="7430" xr:uid="{00000000-0005-0000-0000-0000DD6F0000}"/>
    <cellStyle name="Normal 6 3 3 5 2 2" xfId="16530" xr:uid="{00000000-0005-0000-0000-0000DE6F0000}"/>
    <cellStyle name="Normal 6 3 3 5 2 2 2" xfId="34712" xr:uid="{00000000-0005-0000-0000-0000DF6F0000}"/>
    <cellStyle name="Normal 6 3 3 5 2 3" xfId="25622" xr:uid="{00000000-0005-0000-0000-0000E06F0000}"/>
    <cellStyle name="Normal 6 3 3 5 3" xfId="11994" xr:uid="{00000000-0005-0000-0000-0000E16F0000}"/>
    <cellStyle name="Normal 6 3 3 5 3 2" xfId="30176" xr:uid="{00000000-0005-0000-0000-0000E26F0000}"/>
    <cellStyle name="Normal 6 3 3 5 4" xfId="21086" xr:uid="{00000000-0005-0000-0000-0000E36F0000}"/>
    <cellStyle name="Normal 6 3 3 6" xfId="4450" xr:uid="{00000000-0005-0000-0000-0000E46F0000}"/>
    <cellStyle name="Normal 6 3 3 6 2" xfId="9006" xr:uid="{00000000-0005-0000-0000-0000E56F0000}"/>
    <cellStyle name="Normal 6 3 3 6 2 2" xfId="18102" xr:uid="{00000000-0005-0000-0000-0000E66F0000}"/>
    <cellStyle name="Normal 6 3 3 6 2 2 2" xfId="36284" xr:uid="{00000000-0005-0000-0000-0000E76F0000}"/>
    <cellStyle name="Normal 6 3 3 6 2 3" xfId="27194" xr:uid="{00000000-0005-0000-0000-0000E86F0000}"/>
    <cellStyle name="Normal 6 3 3 6 3" xfId="13562" xr:uid="{00000000-0005-0000-0000-0000E96F0000}"/>
    <cellStyle name="Normal 6 3 3 6 3 2" xfId="31744" xr:uid="{00000000-0005-0000-0000-0000EA6F0000}"/>
    <cellStyle name="Normal 6 3 3 6 4" xfId="22654" xr:uid="{00000000-0005-0000-0000-0000EB6F0000}"/>
    <cellStyle name="Normal 6 3 3 7" xfId="6089" xr:uid="{00000000-0005-0000-0000-0000EC6F0000}"/>
    <cellStyle name="Normal 6 3 3 7 2" xfId="15189" xr:uid="{00000000-0005-0000-0000-0000ED6F0000}"/>
    <cellStyle name="Normal 6 3 3 7 2 2" xfId="33371" xr:uid="{00000000-0005-0000-0000-0000EE6F0000}"/>
    <cellStyle name="Normal 6 3 3 7 3" xfId="24281" xr:uid="{00000000-0005-0000-0000-0000EF6F0000}"/>
    <cellStyle name="Normal 6 3 3 8" xfId="10655" xr:uid="{00000000-0005-0000-0000-0000F06F0000}"/>
    <cellStyle name="Normal 6 3 3 8 2" xfId="28837" xr:uid="{00000000-0005-0000-0000-0000F16F0000}"/>
    <cellStyle name="Normal 6 3 3 9" xfId="19746" xr:uid="{00000000-0005-0000-0000-0000F26F0000}"/>
    <cellStyle name="Normal 6 3 4" xfId="1455" xr:uid="{00000000-0005-0000-0000-0000F36F0000}"/>
    <cellStyle name="Normal 6 3 4 2" xfId="1456" xr:uid="{00000000-0005-0000-0000-0000F46F0000}"/>
    <cellStyle name="Normal 6 3 4 2 2" xfId="2850" xr:uid="{00000000-0005-0000-0000-0000F56F0000}"/>
    <cellStyle name="Normal 6 3 4 2 2 2" xfId="7431" xr:uid="{00000000-0005-0000-0000-0000F66F0000}"/>
    <cellStyle name="Normal 6 3 4 2 2 2 2" xfId="16531" xr:uid="{00000000-0005-0000-0000-0000F76F0000}"/>
    <cellStyle name="Normal 6 3 4 2 2 2 2 2" xfId="34713" xr:uid="{00000000-0005-0000-0000-0000F86F0000}"/>
    <cellStyle name="Normal 6 3 4 2 2 2 3" xfId="25623" xr:uid="{00000000-0005-0000-0000-0000F96F0000}"/>
    <cellStyle name="Normal 6 3 4 2 2 3" xfId="11995" xr:uid="{00000000-0005-0000-0000-0000FA6F0000}"/>
    <cellStyle name="Normal 6 3 4 2 2 3 2" xfId="30177" xr:uid="{00000000-0005-0000-0000-0000FB6F0000}"/>
    <cellStyle name="Normal 6 3 4 2 2 4" xfId="21087" xr:uid="{00000000-0005-0000-0000-0000FC6F0000}"/>
    <cellStyle name="Normal 6 3 4 2 3" xfId="4456" xr:uid="{00000000-0005-0000-0000-0000FD6F0000}"/>
    <cellStyle name="Normal 6 3 4 2 3 2" xfId="9012" xr:uid="{00000000-0005-0000-0000-0000FE6F0000}"/>
    <cellStyle name="Normal 6 3 4 2 3 2 2" xfId="18108" xr:uid="{00000000-0005-0000-0000-0000FF6F0000}"/>
    <cellStyle name="Normal 6 3 4 2 3 2 2 2" xfId="36290" xr:uid="{00000000-0005-0000-0000-000000700000}"/>
    <cellStyle name="Normal 6 3 4 2 3 2 3" xfId="27200" xr:uid="{00000000-0005-0000-0000-000001700000}"/>
    <cellStyle name="Normal 6 3 4 2 3 3" xfId="13568" xr:uid="{00000000-0005-0000-0000-000002700000}"/>
    <cellStyle name="Normal 6 3 4 2 3 3 2" xfId="31750" xr:uid="{00000000-0005-0000-0000-000003700000}"/>
    <cellStyle name="Normal 6 3 4 2 3 4" xfId="22660" xr:uid="{00000000-0005-0000-0000-000004700000}"/>
    <cellStyle name="Normal 6 3 4 2 4" xfId="6095" xr:uid="{00000000-0005-0000-0000-000005700000}"/>
    <cellStyle name="Normal 6 3 4 2 4 2" xfId="15195" xr:uid="{00000000-0005-0000-0000-000006700000}"/>
    <cellStyle name="Normal 6 3 4 2 4 2 2" xfId="33377" xr:uid="{00000000-0005-0000-0000-000007700000}"/>
    <cellStyle name="Normal 6 3 4 2 4 3" xfId="24287" xr:uid="{00000000-0005-0000-0000-000008700000}"/>
    <cellStyle name="Normal 6 3 4 2 5" xfId="10661" xr:uid="{00000000-0005-0000-0000-000009700000}"/>
    <cellStyle name="Normal 6 3 4 2 5 2" xfId="28843" xr:uid="{00000000-0005-0000-0000-00000A700000}"/>
    <cellStyle name="Normal 6 3 4 2 6" xfId="19752" xr:uid="{00000000-0005-0000-0000-00000B700000}"/>
    <cellStyle name="Normal 6 3 4 3" xfId="2851" xr:uid="{00000000-0005-0000-0000-00000C700000}"/>
    <cellStyle name="Normal 6 3 4 3 2" xfId="7432" xr:uid="{00000000-0005-0000-0000-00000D700000}"/>
    <cellStyle name="Normal 6 3 4 3 2 2" xfId="16532" xr:uid="{00000000-0005-0000-0000-00000E700000}"/>
    <cellStyle name="Normal 6 3 4 3 2 2 2" xfId="34714" xr:uid="{00000000-0005-0000-0000-00000F700000}"/>
    <cellStyle name="Normal 6 3 4 3 2 3" xfId="25624" xr:uid="{00000000-0005-0000-0000-000010700000}"/>
    <cellStyle name="Normal 6 3 4 3 3" xfId="11996" xr:uid="{00000000-0005-0000-0000-000011700000}"/>
    <cellStyle name="Normal 6 3 4 3 3 2" xfId="30178" xr:uid="{00000000-0005-0000-0000-000012700000}"/>
    <cellStyle name="Normal 6 3 4 3 4" xfId="21088" xr:uid="{00000000-0005-0000-0000-000013700000}"/>
    <cellStyle name="Normal 6 3 4 4" xfId="4455" xr:uid="{00000000-0005-0000-0000-000014700000}"/>
    <cellStyle name="Normal 6 3 4 4 2" xfId="9011" xr:uid="{00000000-0005-0000-0000-000015700000}"/>
    <cellStyle name="Normal 6 3 4 4 2 2" xfId="18107" xr:uid="{00000000-0005-0000-0000-000016700000}"/>
    <cellStyle name="Normal 6 3 4 4 2 2 2" xfId="36289" xr:uid="{00000000-0005-0000-0000-000017700000}"/>
    <cellStyle name="Normal 6 3 4 4 2 3" xfId="27199" xr:uid="{00000000-0005-0000-0000-000018700000}"/>
    <cellStyle name="Normal 6 3 4 4 3" xfId="13567" xr:uid="{00000000-0005-0000-0000-000019700000}"/>
    <cellStyle name="Normal 6 3 4 4 3 2" xfId="31749" xr:uid="{00000000-0005-0000-0000-00001A700000}"/>
    <cellStyle name="Normal 6 3 4 4 4" xfId="22659" xr:uid="{00000000-0005-0000-0000-00001B700000}"/>
    <cellStyle name="Normal 6 3 4 5" xfId="6094" xr:uid="{00000000-0005-0000-0000-00001C700000}"/>
    <cellStyle name="Normal 6 3 4 5 2" xfId="15194" xr:uid="{00000000-0005-0000-0000-00001D700000}"/>
    <cellStyle name="Normal 6 3 4 5 2 2" xfId="33376" xr:uid="{00000000-0005-0000-0000-00001E700000}"/>
    <cellStyle name="Normal 6 3 4 5 3" xfId="24286" xr:uid="{00000000-0005-0000-0000-00001F700000}"/>
    <cellStyle name="Normal 6 3 4 6" xfId="10660" xr:uid="{00000000-0005-0000-0000-000020700000}"/>
    <cellStyle name="Normal 6 3 4 6 2" xfId="28842" xr:uid="{00000000-0005-0000-0000-000021700000}"/>
    <cellStyle name="Normal 6 3 4 7" xfId="19751" xr:uid="{00000000-0005-0000-0000-000022700000}"/>
    <cellStyle name="Normal 6 3 5" xfId="1457" xr:uid="{00000000-0005-0000-0000-000023700000}"/>
    <cellStyle name="Normal 6 3 5 2" xfId="2852" xr:uid="{00000000-0005-0000-0000-000024700000}"/>
    <cellStyle name="Normal 6 3 5 2 2" xfId="7433" xr:uid="{00000000-0005-0000-0000-000025700000}"/>
    <cellStyle name="Normal 6 3 5 2 2 2" xfId="16533" xr:uid="{00000000-0005-0000-0000-000026700000}"/>
    <cellStyle name="Normal 6 3 5 2 2 2 2" xfId="34715" xr:uid="{00000000-0005-0000-0000-000027700000}"/>
    <cellStyle name="Normal 6 3 5 2 2 3" xfId="25625" xr:uid="{00000000-0005-0000-0000-000028700000}"/>
    <cellStyle name="Normal 6 3 5 2 3" xfId="11997" xr:uid="{00000000-0005-0000-0000-000029700000}"/>
    <cellStyle name="Normal 6 3 5 2 3 2" xfId="30179" xr:uid="{00000000-0005-0000-0000-00002A700000}"/>
    <cellStyle name="Normal 6 3 5 2 4" xfId="21089" xr:uid="{00000000-0005-0000-0000-00002B700000}"/>
    <cellStyle name="Normal 6 3 5 3" xfId="4457" xr:uid="{00000000-0005-0000-0000-00002C700000}"/>
    <cellStyle name="Normal 6 3 5 3 2" xfId="9013" xr:uid="{00000000-0005-0000-0000-00002D700000}"/>
    <cellStyle name="Normal 6 3 5 3 2 2" xfId="18109" xr:uid="{00000000-0005-0000-0000-00002E700000}"/>
    <cellStyle name="Normal 6 3 5 3 2 2 2" xfId="36291" xr:uid="{00000000-0005-0000-0000-00002F700000}"/>
    <cellStyle name="Normal 6 3 5 3 2 3" xfId="27201" xr:uid="{00000000-0005-0000-0000-000030700000}"/>
    <cellStyle name="Normal 6 3 5 3 3" xfId="13569" xr:uid="{00000000-0005-0000-0000-000031700000}"/>
    <cellStyle name="Normal 6 3 5 3 3 2" xfId="31751" xr:uid="{00000000-0005-0000-0000-000032700000}"/>
    <cellStyle name="Normal 6 3 5 3 4" xfId="22661" xr:uid="{00000000-0005-0000-0000-000033700000}"/>
    <cellStyle name="Normal 6 3 5 4" xfId="6096" xr:uid="{00000000-0005-0000-0000-000034700000}"/>
    <cellStyle name="Normal 6 3 5 4 2" xfId="15196" xr:uid="{00000000-0005-0000-0000-000035700000}"/>
    <cellStyle name="Normal 6 3 5 4 2 2" xfId="33378" xr:uid="{00000000-0005-0000-0000-000036700000}"/>
    <cellStyle name="Normal 6 3 5 4 3" xfId="24288" xr:uid="{00000000-0005-0000-0000-000037700000}"/>
    <cellStyle name="Normal 6 3 5 5" xfId="10662" xr:uid="{00000000-0005-0000-0000-000038700000}"/>
    <cellStyle name="Normal 6 3 5 5 2" xfId="28844" xr:uid="{00000000-0005-0000-0000-000039700000}"/>
    <cellStyle name="Normal 6 3 5 6" xfId="19753" xr:uid="{00000000-0005-0000-0000-00003A700000}"/>
    <cellStyle name="Normal 6 3 6" xfId="1458" xr:uid="{00000000-0005-0000-0000-00003B700000}"/>
    <cellStyle name="Normal 6 3 6 2" xfId="4458" xr:uid="{00000000-0005-0000-0000-00003C700000}"/>
    <cellStyle name="Normal 6 3 6 2 2" xfId="9014" xr:uid="{00000000-0005-0000-0000-00003D700000}"/>
    <cellStyle name="Normal 6 3 6 2 2 2" xfId="18110" xr:uid="{00000000-0005-0000-0000-00003E700000}"/>
    <cellStyle name="Normal 6 3 6 2 2 2 2" xfId="36292" xr:uid="{00000000-0005-0000-0000-00003F700000}"/>
    <cellStyle name="Normal 6 3 6 2 2 3" xfId="27202" xr:uid="{00000000-0005-0000-0000-000040700000}"/>
    <cellStyle name="Normal 6 3 6 2 3" xfId="13570" xr:uid="{00000000-0005-0000-0000-000041700000}"/>
    <cellStyle name="Normal 6 3 6 2 3 2" xfId="31752" xr:uid="{00000000-0005-0000-0000-000042700000}"/>
    <cellStyle name="Normal 6 3 6 2 4" xfId="22662" xr:uid="{00000000-0005-0000-0000-000043700000}"/>
    <cellStyle name="Normal 6 3 6 3" xfId="6097" xr:uid="{00000000-0005-0000-0000-000044700000}"/>
    <cellStyle name="Normal 6 3 6 3 2" xfId="15197" xr:uid="{00000000-0005-0000-0000-000045700000}"/>
    <cellStyle name="Normal 6 3 6 3 2 2" xfId="33379" xr:uid="{00000000-0005-0000-0000-000046700000}"/>
    <cellStyle name="Normal 6 3 6 3 3" xfId="24289" xr:uid="{00000000-0005-0000-0000-000047700000}"/>
    <cellStyle name="Normal 6 3 6 4" xfId="10663" xr:uid="{00000000-0005-0000-0000-000048700000}"/>
    <cellStyle name="Normal 6 3 6 4 2" xfId="28845" xr:uid="{00000000-0005-0000-0000-000049700000}"/>
    <cellStyle name="Normal 6 3 6 5" xfId="19754" xr:uid="{00000000-0005-0000-0000-00004A700000}"/>
    <cellStyle name="Normal 6 3 7" xfId="2853" xr:uid="{00000000-0005-0000-0000-00004B700000}"/>
    <cellStyle name="Normal 6 3 7 2" xfId="7434" xr:uid="{00000000-0005-0000-0000-00004C700000}"/>
    <cellStyle name="Normal 6 3 7 2 2" xfId="16534" xr:uid="{00000000-0005-0000-0000-00004D700000}"/>
    <cellStyle name="Normal 6 3 7 2 2 2" xfId="34716" xr:uid="{00000000-0005-0000-0000-00004E700000}"/>
    <cellStyle name="Normal 6 3 7 2 3" xfId="25626" xr:uid="{00000000-0005-0000-0000-00004F700000}"/>
    <cellStyle name="Normal 6 3 7 3" xfId="11998" xr:uid="{00000000-0005-0000-0000-000050700000}"/>
    <cellStyle name="Normal 6 3 7 3 2" xfId="30180" xr:uid="{00000000-0005-0000-0000-000051700000}"/>
    <cellStyle name="Normal 6 3 7 4" xfId="21090" xr:uid="{00000000-0005-0000-0000-000052700000}"/>
    <cellStyle name="Normal 6 3 8" xfId="3193" xr:uid="{00000000-0005-0000-0000-000053700000}"/>
    <cellStyle name="Normal 6 3 8 2" xfId="7753" xr:uid="{00000000-0005-0000-0000-000054700000}"/>
    <cellStyle name="Normal 6 3 8 2 2" xfId="16849" xr:uid="{00000000-0005-0000-0000-000055700000}"/>
    <cellStyle name="Normal 6 3 8 2 2 2" xfId="35031" xr:uid="{00000000-0005-0000-0000-000056700000}"/>
    <cellStyle name="Normal 6 3 8 2 3" xfId="25941" xr:uid="{00000000-0005-0000-0000-000057700000}"/>
    <cellStyle name="Normal 6 3 8 3" xfId="12309" xr:uid="{00000000-0005-0000-0000-000058700000}"/>
    <cellStyle name="Normal 6 3 8 3 2" xfId="30491" xr:uid="{00000000-0005-0000-0000-000059700000}"/>
    <cellStyle name="Normal 6 3 8 4" xfId="21401" xr:uid="{00000000-0005-0000-0000-00005A700000}"/>
    <cellStyle name="Normal 6 3 9" xfId="4843" xr:uid="{00000000-0005-0000-0000-00005B700000}"/>
    <cellStyle name="Normal 6 3 9 2" xfId="13943" xr:uid="{00000000-0005-0000-0000-00005C700000}"/>
    <cellStyle name="Normal 6 3 9 2 2" xfId="32125" xr:uid="{00000000-0005-0000-0000-00005D700000}"/>
    <cellStyle name="Normal 6 3 9 3" xfId="23035" xr:uid="{00000000-0005-0000-0000-00005E700000}"/>
    <cellStyle name="Normal 6 4" xfId="1459" xr:uid="{00000000-0005-0000-0000-00005F700000}"/>
    <cellStyle name="Normal 6 4 10" xfId="19755" xr:uid="{00000000-0005-0000-0000-000060700000}"/>
    <cellStyle name="Normal 6 4 2" xfId="1460" xr:uid="{00000000-0005-0000-0000-000061700000}"/>
    <cellStyle name="Normal 6 4 2 2" xfId="1461" xr:uid="{00000000-0005-0000-0000-000062700000}"/>
    <cellStyle name="Normal 6 4 2 2 2" xfId="1462" xr:uid="{00000000-0005-0000-0000-000063700000}"/>
    <cellStyle name="Normal 6 4 2 2 2 2" xfId="2854" xr:uid="{00000000-0005-0000-0000-000064700000}"/>
    <cellStyle name="Normal 6 4 2 2 2 2 2" xfId="7435" xr:uid="{00000000-0005-0000-0000-000065700000}"/>
    <cellStyle name="Normal 6 4 2 2 2 2 2 2" xfId="16535" xr:uid="{00000000-0005-0000-0000-000066700000}"/>
    <cellStyle name="Normal 6 4 2 2 2 2 2 2 2" xfId="34717" xr:uid="{00000000-0005-0000-0000-000067700000}"/>
    <cellStyle name="Normal 6 4 2 2 2 2 2 3" xfId="25627" xr:uid="{00000000-0005-0000-0000-000068700000}"/>
    <cellStyle name="Normal 6 4 2 2 2 2 3" xfId="11999" xr:uid="{00000000-0005-0000-0000-000069700000}"/>
    <cellStyle name="Normal 6 4 2 2 2 2 3 2" xfId="30181" xr:uid="{00000000-0005-0000-0000-00006A700000}"/>
    <cellStyle name="Normal 6 4 2 2 2 2 4" xfId="21091" xr:uid="{00000000-0005-0000-0000-00006B700000}"/>
    <cellStyle name="Normal 6 4 2 2 2 3" xfId="4462" xr:uid="{00000000-0005-0000-0000-00006C700000}"/>
    <cellStyle name="Normal 6 4 2 2 2 3 2" xfId="9018" xr:uid="{00000000-0005-0000-0000-00006D700000}"/>
    <cellStyle name="Normal 6 4 2 2 2 3 2 2" xfId="18114" xr:uid="{00000000-0005-0000-0000-00006E700000}"/>
    <cellStyle name="Normal 6 4 2 2 2 3 2 2 2" xfId="36296" xr:uid="{00000000-0005-0000-0000-00006F700000}"/>
    <cellStyle name="Normal 6 4 2 2 2 3 2 3" xfId="27206" xr:uid="{00000000-0005-0000-0000-000070700000}"/>
    <cellStyle name="Normal 6 4 2 2 2 3 3" xfId="13574" xr:uid="{00000000-0005-0000-0000-000071700000}"/>
    <cellStyle name="Normal 6 4 2 2 2 3 3 2" xfId="31756" xr:uid="{00000000-0005-0000-0000-000072700000}"/>
    <cellStyle name="Normal 6 4 2 2 2 3 4" xfId="22666" xr:uid="{00000000-0005-0000-0000-000073700000}"/>
    <cellStyle name="Normal 6 4 2 2 2 4" xfId="6101" xr:uid="{00000000-0005-0000-0000-000074700000}"/>
    <cellStyle name="Normal 6 4 2 2 2 4 2" xfId="15201" xr:uid="{00000000-0005-0000-0000-000075700000}"/>
    <cellStyle name="Normal 6 4 2 2 2 4 2 2" xfId="33383" xr:uid="{00000000-0005-0000-0000-000076700000}"/>
    <cellStyle name="Normal 6 4 2 2 2 4 3" xfId="24293" xr:uid="{00000000-0005-0000-0000-000077700000}"/>
    <cellStyle name="Normal 6 4 2 2 2 5" xfId="10667" xr:uid="{00000000-0005-0000-0000-000078700000}"/>
    <cellStyle name="Normal 6 4 2 2 2 5 2" xfId="28849" xr:uid="{00000000-0005-0000-0000-000079700000}"/>
    <cellStyle name="Normal 6 4 2 2 2 6" xfId="19758" xr:uid="{00000000-0005-0000-0000-00007A700000}"/>
    <cellStyle name="Normal 6 4 2 2 3" xfId="2855" xr:uid="{00000000-0005-0000-0000-00007B700000}"/>
    <cellStyle name="Normal 6 4 2 2 3 2" xfId="7436" xr:uid="{00000000-0005-0000-0000-00007C700000}"/>
    <cellStyle name="Normal 6 4 2 2 3 2 2" xfId="16536" xr:uid="{00000000-0005-0000-0000-00007D700000}"/>
    <cellStyle name="Normal 6 4 2 2 3 2 2 2" xfId="34718" xr:uid="{00000000-0005-0000-0000-00007E700000}"/>
    <cellStyle name="Normal 6 4 2 2 3 2 3" xfId="25628" xr:uid="{00000000-0005-0000-0000-00007F700000}"/>
    <cellStyle name="Normal 6 4 2 2 3 3" xfId="12000" xr:uid="{00000000-0005-0000-0000-000080700000}"/>
    <cellStyle name="Normal 6 4 2 2 3 3 2" xfId="30182" xr:uid="{00000000-0005-0000-0000-000081700000}"/>
    <cellStyle name="Normal 6 4 2 2 3 4" xfId="21092" xr:uid="{00000000-0005-0000-0000-000082700000}"/>
    <cellStyle name="Normal 6 4 2 2 4" xfId="4461" xr:uid="{00000000-0005-0000-0000-000083700000}"/>
    <cellStyle name="Normal 6 4 2 2 4 2" xfId="9017" xr:uid="{00000000-0005-0000-0000-000084700000}"/>
    <cellStyle name="Normal 6 4 2 2 4 2 2" xfId="18113" xr:uid="{00000000-0005-0000-0000-000085700000}"/>
    <cellStyle name="Normal 6 4 2 2 4 2 2 2" xfId="36295" xr:uid="{00000000-0005-0000-0000-000086700000}"/>
    <cellStyle name="Normal 6 4 2 2 4 2 3" xfId="27205" xr:uid="{00000000-0005-0000-0000-000087700000}"/>
    <cellStyle name="Normal 6 4 2 2 4 3" xfId="13573" xr:uid="{00000000-0005-0000-0000-000088700000}"/>
    <cellStyle name="Normal 6 4 2 2 4 3 2" xfId="31755" xr:uid="{00000000-0005-0000-0000-000089700000}"/>
    <cellStyle name="Normal 6 4 2 2 4 4" xfId="22665" xr:uid="{00000000-0005-0000-0000-00008A700000}"/>
    <cellStyle name="Normal 6 4 2 2 5" xfId="6100" xr:uid="{00000000-0005-0000-0000-00008B700000}"/>
    <cellStyle name="Normal 6 4 2 2 5 2" xfId="15200" xr:uid="{00000000-0005-0000-0000-00008C700000}"/>
    <cellStyle name="Normal 6 4 2 2 5 2 2" xfId="33382" xr:uid="{00000000-0005-0000-0000-00008D700000}"/>
    <cellStyle name="Normal 6 4 2 2 5 3" xfId="24292" xr:uid="{00000000-0005-0000-0000-00008E700000}"/>
    <cellStyle name="Normal 6 4 2 2 6" xfId="10666" xr:uid="{00000000-0005-0000-0000-00008F700000}"/>
    <cellStyle name="Normal 6 4 2 2 6 2" xfId="28848" xr:uid="{00000000-0005-0000-0000-000090700000}"/>
    <cellStyle name="Normal 6 4 2 2 7" xfId="19757" xr:uid="{00000000-0005-0000-0000-000091700000}"/>
    <cellStyle name="Normal 6 4 2 3" xfId="1463" xr:uid="{00000000-0005-0000-0000-000092700000}"/>
    <cellStyle name="Normal 6 4 2 3 2" xfId="2856" xr:uid="{00000000-0005-0000-0000-000093700000}"/>
    <cellStyle name="Normal 6 4 2 3 2 2" xfId="7437" xr:uid="{00000000-0005-0000-0000-000094700000}"/>
    <cellStyle name="Normal 6 4 2 3 2 2 2" xfId="16537" xr:uid="{00000000-0005-0000-0000-000095700000}"/>
    <cellStyle name="Normal 6 4 2 3 2 2 2 2" xfId="34719" xr:uid="{00000000-0005-0000-0000-000096700000}"/>
    <cellStyle name="Normal 6 4 2 3 2 2 3" xfId="25629" xr:uid="{00000000-0005-0000-0000-000097700000}"/>
    <cellStyle name="Normal 6 4 2 3 2 3" xfId="12001" xr:uid="{00000000-0005-0000-0000-000098700000}"/>
    <cellStyle name="Normal 6 4 2 3 2 3 2" xfId="30183" xr:uid="{00000000-0005-0000-0000-000099700000}"/>
    <cellStyle name="Normal 6 4 2 3 2 4" xfId="21093" xr:uid="{00000000-0005-0000-0000-00009A700000}"/>
    <cellStyle name="Normal 6 4 2 3 3" xfId="4463" xr:uid="{00000000-0005-0000-0000-00009B700000}"/>
    <cellStyle name="Normal 6 4 2 3 3 2" xfId="9019" xr:uid="{00000000-0005-0000-0000-00009C700000}"/>
    <cellStyle name="Normal 6 4 2 3 3 2 2" xfId="18115" xr:uid="{00000000-0005-0000-0000-00009D700000}"/>
    <cellStyle name="Normal 6 4 2 3 3 2 2 2" xfId="36297" xr:uid="{00000000-0005-0000-0000-00009E700000}"/>
    <cellStyle name="Normal 6 4 2 3 3 2 3" xfId="27207" xr:uid="{00000000-0005-0000-0000-00009F700000}"/>
    <cellStyle name="Normal 6 4 2 3 3 3" xfId="13575" xr:uid="{00000000-0005-0000-0000-0000A0700000}"/>
    <cellStyle name="Normal 6 4 2 3 3 3 2" xfId="31757" xr:uid="{00000000-0005-0000-0000-0000A1700000}"/>
    <cellStyle name="Normal 6 4 2 3 3 4" xfId="22667" xr:uid="{00000000-0005-0000-0000-0000A2700000}"/>
    <cellStyle name="Normal 6 4 2 3 4" xfId="6102" xr:uid="{00000000-0005-0000-0000-0000A3700000}"/>
    <cellStyle name="Normal 6 4 2 3 4 2" xfId="15202" xr:uid="{00000000-0005-0000-0000-0000A4700000}"/>
    <cellStyle name="Normal 6 4 2 3 4 2 2" xfId="33384" xr:uid="{00000000-0005-0000-0000-0000A5700000}"/>
    <cellStyle name="Normal 6 4 2 3 4 3" xfId="24294" xr:uid="{00000000-0005-0000-0000-0000A6700000}"/>
    <cellStyle name="Normal 6 4 2 3 5" xfId="10668" xr:uid="{00000000-0005-0000-0000-0000A7700000}"/>
    <cellStyle name="Normal 6 4 2 3 5 2" xfId="28850" xr:uid="{00000000-0005-0000-0000-0000A8700000}"/>
    <cellStyle name="Normal 6 4 2 3 6" xfId="19759" xr:uid="{00000000-0005-0000-0000-0000A9700000}"/>
    <cellStyle name="Normal 6 4 2 4" xfId="1464" xr:uid="{00000000-0005-0000-0000-0000AA700000}"/>
    <cellStyle name="Normal 6 4 2 4 2" xfId="4464" xr:uid="{00000000-0005-0000-0000-0000AB700000}"/>
    <cellStyle name="Normal 6 4 2 4 2 2" xfId="9020" xr:uid="{00000000-0005-0000-0000-0000AC700000}"/>
    <cellStyle name="Normal 6 4 2 4 2 2 2" xfId="18116" xr:uid="{00000000-0005-0000-0000-0000AD700000}"/>
    <cellStyle name="Normal 6 4 2 4 2 2 2 2" xfId="36298" xr:uid="{00000000-0005-0000-0000-0000AE700000}"/>
    <cellStyle name="Normal 6 4 2 4 2 2 3" xfId="27208" xr:uid="{00000000-0005-0000-0000-0000AF700000}"/>
    <cellStyle name="Normal 6 4 2 4 2 3" xfId="13576" xr:uid="{00000000-0005-0000-0000-0000B0700000}"/>
    <cellStyle name="Normal 6 4 2 4 2 3 2" xfId="31758" xr:uid="{00000000-0005-0000-0000-0000B1700000}"/>
    <cellStyle name="Normal 6 4 2 4 2 4" xfId="22668" xr:uid="{00000000-0005-0000-0000-0000B2700000}"/>
    <cellStyle name="Normal 6 4 2 4 3" xfId="6103" xr:uid="{00000000-0005-0000-0000-0000B3700000}"/>
    <cellStyle name="Normal 6 4 2 4 3 2" xfId="15203" xr:uid="{00000000-0005-0000-0000-0000B4700000}"/>
    <cellStyle name="Normal 6 4 2 4 3 2 2" xfId="33385" xr:uid="{00000000-0005-0000-0000-0000B5700000}"/>
    <cellStyle name="Normal 6 4 2 4 3 3" xfId="24295" xr:uid="{00000000-0005-0000-0000-0000B6700000}"/>
    <cellStyle name="Normal 6 4 2 4 4" xfId="10669" xr:uid="{00000000-0005-0000-0000-0000B7700000}"/>
    <cellStyle name="Normal 6 4 2 4 4 2" xfId="28851" xr:uid="{00000000-0005-0000-0000-0000B8700000}"/>
    <cellStyle name="Normal 6 4 2 4 5" xfId="19760" xr:uid="{00000000-0005-0000-0000-0000B9700000}"/>
    <cellStyle name="Normal 6 4 2 5" xfId="2857" xr:uid="{00000000-0005-0000-0000-0000BA700000}"/>
    <cellStyle name="Normal 6 4 2 5 2" xfId="7438" xr:uid="{00000000-0005-0000-0000-0000BB700000}"/>
    <cellStyle name="Normal 6 4 2 5 2 2" xfId="16538" xr:uid="{00000000-0005-0000-0000-0000BC700000}"/>
    <cellStyle name="Normal 6 4 2 5 2 2 2" xfId="34720" xr:uid="{00000000-0005-0000-0000-0000BD700000}"/>
    <cellStyle name="Normal 6 4 2 5 2 3" xfId="25630" xr:uid="{00000000-0005-0000-0000-0000BE700000}"/>
    <cellStyle name="Normal 6 4 2 5 3" xfId="12002" xr:uid="{00000000-0005-0000-0000-0000BF700000}"/>
    <cellStyle name="Normal 6 4 2 5 3 2" xfId="30184" xr:uid="{00000000-0005-0000-0000-0000C0700000}"/>
    <cellStyle name="Normal 6 4 2 5 4" xfId="21094" xr:uid="{00000000-0005-0000-0000-0000C1700000}"/>
    <cellStyle name="Normal 6 4 2 6" xfId="4460" xr:uid="{00000000-0005-0000-0000-0000C2700000}"/>
    <cellStyle name="Normal 6 4 2 6 2" xfId="9016" xr:uid="{00000000-0005-0000-0000-0000C3700000}"/>
    <cellStyle name="Normal 6 4 2 6 2 2" xfId="18112" xr:uid="{00000000-0005-0000-0000-0000C4700000}"/>
    <cellStyle name="Normal 6 4 2 6 2 2 2" xfId="36294" xr:uid="{00000000-0005-0000-0000-0000C5700000}"/>
    <cellStyle name="Normal 6 4 2 6 2 3" xfId="27204" xr:uid="{00000000-0005-0000-0000-0000C6700000}"/>
    <cellStyle name="Normal 6 4 2 6 3" xfId="13572" xr:uid="{00000000-0005-0000-0000-0000C7700000}"/>
    <cellStyle name="Normal 6 4 2 6 3 2" xfId="31754" xr:uid="{00000000-0005-0000-0000-0000C8700000}"/>
    <cellStyle name="Normal 6 4 2 6 4" xfId="22664" xr:uid="{00000000-0005-0000-0000-0000C9700000}"/>
    <cellStyle name="Normal 6 4 2 7" xfId="6099" xr:uid="{00000000-0005-0000-0000-0000CA700000}"/>
    <cellStyle name="Normal 6 4 2 7 2" xfId="15199" xr:uid="{00000000-0005-0000-0000-0000CB700000}"/>
    <cellStyle name="Normal 6 4 2 7 2 2" xfId="33381" xr:uid="{00000000-0005-0000-0000-0000CC700000}"/>
    <cellStyle name="Normal 6 4 2 7 3" xfId="24291" xr:uid="{00000000-0005-0000-0000-0000CD700000}"/>
    <cellStyle name="Normal 6 4 2 8" xfId="10665" xr:uid="{00000000-0005-0000-0000-0000CE700000}"/>
    <cellStyle name="Normal 6 4 2 8 2" xfId="28847" xr:uid="{00000000-0005-0000-0000-0000CF700000}"/>
    <cellStyle name="Normal 6 4 2 9" xfId="19756" xr:uid="{00000000-0005-0000-0000-0000D0700000}"/>
    <cellStyle name="Normal 6 4 3" xfId="1465" xr:uid="{00000000-0005-0000-0000-0000D1700000}"/>
    <cellStyle name="Normal 6 4 3 2" xfId="1466" xr:uid="{00000000-0005-0000-0000-0000D2700000}"/>
    <cellStyle name="Normal 6 4 3 2 2" xfId="2858" xr:uid="{00000000-0005-0000-0000-0000D3700000}"/>
    <cellStyle name="Normal 6 4 3 2 2 2" xfId="7439" xr:uid="{00000000-0005-0000-0000-0000D4700000}"/>
    <cellStyle name="Normal 6 4 3 2 2 2 2" xfId="16539" xr:uid="{00000000-0005-0000-0000-0000D5700000}"/>
    <cellStyle name="Normal 6 4 3 2 2 2 2 2" xfId="34721" xr:uid="{00000000-0005-0000-0000-0000D6700000}"/>
    <cellStyle name="Normal 6 4 3 2 2 2 3" xfId="25631" xr:uid="{00000000-0005-0000-0000-0000D7700000}"/>
    <cellStyle name="Normal 6 4 3 2 2 3" xfId="12003" xr:uid="{00000000-0005-0000-0000-0000D8700000}"/>
    <cellStyle name="Normal 6 4 3 2 2 3 2" xfId="30185" xr:uid="{00000000-0005-0000-0000-0000D9700000}"/>
    <cellStyle name="Normal 6 4 3 2 2 4" xfId="21095" xr:uid="{00000000-0005-0000-0000-0000DA700000}"/>
    <cellStyle name="Normal 6 4 3 2 3" xfId="4466" xr:uid="{00000000-0005-0000-0000-0000DB700000}"/>
    <cellStyle name="Normal 6 4 3 2 3 2" xfId="9022" xr:uid="{00000000-0005-0000-0000-0000DC700000}"/>
    <cellStyle name="Normal 6 4 3 2 3 2 2" xfId="18118" xr:uid="{00000000-0005-0000-0000-0000DD700000}"/>
    <cellStyle name="Normal 6 4 3 2 3 2 2 2" xfId="36300" xr:uid="{00000000-0005-0000-0000-0000DE700000}"/>
    <cellStyle name="Normal 6 4 3 2 3 2 3" xfId="27210" xr:uid="{00000000-0005-0000-0000-0000DF700000}"/>
    <cellStyle name="Normal 6 4 3 2 3 3" xfId="13578" xr:uid="{00000000-0005-0000-0000-0000E0700000}"/>
    <cellStyle name="Normal 6 4 3 2 3 3 2" xfId="31760" xr:uid="{00000000-0005-0000-0000-0000E1700000}"/>
    <cellStyle name="Normal 6 4 3 2 3 4" xfId="22670" xr:uid="{00000000-0005-0000-0000-0000E2700000}"/>
    <cellStyle name="Normal 6 4 3 2 4" xfId="6105" xr:uid="{00000000-0005-0000-0000-0000E3700000}"/>
    <cellStyle name="Normal 6 4 3 2 4 2" xfId="15205" xr:uid="{00000000-0005-0000-0000-0000E4700000}"/>
    <cellStyle name="Normal 6 4 3 2 4 2 2" xfId="33387" xr:uid="{00000000-0005-0000-0000-0000E5700000}"/>
    <cellStyle name="Normal 6 4 3 2 4 3" xfId="24297" xr:uid="{00000000-0005-0000-0000-0000E6700000}"/>
    <cellStyle name="Normal 6 4 3 2 5" xfId="10671" xr:uid="{00000000-0005-0000-0000-0000E7700000}"/>
    <cellStyle name="Normal 6 4 3 2 5 2" xfId="28853" xr:uid="{00000000-0005-0000-0000-0000E8700000}"/>
    <cellStyle name="Normal 6 4 3 2 6" xfId="19762" xr:uid="{00000000-0005-0000-0000-0000E9700000}"/>
    <cellStyle name="Normal 6 4 3 3" xfId="2859" xr:uid="{00000000-0005-0000-0000-0000EA700000}"/>
    <cellStyle name="Normal 6 4 3 3 2" xfId="7440" xr:uid="{00000000-0005-0000-0000-0000EB700000}"/>
    <cellStyle name="Normal 6 4 3 3 2 2" xfId="16540" xr:uid="{00000000-0005-0000-0000-0000EC700000}"/>
    <cellStyle name="Normal 6 4 3 3 2 2 2" xfId="34722" xr:uid="{00000000-0005-0000-0000-0000ED700000}"/>
    <cellStyle name="Normal 6 4 3 3 2 3" xfId="25632" xr:uid="{00000000-0005-0000-0000-0000EE700000}"/>
    <cellStyle name="Normal 6 4 3 3 3" xfId="12004" xr:uid="{00000000-0005-0000-0000-0000EF700000}"/>
    <cellStyle name="Normal 6 4 3 3 3 2" xfId="30186" xr:uid="{00000000-0005-0000-0000-0000F0700000}"/>
    <cellStyle name="Normal 6 4 3 3 4" xfId="21096" xr:uid="{00000000-0005-0000-0000-0000F1700000}"/>
    <cellStyle name="Normal 6 4 3 4" xfId="4465" xr:uid="{00000000-0005-0000-0000-0000F2700000}"/>
    <cellStyle name="Normal 6 4 3 4 2" xfId="9021" xr:uid="{00000000-0005-0000-0000-0000F3700000}"/>
    <cellStyle name="Normal 6 4 3 4 2 2" xfId="18117" xr:uid="{00000000-0005-0000-0000-0000F4700000}"/>
    <cellStyle name="Normal 6 4 3 4 2 2 2" xfId="36299" xr:uid="{00000000-0005-0000-0000-0000F5700000}"/>
    <cellStyle name="Normal 6 4 3 4 2 3" xfId="27209" xr:uid="{00000000-0005-0000-0000-0000F6700000}"/>
    <cellStyle name="Normal 6 4 3 4 3" xfId="13577" xr:uid="{00000000-0005-0000-0000-0000F7700000}"/>
    <cellStyle name="Normal 6 4 3 4 3 2" xfId="31759" xr:uid="{00000000-0005-0000-0000-0000F8700000}"/>
    <cellStyle name="Normal 6 4 3 4 4" xfId="22669" xr:uid="{00000000-0005-0000-0000-0000F9700000}"/>
    <cellStyle name="Normal 6 4 3 5" xfId="6104" xr:uid="{00000000-0005-0000-0000-0000FA700000}"/>
    <cellStyle name="Normal 6 4 3 5 2" xfId="15204" xr:uid="{00000000-0005-0000-0000-0000FB700000}"/>
    <cellStyle name="Normal 6 4 3 5 2 2" xfId="33386" xr:uid="{00000000-0005-0000-0000-0000FC700000}"/>
    <cellStyle name="Normal 6 4 3 5 3" xfId="24296" xr:uid="{00000000-0005-0000-0000-0000FD700000}"/>
    <cellStyle name="Normal 6 4 3 6" xfId="10670" xr:uid="{00000000-0005-0000-0000-0000FE700000}"/>
    <cellStyle name="Normal 6 4 3 6 2" xfId="28852" xr:uid="{00000000-0005-0000-0000-0000FF700000}"/>
    <cellStyle name="Normal 6 4 3 7" xfId="19761" xr:uid="{00000000-0005-0000-0000-000000710000}"/>
    <cellStyle name="Normal 6 4 4" xfId="1467" xr:uid="{00000000-0005-0000-0000-000001710000}"/>
    <cellStyle name="Normal 6 4 4 2" xfId="2860" xr:uid="{00000000-0005-0000-0000-000002710000}"/>
    <cellStyle name="Normal 6 4 4 2 2" xfId="7441" xr:uid="{00000000-0005-0000-0000-000003710000}"/>
    <cellStyle name="Normal 6 4 4 2 2 2" xfId="16541" xr:uid="{00000000-0005-0000-0000-000004710000}"/>
    <cellStyle name="Normal 6 4 4 2 2 2 2" xfId="34723" xr:uid="{00000000-0005-0000-0000-000005710000}"/>
    <cellStyle name="Normal 6 4 4 2 2 3" xfId="25633" xr:uid="{00000000-0005-0000-0000-000006710000}"/>
    <cellStyle name="Normal 6 4 4 2 3" xfId="12005" xr:uid="{00000000-0005-0000-0000-000007710000}"/>
    <cellStyle name="Normal 6 4 4 2 3 2" xfId="30187" xr:uid="{00000000-0005-0000-0000-000008710000}"/>
    <cellStyle name="Normal 6 4 4 2 4" xfId="21097" xr:uid="{00000000-0005-0000-0000-000009710000}"/>
    <cellStyle name="Normal 6 4 4 3" xfId="4467" xr:uid="{00000000-0005-0000-0000-00000A710000}"/>
    <cellStyle name="Normal 6 4 4 3 2" xfId="9023" xr:uid="{00000000-0005-0000-0000-00000B710000}"/>
    <cellStyle name="Normal 6 4 4 3 2 2" xfId="18119" xr:uid="{00000000-0005-0000-0000-00000C710000}"/>
    <cellStyle name="Normal 6 4 4 3 2 2 2" xfId="36301" xr:uid="{00000000-0005-0000-0000-00000D710000}"/>
    <cellStyle name="Normal 6 4 4 3 2 3" xfId="27211" xr:uid="{00000000-0005-0000-0000-00000E710000}"/>
    <cellStyle name="Normal 6 4 4 3 3" xfId="13579" xr:uid="{00000000-0005-0000-0000-00000F710000}"/>
    <cellStyle name="Normal 6 4 4 3 3 2" xfId="31761" xr:uid="{00000000-0005-0000-0000-000010710000}"/>
    <cellStyle name="Normal 6 4 4 3 4" xfId="22671" xr:uid="{00000000-0005-0000-0000-000011710000}"/>
    <cellStyle name="Normal 6 4 4 4" xfId="6106" xr:uid="{00000000-0005-0000-0000-000012710000}"/>
    <cellStyle name="Normal 6 4 4 4 2" xfId="15206" xr:uid="{00000000-0005-0000-0000-000013710000}"/>
    <cellStyle name="Normal 6 4 4 4 2 2" xfId="33388" xr:uid="{00000000-0005-0000-0000-000014710000}"/>
    <cellStyle name="Normal 6 4 4 4 3" xfId="24298" xr:uid="{00000000-0005-0000-0000-000015710000}"/>
    <cellStyle name="Normal 6 4 4 5" xfId="10672" xr:uid="{00000000-0005-0000-0000-000016710000}"/>
    <cellStyle name="Normal 6 4 4 5 2" xfId="28854" xr:uid="{00000000-0005-0000-0000-000017710000}"/>
    <cellStyle name="Normal 6 4 4 6" xfId="19763" xr:uid="{00000000-0005-0000-0000-000018710000}"/>
    <cellStyle name="Normal 6 4 5" xfId="1468" xr:uid="{00000000-0005-0000-0000-000019710000}"/>
    <cellStyle name="Normal 6 4 5 2" xfId="4468" xr:uid="{00000000-0005-0000-0000-00001A710000}"/>
    <cellStyle name="Normal 6 4 5 2 2" xfId="9024" xr:uid="{00000000-0005-0000-0000-00001B710000}"/>
    <cellStyle name="Normal 6 4 5 2 2 2" xfId="18120" xr:uid="{00000000-0005-0000-0000-00001C710000}"/>
    <cellStyle name="Normal 6 4 5 2 2 2 2" xfId="36302" xr:uid="{00000000-0005-0000-0000-00001D710000}"/>
    <cellStyle name="Normal 6 4 5 2 2 3" xfId="27212" xr:uid="{00000000-0005-0000-0000-00001E710000}"/>
    <cellStyle name="Normal 6 4 5 2 3" xfId="13580" xr:uid="{00000000-0005-0000-0000-00001F710000}"/>
    <cellStyle name="Normal 6 4 5 2 3 2" xfId="31762" xr:uid="{00000000-0005-0000-0000-000020710000}"/>
    <cellStyle name="Normal 6 4 5 2 4" xfId="22672" xr:uid="{00000000-0005-0000-0000-000021710000}"/>
    <cellStyle name="Normal 6 4 5 3" xfId="6107" xr:uid="{00000000-0005-0000-0000-000022710000}"/>
    <cellStyle name="Normal 6 4 5 3 2" xfId="15207" xr:uid="{00000000-0005-0000-0000-000023710000}"/>
    <cellStyle name="Normal 6 4 5 3 2 2" xfId="33389" xr:uid="{00000000-0005-0000-0000-000024710000}"/>
    <cellStyle name="Normal 6 4 5 3 3" xfId="24299" xr:uid="{00000000-0005-0000-0000-000025710000}"/>
    <cellStyle name="Normal 6 4 5 4" xfId="10673" xr:uid="{00000000-0005-0000-0000-000026710000}"/>
    <cellStyle name="Normal 6 4 5 4 2" xfId="28855" xr:uid="{00000000-0005-0000-0000-000027710000}"/>
    <cellStyle name="Normal 6 4 5 5" xfId="19764" xr:uid="{00000000-0005-0000-0000-000028710000}"/>
    <cellStyle name="Normal 6 4 6" xfId="2861" xr:uid="{00000000-0005-0000-0000-000029710000}"/>
    <cellStyle name="Normal 6 4 6 2" xfId="7442" xr:uid="{00000000-0005-0000-0000-00002A710000}"/>
    <cellStyle name="Normal 6 4 6 2 2" xfId="16542" xr:uid="{00000000-0005-0000-0000-00002B710000}"/>
    <cellStyle name="Normal 6 4 6 2 2 2" xfId="34724" xr:uid="{00000000-0005-0000-0000-00002C710000}"/>
    <cellStyle name="Normal 6 4 6 2 3" xfId="25634" xr:uid="{00000000-0005-0000-0000-00002D710000}"/>
    <cellStyle name="Normal 6 4 6 3" xfId="12006" xr:uid="{00000000-0005-0000-0000-00002E710000}"/>
    <cellStyle name="Normal 6 4 6 3 2" xfId="30188" xr:uid="{00000000-0005-0000-0000-00002F710000}"/>
    <cellStyle name="Normal 6 4 6 4" xfId="21098" xr:uid="{00000000-0005-0000-0000-000030710000}"/>
    <cellStyle name="Normal 6 4 7" xfId="4459" xr:uid="{00000000-0005-0000-0000-000031710000}"/>
    <cellStyle name="Normal 6 4 7 2" xfId="9015" xr:uid="{00000000-0005-0000-0000-000032710000}"/>
    <cellStyle name="Normal 6 4 7 2 2" xfId="18111" xr:uid="{00000000-0005-0000-0000-000033710000}"/>
    <cellStyle name="Normal 6 4 7 2 2 2" xfId="36293" xr:uid="{00000000-0005-0000-0000-000034710000}"/>
    <cellStyle name="Normal 6 4 7 2 3" xfId="27203" xr:uid="{00000000-0005-0000-0000-000035710000}"/>
    <cellStyle name="Normal 6 4 7 3" xfId="13571" xr:uid="{00000000-0005-0000-0000-000036710000}"/>
    <cellStyle name="Normal 6 4 7 3 2" xfId="31753" xr:uid="{00000000-0005-0000-0000-000037710000}"/>
    <cellStyle name="Normal 6 4 7 4" xfId="22663" xr:uid="{00000000-0005-0000-0000-000038710000}"/>
    <cellStyle name="Normal 6 4 8" xfId="6098" xr:uid="{00000000-0005-0000-0000-000039710000}"/>
    <cellStyle name="Normal 6 4 8 2" xfId="15198" xr:uid="{00000000-0005-0000-0000-00003A710000}"/>
    <cellStyle name="Normal 6 4 8 2 2" xfId="33380" xr:uid="{00000000-0005-0000-0000-00003B710000}"/>
    <cellStyle name="Normal 6 4 8 3" xfId="24290" xr:uid="{00000000-0005-0000-0000-00003C710000}"/>
    <cellStyle name="Normal 6 4 9" xfId="10664" xr:uid="{00000000-0005-0000-0000-00003D710000}"/>
    <cellStyle name="Normal 6 4 9 2" xfId="28846" xr:uid="{00000000-0005-0000-0000-00003E710000}"/>
    <cellStyle name="Normal 6 5" xfId="1469" xr:uid="{00000000-0005-0000-0000-00003F710000}"/>
    <cellStyle name="Normal 6 5 2" xfId="1470" xr:uid="{00000000-0005-0000-0000-000040710000}"/>
    <cellStyle name="Normal 6 5 2 2" xfId="1471" xr:uid="{00000000-0005-0000-0000-000041710000}"/>
    <cellStyle name="Normal 6 5 2 2 2" xfId="2862" xr:uid="{00000000-0005-0000-0000-000042710000}"/>
    <cellStyle name="Normal 6 5 2 2 2 2" xfId="7443" xr:uid="{00000000-0005-0000-0000-000043710000}"/>
    <cellStyle name="Normal 6 5 2 2 2 2 2" xfId="16543" xr:uid="{00000000-0005-0000-0000-000044710000}"/>
    <cellStyle name="Normal 6 5 2 2 2 2 2 2" xfId="34725" xr:uid="{00000000-0005-0000-0000-000045710000}"/>
    <cellStyle name="Normal 6 5 2 2 2 2 3" xfId="25635" xr:uid="{00000000-0005-0000-0000-000046710000}"/>
    <cellStyle name="Normal 6 5 2 2 2 3" xfId="12007" xr:uid="{00000000-0005-0000-0000-000047710000}"/>
    <cellStyle name="Normal 6 5 2 2 2 3 2" xfId="30189" xr:uid="{00000000-0005-0000-0000-000048710000}"/>
    <cellStyle name="Normal 6 5 2 2 2 4" xfId="21099" xr:uid="{00000000-0005-0000-0000-000049710000}"/>
    <cellStyle name="Normal 6 5 2 2 3" xfId="4471" xr:uid="{00000000-0005-0000-0000-00004A710000}"/>
    <cellStyle name="Normal 6 5 2 2 3 2" xfId="9027" xr:uid="{00000000-0005-0000-0000-00004B710000}"/>
    <cellStyle name="Normal 6 5 2 2 3 2 2" xfId="18123" xr:uid="{00000000-0005-0000-0000-00004C710000}"/>
    <cellStyle name="Normal 6 5 2 2 3 2 2 2" xfId="36305" xr:uid="{00000000-0005-0000-0000-00004D710000}"/>
    <cellStyle name="Normal 6 5 2 2 3 2 3" xfId="27215" xr:uid="{00000000-0005-0000-0000-00004E710000}"/>
    <cellStyle name="Normal 6 5 2 2 3 3" xfId="13583" xr:uid="{00000000-0005-0000-0000-00004F710000}"/>
    <cellStyle name="Normal 6 5 2 2 3 3 2" xfId="31765" xr:uid="{00000000-0005-0000-0000-000050710000}"/>
    <cellStyle name="Normal 6 5 2 2 3 4" xfId="22675" xr:uid="{00000000-0005-0000-0000-000051710000}"/>
    <cellStyle name="Normal 6 5 2 2 4" xfId="6110" xr:uid="{00000000-0005-0000-0000-000052710000}"/>
    <cellStyle name="Normal 6 5 2 2 4 2" xfId="15210" xr:uid="{00000000-0005-0000-0000-000053710000}"/>
    <cellStyle name="Normal 6 5 2 2 4 2 2" xfId="33392" xr:uid="{00000000-0005-0000-0000-000054710000}"/>
    <cellStyle name="Normal 6 5 2 2 4 3" xfId="24302" xr:uid="{00000000-0005-0000-0000-000055710000}"/>
    <cellStyle name="Normal 6 5 2 2 5" xfId="10676" xr:uid="{00000000-0005-0000-0000-000056710000}"/>
    <cellStyle name="Normal 6 5 2 2 5 2" xfId="28858" xr:uid="{00000000-0005-0000-0000-000057710000}"/>
    <cellStyle name="Normal 6 5 2 2 6" xfId="19767" xr:uid="{00000000-0005-0000-0000-000058710000}"/>
    <cellStyle name="Normal 6 5 2 3" xfId="2863" xr:uid="{00000000-0005-0000-0000-000059710000}"/>
    <cellStyle name="Normal 6 5 2 3 2" xfId="7444" xr:uid="{00000000-0005-0000-0000-00005A710000}"/>
    <cellStyle name="Normal 6 5 2 3 2 2" xfId="16544" xr:uid="{00000000-0005-0000-0000-00005B710000}"/>
    <cellStyle name="Normal 6 5 2 3 2 2 2" xfId="34726" xr:uid="{00000000-0005-0000-0000-00005C710000}"/>
    <cellStyle name="Normal 6 5 2 3 2 3" xfId="25636" xr:uid="{00000000-0005-0000-0000-00005D710000}"/>
    <cellStyle name="Normal 6 5 2 3 3" xfId="12008" xr:uid="{00000000-0005-0000-0000-00005E710000}"/>
    <cellStyle name="Normal 6 5 2 3 3 2" xfId="30190" xr:uid="{00000000-0005-0000-0000-00005F710000}"/>
    <cellStyle name="Normal 6 5 2 3 4" xfId="21100" xr:uid="{00000000-0005-0000-0000-000060710000}"/>
    <cellStyle name="Normal 6 5 2 4" xfId="4470" xr:uid="{00000000-0005-0000-0000-000061710000}"/>
    <cellStyle name="Normal 6 5 2 4 2" xfId="9026" xr:uid="{00000000-0005-0000-0000-000062710000}"/>
    <cellStyle name="Normal 6 5 2 4 2 2" xfId="18122" xr:uid="{00000000-0005-0000-0000-000063710000}"/>
    <cellStyle name="Normal 6 5 2 4 2 2 2" xfId="36304" xr:uid="{00000000-0005-0000-0000-000064710000}"/>
    <cellStyle name="Normal 6 5 2 4 2 3" xfId="27214" xr:uid="{00000000-0005-0000-0000-000065710000}"/>
    <cellStyle name="Normal 6 5 2 4 3" xfId="13582" xr:uid="{00000000-0005-0000-0000-000066710000}"/>
    <cellStyle name="Normal 6 5 2 4 3 2" xfId="31764" xr:uid="{00000000-0005-0000-0000-000067710000}"/>
    <cellStyle name="Normal 6 5 2 4 4" xfId="22674" xr:uid="{00000000-0005-0000-0000-000068710000}"/>
    <cellStyle name="Normal 6 5 2 5" xfId="6109" xr:uid="{00000000-0005-0000-0000-000069710000}"/>
    <cellStyle name="Normal 6 5 2 5 2" xfId="15209" xr:uid="{00000000-0005-0000-0000-00006A710000}"/>
    <cellStyle name="Normal 6 5 2 5 2 2" xfId="33391" xr:uid="{00000000-0005-0000-0000-00006B710000}"/>
    <cellStyle name="Normal 6 5 2 5 3" xfId="24301" xr:uid="{00000000-0005-0000-0000-00006C710000}"/>
    <cellStyle name="Normal 6 5 2 6" xfId="10675" xr:uid="{00000000-0005-0000-0000-00006D710000}"/>
    <cellStyle name="Normal 6 5 2 6 2" xfId="28857" xr:uid="{00000000-0005-0000-0000-00006E710000}"/>
    <cellStyle name="Normal 6 5 2 7" xfId="19766" xr:uid="{00000000-0005-0000-0000-00006F710000}"/>
    <cellStyle name="Normal 6 5 3" xfId="1472" xr:uid="{00000000-0005-0000-0000-000070710000}"/>
    <cellStyle name="Normal 6 5 3 2" xfId="2864" xr:uid="{00000000-0005-0000-0000-000071710000}"/>
    <cellStyle name="Normal 6 5 3 2 2" xfId="7445" xr:uid="{00000000-0005-0000-0000-000072710000}"/>
    <cellStyle name="Normal 6 5 3 2 2 2" xfId="16545" xr:uid="{00000000-0005-0000-0000-000073710000}"/>
    <cellStyle name="Normal 6 5 3 2 2 2 2" xfId="34727" xr:uid="{00000000-0005-0000-0000-000074710000}"/>
    <cellStyle name="Normal 6 5 3 2 2 3" xfId="25637" xr:uid="{00000000-0005-0000-0000-000075710000}"/>
    <cellStyle name="Normal 6 5 3 2 3" xfId="12009" xr:uid="{00000000-0005-0000-0000-000076710000}"/>
    <cellStyle name="Normal 6 5 3 2 3 2" xfId="30191" xr:uid="{00000000-0005-0000-0000-000077710000}"/>
    <cellStyle name="Normal 6 5 3 2 4" xfId="21101" xr:uid="{00000000-0005-0000-0000-000078710000}"/>
    <cellStyle name="Normal 6 5 3 3" xfId="4472" xr:uid="{00000000-0005-0000-0000-000079710000}"/>
    <cellStyle name="Normal 6 5 3 3 2" xfId="9028" xr:uid="{00000000-0005-0000-0000-00007A710000}"/>
    <cellStyle name="Normal 6 5 3 3 2 2" xfId="18124" xr:uid="{00000000-0005-0000-0000-00007B710000}"/>
    <cellStyle name="Normal 6 5 3 3 2 2 2" xfId="36306" xr:uid="{00000000-0005-0000-0000-00007C710000}"/>
    <cellStyle name="Normal 6 5 3 3 2 3" xfId="27216" xr:uid="{00000000-0005-0000-0000-00007D710000}"/>
    <cellStyle name="Normal 6 5 3 3 3" xfId="13584" xr:uid="{00000000-0005-0000-0000-00007E710000}"/>
    <cellStyle name="Normal 6 5 3 3 3 2" xfId="31766" xr:uid="{00000000-0005-0000-0000-00007F710000}"/>
    <cellStyle name="Normal 6 5 3 3 4" xfId="22676" xr:uid="{00000000-0005-0000-0000-000080710000}"/>
    <cellStyle name="Normal 6 5 3 4" xfId="6111" xr:uid="{00000000-0005-0000-0000-000081710000}"/>
    <cellStyle name="Normal 6 5 3 4 2" xfId="15211" xr:uid="{00000000-0005-0000-0000-000082710000}"/>
    <cellStyle name="Normal 6 5 3 4 2 2" xfId="33393" xr:uid="{00000000-0005-0000-0000-000083710000}"/>
    <cellStyle name="Normal 6 5 3 4 3" xfId="24303" xr:uid="{00000000-0005-0000-0000-000084710000}"/>
    <cellStyle name="Normal 6 5 3 5" xfId="10677" xr:uid="{00000000-0005-0000-0000-000085710000}"/>
    <cellStyle name="Normal 6 5 3 5 2" xfId="28859" xr:uid="{00000000-0005-0000-0000-000086710000}"/>
    <cellStyle name="Normal 6 5 3 6" xfId="19768" xr:uid="{00000000-0005-0000-0000-000087710000}"/>
    <cellStyle name="Normal 6 5 4" xfId="1473" xr:uid="{00000000-0005-0000-0000-000088710000}"/>
    <cellStyle name="Normal 6 5 4 2" xfId="4473" xr:uid="{00000000-0005-0000-0000-000089710000}"/>
    <cellStyle name="Normal 6 5 4 2 2" xfId="9029" xr:uid="{00000000-0005-0000-0000-00008A710000}"/>
    <cellStyle name="Normal 6 5 4 2 2 2" xfId="18125" xr:uid="{00000000-0005-0000-0000-00008B710000}"/>
    <cellStyle name="Normal 6 5 4 2 2 2 2" xfId="36307" xr:uid="{00000000-0005-0000-0000-00008C710000}"/>
    <cellStyle name="Normal 6 5 4 2 2 3" xfId="27217" xr:uid="{00000000-0005-0000-0000-00008D710000}"/>
    <cellStyle name="Normal 6 5 4 2 3" xfId="13585" xr:uid="{00000000-0005-0000-0000-00008E710000}"/>
    <cellStyle name="Normal 6 5 4 2 3 2" xfId="31767" xr:uid="{00000000-0005-0000-0000-00008F710000}"/>
    <cellStyle name="Normal 6 5 4 2 4" xfId="22677" xr:uid="{00000000-0005-0000-0000-000090710000}"/>
    <cellStyle name="Normal 6 5 4 3" xfId="6112" xr:uid="{00000000-0005-0000-0000-000091710000}"/>
    <cellStyle name="Normal 6 5 4 3 2" xfId="15212" xr:uid="{00000000-0005-0000-0000-000092710000}"/>
    <cellStyle name="Normal 6 5 4 3 2 2" xfId="33394" xr:uid="{00000000-0005-0000-0000-000093710000}"/>
    <cellStyle name="Normal 6 5 4 3 3" xfId="24304" xr:uid="{00000000-0005-0000-0000-000094710000}"/>
    <cellStyle name="Normal 6 5 4 4" xfId="10678" xr:uid="{00000000-0005-0000-0000-000095710000}"/>
    <cellStyle name="Normal 6 5 4 4 2" xfId="28860" xr:uid="{00000000-0005-0000-0000-000096710000}"/>
    <cellStyle name="Normal 6 5 4 5" xfId="19769" xr:uid="{00000000-0005-0000-0000-000097710000}"/>
    <cellStyle name="Normal 6 5 5" xfId="2865" xr:uid="{00000000-0005-0000-0000-000098710000}"/>
    <cellStyle name="Normal 6 5 5 2" xfId="7446" xr:uid="{00000000-0005-0000-0000-000099710000}"/>
    <cellStyle name="Normal 6 5 5 2 2" xfId="16546" xr:uid="{00000000-0005-0000-0000-00009A710000}"/>
    <cellStyle name="Normal 6 5 5 2 2 2" xfId="34728" xr:uid="{00000000-0005-0000-0000-00009B710000}"/>
    <cellStyle name="Normal 6 5 5 2 3" xfId="25638" xr:uid="{00000000-0005-0000-0000-00009C710000}"/>
    <cellStyle name="Normal 6 5 5 3" xfId="12010" xr:uid="{00000000-0005-0000-0000-00009D710000}"/>
    <cellStyle name="Normal 6 5 5 3 2" xfId="30192" xr:uid="{00000000-0005-0000-0000-00009E710000}"/>
    <cellStyle name="Normal 6 5 5 4" xfId="21102" xr:uid="{00000000-0005-0000-0000-00009F710000}"/>
    <cellStyle name="Normal 6 5 6" xfId="4469" xr:uid="{00000000-0005-0000-0000-0000A0710000}"/>
    <cellStyle name="Normal 6 5 6 2" xfId="9025" xr:uid="{00000000-0005-0000-0000-0000A1710000}"/>
    <cellStyle name="Normal 6 5 6 2 2" xfId="18121" xr:uid="{00000000-0005-0000-0000-0000A2710000}"/>
    <cellStyle name="Normal 6 5 6 2 2 2" xfId="36303" xr:uid="{00000000-0005-0000-0000-0000A3710000}"/>
    <cellStyle name="Normal 6 5 6 2 3" xfId="27213" xr:uid="{00000000-0005-0000-0000-0000A4710000}"/>
    <cellStyle name="Normal 6 5 6 3" xfId="13581" xr:uid="{00000000-0005-0000-0000-0000A5710000}"/>
    <cellStyle name="Normal 6 5 6 3 2" xfId="31763" xr:uid="{00000000-0005-0000-0000-0000A6710000}"/>
    <cellStyle name="Normal 6 5 6 4" xfId="22673" xr:uid="{00000000-0005-0000-0000-0000A7710000}"/>
    <cellStyle name="Normal 6 5 7" xfId="6108" xr:uid="{00000000-0005-0000-0000-0000A8710000}"/>
    <cellStyle name="Normal 6 5 7 2" xfId="15208" xr:uid="{00000000-0005-0000-0000-0000A9710000}"/>
    <cellStyle name="Normal 6 5 7 2 2" xfId="33390" xr:uid="{00000000-0005-0000-0000-0000AA710000}"/>
    <cellStyle name="Normal 6 5 7 3" xfId="24300" xr:uid="{00000000-0005-0000-0000-0000AB710000}"/>
    <cellStyle name="Normal 6 5 8" xfId="10674" xr:uid="{00000000-0005-0000-0000-0000AC710000}"/>
    <cellStyle name="Normal 6 5 8 2" xfId="28856" xr:uid="{00000000-0005-0000-0000-0000AD710000}"/>
    <cellStyle name="Normal 6 5 9" xfId="19765" xr:uid="{00000000-0005-0000-0000-0000AE710000}"/>
    <cellStyle name="Normal 6 6" xfId="1474" xr:uid="{00000000-0005-0000-0000-0000AF710000}"/>
    <cellStyle name="Normal 6 6 2" xfId="1475" xr:uid="{00000000-0005-0000-0000-0000B0710000}"/>
    <cellStyle name="Normal 6 6 2 2" xfId="2866" xr:uid="{00000000-0005-0000-0000-0000B1710000}"/>
    <cellStyle name="Normal 6 6 2 2 2" xfId="7447" xr:uid="{00000000-0005-0000-0000-0000B2710000}"/>
    <cellStyle name="Normal 6 6 2 2 2 2" xfId="16547" xr:uid="{00000000-0005-0000-0000-0000B3710000}"/>
    <cellStyle name="Normal 6 6 2 2 2 2 2" xfId="34729" xr:uid="{00000000-0005-0000-0000-0000B4710000}"/>
    <cellStyle name="Normal 6 6 2 2 2 3" xfId="25639" xr:uid="{00000000-0005-0000-0000-0000B5710000}"/>
    <cellStyle name="Normal 6 6 2 2 3" xfId="12011" xr:uid="{00000000-0005-0000-0000-0000B6710000}"/>
    <cellStyle name="Normal 6 6 2 2 3 2" xfId="30193" xr:uid="{00000000-0005-0000-0000-0000B7710000}"/>
    <cellStyle name="Normal 6 6 2 2 4" xfId="21103" xr:uid="{00000000-0005-0000-0000-0000B8710000}"/>
    <cellStyle name="Normal 6 6 2 3" xfId="4475" xr:uid="{00000000-0005-0000-0000-0000B9710000}"/>
    <cellStyle name="Normal 6 6 2 3 2" xfId="9031" xr:uid="{00000000-0005-0000-0000-0000BA710000}"/>
    <cellStyle name="Normal 6 6 2 3 2 2" xfId="18127" xr:uid="{00000000-0005-0000-0000-0000BB710000}"/>
    <cellStyle name="Normal 6 6 2 3 2 2 2" xfId="36309" xr:uid="{00000000-0005-0000-0000-0000BC710000}"/>
    <cellStyle name="Normal 6 6 2 3 2 3" xfId="27219" xr:uid="{00000000-0005-0000-0000-0000BD710000}"/>
    <cellStyle name="Normal 6 6 2 3 3" xfId="13587" xr:uid="{00000000-0005-0000-0000-0000BE710000}"/>
    <cellStyle name="Normal 6 6 2 3 3 2" xfId="31769" xr:uid="{00000000-0005-0000-0000-0000BF710000}"/>
    <cellStyle name="Normal 6 6 2 3 4" xfId="22679" xr:uid="{00000000-0005-0000-0000-0000C0710000}"/>
    <cellStyle name="Normal 6 6 2 4" xfId="6114" xr:uid="{00000000-0005-0000-0000-0000C1710000}"/>
    <cellStyle name="Normal 6 6 2 4 2" xfId="15214" xr:uid="{00000000-0005-0000-0000-0000C2710000}"/>
    <cellStyle name="Normal 6 6 2 4 2 2" xfId="33396" xr:uid="{00000000-0005-0000-0000-0000C3710000}"/>
    <cellStyle name="Normal 6 6 2 4 3" xfId="24306" xr:uid="{00000000-0005-0000-0000-0000C4710000}"/>
    <cellStyle name="Normal 6 6 2 5" xfId="10680" xr:uid="{00000000-0005-0000-0000-0000C5710000}"/>
    <cellStyle name="Normal 6 6 2 5 2" xfId="28862" xr:uid="{00000000-0005-0000-0000-0000C6710000}"/>
    <cellStyle name="Normal 6 6 2 6" xfId="19771" xr:uid="{00000000-0005-0000-0000-0000C7710000}"/>
    <cellStyle name="Normal 6 6 3" xfId="2867" xr:uid="{00000000-0005-0000-0000-0000C8710000}"/>
    <cellStyle name="Normal 6 6 3 2" xfId="7448" xr:uid="{00000000-0005-0000-0000-0000C9710000}"/>
    <cellStyle name="Normal 6 6 3 2 2" xfId="16548" xr:uid="{00000000-0005-0000-0000-0000CA710000}"/>
    <cellStyle name="Normal 6 6 3 2 2 2" xfId="34730" xr:uid="{00000000-0005-0000-0000-0000CB710000}"/>
    <cellStyle name="Normal 6 6 3 2 3" xfId="25640" xr:uid="{00000000-0005-0000-0000-0000CC710000}"/>
    <cellStyle name="Normal 6 6 3 3" xfId="12012" xr:uid="{00000000-0005-0000-0000-0000CD710000}"/>
    <cellStyle name="Normal 6 6 3 3 2" xfId="30194" xr:uid="{00000000-0005-0000-0000-0000CE710000}"/>
    <cellStyle name="Normal 6 6 3 4" xfId="21104" xr:uid="{00000000-0005-0000-0000-0000CF710000}"/>
    <cellStyle name="Normal 6 6 4" xfId="4474" xr:uid="{00000000-0005-0000-0000-0000D0710000}"/>
    <cellStyle name="Normal 6 6 4 2" xfId="9030" xr:uid="{00000000-0005-0000-0000-0000D1710000}"/>
    <cellStyle name="Normal 6 6 4 2 2" xfId="18126" xr:uid="{00000000-0005-0000-0000-0000D2710000}"/>
    <cellStyle name="Normal 6 6 4 2 2 2" xfId="36308" xr:uid="{00000000-0005-0000-0000-0000D3710000}"/>
    <cellStyle name="Normal 6 6 4 2 3" xfId="27218" xr:uid="{00000000-0005-0000-0000-0000D4710000}"/>
    <cellStyle name="Normal 6 6 4 3" xfId="13586" xr:uid="{00000000-0005-0000-0000-0000D5710000}"/>
    <cellStyle name="Normal 6 6 4 3 2" xfId="31768" xr:uid="{00000000-0005-0000-0000-0000D6710000}"/>
    <cellStyle name="Normal 6 6 4 4" xfId="22678" xr:uid="{00000000-0005-0000-0000-0000D7710000}"/>
    <cellStyle name="Normal 6 6 5" xfId="6113" xr:uid="{00000000-0005-0000-0000-0000D8710000}"/>
    <cellStyle name="Normal 6 6 5 2" xfId="15213" xr:uid="{00000000-0005-0000-0000-0000D9710000}"/>
    <cellStyle name="Normal 6 6 5 2 2" xfId="33395" xr:uid="{00000000-0005-0000-0000-0000DA710000}"/>
    <cellStyle name="Normal 6 6 5 3" xfId="24305" xr:uid="{00000000-0005-0000-0000-0000DB710000}"/>
    <cellStyle name="Normal 6 6 6" xfId="10679" xr:uid="{00000000-0005-0000-0000-0000DC710000}"/>
    <cellStyle name="Normal 6 6 6 2" xfId="28861" xr:uid="{00000000-0005-0000-0000-0000DD710000}"/>
    <cellStyle name="Normal 6 6 7" xfId="19770" xr:uid="{00000000-0005-0000-0000-0000DE710000}"/>
    <cellStyle name="Normal 6 7" xfId="1476" xr:uid="{00000000-0005-0000-0000-0000DF710000}"/>
    <cellStyle name="Normal 6 7 2" xfId="2868" xr:uid="{00000000-0005-0000-0000-0000E0710000}"/>
    <cellStyle name="Normal 6 7 2 2" xfId="7449" xr:uid="{00000000-0005-0000-0000-0000E1710000}"/>
    <cellStyle name="Normal 6 7 2 2 2" xfId="16549" xr:uid="{00000000-0005-0000-0000-0000E2710000}"/>
    <cellStyle name="Normal 6 7 2 2 2 2" xfId="34731" xr:uid="{00000000-0005-0000-0000-0000E3710000}"/>
    <cellStyle name="Normal 6 7 2 2 3" xfId="25641" xr:uid="{00000000-0005-0000-0000-0000E4710000}"/>
    <cellStyle name="Normal 6 7 2 3" xfId="12013" xr:uid="{00000000-0005-0000-0000-0000E5710000}"/>
    <cellStyle name="Normal 6 7 2 3 2" xfId="30195" xr:uid="{00000000-0005-0000-0000-0000E6710000}"/>
    <cellStyle name="Normal 6 7 2 4" xfId="21105" xr:uid="{00000000-0005-0000-0000-0000E7710000}"/>
    <cellStyle name="Normal 6 7 3" xfId="4476" xr:uid="{00000000-0005-0000-0000-0000E8710000}"/>
    <cellStyle name="Normal 6 7 3 2" xfId="9032" xr:uid="{00000000-0005-0000-0000-0000E9710000}"/>
    <cellStyle name="Normal 6 7 3 2 2" xfId="18128" xr:uid="{00000000-0005-0000-0000-0000EA710000}"/>
    <cellStyle name="Normal 6 7 3 2 2 2" xfId="36310" xr:uid="{00000000-0005-0000-0000-0000EB710000}"/>
    <cellStyle name="Normal 6 7 3 2 3" xfId="27220" xr:uid="{00000000-0005-0000-0000-0000EC710000}"/>
    <cellStyle name="Normal 6 7 3 3" xfId="13588" xr:uid="{00000000-0005-0000-0000-0000ED710000}"/>
    <cellStyle name="Normal 6 7 3 3 2" xfId="31770" xr:uid="{00000000-0005-0000-0000-0000EE710000}"/>
    <cellStyle name="Normal 6 7 3 4" xfId="22680" xr:uid="{00000000-0005-0000-0000-0000EF710000}"/>
    <cellStyle name="Normal 6 7 4" xfId="6115" xr:uid="{00000000-0005-0000-0000-0000F0710000}"/>
    <cellStyle name="Normal 6 7 4 2" xfId="15215" xr:uid="{00000000-0005-0000-0000-0000F1710000}"/>
    <cellStyle name="Normal 6 7 4 2 2" xfId="33397" xr:uid="{00000000-0005-0000-0000-0000F2710000}"/>
    <cellStyle name="Normal 6 7 4 3" xfId="24307" xr:uid="{00000000-0005-0000-0000-0000F3710000}"/>
    <cellStyle name="Normal 6 7 5" xfId="10681" xr:uid="{00000000-0005-0000-0000-0000F4710000}"/>
    <cellStyle name="Normal 6 7 5 2" xfId="28863" xr:uid="{00000000-0005-0000-0000-0000F5710000}"/>
    <cellStyle name="Normal 6 7 6" xfId="19772" xr:uid="{00000000-0005-0000-0000-0000F6710000}"/>
    <cellStyle name="Normal 6 8" xfId="1477" xr:uid="{00000000-0005-0000-0000-0000F7710000}"/>
    <cellStyle name="Normal 6 8 2" xfId="4477" xr:uid="{00000000-0005-0000-0000-0000F8710000}"/>
    <cellStyle name="Normal 6 8 2 2" xfId="9033" xr:uid="{00000000-0005-0000-0000-0000F9710000}"/>
    <cellStyle name="Normal 6 8 2 2 2" xfId="18129" xr:uid="{00000000-0005-0000-0000-0000FA710000}"/>
    <cellStyle name="Normal 6 8 2 2 2 2" xfId="36311" xr:uid="{00000000-0005-0000-0000-0000FB710000}"/>
    <cellStyle name="Normal 6 8 2 2 3" xfId="27221" xr:uid="{00000000-0005-0000-0000-0000FC710000}"/>
    <cellStyle name="Normal 6 8 2 3" xfId="13589" xr:uid="{00000000-0005-0000-0000-0000FD710000}"/>
    <cellStyle name="Normal 6 8 2 3 2" xfId="31771" xr:uid="{00000000-0005-0000-0000-0000FE710000}"/>
    <cellStyle name="Normal 6 8 2 4" xfId="22681" xr:uid="{00000000-0005-0000-0000-0000FF710000}"/>
    <cellStyle name="Normal 6 8 3" xfId="6116" xr:uid="{00000000-0005-0000-0000-000000720000}"/>
    <cellStyle name="Normal 6 8 3 2" xfId="15216" xr:uid="{00000000-0005-0000-0000-000001720000}"/>
    <cellStyle name="Normal 6 8 3 2 2" xfId="33398" xr:uid="{00000000-0005-0000-0000-000002720000}"/>
    <cellStyle name="Normal 6 8 3 3" xfId="24308" xr:uid="{00000000-0005-0000-0000-000003720000}"/>
    <cellStyle name="Normal 6 8 4" xfId="10682" xr:uid="{00000000-0005-0000-0000-000004720000}"/>
    <cellStyle name="Normal 6 8 4 2" xfId="28864" xr:uid="{00000000-0005-0000-0000-000005720000}"/>
    <cellStyle name="Normal 6 8 5" xfId="19773" xr:uid="{00000000-0005-0000-0000-000006720000}"/>
    <cellStyle name="Normal 6 9" xfId="2869" xr:uid="{00000000-0005-0000-0000-000007720000}"/>
    <cellStyle name="Normal 6 9 2" xfId="7450" xr:uid="{00000000-0005-0000-0000-000008720000}"/>
    <cellStyle name="Normal 6 9 2 2" xfId="16550" xr:uid="{00000000-0005-0000-0000-000009720000}"/>
    <cellStyle name="Normal 6 9 2 2 2" xfId="34732" xr:uid="{00000000-0005-0000-0000-00000A720000}"/>
    <cellStyle name="Normal 6 9 2 3" xfId="25642" xr:uid="{00000000-0005-0000-0000-00000B720000}"/>
    <cellStyle name="Normal 6 9 3" xfId="12014" xr:uid="{00000000-0005-0000-0000-00000C720000}"/>
    <cellStyle name="Normal 6 9 3 2" xfId="30196" xr:uid="{00000000-0005-0000-0000-00000D720000}"/>
    <cellStyle name="Normal 6 9 4" xfId="21106" xr:uid="{00000000-0005-0000-0000-00000E720000}"/>
    <cellStyle name="Normal 60" xfId="2870" xr:uid="{00000000-0005-0000-0000-00000F720000}"/>
    <cellStyle name="Normal 61" xfId="1817" xr:uid="{00000000-0005-0000-0000-000010720000}"/>
    <cellStyle name="Normal 61 2" xfId="6433" xr:uid="{00000000-0005-0000-0000-000011720000}"/>
    <cellStyle name="Normal 61 2 2" xfId="15533" xr:uid="{00000000-0005-0000-0000-000012720000}"/>
    <cellStyle name="Normal 61 2 2 2" xfId="33715" xr:uid="{00000000-0005-0000-0000-000013720000}"/>
    <cellStyle name="Normal 61 2 3" xfId="24625" xr:uid="{00000000-0005-0000-0000-000014720000}"/>
    <cellStyle name="Normal 61 3" xfId="10998" xr:uid="{00000000-0005-0000-0000-000015720000}"/>
    <cellStyle name="Normal 61 3 2" xfId="29180" xr:uid="{00000000-0005-0000-0000-000016720000}"/>
    <cellStyle name="Normal 61 4" xfId="20090" xr:uid="{00000000-0005-0000-0000-000017720000}"/>
    <cellStyle name="Normal 62" xfId="3142" xr:uid="{00000000-0005-0000-0000-000018720000}"/>
    <cellStyle name="Normal 62 2" xfId="7705" xr:uid="{00000000-0005-0000-0000-000019720000}"/>
    <cellStyle name="Normal 62 2 2" xfId="16805" xr:uid="{00000000-0005-0000-0000-00001A720000}"/>
    <cellStyle name="Normal 62 2 2 2" xfId="34987" xr:uid="{00000000-0005-0000-0000-00001B720000}"/>
    <cellStyle name="Normal 62 2 3" xfId="25897" xr:uid="{00000000-0005-0000-0000-00001C720000}"/>
    <cellStyle name="Normal 62 3" xfId="12266" xr:uid="{00000000-0005-0000-0000-00001D720000}"/>
    <cellStyle name="Normal 62 3 2" xfId="30448" xr:uid="{00000000-0005-0000-0000-00001E720000}"/>
    <cellStyle name="Normal 62 4" xfId="21358" xr:uid="{00000000-0005-0000-0000-00001F720000}"/>
    <cellStyle name="Normal 63" xfId="3145" xr:uid="{00000000-0005-0000-0000-000020720000}"/>
    <cellStyle name="Normal 63 2" xfId="7707" xr:uid="{00000000-0005-0000-0000-000021720000}"/>
    <cellStyle name="Normal 64" xfId="3149" xr:uid="{00000000-0005-0000-0000-000022720000}"/>
    <cellStyle name="Normal 64 2" xfId="7710" xr:uid="{00000000-0005-0000-0000-000023720000}"/>
    <cellStyle name="Normal 65" xfId="3153" xr:uid="{00000000-0005-0000-0000-000024720000}"/>
    <cellStyle name="Normal 65 2" xfId="7714" xr:uid="{00000000-0005-0000-0000-000025720000}"/>
    <cellStyle name="Normal 66" xfId="4797" xr:uid="{00000000-0005-0000-0000-000026720000}"/>
    <cellStyle name="Normal 66 2" xfId="9353" xr:uid="{00000000-0005-0000-0000-000027720000}"/>
    <cellStyle name="Normal 66 2 2" xfId="18449" xr:uid="{00000000-0005-0000-0000-000028720000}"/>
    <cellStyle name="Normal 66 2 2 2" xfId="36631" xr:uid="{00000000-0005-0000-0000-000029720000}"/>
    <cellStyle name="Normal 66 2 3" xfId="27541" xr:uid="{00000000-0005-0000-0000-00002A720000}"/>
    <cellStyle name="Normal 66 3" xfId="13907" xr:uid="{00000000-0005-0000-0000-00002B720000}"/>
    <cellStyle name="Normal 66 3 2" xfId="32089" xr:uid="{00000000-0005-0000-0000-00002C720000}"/>
    <cellStyle name="Normal 66 4" xfId="22999" xr:uid="{00000000-0005-0000-0000-00002D720000}"/>
    <cellStyle name="Normal 67" xfId="4799" xr:uid="{00000000-0005-0000-0000-00002E720000}"/>
    <cellStyle name="Normal 67 2" xfId="9355" xr:uid="{00000000-0005-0000-0000-00002F720000}"/>
    <cellStyle name="Normal 68" xfId="4806" xr:uid="{00000000-0005-0000-0000-000030720000}"/>
    <cellStyle name="Normal 68 2" xfId="13909" xr:uid="{00000000-0005-0000-0000-000031720000}"/>
    <cellStyle name="Normal 68 2 2" xfId="32091" xr:uid="{00000000-0005-0000-0000-000032720000}"/>
    <cellStyle name="Normal 68 3" xfId="23001" xr:uid="{00000000-0005-0000-0000-000033720000}"/>
    <cellStyle name="Normal 68 4" xfId="36687" xr:uid="{FE93C274-D6AD-4F42-AD9F-8B166AA84EB1}"/>
    <cellStyle name="Normal 69" xfId="36675" xr:uid="{00000000-0005-0000-0000-000034720000}"/>
    <cellStyle name="Normal 69 2" xfId="36682" xr:uid="{00000000-0005-0000-0000-000035720000}"/>
    <cellStyle name="Normal 69 3" xfId="36680" xr:uid="{00000000-0005-0000-0000-000036720000}"/>
    <cellStyle name="Normal 69 3 2" xfId="36684" xr:uid="{00000000-0005-0000-0000-000037720000}"/>
    <cellStyle name="Normal 7" xfId="27" xr:uid="{00000000-0005-0000-0000-000038720000}"/>
    <cellStyle name="Normal 7 10" xfId="4821" xr:uid="{00000000-0005-0000-0000-000039720000}"/>
    <cellStyle name="Normal 7 10 2" xfId="13921" xr:uid="{00000000-0005-0000-0000-00003A720000}"/>
    <cellStyle name="Normal 7 10 2 2" xfId="32103" xr:uid="{00000000-0005-0000-0000-00003B720000}"/>
    <cellStyle name="Normal 7 10 3" xfId="23013" xr:uid="{00000000-0005-0000-0000-00003C720000}"/>
    <cellStyle name="Normal 7 11" xfId="9387" xr:uid="{00000000-0005-0000-0000-00003D720000}"/>
    <cellStyle name="Normal 7 11 2" xfId="27569" xr:uid="{00000000-0005-0000-0000-00003E720000}"/>
    <cellStyle name="Normal 7 12" xfId="18478" xr:uid="{00000000-0005-0000-0000-00003F720000}"/>
    <cellStyle name="Normal 7 13" xfId="36676" xr:uid="{00000000-0005-0000-0000-000040720000}"/>
    <cellStyle name="Normal 7 2" xfId="109" xr:uid="{00000000-0005-0000-0000-000041720000}"/>
    <cellStyle name="Normal 7 2 10" xfId="9420" xr:uid="{00000000-0005-0000-0000-000042720000}"/>
    <cellStyle name="Normal 7 2 10 2" xfId="27602" xr:uid="{00000000-0005-0000-0000-000043720000}"/>
    <cellStyle name="Normal 7 2 11" xfId="18511" xr:uid="{00000000-0005-0000-0000-000044720000}"/>
    <cellStyle name="Normal 7 2 2" xfId="1478" xr:uid="{00000000-0005-0000-0000-000045720000}"/>
    <cellStyle name="Normal 7 2 2 10" xfId="19774" xr:uid="{00000000-0005-0000-0000-000046720000}"/>
    <cellStyle name="Normal 7 2 2 2" xfId="1479" xr:uid="{00000000-0005-0000-0000-000047720000}"/>
    <cellStyle name="Normal 7 2 2 2 2" xfId="1480" xr:uid="{00000000-0005-0000-0000-000048720000}"/>
    <cellStyle name="Normal 7 2 2 2 2 2" xfId="1481" xr:uid="{00000000-0005-0000-0000-000049720000}"/>
    <cellStyle name="Normal 7 2 2 2 2 2 2" xfId="2871" xr:uid="{00000000-0005-0000-0000-00004A720000}"/>
    <cellStyle name="Normal 7 2 2 2 2 2 2 2" xfId="7451" xr:uid="{00000000-0005-0000-0000-00004B720000}"/>
    <cellStyle name="Normal 7 2 2 2 2 2 2 2 2" xfId="16551" xr:uid="{00000000-0005-0000-0000-00004C720000}"/>
    <cellStyle name="Normal 7 2 2 2 2 2 2 2 2 2" xfId="34733" xr:uid="{00000000-0005-0000-0000-00004D720000}"/>
    <cellStyle name="Normal 7 2 2 2 2 2 2 2 3" xfId="25643" xr:uid="{00000000-0005-0000-0000-00004E720000}"/>
    <cellStyle name="Normal 7 2 2 2 2 2 2 3" xfId="12015" xr:uid="{00000000-0005-0000-0000-00004F720000}"/>
    <cellStyle name="Normal 7 2 2 2 2 2 2 3 2" xfId="30197" xr:uid="{00000000-0005-0000-0000-000050720000}"/>
    <cellStyle name="Normal 7 2 2 2 2 2 2 4" xfId="21107" xr:uid="{00000000-0005-0000-0000-000051720000}"/>
    <cellStyle name="Normal 7 2 2 2 2 2 3" xfId="4481" xr:uid="{00000000-0005-0000-0000-000052720000}"/>
    <cellStyle name="Normal 7 2 2 2 2 2 3 2" xfId="9037" xr:uid="{00000000-0005-0000-0000-000053720000}"/>
    <cellStyle name="Normal 7 2 2 2 2 2 3 2 2" xfId="18133" xr:uid="{00000000-0005-0000-0000-000054720000}"/>
    <cellStyle name="Normal 7 2 2 2 2 2 3 2 2 2" xfId="36315" xr:uid="{00000000-0005-0000-0000-000055720000}"/>
    <cellStyle name="Normal 7 2 2 2 2 2 3 2 3" xfId="27225" xr:uid="{00000000-0005-0000-0000-000056720000}"/>
    <cellStyle name="Normal 7 2 2 2 2 2 3 3" xfId="13593" xr:uid="{00000000-0005-0000-0000-000057720000}"/>
    <cellStyle name="Normal 7 2 2 2 2 2 3 3 2" xfId="31775" xr:uid="{00000000-0005-0000-0000-000058720000}"/>
    <cellStyle name="Normal 7 2 2 2 2 2 3 4" xfId="22685" xr:uid="{00000000-0005-0000-0000-000059720000}"/>
    <cellStyle name="Normal 7 2 2 2 2 2 4" xfId="6120" xr:uid="{00000000-0005-0000-0000-00005A720000}"/>
    <cellStyle name="Normal 7 2 2 2 2 2 4 2" xfId="15220" xr:uid="{00000000-0005-0000-0000-00005B720000}"/>
    <cellStyle name="Normal 7 2 2 2 2 2 4 2 2" xfId="33402" xr:uid="{00000000-0005-0000-0000-00005C720000}"/>
    <cellStyle name="Normal 7 2 2 2 2 2 4 3" xfId="24312" xr:uid="{00000000-0005-0000-0000-00005D720000}"/>
    <cellStyle name="Normal 7 2 2 2 2 2 5" xfId="10686" xr:uid="{00000000-0005-0000-0000-00005E720000}"/>
    <cellStyle name="Normal 7 2 2 2 2 2 5 2" xfId="28868" xr:uid="{00000000-0005-0000-0000-00005F720000}"/>
    <cellStyle name="Normal 7 2 2 2 2 2 6" xfId="19777" xr:uid="{00000000-0005-0000-0000-000060720000}"/>
    <cellStyle name="Normal 7 2 2 2 2 3" xfId="2872" xr:uid="{00000000-0005-0000-0000-000061720000}"/>
    <cellStyle name="Normal 7 2 2 2 2 3 2" xfId="7452" xr:uid="{00000000-0005-0000-0000-000062720000}"/>
    <cellStyle name="Normal 7 2 2 2 2 3 2 2" xfId="16552" xr:uid="{00000000-0005-0000-0000-000063720000}"/>
    <cellStyle name="Normal 7 2 2 2 2 3 2 2 2" xfId="34734" xr:uid="{00000000-0005-0000-0000-000064720000}"/>
    <cellStyle name="Normal 7 2 2 2 2 3 2 3" xfId="25644" xr:uid="{00000000-0005-0000-0000-000065720000}"/>
    <cellStyle name="Normal 7 2 2 2 2 3 3" xfId="12016" xr:uid="{00000000-0005-0000-0000-000066720000}"/>
    <cellStyle name="Normal 7 2 2 2 2 3 3 2" xfId="30198" xr:uid="{00000000-0005-0000-0000-000067720000}"/>
    <cellStyle name="Normal 7 2 2 2 2 3 4" xfId="21108" xr:uid="{00000000-0005-0000-0000-000068720000}"/>
    <cellStyle name="Normal 7 2 2 2 2 4" xfId="4480" xr:uid="{00000000-0005-0000-0000-000069720000}"/>
    <cellStyle name="Normal 7 2 2 2 2 4 2" xfId="9036" xr:uid="{00000000-0005-0000-0000-00006A720000}"/>
    <cellStyle name="Normal 7 2 2 2 2 4 2 2" xfId="18132" xr:uid="{00000000-0005-0000-0000-00006B720000}"/>
    <cellStyle name="Normal 7 2 2 2 2 4 2 2 2" xfId="36314" xr:uid="{00000000-0005-0000-0000-00006C720000}"/>
    <cellStyle name="Normal 7 2 2 2 2 4 2 3" xfId="27224" xr:uid="{00000000-0005-0000-0000-00006D720000}"/>
    <cellStyle name="Normal 7 2 2 2 2 4 3" xfId="13592" xr:uid="{00000000-0005-0000-0000-00006E720000}"/>
    <cellStyle name="Normal 7 2 2 2 2 4 3 2" xfId="31774" xr:uid="{00000000-0005-0000-0000-00006F720000}"/>
    <cellStyle name="Normal 7 2 2 2 2 4 4" xfId="22684" xr:uid="{00000000-0005-0000-0000-000070720000}"/>
    <cellStyle name="Normal 7 2 2 2 2 5" xfId="6119" xr:uid="{00000000-0005-0000-0000-000071720000}"/>
    <cellStyle name="Normal 7 2 2 2 2 5 2" xfId="15219" xr:uid="{00000000-0005-0000-0000-000072720000}"/>
    <cellStyle name="Normal 7 2 2 2 2 5 2 2" xfId="33401" xr:uid="{00000000-0005-0000-0000-000073720000}"/>
    <cellStyle name="Normal 7 2 2 2 2 5 3" xfId="24311" xr:uid="{00000000-0005-0000-0000-000074720000}"/>
    <cellStyle name="Normal 7 2 2 2 2 6" xfId="10685" xr:uid="{00000000-0005-0000-0000-000075720000}"/>
    <cellStyle name="Normal 7 2 2 2 2 6 2" xfId="28867" xr:uid="{00000000-0005-0000-0000-000076720000}"/>
    <cellStyle name="Normal 7 2 2 2 2 7" xfId="19776" xr:uid="{00000000-0005-0000-0000-000077720000}"/>
    <cellStyle name="Normal 7 2 2 2 3" xfId="1482" xr:uid="{00000000-0005-0000-0000-000078720000}"/>
    <cellStyle name="Normal 7 2 2 2 3 2" xfId="2873" xr:uid="{00000000-0005-0000-0000-000079720000}"/>
    <cellStyle name="Normal 7 2 2 2 3 2 2" xfId="7453" xr:uid="{00000000-0005-0000-0000-00007A720000}"/>
    <cellStyle name="Normal 7 2 2 2 3 2 2 2" xfId="16553" xr:uid="{00000000-0005-0000-0000-00007B720000}"/>
    <cellStyle name="Normal 7 2 2 2 3 2 2 2 2" xfId="34735" xr:uid="{00000000-0005-0000-0000-00007C720000}"/>
    <cellStyle name="Normal 7 2 2 2 3 2 2 3" xfId="25645" xr:uid="{00000000-0005-0000-0000-00007D720000}"/>
    <cellStyle name="Normal 7 2 2 2 3 2 3" xfId="12017" xr:uid="{00000000-0005-0000-0000-00007E720000}"/>
    <cellStyle name="Normal 7 2 2 2 3 2 3 2" xfId="30199" xr:uid="{00000000-0005-0000-0000-00007F720000}"/>
    <cellStyle name="Normal 7 2 2 2 3 2 4" xfId="21109" xr:uid="{00000000-0005-0000-0000-000080720000}"/>
    <cellStyle name="Normal 7 2 2 2 3 3" xfId="4482" xr:uid="{00000000-0005-0000-0000-000081720000}"/>
    <cellStyle name="Normal 7 2 2 2 3 3 2" xfId="9038" xr:uid="{00000000-0005-0000-0000-000082720000}"/>
    <cellStyle name="Normal 7 2 2 2 3 3 2 2" xfId="18134" xr:uid="{00000000-0005-0000-0000-000083720000}"/>
    <cellStyle name="Normal 7 2 2 2 3 3 2 2 2" xfId="36316" xr:uid="{00000000-0005-0000-0000-000084720000}"/>
    <cellStyle name="Normal 7 2 2 2 3 3 2 3" xfId="27226" xr:uid="{00000000-0005-0000-0000-000085720000}"/>
    <cellStyle name="Normal 7 2 2 2 3 3 3" xfId="13594" xr:uid="{00000000-0005-0000-0000-000086720000}"/>
    <cellStyle name="Normal 7 2 2 2 3 3 3 2" xfId="31776" xr:uid="{00000000-0005-0000-0000-000087720000}"/>
    <cellStyle name="Normal 7 2 2 2 3 3 4" xfId="22686" xr:uid="{00000000-0005-0000-0000-000088720000}"/>
    <cellStyle name="Normal 7 2 2 2 3 4" xfId="6121" xr:uid="{00000000-0005-0000-0000-000089720000}"/>
    <cellStyle name="Normal 7 2 2 2 3 4 2" xfId="15221" xr:uid="{00000000-0005-0000-0000-00008A720000}"/>
    <cellStyle name="Normal 7 2 2 2 3 4 2 2" xfId="33403" xr:uid="{00000000-0005-0000-0000-00008B720000}"/>
    <cellStyle name="Normal 7 2 2 2 3 4 3" xfId="24313" xr:uid="{00000000-0005-0000-0000-00008C720000}"/>
    <cellStyle name="Normal 7 2 2 2 3 5" xfId="10687" xr:uid="{00000000-0005-0000-0000-00008D720000}"/>
    <cellStyle name="Normal 7 2 2 2 3 5 2" xfId="28869" xr:uid="{00000000-0005-0000-0000-00008E720000}"/>
    <cellStyle name="Normal 7 2 2 2 3 6" xfId="19778" xr:uid="{00000000-0005-0000-0000-00008F720000}"/>
    <cellStyle name="Normal 7 2 2 2 4" xfId="1483" xr:uid="{00000000-0005-0000-0000-000090720000}"/>
    <cellStyle name="Normal 7 2 2 2 4 2" xfId="4483" xr:uid="{00000000-0005-0000-0000-000091720000}"/>
    <cellStyle name="Normal 7 2 2 2 4 2 2" xfId="9039" xr:uid="{00000000-0005-0000-0000-000092720000}"/>
    <cellStyle name="Normal 7 2 2 2 4 2 2 2" xfId="18135" xr:uid="{00000000-0005-0000-0000-000093720000}"/>
    <cellStyle name="Normal 7 2 2 2 4 2 2 2 2" xfId="36317" xr:uid="{00000000-0005-0000-0000-000094720000}"/>
    <cellStyle name="Normal 7 2 2 2 4 2 2 3" xfId="27227" xr:uid="{00000000-0005-0000-0000-000095720000}"/>
    <cellStyle name="Normal 7 2 2 2 4 2 3" xfId="13595" xr:uid="{00000000-0005-0000-0000-000096720000}"/>
    <cellStyle name="Normal 7 2 2 2 4 2 3 2" xfId="31777" xr:uid="{00000000-0005-0000-0000-000097720000}"/>
    <cellStyle name="Normal 7 2 2 2 4 2 4" xfId="22687" xr:uid="{00000000-0005-0000-0000-000098720000}"/>
    <cellStyle name="Normal 7 2 2 2 4 3" xfId="6122" xr:uid="{00000000-0005-0000-0000-000099720000}"/>
    <cellStyle name="Normal 7 2 2 2 4 3 2" xfId="15222" xr:uid="{00000000-0005-0000-0000-00009A720000}"/>
    <cellStyle name="Normal 7 2 2 2 4 3 2 2" xfId="33404" xr:uid="{00000000-0005-0000-0000-00009B720000}"/>
    <cellStyle name="Normal 7 2 2 2 4 3 3" xfId="24314" xr:uid="{00000000-0005-0000-0000-00009C720000}"/>
    <cellStyle name="Normal 7 2 2 2 4 4" xfId="10688" xr:uid="{00000000-0005-0000-0000-00009D720000}"/>
    <cellStyle name="Normal 7 2 2 2 4 4 2" xfId="28870" xr:uid="{00000000-0005-0000-0000-00009E720000}"/>
    <cellStyle name="Normal 7 2 2 2 4 5" xfId="19779" xr:uid="{00000000-0005-0000-0000-00009F720000}"/>
    <cellStyle name="Normal 7 2 2 2 5" xfId="2874" xr:uid="{00000000-0005-0000-0000-0000A0720000}"/>
    <cellStyle name="Normal 7 2 2 2 5 2" xfId="7454" xr:uid="{00000000-0005-0000-0000-0000A1720000}"/>
    <cellStyle name="Normal 7 2 2 2 5 2 2" xfId="16554" xr:uid="{00000000-0005-0000-0000-0000A2720000}"/>
    <cellStyle name="Normal 7 2 2 2 5 2 2 2" xfId="34736" xr:uid="{00000000-0005-0000-0000-0000A3720000}"/>
    <cellStyle name="Normal 7 2 2 2 5 2 3" xfId="25646" xr:uid="{00000000-0005-0000-0000-0000A4720000}"/>
    <cellStyle name="Normal 7 2 2 2 5 3" xfId="12018" xr:uid="{00000000-0005-0000-0000-0000A5720000}"/>
    <cellStyle name="Normal 7 2 2 2 5 3 2" xfId="30200" xr:uid="{00000000-0005-0000-0000-0000A6720000}"/>
    <cellStyle name="Normal 7 2 2 2 5 4" xfId="21110" xr:uid="{00000000-0005-0000-0000-0000A7720000}"/>
    <cellStyle name="Normal 7 2 2 2 6" xfId="4479" xr:uid="{00000000-0005-0000-0000-0000A8720000}"/>
    <cellStyle name="Normal 7 2 2 2 6 2" xfId="9035" xr:uid="{00000000-0005-0000-0000-0000A9720000}"/>
    <cellStyle name="Normal 7 2 2 2 6 2 2" xfId="18131" xr:uid="{00000000-0005-0000-0000-0000AA720000}"/>
    <cellStyle name="Normal 7 2 2 2 6 2 2 2" xfId="36313" xr:uid="{00000000-0005-0000-0000-0000AB720000}"/>
    <cellStyle name="Normal 7 2 2 2 6 2 3" xfId="27223" xr:uid="{00000000-0005-0000-0000-0000AC720000}"/>
    <cellStyle name="Normal 7 2 2 2 6 3" xfId="13591" xr:uid="{00000000-0005-0000-0000-0000AD720000}"/>
    <cellStyle name="Normal 7 2 2 2 6 3 2" xfId="31773" xr:uid="{00000000-0005-0000-0000-0000AE720000}"/>
    <cellStyle name="Normal 7 2 2 2 6 4" xfId="22683" xr:uid="{00000000-0005-0000-0000-0000AF720000}"/>
    <cellStyle name="Normal 7 2 2 2 7" xfId="6118" xr:uid="{00000000-0005-0000-0000-0000B0720000}"/>
    <cellStyle name="Normal 7 2 2 2 7 2" xfId="15218" xr:uid="{00000000-0005-0000-0000-0000B1720000}"/>
    <cellStyle name="Normal 7 2 2 2 7 2 2" xfId="33400" xr:uid="{00000000-0005-0000-0000-0000B2720000}"/>
    <cellStyle name="Normal 7 2 2 2 7 3" xfId="24310" xr:uid="{00000000-0005-0000-0000-0000B3720000}"/>
    <cellStyle name="Normal 7 2 2 2 8" xfId="10684" xr:uid="{00000000-0005-0000-0000-0000B4720000}"/>
    <cellStyle name="Normal 7 2 2 2 8 2" xfId="28866" xr:uid="{00000000-0005-0000-0000-0000B5720000}"/>
    <cellStyle name="Normal 7 2 2 2 9" xfId="19775" xr:uid="{00000000-0005-0000-0000-0000B6720000}"/>
    <cellStyle name="Normal 7 2 2 3" xfId="1484" xr:uid="{00000000-0005-0000-0000-0000B7720000}"/>
    <cellStyle name="Normal 7 2 2 3 2" xfId="1485" xr:uid="{00000000-0005-0000-0000-0000B8720000}"/>
    <cellStyle name="Normal 7 2 2 3 2 2" xfId="2875" xr:uid="{00000000-0005-0000-0000-0000B9720000}"/>
    <cellStyle name="Normal 7 2 2 3 2 2 2" xfId="7455" xr:uid="{00000000-0005-0000-0000-0000BA720000}"/>
    <cellStyle name="Normal 7 2 2 3 2 2 2 2" xfId="16555" xr:uid="{00000000-0005-0000-0000-0000BB720000}"/>
    <cellStyle name="Normal 7 2 2 3 2 2 2 2 2" xfId="34737" xr:uid="{00000000-0005-0000-0000-0000BC720000}"/>
    <cellStyle name="Normal 7 2 2 3 2 2 2 3" xfId="25647" xr:uid="{00000000-0005-0000-0000-0000BD720000}"/>
    <cellStyle name="Normal 7 2 2 3 2 2 3" xfId="12019" xr:uid="{00000000-0005-0000-0000-0000BE720000}"/>
    <cellStyle name="Normal 7 2 2 3 2 2 3 2" xfId="30201" xr:uid="{00000000-0005-0000-0000-0000BF720000}"/>
    <cellStyle name="Normal 7 2 2 3 2 2 4" xfId="21111" xr:uid="{00000000-0005-0000-0000-0000C0720000}"/>
    <cellStyle name="Normal 7 2 2 3 2 3" xfId="4485" xr:uid="{00000000-0005-0000-0000-0000C1720000}"/>
    <cellStyle name="Normal 7 2 2 3 2 3 2" xfId="9041" xr:uid="{00000000-0005-0000-0000-0000C2720000}"/>
    <cellStyle name="Normal 7 2 2 3 2 3 2 2" xfId="18137" xr:uid="{00000000-0005-0000-0000-0000C3720000}"/>
    <cellStyle name="Normal 7 2 2 3 2 3 2 2 2" xfId="36319" xr:uid="{00000000-0005-0000-0000-0000C4720000}"/>
    <cellStyle name="Normal 7 2 2 3 2 3 2 3" xfId="27229" xr:uid="{00000000-0005-0000-0000-0000C5720000}"/>
    <cellStyle name="Normal 7 2 2 3 2 3 3" xfId="13597" xr:uid="{00000000-0005-0000-0000-0000C6720000}"/>
    <cellStyle name="Normal 7 2 2 3 2 3 3 2" xfId="31779" xr:uid="{00000000-0005-0000-0000-0000C7720000}"/>
    <cellStyle name="Normal 7 2 2 3 2 3 4" xfId="22689" xr:uid="{00000000-0005-0000-0000-0000C8720000}"/>
    <cellStyle name="Normal 7 2 2 3 2 4" xfId="6124" xr:uid="{00000000-0005-0000-0000-0000C9720000}"/>
    <cellStyle name="Normal 7 2 2 3 2 4 2" xfId="15224" xr:uid="{00000000-0005-0000-0000-0000CA720000}"/>
    <cellStyle name="Normal 7 2 2 3 2 4 2 2" xfId="33406" xr:uid="{00000000-0005-0000-0000-0000CB720000}"/>
    <cellStyle name="Normal 7 2 2 3 2 4 3" xfId="24316" xr:uid="{00000000-0005-0000-0000-0000CC720000}"/>
    <cellStyle name="Normal 7 2 2 3 2 5" xfId="10690" xr:uid="{00000000-0005-0000-0000-0000CD720000}"/>
    <cellStyle name="Normal 7 2 2 3 2 5 2" xfId="28872" xr:uid="{00000000-0005-0000-0000-0000CE720000}"/>
    <cellStyle name="Normal 7 2 2 3 2 6" xfId="19781" xr:uid="{00000000-0005-0000-0000-0000CF720000}"/>
    <cellStyle name="Normal 7 2 2 3 3" xfId="2876" xr:uid="{00000000-0005-0000-0000-0000D0720000}"/>
    <cellStyle name="Normal 7 2 2 3 3 2" xfId="7456" xr:uid="{00000000-0005-0000-0000-0000D1720000}"/>
    <cellStyle name="Normal 7 2 2 3 3 2 2" xfId="16556" xr:uid="{00000000-0005-0000-0000-0000D2720000}"/>
    <cellStyle name="Normal 7 2 2 3 3 2 2 2" xfId="34738" xr:uid="{00000000-0005-0000-0000-0000D3720000}"/>
    <cellStyle name="Normal 7 2 2 3 3 2 3" xfId="25648" xr:uid="{00000000-0005-0000-0000-0000D4720000}"/>
    <cellStyle name="Normal 7 2 2 3 3 3" xfId="12020" xr:uid="{00000000-0005-0000-0000-0000D5720000}"/>
    <cellStyle name="Normal 7 2 2 3 3 3 2" xfId="30202" xr:uid="{00000000-0005-0000-0000-0000D6720000}"/>
    <cellStyle name="Normal 7 2 2 3 3 4" xfId="21112" xr:uid="{00000000-0005-0000-0000-0000D7720000}"/>
    <cellStyle name="Normal 7 2 2 3 4" xfId="4484" xr:uid="{00000000-0005-0000-0000-0000D8720000}"/>
    <cellStyle name="Normal 7 2 2 3 4 2" xfId="9040" xr:uid="{00000000-0005-0000-0000-0000D9720000}"/>
    <cellStyle name="Normal 7 2 2 3 4 2 2" xfId="18136" xr:uid="{00000000-0005-0000-0000-0000DA720000}"/>
    <cellStyle name="Normal 7 2 2 3 4 2 2 2" xfId="36318" xr:uid="{00000000-0005-0000-0000-0000DB720000}"/>
    <cellStyle name="Normal 7 2 2 3 4 2 3" xfId="27228" xr:uid="{00000000-0005-0000-0000-0000DC720000}"/>
    <cellStyle name="Normal 7 2 2 3 4 3" xfId="13596" xr:uid="{00000000-0005-0000-0000-0000DD720000}"/>
    <cellStyle name="Normal 7 2 2 3 4 3 2" xfId="31778" xr:uid="{00000000-0005-0000-0000-0000DE720000}"/>
    <cellStyle name="Normal 7 2 2 3 4 4" xfId="22688" xr:uid="{00000000-0005-0000-0000-0000DF720000}"/>
    <cellStyle name="Normal 7 2 2 3 5" xfId="6123" xr:uid="{00000000-0005-0000-0000-0000E0720000}"/>
    <cellStyle name="Normal 7 2 2 3 5 2" xfId="15223" xr:uid="{00000000-0005-0000-0000-0000E1720000}"/>
    <cellStyle name="Normal 7 2 2 3 5 2 2" xfId="33405" xr:uid="{00000000-0005-0000-0000-0000E2720000}"/>
    <cellStyle name="Normal 7 2 2 3 5 3" xfId="24315" xr:uid="{00000000-0005-0000-0000-0000E3720000}"/>
    <cellStyle name="Normal 7 2 2 3 6" xfId="10689" xr:uid="{00000000-0005-0000-0000-0000E4720000}"/>
    <cellStyle name="Normal 7 2 2 3 6 2" xfId="28871" xr:uid="{00000000-0005-0000-0000-0000E5720000}"/>
    <cellStyle name="Normal 7 2 2 3 7" xfId="19780" xr:uid="{00000000-0005-0000-0000-0000E6720000}"/>
    <cellStyle name="Normal 7 2 2 4" xfId="1486" xr:uid="{00000000-0005-0000-0000-0000E7720000}"/>
    <cellStyle name="Normal 7 2 2 4 2" xfId="2877" xr:uid="{00000000-0005-0000-0000-0000E8720000}"/>
    <cellStyle name="Normal 7 2 2 4 2 2" xfId="7457" xr:uid="{00000000-0005-0000-0000-0000E9720000}"/>
    <cellStyle name="Normal 7 2 2 4 2 2 2" xfId="16557" xr:uid="{00000000-0005-0000-0000-0000EA720000}"/>
    <cellStyle name="Normal 7 2 2 4 2 2 2 2" xfId="34739" xr:uid="{00000000-0005-0000-0000-0000EB720000}"/>
    <cellStyle name="Normal 7 2 2 4 2 2 3" xfId="25649" xr:uid="{00000000-0005-0000-0000-0000EC720000}"/>
    <cellStyle name="Normal 7 2 2 4 2 3" xfId="12021" xr:uid="{00000000-0005-0000-0000-0000ED720000}"/>
    <cellStyle name="Normal 7 2 2 4 2 3 2" xfId="30203" xr:uid="{00000000-0005-0000-0000-0000EE720000}"/>
    <cellStyle name="Normal 7 2 2 4 2 4" xfId="21113" xr:uid="{00000000-0005-0000-0000-0000EF720000}"/>
    <cellStyle name="Normal 7 2 2 4 3" xfId="4486" xr:uid="{00000000-0005-0000-0000-0000F0720000}"/>
    <cellStyle name="Normal 7 2 2 4 3 2" xfId="9042" xr:uid="{00000000-0005-0000-0000-0000F1720000}"/>
    <cellStyle name="Normal 7 2 2 4 3 2 2" xfId="18138" xr:uid="{00000000-0005-0000-0000-0000F2720000}"/>
    <cellStyle name="Normal 7 2 2 4 3 2 2 2" xfId="36320" xr:uid="{00000000-0005-0000-0000-0000F3720000}"/>
    <cellStyle name="Normal 7 2 2 4 3 2 3" xfId="27230" xr:uid="{00000000-0005-0000-0000-0000F4720000}"/>
    <cellStyle name="Normal 7 2 2 4 3 3" xfId="13598" xr:uid="{00000000-0005-0000-0000-0000F5720000}"/>
    <cellStyle name="Normal 7 2 2 4 3 3 2" xfId="31780" xr:uid="{00000000-0005-0000-0000-0000F6720000}"/>
    <cellStyle name="Normal 7 2 2 4 3 4" xfId="22690" xr:uid="{00000000-0005-0000-0000-0000F7720000}"/>
    <cellStyle name="Normal 7 2 2 4 4" xfId="6125" xr:uid="{00000000-0005-0000-0000-0000F8720000}"/>
    <cellStyle name="Normal 7 2 2 4 4 2" xfId="15225" xr:uid="{00000000-0005-0000-0000-0000F9720000}"/>
    <cellStyle name="Normal 7 2 2 4 4 2 2" xfId="33407" xr:uid="{00000000-0005-0000-0000-0000FA720000}"/>
    <cellStyle name="Normal 7 2 2 4 4 3" xfId="24317" xr:uid="{00000000-0005-0000-0000-0000FB720000}"/>
    <cellStyle name="Normal 7 2 2 4 5" xfId="10691" xr:uid="{00000000-0005-0000-0000-0000FC720000}"/>
    <cellStyle name="Normal 7 2 2 4 5 2" xfId="28873" xr:uid="{00000000-0005-0000-0000-0000FD720000}"/>
    <cellStyle name="Normal 7 2 2 4 6" xfId="19782" xr:uid="{00000000-0005-0000-0000-0000FE720000}"/>
    <cellStyle name="Normal 7 2 2 5" xfId="1487" xr:uid="{00000000-0005-0000-0000-0000FF720000}"/>
    <cellStyle name="Normal 7 2 2 5 2" xfId="4487" xr:uid="{00000000-0005-0000-0000-000000730000}"/>
    <cellStyle name="Normal 7 2 2 5 2 2" xfId="9043" xr:uid="{00000000-0005-0000-0000-000001730000}"/>
    <cellStyle name="Normal 7 2 2 5 2 2 2" xfId="18139" xr:uid="{00000000-0005-0000-0000-000002730000}"/>
    <cellStyle name="Normal 7 2 2 5 2 2 2 2" xfId="36321" xr:uid="{00000000-0005-0000-0000-000003730000}"/>
    <cellStyle name="Normal 7 2 2 5 2 2 3" xfId="27231" xr:uid="{00000000-0005-0000-0000-000004730000}"/>
    <cellStyle name="Normal 7 2 2 5 2 3" xfId="13599" xr:uid="{00000000-0005-0000-0000-000005730000}"/>
    <cellStyle name="Normal 7 2 2 5 2 3 2" xfId="31781" xr:uid="{00000000-0005-0000-0000-000006730000}"/>
    <cellStyle name="Normal 7 2 2 5 2 4" xfId="22691" xr:uid="{00000000-0005-0000-0000-000007730000}"/>
    <cellStyle name="Normal 7 2 2 5 3" xfId="6126" xr:uid="{00000000-0005-0000-0000-000008730000}"/>
    <cellStyle name="Normal 7 2 2 5 3 2" xfId="15226" xr:uid="{00000000-0005-0000-0000-000009730000}"/>
    <cellStyle name="Normal 7 2 2 5 3 2 2" xfId="33408" xr:uid="{00000000-0005-0000-0000-00000A730000}"/>
    <cellStyle name="Normal 7 2 2 5 3 3" xfId="24318" xr:uid="{00000000-0005-0000-0000-00000B730000}"/>
    <cellStyle name="Normal 7 2 2 5 4" xfId="10692" xr:uid="{00000000-0005-0000-0000-00000C730000}"/>
    <cellStyle name="Normal 7 2 2 5 4 2" xfId="28874" xr:uid="{00000000-0005-0000-0000-00000D730000}"/>
    <cellStyle name="Normal 7 2 2 5 5" xfId="19783" xr:uid="{00000000-0005-0000-0000-00000E730000}"/>
    <cellStyle name="Normal 7 2 2 6" xfId="2878" xr:uid="{00000000-0005-0000-0000-00000F730000}"/>
    <cellStyle name="Normal 7 2 2 6 2" xfId="7458" xr:uid="{00000000-0005-0000-0000-000010730000}"/>
    <cellStyle name="Normal 7 2 2 6 2 2" xfId="16558" xr:uid="{00000000-0005-0000-0000-000011730000}"/>
    <cellStyle name="Normal 7 2 2 6 2 2 2" xfId="34740" xr:uid="{00000000-0005-0000-0000-000012730000}"/>
    <cellStyle name="Normal 7 2 2 6 2 3" xfId="25650" xr:uid="{00000000-0005-0000-0000-000013730000}"/>
    <cellStyle name="Normal 7 2 2 6 3" xfId="12022" xr:uid="{00000000-0005-0000-0000-000014730000}"/>
    <cellStyle name="Normal 7 2 2 6 3 2" xfId="30204" xr:uid="{00000000-0005-0000-0000-000015730000}"/>
    <cellStyle name="Normal 7 2 2 6 4" xfId="21114" xr:uid="{00000000-0005-0000-0000-000016730000}"/>
    <cellStyle name="Normal 7 2 2 7" xfId="4478" xr:uid="{00000000-0005-0000-0000-000017730000}"/>
    <cellStyle name="Normal 7 2 2 7 2" xfId="9034" xr:uid="{00000000-0005-0000-0000-000018730000}"/>
    <cellStyle name="Normal 7 2 2 7 2 2" xfId="18130" xr:uid="{00000000-0005-0000-0000-000019730000}"/>
    <cellStyle name="Normal 7 2 2 7 2 2 2" xfId="36312" xr:uid="{00000000-0005-0000-0000-00001A730000}"/>
    <cellStyle name="Normal 7 2 2 7 2 3" xfId="27222" xr:uid="{00000000-0005-0000-0000-00001B730000}"/>
    <cellStyle name="Normal 7 2 2 7 3" xfId="13590" xr:uid="{00000000-0005-0000-0000-00001C730000}"/>
    <cellStyle name="Normal 7 2 2 7 3 2" xfId="31772" xr:uid="{00000000-0005-0000-0000-00001D730000}"/>
    <cellStyle name="Normal 7 2 2 7 4" xfId="22682" xr:uid="{00000000-0005-0000-0000-00001E730000}"/>
    <cellStyle name="Normal 7 2 2 8" xfId="6117" xr:uid="{00000000-0005-0000-0000-00001F730000}"/>
    <cellStyle name="Normal 7 2 2 8 2" xfId="15217" xr:uid="{00000000-0005-0000-0000-000020730000}"/>
    <cellStyle name="Normal 7 2 2 8 2 2" xfId="33399" xr:uid="{00000000-0005-0000-0000-000021730000}"/>
    <cellStyle name="Normal 7 2 2 8 3" xfId="24309" xr:uid="{00000000-0005-0000-0000-000022730000}"/>
    <cellStyle name="Normal 7 2 2 9" xfId="10683" xr:uid="{00000000-0005-0000-0000-000023730000}"/>
    <cellStyle name="Normal 7 2 2 9 2" xfId="28865" xr:uid="{00000000-0005-0000-0000-000024730000}"/>
    <cellStyle name="Normal 7 2 3" xfId="1488" xr:uid="{00000000-0005-0000-0000-000025730000}"/>
    <cellStyle name="Normal 7 2 3 2" xfId="1489" xr:uid="{00000000-0005-0000-0000-000026730000}"/>
    <cellStyle name="Normal 7 2 3 2 2" xfId="1490" xr:uid="{00000000-0005-0000-0000-000027730000}"/>
    <cellStyle name="Normal 7 2 3 2 2 2" xfId="2879" xr:uid="{00000000-0005-0000-0000-000028730000}"/>
    <cellStyle name="Normal 7 2 3 2 2 2 2" xfId="7459" xr:uid="{00000000-0005-0000-0000-000029730000}"/>
    <cellStyle name="Normal 7 2 3 2 2 2 2 2" xfId="16559" xr:uid="{00000000-0005-0000-0000-00002A730000}"/>
    <cellStyle name="Normal 7 2 3 2 2 2 2 2 2" xfId="34741" xr:uid="{00000000-0005-0000-0000-00002B730000}"/>
    <cellStyle name="Normal 7 2 3 2 2 2 2 3" xfId="25651" xr:uid="{00000000-0005-0000-0000-00002C730000}"/>
    <cellStyle name="Normal 7 2 3 2 2 2 3" xfId="12023" xr:uid="{00000000-0005-0000-0000-00002D730000}"/>
    <cellStyle name="Normal 7 2 3 2 2 2 3 2" xfId="30205" xr:uid="{00000000-0005-0000-0000-00002E730000}"/>
    <cellStyle name="Normal 7 2 3 2 2 2 4" xfId="21115" xr:uid="{00000000-0005-0000-0000-00002F730000}"/>
    <cellStyle name="Normal 7 2 3 2 2 3" xfId="4490" xr:uid="{00000000-0005-0000-0000-000030730000}"/>
    <cellStyle name="Normal 7 2 3 2 2 3 2" xfId="9046" xr:uid="{00000000-0005-0000-0000-000031730000}"/>
    <cellStyle name="Normal 7 2 3 2 2 3 2 2" xfId="18142" xr:uid="{00000000-0005-0000-0000-000032730000}"/>
    <cellStyle name="Normal 7 2 3 2 2 3 2 2 2" xfId="36324" xr:uid="{00000000-0005-0000-0000-000033730000}"/>
    <cellStyle name="Normal 7 2 3 2 2 3 2 3" xfId="27234" xr:uid="{00000000-0005-0000-0000-000034730000}"/>
    <cellStyle name="Normal 7 2 3 2 2 3 3" xfId="13602" xr:uid="{00000000-0005-0000-0000-000035730000}"/>
    <cellStyle name="Normal 7 2 3 2 2 3 3 2" xfId="31784" xr:uid="{00000000-0005-0000-0000-000036730000}"/>
    <cellStyle name="Normal 7 2 3 2 2 3 4" xfId="22694" xr:uid="{00000000-0005-0000-0000-000037730000}"/>
    <cellStyle name="Normal 7 2 3 2 2 4" xfId="6129" xr:uid="{00000000-0005-0000-0000-000038730000}"/>
    <cellStyle name="Normal 7 2 3 2 2 4 2" xfId="15229" xr:uid="{00000000-0005-0000-0000-000039730000}"/>
    <cellStyle name="Normal 7 2 3 2 2 4 2 2" xfId="33411" xr:uid="{00000000-0005-0000-0000-00003A730000}"/>
    <cellStyle name="Normal 7 2 3 2 2 4 3" xfId="24321" xr:uid="{00000000-0005-0000-0000-00003B730000}"/>
    <cellStyle name="Normal 7 2 3 2 2 5" xfId="10695" xr:uid="{00000000-0005-0000-0000-00003C730000}"/>
    <cellStyle name="Normal 7 2 3 2 2 5 2" xfId="28877" xr:uid="{00000000-0005-0000-0000-00003D730000}"/>
    <cellStyle name="Normal 7 2 3 2 2 6" xfId="19786" xr:uid="{00000000-0005-0000-0000-00003E730000}"/>
    <cellStyle name="Normal 7 2 3 2 3" xfId="2880" xr:uid="{00000000-0005-0000-0000-00003F730000}"/>
    <cellStyle name="Normal 7 2 3 2 3 2" xfId="7460" xr:uid="{00000000-0005-0000-0000-000040730000}"/>
    <cellStyle name="Normal 7 2 3 2 3 2 2" xfId="16560" xr:uid="{00000000-0005-0000-0000-000041730000}"/>
    <cellStyle name="Normal 7 2 3 2 3 2 2 2" xfId="34742" xr:uid="{00000000-0005-0000-0000-000042730000}"/>
    <cellStyle name="Normal 7 2 3 2 3 2 3" xfId="25652" xr:uid="{00000000-0005-0000-0000-000043730000}"/>
    <cellStyle name="Normal 7 2 3 2 3 3" xfId="12024" xr:uid="{00000000-0005-0000-0000-000044730000}"/>
    <cellStyle name="Normal 7 2 3 2 3 3 2" xfId="30206" xr:uid="{00000000-0005-0000-0000-000045730000}"/>
    <cellStyle name="Normal 7 2 3 2 3 4" xfId="21116" xr:uid="{00000000-0005-0000-0000-000046730000}"/>
    <cellStyle name="Normal 7 2 3 2 4" xfId="4489" xr:uid="{00000000-0005-0000-0000-000047730000}"/>
    <cellStyle name="Normal 7 2 3 2 4 2" xfId="9045" xr:uid="{00000000-0005-0000-0000-000048730000}"/>
    <cellStyle name="Normal 7 2 3 2 4 2 2" xfId="18141" xr:uid="{00000000-0005-0000-0000-000049730000}"/>
    <cellStyle name="Normal 7 2 3 2 4 2 2 2" xfId="36323" xr:uid="{00000000-0005-0000-0000-00004A730000}"/>
    <cellStyle name="Normal 7 2 3 2 4 2 3" xfId="27233" xr:uid="{00000000-0005-0000-0000-00004B730000}"/>
    <cellStyle name="Normal 7 2 3 2 4 3" xfId="13601" xr:uid="{00000000-0005-0000-0000-00004C730000}"/>
    <cellStyle name="Normal 7 2 3 2 4 3 2" xfId="31783" xr:uid="{00000000-0005-0000-0000-00004D730000}"/>
    <cellStyle name="Normal 7 2 3 2 4 4" xfId="22693" xr:uid="{00000000-0005-0000-0000-00004E730000}"/>
    <cellStyle name="Normal 7 2 3 2 5" xfId="6128" xr:uid="{00000000-0005-0000-0000-00004F730000}"/>
    <cellStyle name="Normal 7 2 3 2 5 2" xfId="15228" xr:uid="{00000000-0005-0000-0000-000050730000}"/>
    <cellStyle name="Normal 7 2 3 2 5 2 2" xfId="33410" xr:uid="{00000000-0005-0000-0000-000051730000}"/>
    <cellStyle name="Normal 7 2 3 2 5 3" xfId="24320" xr:uid="{00000000-0005-0000-0000-000052730000}"/>
    <cellStyle name="Normal 7 2 3 2 6" xfId="10694" xr:uid="{00000000-0005-0000-0000-000053730000}"/>
    <cellStyle name="Normal 7 2 3 2 6 2" xfId="28876" xr:uid="{00000000-0005-0000-0000-000054730000}"/>
    <cellStyle name="Normal 7 2 3 2 7" xfId="19785" xr:uid="{00000000-0005-0000-0000-000055730000}"/>
    <cellStyle name="Normal 7 2 3 3" xfId="1491" xr:uid="{00000000-0005-0000-0000-000056730000}"/>
    <cellStyle name="Normal 7 2 3 3 2" xfId="2881" xr:uid="{00000000-0005-0000-0000-000057730000}"/>
    <cellStyle name="Normal 7 2 3 3 2 2" xfId="7461" xr:uid="{00000000-0005-0000-0000-000058730000}"/>
    <cellStyle name="Normal 7 2 3 3 2 2 2" xfId="16561" xr:uid="{00000000-0005-0000-0000-000059730000}"/>
    <cellStyle name="Normal 7 2 3 3 2 2 2 2" xfId="34743" xr:uid="{00000000-0005-0000-0000-00005A730000}"/>
    <cellStyle name="Normal 7 2 3 3 2 2 3" xfId="25653" xr:uid="{00000000-0005-0000-0000-00005B730000}"/>
    <cellStyle name="Normal 7 2 3 3 2 3" xfId="12025" xr:uid="{00000000-0005-0000-0000-00005C730000}"/>
    <cellStyle name="Normal 7 2 3 3 2 3 2" xfId="30207" xr:uid="{00000000-0005-0000-0000-00005D730000}"/>
    <cellStyle name="Normal 7 2 3 3 2 4" xfId="21117" xr:uid="{00000000-0005-0000-0000-00005E730000}"/>
    <cellStyle name="Normal 7 2 3 3 3" xfId="4491" xr:uid="{00000000-0005-0000-0000-00005F730000}"/>
    <cellStyle name="Normal 7 2 3 3 3 2" xfId="9047" xr:uid="{00000000-0005-0000-0000-000060730000}"/>
    <cellStyle name="Normal 7 2 3 3 3 2 2" xfId="18143" xr:uid="{00000000-0005-0000-0000-000061730000}"/>
    <cellStyle name="Normal 7 2 3 3 3 2 2 2" xfId="36325" xr:uid="{00000000-0005-0000-0000-000062730000}"/>
    <cellStyle name="Normal 7 2 3 3 3 2 3" xfId="27235" xr:uid="{00000000-0005-0000-0000-000063730000}"/>
    <cellStyle name="Normal 7 2 3 3 3 3" xfId="13603" xr:uid="{00000000-0005-0000-0000-000064730000}"/>
    <cellStyle name="Normal 7 2 3 3 3 3 2" xfId="31785" xr:uid="{00000000-0005-0000-0000-000065730000}"/>
    <cellStyle name="Normal 7 2 3 3 3 4" xfId="22695" xr:uid="{00000000-0005-0000-0000-000066730000}"/>
    <cellStyle name="Normal 7 2 3 3 4" xfId="6130" xr:uid="{00000000-0005-0000-0000-000067730000}"/>
    <cellStyle name="Normal 7 2 3 3 4 2" xfId="15230" xr:uid="{00000000-0005-0000-0000-000068730000}"/>
    <cellStyle name="Normal 7 2 3 3 4 2 2" xfId="33412" xr:uid="{00000000-0005-0000-0000-000069730000}"/>
    <cellStyle name="Normal 7 2 3 3 4 3" xfId="24322" xr:uid="{00000000-0005-0000-0000-00006A730000}"/>
    <cellStyle name="Normal 7 2 3 3 5" xfId="10696" xr:uid="{00000000-0005-0000-0000-00006B730000}"/>
    <cellStyle name="Normal 7 2 3 3 5 2" xfId="28878" xr:uid="{00000000-0005-0000-0000-00006C730000}"/>
    <cellStyle name="Normal 7 2 3 3 6" xfId="19787" xr:uid="{00000000-0005-0000-0000-00006D730000}"/>
    <cellStyle name="Normal 7 2 3 4" xfId="1492" xr:uid="{00000000-0005-0000-0000-00006E730000}"/>
    <cellStyle name="Normal 7 2 3 4 2" xfId="4492" xr:uid="{00000000-0005-0000-0000-00006F730000}"/>
    <cellStyle name="Normal 7 2 3 4 2 2" xfId="9048" xr:uid="{00000000-0005-0000-0000-000070730000}"/>
    <cellStyle name="Normal 7 2 3 4 2 2 2" xfId="18144" xr:uid="{00000000-0005-0000-0000-000071730000}"/>
    <cellStyle name="Normal 7 2 3 4 2 2 2 2" xfId="36326" xr:uid="{00000000-0005-0000-0000-000072730000}"/>
    <cellStyle name="Normal 7 2 3 4 2 2 3" xfId="27236" xr:uid="{00000000-0005-0000-0000-000073730000}"/>
    <cellStyle name="Normal 7 2 3 4 2 3" xfId="13604" xr:uid="{00000000-0005-0000-0000-000074730000}"/>
    <cellStyle name="Normal 7 2 3 4 2 3 2" xfId="31786" xr:uid="{00000000-0005-0000-0000-000075730000}"/>
    <cellStyle name="Normal 7 2 3 4 2 4" xfId="22696" xr:uid="{00000000-0005-0000-0000-000076730000}"/>
    <cellStyle name="Normal 7 2 3 4 3" xfId="6131" xr:uid="{00000000-0005-0000-0000-000077730000}"/>
    <cellStyle name="Normal 7 2 3 4 3 2" xfId="15231" xr:uid="{00000000-0005-0000-0000-000078730000}"/>
    <cellStyle name="Normal 7 2 3 4 3 2 2" xfId="33413" xr:uid="{00000000-0005-0000-0000-000079730000}"/>
    <cellStyle name="Normal 7 2 3 4 3 3" xfId="24323" xr:uid="{00000000-0005-0000-0000-00007A730000}"/>
    <cellStyle name="Normal 7 2 3 4 4" xfId="10697" xr:uid="{00000000-0005-0000-0000-00007B730000}"/>
    <cellStyle name="Normal 7 2 3 4 4 2" xfId="28879" xr:uid="{00000000-0005-0000-0000-00007C730000}"/>
    <cellStyle name="Normal 7 2 3 4 5" xfId="19788" xr:uid="{00000000-0005-0000-0000-00007D730000}"/>
    <cellStyle name="Normal 7 2 3 5" xfId="2882" xr:uid="{00000000-0005-0000-0000-00007E730000}"/>
    <cellStyle name="Normal 7 2 3 5 2" xfId="7462" xr:uid="{00000000-0005-0000-0000-00007F730000}"/>
    <cellStyle name="Normal 7 2 3 5 2 2" xfId="16562" xr:uid="{00000000-0005-0000-0000-000080730000}"/>
    <cellStyle name="Normal 7 2 3 5 2 2 2" xfId="34744" xr:uid="{00000000-0005-0000-0000-000081730000}"/>
    <cellStyle name="Normal 7 2 3 5 2 3" xfId="25654" xr:uid="{00000000-0005-0000-0000-000082730000}"/>
    <cellStyle name="Normal 7 2 3 5 3" xfId="12026" xr:uid="{00000000-0005-0000-0000-000083730000}"/>
    <cellStyle name="Normal 7 2 3 5 3 2" xfId="30208" xr:uid="{00000000-0005-0000-0000-000084730000}"/>
    <cellStyle name="Normal 7 2 3 5 4" xfId="21118" xr:uid="{00000000-0005-0000-0000-000085730000}"/>
    <cellStyle name="Normal 7 2 3 6" xfId="4488" xr:uid="{00000000-0005-0000-0000-000086730000}"/>
    <cellStyle name="Normal 7 2 3 6 2" xfId="9044" xr:uid="{00000000-0005-0000-0000-000087730000}"/>
    <cellStyle name="Normal 7 2 3 6 2 2" xfId="18140" xr:uid="{00000000-0005-0000-0000-000088730000}"/>
    <cellStyle name="Normal 7 2 3 6 2 2 2" xfId="36322" xr:uid="{00000000-0005-0000-0000-000089730000}"/>
    <cellStyle name="Normal 7 2 3 6 2 3" xfId="27232" xr:uid="{00000000-0005-0000-0000-00008A730000}"/>
    <cellStyle name="Normal 7 2 3 6 3" xfId="13600" xr:uid="{00000000-0005-0000-0000-00008B730000}"/>
    <cellStyle name="Normal 7 2 3 6 3 2" xfId="31782" xr:uid="{00000000-0005-0000-0000-00008C730000}"/>
    <cellStyle name="Normal 7 2 3 6 4" xfId="22692" xr:uid="{00000000-0005-0000-0000-00008D730000}"/>
    <cellStyle name="Normal 7 2 3 7" xfId="6127" xr:uid="{00000000-0005-0000-0000-00008E730000}"/>
    <cellStyle name="Normal 7 2 3 7 2" xfId="15227" xr:uid="{00000000-0005-0000-0000-00008F730000}"/>
    <cellStyle name="Normal 7 2 3 7 2 2" xfId="33409" xr:uid="{00000000-0005-0000-0000-000090730000}"/>
    <cellStyle name="Normal 7 2 3 7 3" xfId="24319" xr:uid="{00000000-0005-0000-0000-000091730000}"/>
    <cellStyle name="Normal 7 2 3 8" xfId="10693" xr:uid="{00000000-0005-0000-0000-000092730000}"/>
    <cellStyle name="Normal 7 2 3 8 2" xfId="28875" xr:uid="{00000000-0005-0000-0000-000093730000}"/>
    <cellStyle name="Normal 7 2 3 9" xfId="19784" xr:uid="{00000000-0005-0000-0000-000094730000}"/>
    <cellStyle name="Normal 7 2 4" xfId="1493" xr:uid="{00000000-0005-0000-0000-000095730000}"/>
    <cellStyle name="Normal 7 2 4 2" xfId="1494" xr:uid="{00000000-0005-0000-0000-000096730000}"/>
    <cellStyle name="Normal 7 2 4 2 2" xfId="2883" xr:uid="{00000000-0005-0000-0000-000097730000}"/>
    <cellStyle name="Normal 7 2 4 2 2 2" xfId="7463" xr:uid="{00000000-0005-0000-0000-000098730000}"/>
    <cellStyle name="Normal 7 2 4 2 2 2 2" xfId="16563" xr:uid="{00000000-0005-0000-0000-000099730000}"/>
    <cellStyle name="Normal 7 2 4 2 2 2 2 2" xfId="34745" xr:uid="{00000000-0005-0000-0000-00009A730000}"/>
    <cellStyle name="Normal 7 2 4 2 2 2 3" xfId="25655" xr:uid="{00000000-0005-0000-0000-00009B730000}"/>
    <cellStyle name="Normal 7 2 4 2 2 3" xfId="12027" xr:uid="{00000000-0005-0000-0000-00009C730000}"/>
    <cellStyle name="Normal 7 2 4 2 2 3 2" xfId="30209" xr:uid="{00000000-0005-0000-0000-00009D730000}"/>
    <cellStyle name="Normal 7 2 4 2 2 4" xfId="21119" xr:uid="{00000000-0005-0000-0000-00009E730000}"/>
    <cellStyle name="Normal 7 2 4 2 3" xfId="4494" xr:uid="{00000000-0005-0000-0000-00009F730000}"/>
    <cellStyle name="Normal 7 2 4 2 3 2" xfId="9050" xr:uid="{00000000-0005-0000-0000-0000A0730000}"/>
    <cellStyle name="Normal 7 2 4 2 3 2 2" xfId="18146" xr:uid="{00000000-0005-0000-0000-0000A1730000}"/>
    <cellStyle name="Normal 7 2 4 2 3 2 2 2" xfId="36328" xr:uid="{00000000-0005-0000-0000-0000A2730000}"/>
    <cellStyle name="Normal 7 2 4 2 3 2 3" xfId="27238" xr:uid="{00000000-0005-0000-0000-0000A3730000}"/>
    <cellStyle name="Normal 7 2 4 2 3 3" xfId="13606" xr:uid="{00000000-0005-0000-0000-0000A4730000}"/>
    <cellStyle name="Normal 7 2 4 2 3 3 2" xfId="31788" xr:uid="{00000000-0005-0000-0000-0000A5730000}"/>
    <cellStyle name="Normal 7 2 4 2 3 4" xfId="22698" xr:uid="{00000000-0005-0000-0000-0000A6730000}"/>
    <cellStyle name="Normal 7 2 4 2 4" xfId="6133" xr:uid="{00000000-0005-0000-0000-0000A7730000}"/>
    <cellStyle name="Normal 7 2 4 2 4 2" xfId="15233" xr:uid="{00000000-0005-0000-0000-0000A8730000}"/>
    <cellStyle name="Normal 7 2 4 2 4 2 2" xfId="33415" xr:uid="{00000000-0005-0000-0000-0000A9730000}"/>
    <cellStyle name="Normal 7 2 4 2 4 3" xfId="24325" xr:uid="{00000000-0005-0000-0000-0000AA730000}"/>
    <cellStyle name="Normal 7 2 4 2 5" xfId="10699" xr:uid="{00000000-0005-0000-0000-0000AB730000}"/>
    <cellStyle name="Normal 7 2 4 2 5 2" xfId="28881" xr:uid="{00000000-0005-0000-0000-0000AC730000}"/>
    <cellStyle name="Normal 7 2 4 2 6" xfId="19790" xr:uid="{00000000-0005-0000-0000-0000AD730000}"/>
    <cellStyle name="Normal 7 2 4 3" xfId="2884" xr:uid="{00000000-0005-0000-0000-0000AE730000}"/>
    <cellStyle name="Normal 7 2 4 3 2" xfId="7464" xr:uid="{00000000-0005-0000-0000-0000AF730000}"/>
    <cellStyle name="Normal 7 2 4 3 2 2" xfId="16564" xr:uid="{00000000-0005-0000-0000-0000B0730000}"/>
    <cellStyle name="Normal 7 2 4 3 2 2 2" xfId="34746" xr:uid="{00000000-0005-0000-0000-0000B1730000}"/>
    <cellStyle name="Normal 7 2 4 3 2 3" xfId="25656" xr:uid="{00000000-0005-0000-0000-0000B2730000}"/>
    <cellStyle name="Normal 7 2 4 3 3" xfId="12028" xr:uid="{00000000-0005-0000-0000-0000B3730000}"/>
    <cellStyle name="Normal 7 2 4 3 3 2" xfId="30210" xr:uid="{00000000-0005-0000-0000-0000B4730000}"/>
    <cellStyle name="Normal 7 2 4 3 4" xfId="21120" xr:uid="{00000000-0005-0000-0000-0000B5730000}"/>
    <cellStyle name="Normal 7 2 4 4" xfId="4493" xr:uid="{00000000-0005-0000-0000-0000B6730000}"/>
    <cellStyle name="Normal 7 2 4 4 2" xfId="9049" xr:uid="{00000000-0005-0000-0000-0000B7730000}"/>
    <cellStyle name="Normal 7 2 4 4 2 2" xfId="18145" xr:uid="{00000000-0005-0000-0000-0000B8730000}"/>
    <cellStyle name="Normal 7 2 4 4 2 2 2" xfId="36327" xr:uid="{00000000-0005-0000-0000-0000B9730000}"/>
    <cellStyle name="Normal 7 2 4 4 2 3" xfId="27237" xr:uid="{00000000-0005-0000-0000-0000BA730000}"/>
    <cellStyle name="Normal 7 2 4 4 3" xfId="13605" xr:uid="{00000000-0005-0000-0000-0000BB730000}"/>
    <cellStyle name="Normal 7 2 4 4 3 2" xfId="31787" xr:uid="{00000000-0005-0000-0000-0000BC730000}"/>
    <cellStyle name="Normal 7 2 4 4 4" xfId="22697" xr:uid="{00000000-0005-0000-0000-0000BD730000}"/>
    <cellStyle name="Normal 7 2 4 5" xfId="6132" xr:uid="{00000000-0005-0000-0000-0000BE730000}"/>
    <cellStyle name="Normal 7 2 4 5 2" xfId="15232" xr:uid="{00000000-0005-0000-0000-0000BF730000}"/>
    <cellStyle name="Normal 7 2 4 5 2 2" xfId="33414" xr:uid="{00000000-0005-0000-0000-0000C0730000}"/>
    <cellStyle name="Normal 7 2 4 5 3" xfId="24324" xr:uid="{00000000-0005-0000-0000-0000C1730000}"/>
    <cellStyle name="Normal 7 2 4 6" xfId="10698" xr:uid="{00000000-0005-0000-0000-0000C2730000}"/>
    <cellStyle name="Normal 7 2 4 6 2" xfId="28880" xr:uid="{00000000-0005-0000-0000-0000C3730000}"/>
    <cellStyle name="Normal 7 2 4 7" xfId="19789" xr:uid="{00000000-0005-0000-0000-0000C4730000}"/>
    <cellStyle name="Normal 7 2 5" xfId="1495" xr:uid="{00000000-0005-0000-0000-0000C5730000}"/>
    <cellStyle name="Normal 7 2 5 2" xfId="2885" xr:uid="{00000000-0005-0000-0000-0000C6730000}"/>
    <cellStyle name="Normal 7 2 5 2 2" xfId="7465" xr:uid="{00000000-0005-0000-0000-0000C7730000}"/>
    <cellStyle name="Normal 7 2 5 2 2 2" xfId="16565" xr:uid="{00000000-0005-0000-0000-0000C8730000}"/>
    <cellStyle name="Normal 7 2 5 2 2 2 2" xfId="34747" xr:uid="{00000000-0005-0000-0000-0000C9730000}"/>
    <cellStyle name="Normal 7 2 5 2 2 3" xfId="25657" xr:uid="{00000000-0005-0000-0000-0000CA730000}"/>
    <cellStyle name="Normal 7 2 5 2 3" xfId="12029" xr:uid="{00000000-0005-0000-0000-0000CB730000}"/>
    <cellStyle name="Normal 7 2 5 2 3 2" xfId="30211" xr:uid="{00000000-0005-0000-0000-0000CC730000}"/>
    <cellStyle name="Normal 7 2 5 2 4" xfId="21121" xr:uid="{00000000-0005-0000-0000-0000CD730000}"/>
    <cellStyle name="Normal 7 2 5 3" xfId="4495" xr:uid="{00000000-0005-0000-0000-0000CE730000}"/>
    <cellStyle name="Normal 7 2 5 3 2" xfId="9051" xr:uid="{00000000-0005-0000-0000-0000CF730000}"/>
    <cellStyle name="Normal 7 2 5 3 2 2" xfId="18147" xr:uid="{00000000-0005-0000-0000-0000D0730000}"/>
    <cellStyle name="Normal 7 2 5 3 2 2 2" xfId="36329" xr:uid="{00000000-0005-0000-0000-0000D1730000}"/>
    <cellStyle name="Normal 7 2 5 3 2 3" xfId="27239" xr:uid="{00000000-0005-0000-0000-0000D2730000}"/>
    <cellStyle name="Normal 7 2 5 3 3" xfId="13607" xr:uid="{00000000-0005-0000-0000-0000D3730000}"/>
    <cellStyle name="Normal 7 2 5 3 3 2" xfId="31789" xr:uid="{00000000-0005-0000-0000-0000D4730000}"/>
    <cellStyle name="Normal 7 2 5 3 4" xfId="22699" xr:uid="{00000000-0005-0000-0000-0000D5730000}"/>
    <cellStyle name="Normal 7 2 5 4" xfId="6134" xr:uid="{00000000-0005-0000-0000-0000D6730000}"/>
    <cellStyle name="Normal 7 2 5 4 2" xfId="15234" xr:uid="{00000000-0005-0000-0000-0000D7730000}"/>
    <cellStyle name="Normal 7 2 5 4 2 2" xfId="33416" xr:uid="{00000000-0005-0000-0000-0000D8730000}"/>
    <cellStyle name="Normal 7 2 5 4 3" xfId="24326" xr:uid="{00000000-0005-0000-0000-0000D9730000}"/>
    <cellStyle name="Normal 7 2 5 5" xfId="10700" xr:uid="{00000000-0005-0000-0000-0000DA730000}"/>
    <cellStyle name="Normal 7 2 5 5 2" xfId="28882" xr:uid="{00000000-0005-0000-0000-0000DB730000}"/>
    <cellStyle name="Normal 7 2 5 6" xfId="19791" xr:uid="{00000000-0005-0000-0000-0000DC730000}"/>
    <cellStyle name="Normal 7 2 6" xfId="1496" xr:uid="{00000000-0005-0000-0000-0000DD730000}"/>
    <cellStyle name="Normal 7 2 6 2" xfId="4496" xr:uid="{00000000-0005-0000-0000-0000DE730000}"/>
    <cellStyle name="Normal 7 2 6 2 2" xfId="9052" xr:uid="{00000000-0005-0000-0000-0000DF730000}"/>
    <cellStyle name="Normal 7 2 6 2 2 2" xfId="18148" xr:uid="{00000000-0005-0000-0000-0000E0730000}"/>
    <cellStyle name="Normal 7 2 6 2 2 2 2" xfId="36330" xr:uid="{00000000-0005-0000-0000-0000E1730000}"/>
    <cellStyle name="Normal 7 2 6 2 2 3" xfId="27240" xr:uid="{00000000-0005-0000-0000-0000E2730000}"/>
    <cellStyle name="Normal 7 2 6 2 3" xfId="13608" xr:uid="{00000000-0005-0000-0000-0000E3730000}"/>
    <cellStyle name="Normal 7 2 6 2 3 2" xfId="31790" xr:uid="{00000000-0005-0000-0000-0000E4730000}"/>
    <cellStyle name="Normal 7 2 6 2 4" xfId="22700" xr:uid="{00000000-0005-0000-0000-0000E5730000}"/>
    <cellStyle name="Normal 7 2 6 3" xfId="6135" xr:uid="{00000000-0005-0000-0000-0000E6730000}"/>
    <cellStyle name="Normal 7 2 6 3 2" xfId="15235" xr:uid="{00000000-0005-0000-0000-0000E7730000}"/>
    <cellStyle name="Normal 7 2 6 3 2 2" xfId="33417" xr:uid="{00000000-0005-0000-0000-0000E8730000}"/>
    <cellStyle name="Normal 7 2 6 3 3" xfId="24327" xr:uid="{00000000-0005-0000-0000-0000E9730000}"/>
    <cellStyle name="Normal 7 2 6 4" xfId="10701" xr:uid="{00000000-0005-0000-0000-0000EA730000}"/>
    <cellStyle name="Normal 7 2 6 4 2" xfId="28883" xr:uid="{00000000-0005-0000-0000-0000EB730000}"/>
    <cellStyle name="Normal 7 2 6 5" xfId="19792" xr:uid="{00000000-0005-0000-0000-0000EC730000}"/>
    <cellStyle name="Normal 7 2 7" xfId="2886" xr:uid="{00000000-0005-0000-0000-0000ED730000}"/>
    <cellStyle name="Normal 7 2 7 2" xfId="7466" xr:uid="{00000000-0005-0000-0000-0000EE730000}"/>
    <cellStyle name="Normal 7 2 7 2 2" xfId="16566" xr:uid="{00000000-0005-0000-0000-0000EF730000}"/>
    <cellStyle name="Normal 7 2 7 2 2 2" xfId="34748" xr:uid="{00000000-0005-0000-0000-0000F0730000}"/>
    <cellStyle name="Normal 7 2 7 2 3" xfId="25658" xr:uid="{00000000-0005-0000-0000-0000F1730000}"/>
    <cellStyle name="Normal 7 2 7 3" xfId="12030" xr:uid="{00000000-0005-0000-0000-0000F2730000}"/>
    <cellStyle name="Normal 7 2 7 3 2" xfId="30212" xr:uid="{00000000-0005-0000-0000-0000F3730000}"/>
    <cellStyle name="Normal 7 2 7 4" xfId="21122" xr:uid="{00000000-0005-0000-0000-0000F4730000}"/>
    <cellStyle name="Normal 7 2 8" xfId="3205" xr:uid="{00000000-0005-0000-0000-0000F5730000}"/>
    <cellStyle name="Normal 7 2 8 2" xfId="7765" xr:uid="{00000000-0005-0000-0000-0000F6730000}"/>
    <cellStyle name="Normal 7 2 8 2 2" xfId="16861" xr:uid="{00000000-0005-0000-0000-0000F7730000}"/>
    <cellStyle name="Normal 7 2 8 2 2 2" xfId="35043" xr:uid="{00000000-0005-0000-0000-0000F8730000}"/>
    <cellStyle name="Normal 7 2 8 2 3" xfId="25953" xr:uid="{00000000-0005-0000-0000-0000F9730000}"/>
    <cellStyle name="Normal 7 2 8 3" xfId="12321" xr:uid="{00000000-0005-0000-0000-0000FA730000}"/>
    <cellStyle name="Normal 7 2 8 3 2" xfId="30503" xr:uid="{00000000-0005-0000-0000-0000FB730000}"/>
    <cellStyle name="Normal 7 2 8 4" xfId="21413" xr:uid="{00000000-0005-0000-0000-0000FC730000}"/>
    <cellStyle name="Normal 7 2 9" xfId="4854" xr:uid="{00000000-0005-0000-0000-0000FD730000}"/>
    <cellStyle name="Normal 7 2 9 2" xfId="13954" xr:uid="{00000000-0005-0000-0000-0000FE730000}"/>
    <cellStyle name="Normal 7 2 9 2 2" xfId="32136" xr:uid="{00000000-0005-0000-0000-0000FF730000}"/>
    <cellStyle name="Normal 7 2 9 3" xfId="23046" xr:uid="{00000000-0005-0000-0000-000000740000}"/>
    <cellStyle name="Normal 7 3" xfId="1497" xr:uid="{00000000-0005-0000-0000-000001740000}"/>
    <cellStyle name="Normal 7 3 10" xfId="19793" xr:uid="{00000000-0005-0000-0000-000002740000}"/>
    <cellStyle name="Normal 7 3 2" xfId="1498" xr:uid="{00000000-0005-0000-0000-000003740000}"/>
    <cellStyle name="Normal 7 3 2 2" xfId="1499" xr:uid="{00000000-0005-0000-0000-000004740000}"/>
    <cellStyle name="Normal 7 3 2 2 2" xfId="1500" xr:uid="{00000000-0005-0000-0000-000005740000}"/>
    <cellStyle name="Normal 7 3 2 2 2 2" xfId="2887" xr:uid="{00000000-0005-0000-0000-000006740000}"/>
    <cellStyle name="Normal 7 3 2 2 2 2 2" xfId="7467" xr:uid="{00000000-0005-0000-0000-000007740000}"/>
    <cellStyle name="Normal 7 3 2 2 2 2 2 2" xfId="16567" xr:uid="{00000000-0005-0000-0000-000008740000}"/>
    <cellStyle name="Normal 7 3 2 2 2 2 2 2 2" xfId="34749" xr:uid="{00000000-0005-0000-0000-000009740000}"/>
    <cellStyle name="Normal 7 3 2 2 2 2 2 3" xfId="25659" xr:uid="{00000000-0005-0000-0000-00000A740000}"/>
    <cellStyle name="Normal 7 3 2 2 2 2 3" xfId="12031" xr:uid="{00000000-0005-0000-0000-00000B740000}"/>
    <cellStyle name="Normal 7 3 2 2 2 2 3 2" xfId="30213" xr:uid="{00000000-0005-0000-0000-00000C740000}"/>
    <cellStyle name="Normal 7 3 2 2 2 2 4" xfId="21123" xr:uid="{00000000-0005-0000-0000-00000D740000}"/>
    <cellStyle name="Normal 7 3 2 2 2 3" xfId="4500" xr:uid="{00000000-0005-0000-0000-00000E740000}"/>
    <cellStyle name="Normal 7 3 2 2 2 3 2" xfId="9056" xr:uid="{00000000-0005-0000-0000-00000F740000}"/>
    <cellStyle name="Normal 7 3 2 2 2 3 2 2" xfId="18152" xr:uid="{00000000-0005-0000-0000-000010740000}"/>
    <cellStyle name="Normal 7 3 2 2 2 3 2 2 2" xfId="36334" xr:uid="{00000000-0005-0000-0000-000011740000}"/>
    <cellStyle name="Normal 7 3 2 2 2 3 2 3" xfId="27244" xr:uid="{00000000-0005-0000-0000-000012740000}"/>
    <cellStyle name="Normal 7 3 2 2 2 3 3" xfId="13612" xr:uid="{00000000-0005-0000-0000-000013740000}"/>
    <cellStyle name="Normal 7 3 2 2 2 3 3 2" xfId="31794" xr:uid="{00000000-0005-0000-0000-000014740000}"/>
    <cellStyle name="Normal 7 3 2 2 2 3 4" xfId="22704" xr:uid="{00000000-0005-0000-0000-000015740000}"/>
    <cellStyle name="Normal 7 3 2 2 2 4" xfId="6139" xr:uid="{00000000-0005-0000-0000-000016740000}"/>
    <cellStyle name="Normal 7 3 2 2 2 4 2" xfId="15239" xr:uid="{00000000-0005-0000-0000-000017740000}"/>
    <cellStyle name="Normal 7 3 2 2 2 4 2 2" xfId="33421" xr:uid="{00000000-0005-0000-0000-000018740000}"/>
    <cellStyle name="Normal 7 3 2 2 2 4 3" xfId="24331" xr:uid="{00000000-0005-0000-0000-000019740000}"/>
    <cellStyle name="Normal 7 3 2 2 2 5" xfId="10705" xr:uid="{00000000-0005-0000-0000-00001A740000}"/>
    <cellStyle name="Normal 7 3 2 2 2 5 2" xfId="28887" xr:uid="{00000000-0005-0000-0000-00001B740000}"/>
    <cellStyle name="Normal 7 3 2 2 2 6" xfId="19796" xr:uid="{00000000-0005-0000-0000-00001C740000}"/>
    <cellStyle name="Normal 7 3 2 2 3" xfId="2888" xr:uid="{00000000-0005-0000-0000-00001D740000}"/>
    <cellStyle name="Normal 7 3 2 2 3 2" xfId="7468" xr:uid="{00000000-0005-0000-0000-00001E740000}"/>
    <cellStyle name="Normal 7 3 2 2 3 2 2" xfId="16568" xr:uid="{00000000-0005-0000-0000-00001F740000}"/>
    <cellStyle name="Normal 7 3 2 2 3 2 2 2" xfId="34750" xr:uid="{00000000-0005-0000-0000-000020740000}"/>
    <cellStyle name="Normal 7 3 2 2 3 2 3" xfId="25660" xr:uid="{00000000-0005-0000-0000-000021740000}"/>
    <cellStyle name="Normal 7 3 2 2 3 3" xfId="12032" xr:uid="{00000000-0005-0000-0000-000022740000}"/>
    <cellStyle name="Normal 7 3 2 2 3 3 2" xfId="30214" xr:uid="{00000000-0005-0000-0000-000023740000}"/>
    <cellStyle name="Normal 7 3 2 2 3 4" xfId="21124" xr:uid="{00000000-0005-0000-0000-000024740000}"/>
    <cellStyle name="Normal 7 3 2 2 4" xfId="4499" xr:uid="{00000000-0005-0000-0000-000025740000}"/>
    <cellStyle name="Normal 7 3 2 2 4 2" xfId="9055" xr:uid="{00000000-0005-0000-0000-000026740000}"/>
    <cellStyle name="Normal 7 3 2 2 4 2 2" xfId="18151" xr:uid="{00000000-0005-0000-0000-000027740000}"/>
    <cellStyle name="Normal 7 3 2 2 4 2 2 2" xfId="36333" xr:uid="{00000000-0005-0000-0000-000028740000}"/>
    <cellStyle name="Normal 7 3 2 2 4 2 3" xfId="27243" xr:uid="{00000000-0005-0000-0000-000029740000}"/>
    <cellStyle name="Normal 7 3 2 2 4 3" xfId="13611" xr:uid="{00000000-0005-0000-0000-00002A740000}"/>
    <cellStyle name="Normal 7 3 2 2 4 3 2" xfId="31793" xr:uid="{00000000-0005-0000-0000-00002B740000}"/>
    <cellStyle name="Normal 7 3 2 2 4 4" xfId="22703" xr:uid="{00000000-0005-0000-0000-00002C740000}"/>
    <cellStyle name="Normal 7 3 2 2 5" xfId="6138" xr:uid="{00000000-0005-0000-0000-00002D740000}"/>
    <cellStyle name="Normal 7 3 2 2 5 2" xfId="15238" xr:uid="{00000000-0005-0000-0000-00002E740000}"/>
    <cellStyle name="Normal 7 3 2 2 5 2 2" xfId="33420" xr:uid="{00000000-0005-0000-0000-00002F740000}"/>
    <cellStyle name="Normal 7 3 2 2 5 3" xfId="24330" xr:uid="{00000000-0005-0000-0000-000030740000}"/>
    <cellStyle name="Normal 7 3 2 2 6" xfId="10704" xr:uid="{00000000-0005-0000-0000-000031740000}"/>
    <cellStyle name="Normal 7 3 2 2 6 2" xfId="28886" xr:uid="{00000000-0005-0000-0000-000032740000}"/>
    <cellStyle name="Normal 7 3 2 2 7" xfId="19795" xr:uid="{00000000-0005-0000-0000-000033740000}"/>
    <cellStyle name="Normal 7 3 2 3" xfId="1501" xr:uid="{00000000-0005-0000-0000-000034740000}"/>
    <cellStyle name="Normal 7 3 2 3 2" xfId="2889" xr:uid="{00000000-0005-0000-0000-000035740000}"/>
    <cellStyle name="Normal 7 3 2 3 2 2" xfId="7469" xr:uid="{00000000-0005-0000-0000-000036740000}"/>
    <cellStyle name="Normal 7 3 2 3 2 2 2" xfId="16569" xr:uid="{00000000-0005-0000-0000-000037740000}"/>
    <cellStyle name="Normal 7 3 2 3 2 2 2 2" xfId="34751" xr:uid="{00000000-0005-0000-0000-000038740000}"/>
    <cellStyle name="Normal 7 3 2 3 2 2 3" xfId="25661" xr:uid="{00000000-0005-0000-0000-000039740000}"/>
    <cellStyle name="Normal 7 3 2 3 2 3" xfId="12033" xr:uid="{00000000-0005-0000-0000-00003A740000}"/>
    <cellStyle name="Normal 7 3 2 3 2 3 2" xfId="30215" xr:uid="{00000000-0005-0000-0000-00003B740000}"/>
    <cellStyle name="Normal 7 3 2 3 2 4" xfId="21125" xr:uid="{00000000-0005-0000-0000-00003C740000}"/>
    <cellStyle name="Normal 7 3 2 3 3" xfId="4501" xr:uid="{00000000-0005-0000-0000-00003D740000}"/>
    <cellStyle name="Normal 7 3 2 3 3 2" xfId="9057" xr:uid="{00000000-0005-0000-0000-00003E740000}"/>
    <cellStyle name="Normal 7 3 2 3 3 2 2" xfId="18153" xr:uid="{00000000-0005-0000-0000-00003F740000}"/>
    <cellStyle name="Normal 7 3 2 3 3 2 2 2" xfId="36335" xr:uid="{00000000-0005-0000-0000-000040740000}"/>
    <cellStyle name="Normal 7 3 2 3 3 2 3" xfId="27245" xr:uid="{00000000-0005-0000-0000-000041740000}"/>
    <cellStyle name="Normal 7 3 2 3 3 3" xfId="13613" xr:uid="{00000000-0005-0000-0000-000042740000}"/>
    <cellStyle name="Normal 7 3 2 3 3 3 2" xfId="31795" xr:uid="{00000000-0005-0000-0000-000043740000}"/>
    <cellStyle name="Normal 7 3 2 3 3 4" xfId="22705" xr:uid="{00000000-0005-0000-0000-000044740000}"/>
    <cellStyle name="Normal 7 3 2 3 4" xfId="6140" xr:uid="{00000000-0005-0000-0000-000045740000}"/>
    <cellStyle name="Normal 7 3 2 3 4 2" xfId="15240" xr:uid="{00000000-0005-0000-0000-000046740000}"/>
    <cellStyle name="Normal 7 3 2 3 4 2 2" xfId="33422" xr:uid="{00000000-0005-0000-0000-000047740000}"/>
    <cellStyle name="Normal 7 3 2 3 4 3" xfId="24332" xr:uid="{00000000-0005-0000-0000-000048740000}"/>
    <cellStyle name="Normal 7 3 2 3 5" xfId="10706" xr:uid="{00000000-0005-0000-0000-000049740000}"/>
    <cellStyle name="Normal 7 3 2 3 5 2" xfId="28888" xr:uid="{00000000-0005-0000-0000-00004A740000}"/>
    <cellStyle name="Normal 7 3 2 3 6" xfId="19797" xr:uid="{00000000-0005-0000-0000-00004B740000}"/>
    <cellStyle name="Normal 7 3 2 4" xfId="1502" xr:uid="{00000000-0005-0000-0000-00004C740000}"/>
    <cellStyle name="Normal 7 3 2 4 2" xfId="4502" xr:uid="{00000000-0005-0000-0000-00004D740000}"/>
    <cellStyle name="Normal 7 3 2 4 2 2" xfId="9058" xr:uid="{00000000-0005-0000-0000-00004E740000}"/>
    <cellStyle name="Normal 7 3 2 4 2 2 2" xfId="18154" xr:uid="{00000000-0005-0000-0000-00004F740000}"/>
    <cellStyle name="Normal 7 3 2 4 2 2 2 2" xfId="36336" xr:uid="{00000000-0005-0000-0000-000050740000}"/>
    <cellStyle name="Normal 7 3 2 4 2 2 3" xfId="27246" xr:uid="{00000000-0005-0000-0000-000051740000}"/>
    <cellStyle name="Normal 7 3 2 4 2 3" xfId="13614" xr:uid="{00000000-0005-0000-0000-000052740000}"/>
    <cellStyle name="Normal 7 3 2 4 2 3 2" xfId="31796" xr:uid="{00000000-0005-0000-0000-000053740000}"/>
    <cellStyle name="Normal 7 3 2 4 2 4" xfId="22706" xr:uid="{00000000-0005-0000-0000-000054740000}"/>
    <cellStyle name="Normal 7 3 2 4 3" xfId="6141" xr:uid="{00000000-0005-0000-0000-000055740000}"/>
    <cellStyle name="Normal 7 3 2 4 3 2" xfId="15241" xr:uid="{00000000-0005-0000-0000-000056740000}"/>
    <cellStyle name="Normal 7 3 2 4 3 2 2" xfId="33423" xr:uid="{00000000-0005-0000-0000-000057740000}"/>
    <cellStyle name="Normal 7 3 2 4 3 3" xfId="24333" xr:uid="{00000000-0005-0000-0000-000058740000}"/>
    <cellStyle name="Normal 7 3 2 4 4" xfId="10707" xr:uid="{00000000-0005-0000-0000-000059740000}"/>
    <cellStyle name="Normal 7 3 2 4 4 2" xfId="28889" xr:uid="{00000000-0005-0000-0000-00005A740000}"/>
    <cellStyle name="Normal 7 3 2 4 5" xfId="19798" xr:uid="{00000000-0005-0000-0000-00005B740000}"/>
    <cellStyle name="Normal 7 3 2 5" xfId="2890" xr:uid="{00000000-0005-0000-0000-00005C740000}"/>
    <cellStyle name="Normal 7 3 2 5 2" xfId="7470" xr:uid="{00000000-0005-0000-0000-00005D740000}"/>
    <cellStyle name="Normal 7 3 2 5 2 2" xfId="16570" xr:uid="{00000000-0005-0000-0000-00005E740000}"/>
    <cellStyle name="Normal 7 3 2 5 2 2 2" xfId="34752" xr:uid="{00000000-0005-0000-0000-00005F740000}"/>
    <cellStyle name="Normal 7 3 2 5 2 3" xfId="25662" xr:uid="{00000000-0005-0000-0000-000060740000}"/>
    <cellStyle name="Normal 7 3 2 5 3" xfId="12034" xr:uid="{00000000-0005-0000-0000-000061740000}"/>
    <cellStyle name="Normal 7 3 2 5 3 2" xfId="30216" xr:uid="{00000000-0005-0000-0000-000062740000}"/>
    <cellStyle name="Normal 7 3 2 5 4" xfId="21126" xr:uid="{00000000-0005-0000-0000-000063740000}"/>
    <cellStyle name="Normal 7 3 2 6" xfId="4498" xr:uid="{00000000-0005-0000-0000-000064740000}"/>
    <cellStyle name="Normal 7 3 2 6 2" xfId="9054" xr:uid="{00000000-0005-0000-0000-000065740000}"/>
    <cellStyle name="Normal 7 3 2 6 2 2" xfId="18150" xr:uid="{00000000-0005-0000-0000-000066740000}"/>
    <cellStyle name="Normal 7 3 2 6 2 2 2" xfId="36332" xr:uid="{00000000-0005-0000-0000-000067740000}"/>
    <cellStyle name="Normal 7 3 2 6 2 3" xfId="27242" xr:uid="{00000000-0005-0000-0000-000068740000}"/>
    <cellStyle name="Normal 7 3 2 6 3" xfId="13610" xr:uid="{00000000-0005-0000-0000-000069740000}"/>
    <cellStyle name="Normal 7 3 2 6 3 2" xfId="31792" xr:uid="{00000000-0005-0000-0000-00006A740000}"/>
    <cellStyle name="Normal 7 3 2 6 4" xfId="22702" xr:uid="{00000000-0005-0000-0000-00006B740000}"/>
    <cellStyle name="Normal 7 3 2 7" xfId="6137" xr:uid="{00000000-0005-0000-0000-00006C740000}"/>
    <cellStyle name="Normal 7 3 2 7 2" xfId="15237" xr:uid="{00000000-0005-0000-0000-00006D740000}"/>
    <cellStyle name="Normal 7 3 2 7 2 2" xfId="33419" xr:uid="{00000000-0005-0000-0000-00006E740000}"/>
    <cellStyle name="Normal 7 3 2 7 3" xfId="24329" xr:uid="{00000000-0005-0000-0000-00006F740000}"/>
    <cellStyle name="Normal 7 3 2 8" xfId="10703" xr:uid="{00000000-0005-0000-0000-000070740000}"/>
    <cellStyle name="Normal 7 3 2 8 2" xfId="28885" xr:uid="{00000000-0005-0000-0000-000071740000}"/>
    <cellStyle name="Normal 7 3 2 9" xfId="19794" xr:uid="{00000000-0005-0000-0000-000072740000}"/>
    <cellStyle name="Normal 7 3 3" xfId="1503" xr:uid="{00000000-0005-0000-0000-000073740000}"/>
    <cellStyle name="Normal 7 3 3 2" xfId="1504" xr:uid="{00000000-0005-0000-0000-000074740000}"/>
    <cellStyle name="Normal 7 3 3 2 2" xfId="2891" xr:uid="{00000000-0005-0000-0000-000075740000}"/>
    <cellStyle name="Normal 7 3 3 2 2 2" xfId="7471" xr:uid="{00000000-0005-0000-0000-000076740000}"/>
    <cellStyle name="Normal 7 3 3 2 2 2 2" xfId="16571" xr:uid="{00000000-0005-0000-0000-000077740000}"/>
    <cellStyle name="Normal 7 3 3 2 2 2 2 2" xfId="34753" xr:uid="{00000000-0005-0000-0000-000078740000}"/>
    <cellStyle name="Normal 7 3 3 2 2 2 3" xfId="25663" xr:uid="{00000000-0005-0000-0000-000079740000}"/>
    <cellStyle name="Normal 7 3 3 2 2 3" xfId="12035" xr:uid="{00000000-0005-0000-0000-00007A740000}"/>
    <cellStyle name="Normal 7 3 3 2 2 3 2" xfId="30217" xr:uid="{00000000-0005-0000-0000-00007B740000}"/>
    <cellStyle name="Normal 7 3 3 2 2 4" xfId="21127" xr:uid="{00000000-0005-0000-0000-00007C740000}"/>
    <cellStyle name="Normal 7 3 3 2 3" xfId="4504" xr:uid="{00000000-0005-0000-0000-00007D740000}"/>
    <cellStyle name="Normal 7 3 3 2 3 2" xfId="9060" xr:uid="{00000000-0005-0000-0000-00007E740000}"/>
    <cellStyle name="Normal 7 3 3 2 3 2 2" xfId="18156" xr:uid="{00000000-0005-0000-0000-00007F740000}"/>
    <cellStyle name="Normal 7 3 3 2 3 2 2 2" xfId="36338" xr:uid="{00000000-0005-0000-0000-000080740000}"/>
    <cellStyle name="Normal 7 3 3 2 3 2 3" xfId="27248" xr:uid="{00000000-0005-0000-0000-000081740000}"/>
    <cellStyle name="Normal 7 3 3 2 3 3" xfId="13616" xr:uid="{00000000-0005-0000-0000-000082740000}"/>
    <cellStyle name="Normal 7 3 3 2 3 3 2" xfId="31798" xr:uid="{00000000-0005-0000-0000-000083740000}"/>
    <cellStyle name="Normal 7 3 3 2 3 4" xfId="22708" xr:uid="{00000000-0005-0000-0000-000084740000}"/>
    <cellStyle name="Normal 7 3 3 2 4" xfId="6143" xr:uid="{00000000-0005-0000-0000-000085740000}"/>
    <cellStyle name="Normal 7 3 3 2 4 2" xfId="15243" xr:uid="{00000000-0005-0000-0000-000086740000}"/>
    <cellStyle name="Normal 7 3 3 2 4 2 2" xfId="33425" xr:uid="{00000000-0005-0000-0000-000087740000}"/>
    <cellStyle name="Normal 7 3 3 2 4 3" xfId="24335" xr:uid="{00000000-0005-0000-0000-000088740000}"/>
    <cellStyle name="Normal 7 3 3 2 5" xfId="10709" xr:uid="{00000000-0005-0000-0000-000089740000}"/>
    <cellStyle name="Normal 7 3 3 2 5 2" xfId="28891" xr:uid="{00000000-0005-0000-0000-00008A740000}"/>
    <cellStyle name="Normal 7 3 3 2 6" xfId="19800" xr:uid="{00000000-0005-0000-0000-00008B740000}"/>
    <cellStyle name="Normal 7 3 3 3" xfId="2892" xr:uid="{00000000-0005-0000-0000-00008C740000}"/>
    <cellStyle name="Normal 7 3 3 3 2" xfId="7472" xr:uid="{00000000-0005-0000-0000-00008D740000}"/>
    <cellStyle name="Normal 7 3 3 3 2 2" xfId="16572" xr:uid="{00000000-0005-0000-0000-00008E740000}"/>
    <cellStyle name="Normal 7 3 3 3 2 2 2" xfId="34754" xr:uid="{00000000-0005-0000-0000-00008F740000}"/>
    <cellStyle name="Normal 7 3 3 3 2 3" xfId="25664" xr:uid="{00000000-0005-0000-0000-000090740000}"/>
    <cellStyle name="Normal 7 3 3 3 3" xfId="12036" xr:uid="{00000000-0005-0000-0000-000091740000}"/>
    <cellStyle name="Normal 7 3 3 3 3 2" xfId="30218" xr:uid="{00000000-0005-0000-0000-000092740000}"/>
    <cellStyle name="Normal 7 3 3 3 4" xfId="21128" xr:uid="{00000000-0005-0000-0000-000093740000}"/>
    <cellStyle name="Normal 7 3 3 4" xfId="4503" xr:uid="{00000000-0005-0000-0000-000094740000}"/>
    <cellStyle name="Normal 7 3 3 4 2" xfId="9059" xr:uid="{00000000-0005-0000-0000-000095740000}"/>
    <cellStyle name="Normal 7 3 3 4 2 2" xfId="18155" xr:uid="{00000000-0005-0000-0000-000096740000}"/>
    <cellStyle name="Normal 7 3 3 4 2 2 2" xfId="36337" xr:uid="{00000000-0005-0000-0000-000097740000}"/>
    <cellStyle name="Normal 7 3 3 4 2 3" xfId="27247" xr:uid="{00000000-0005-0000-0000-000098740000}"/>
    <cellStyle name="Normal 7 3 3 4 3" xfId="13615" xr:uid="{00000000-0005-0000-0000-000099740000}"/>
    <cellStyle name="Normal 7 3 3 4 3 2" xfId="31797" xr:uid="{00000000-0005-0000-0000-00009A740000}"/>
    <cellStyle name="Normal 7 3 3 4 4" xfId="22707" xr:uid="{00000000-0005-0000-0000-00009B740000}"/>
    <cellStyle name="Normal 7 3 3 5" xfId="6142" xr:uid="{00000000-0005-0000-0000-00009C740000}"/>
    <cellStyle name="Normal 7 3 3 5 2" xfId="15242" xr:uid="{00000000-0005-0000-0000-00009D740000}"/>
    <cellStyle name="Normal 7 3 3 5 2 2" xfId="33424" xr:uid="{00000000-0005-0000-0000-00009E740000}"/>
    <cellStyle name="Normal 7 3 3 5 3" xfId="24334" xr:uid="{00000000-0005-0000-0000-00009F740000}"/>
    <cellStyle name="Normal 7 3 3 6" xfId="10708" xr:uid="{00000000-0005-0000-0000-0000A0740000}"/>
    <cellStyle name="Normal 7 3 3 6 2" xfId="28890" xr:uid="{00000000-0005-0000-0000-0000A1740000}"/>
    <cellStyle name="Normal 7 3 3 7" xfId="19799" xr:uid="{00000000-0005-0000-0000-0000A2740000}"/>
    <cellStyle name="Normal 7 3 4" xfId="1505" xr:uid="{00000000-0005-0000-0000-0000A3740000}"/>
    <cellStyle name="Normal 7 3 4 2" xfId="2893" xr:uid="{00000000-0005-0000-0000-0000A4740000}"/>
    <cellStyle name="Normal 7 3 4 2 2" xfId="7473" xr:uid="{00000000-0005-0000-0000-0000A5740000}"/>
    <cellStyle name="Normal 7 3 4 2 2 2" xfId="16573" xr:uid="{00000000-0005-0000-0000-0000A6740000}"/>
    <cellStyle name="Normal 7 3 4 2 2 2 2" xfId="34755" xr:uid="{00000000-0005-0000-0000-0000A7740000}"/>
    <cellStyle name="Normal 7 3 4 2 2 3" xfId="25665" xr:uid="{00000000-0005-0000-0000-0000A8740000}"/>
    <cellStyle name="Normal 7 3 4 2 3" xfId="12037" xr:uid="{00000000-0005-0000-0000-0000A9740000}"/>
    <cellStyle name="Normal 7 3 4 2 3 2" xfId="30219" xr:uid="{00000000-0005-0000-0000-0000AA740000}"/>
    <cellStyle name="Normal 7 3 4 2 4" xfId="21129" xr:uid="{00000000-0005-0000-0000-0000AB740000}"/>
    <cellStyle name="Normal 7 3 4 3" xfId="4505" xr:uid="{00000000-0005-0000-0000-0000AC740000}"/>
    <cellStyle name="Normal 7 3 4 3 2" xfId="9061" xr:uid="{00000000-0005-0000-0000-0000AD740000}"/>
    <cellStyle name="Normal 7 3 4 3 2 2" xfId="18157" xr:uid="{00000000-0005-0000-0000-0000AE740000}"/>
    <cellStyle name="Normal 7 3 4 3 2 2 2" xfId="36339" xr:uid="{00000000-0005-0000-0000-0000AF740000}"/>
    <cellStyle name="Normal 7 3 4 3 2 3" xfId="27249" xr:uid="{00000000-0005-0000-0000-0000B0740000}"/>
    <cellStyle name="Normal 7 3 4 3 3" xfId="13617" xr:uid="{00000000-0005-0000-0000-0000B1740000}"/>
    <cellStyle name="Normal 7 3 4 3 3 2" xfId="31799" xr:uid="{00000000-0005-0000-0000-0000B2740000}"/>
    <cellStyle name="Normal 7 3 4 3 4" xfId="22709" xr:uid="{00000000-0005-0000-0000-0000B3740000}"/>
    <cellStyle name="Normal 7 3 4 4" xfId="6144" xr:uid="{00000000-0005-0000-0000-0000B4740000}"/>
    <cellStyle name="Normal 7 3 4 4 2" xfId="15244" xr:uid="{00000000-0005-0000-0000-0000B5740000}"/>
    <cellStyle name="Normal 7 3 4 4 2 2" xfId="33426" xr:uid="{00000000-0005-0000-0000-0000B6740000}"/>
    <cellStyle name="Normal 7 3 4 4 3" xfId="24336" xr:uid="{00000000-0005-0000-0000-0000B7740000}"/>
    <cellStyle name="Normal 7 3 4 5" xfId="10710" xr:uid="{00000000-0005-0000-0000-0000B8740000}"/>
    <cellStyle name="Normal 7 3 4 5 2" xfId="28892" xr:uid="{00000000-0005-0000-0000-0000B9740000}"/>
    <cellStyle name="Normal 7 3 4 6" xfId="19801" xr:uid="{00000000-0005-0000-0000-0000BA740000}"/>
    <cellStyle name="Normal 7 3 5" xfId="1506" xr:uid="{00000000-0005-0000-0000-0000BB740000}"/>
    <cellStyle name="Normal 7 3 5 2" xfId="4506" xr:uid="{00000000-0005-0000-0000-0000BC740000}"/>
    <cellStyle name="Normal 7 3 5 2 2" xfId="9062" xr:uid="{00000000-0005-0000-0000-0000BD740000}"/>
    <cellStyle name="Normal 7 3 5 2 2 2" xfId="18158" xr:uid="{00000000-0005-0000-0000-0000BE740000}"/>
    <cellStyle name="Normal 7 3 5 2 2 2 2" xfId="36340" xr:uid="{00000000-0005-0000-0000-0000BF740000}"/>
    <cellStyle name="Normal 7 3 5 2 2 3" xfId="27250" xr:uid="{00000000-0005-0000-0000-0000C0740000}"/>
    <cellStyle name="Normal 7 3 5 2 3" xfId="13618" xr:uid="{00000000-0005-0000-0000-0000C1740000}"/>
    <cellStyle name="Normal 7 3 5 2 3 2" xfId="31800" xr:uid="{00000000-0005-0000-0000-0000C2740000}"/>
    <cellStyle name="Normal 7 3 5 2 4" xfId="22710" xr:uid="{00000000-0005-0000-0000-0000C3740000}"/>
    <cellStyle name="Normal 7 3 5 3" xfId="6145" xr:uid="{00000000-0005-0000-0000-0000C4740000}"/>
    <cellStyle name="Normal 7 3 5 3 2" xfId="15245" xr:uid="{00000000-0005-0000-0000-0000C5740000}"/>
    <cellStyle name="Normal 7 3 5 3 2 2" xfId="33427" xr:uid="{00000000-0005-0000-0000-0000C6740000}"/>
    <cellStyle name="Normal 7 3 5 3 3" xfId="24337" xr:uid="{00000000-0005-0000-0000-0000C7740000}"/>
    <cellStyle name="Normal 7 3 5 4" xfId="10711" xr:uid="{00000000-0005-0000-0000-0000C8740000}"/>
    <cellStyle name="Normal 7 3 5 4 2" xfId="28893" xr:uid="{00000000-0005-0000-0000-0000C9740000}"/>
    <cellStyle name="Normal 7 3 5 5" xfId="19802" xr:uid="{00000000-0005-0000-0000-0000CA740000}"/>
    <cellStyle name="Normal 7 3 6" xfId="2894" xr:uid="{00000000-0005-0000-0000-0000CB740000}"/>
    <cellStyle name="Normal 7 3 6 2" xfId="7474" xr:uid="{00000000-0005-0000-0000-0000CC740000}"/>
    <cellStyle name="Normal 7 3 6 2 2" xfId="16574" xr:uid="{00000000-0005-0000-0000-0000CD740000}"/>
    <cellStyle name="Normal 7 3 6 2 2 2" xfId="34756" xr:uid="{00000000-0005-0000-0000-0000CE740000}"/>
    <cellStyle name="Normal 7 3 6 2 3" xfId="25666" xr:uid="{00000000-0005-0000-0000-0000CF740000}"/>
    <cellStyle name="Normal 7 3 6 3" xfId="12038" xr:uid="{00000000-0005-0000-0000-0000D0740000}"/>
    <cellStyle name="Normal 7 3 6 3 2" xfId="30220" xr:uid="{00000000-0005-0000-0000-0000D1740000}"/>
    <cellStyle name="Normal 7 3 6 4" xfId="21130" xr:uid="{00000000-0005-0000-0000-0000D2740000}"/>
    <cellStyle name="Normal 7 3 7" xfId="4497" xr:uid="{00000000-0005-0000-0000-0000D3740000}"/>
    <cellStyle name="Normal 7 3 7 2" xfId="9053" xr:uid="{00000000-0005-0000-0000-0000D4740000}"/>
    <cellStyle name="Normal 7 3 7 2 2" xfId="18149" xr:uid="{00000000-0005-0000-0000-0000D5740000}"/>
    <cellStyle name="Normal 7 3 7 2 2 2" xfId="36331" xr:uid="{00000000-0005-0000-0000-0000D6740000}"/>
    <cellStyle name="Normal 7 3 7 2 3" xfId="27241" xr:uid="{00000000-0005-0000-0000-0000D7740000}"/>
    <cellStyle name="Normal 7 3 7 3" xfId="13609" xr:uid="{00000000-0005-0000-0000-0000D8740000}"/>
    <cellStyle name="Normal 7 3 7 3 2" xfId="31791" xr:uid="{00000000-0005-0000-0000-0000D9740000}"/>
    <cellStyle name="Normal 7 3 7 4" xfId="22701" xr:uid="{00000000-0005-0000-0000-0000DA740000}"/>
    <cellStyle name="Normal 7 3 8" xfId="6136" xr:uid="{00000000-0005-0000-0000-0000DB740000}"/>
    <cellStyle name="Normal 7 3 8 2" xfId="15236" xr:uid="{00000000-0005-0000-0000-0000DC740000}"/>
    <cellStyle name="Normal 7 3 8 2 2" xfId="33418" xr:uid="{00000000-0005-0000-0000-0000DD740000}"/>
    <cellStyle name="Normal 7 3 8 3" xfId="24328" xr:uid="{00000000-0005-0000-0000-0000DE740000}"/>
    <cellStyle name="Normal 7 3 9" xfId="10702" xr:uid="{00000000-0005-0000-0000-0000DF740000}"/>
    <cellStyle name="Normal 7 3 9 2" xfId="28884" xr:uid="{00000000-0005-0000-0000-0000E0740000}"/>
    <cellStyle name="Normal 7 4" xfId="1507" xr:uid="{00000000-0005-0000-0000-0000E1740000}"/>
    <cellStyle name="Normal 7 4 2" xfId="1508" xr:uid="{00000000-0005-0000-0000-0000E2740000}"/>
    <cellStyle name="Normal 7 4 2 2" xfId="1509" xr:uid="{00000000-0005-0000-0000-0000E3740000}"/>
    <cellStyle name="Normal 7 4 2 2 2" xfId="2895" xr:uid="{00000000-0005-0000-0000-0000E4740000}"/>
    <cellStyle name="Normal 7 4 2 2 2 2" xfId="7475" xr:uid="{00000000-0005-0000-0000-0000E5740000}"/>
    <cellStyle name="Normal 7 4 2 2 2 2 2" xfId="16575" xr:uid="{00000000-0005-0000-0000-0000E6740000}"/>
    <cellStyle name="Normal 7 4 2 2 2 2 2 2" xfId="34757" xr:uid="{00000000-0005-0000-0000-0000E7740000}"/>
    <cellStyle name="Normal 7 4 2 2 2 2 3" xfId="25667" xr:uid="{00000000-0005-0000-0000-0000E8740000}"/>
    <cellStyle name="Normal 7 4 2 2 2 3" xfId="12039" xr:uid="{00000000-0005-0000-0000-0000E9740000}"/>
    <cellStyle name="Normal 7 4 2 2 2 3 2" xfId="30221" xr:uid="{00000000-0005-0000-0000-0000EA740000}"/>
    <cellStyle name="Normal 7 4 2 2 2 4" xfId="21131" xr:uid="{00000000-0005-0000-0000-0000EB740000}"/>
    <cellStyle name="Normal 7 4 2 2 3" xfId="4509" xr:uid="{00000000-0005-0000-0000-0000EC740000}"/>
    <cellStyle name="Normal 7 4 2 2 3 2" xfId="9065" xr:uid="{00000000-0005-0000-0000-0000ED740000}"/>
    <cellStyle name="Normal 7 4 2 2 3 2 2" xfId="18161" xr:uid="{00000000-0005-0000-0000-0000EE740000}"/>
    <cellStyle name="Normal 7 4 2 2 3 2 2 2" xfId="36343" xr:uid="{00000000-0005-0000-0000-0000EF740000}"/>
    <cellStyle name="Normal 7 4 2 2 3 2 3" xfId="27253" xr:uid="{00000000-0005-0000-0000-0000F0740000}"/>
    <cellStyle name="Normal 7 4 2 2 3 3" xfId="13621" xr:uid="{00000000-0005-0000-0000-0000F1740000}"/>
    <cellStyle name="Normal 7 4 2 2 3 3 2" xfId="31803" xr:uid="{00000000-0005-0000-0000-0000F2740000}"/>
    <cellStyle name="Normal 7 4 2 2 3 4" xfId="22713" xr:uid="{00000000-0005-0000-0000-0000F3740000}"/>
    <cellStyle name="Normal 7 4 2 2 4" xfId="6148" xr:uid="{00000000-0005-0000-0000-0000F4740000}"/>
    <cellStyle name="Normal 7 4 2 2 4 2" xfId="15248" xr:uid="{00000000-0005-0000-0000-0000F5740000}"/>
    <cellStyle name="Normal 7 4 2 2 4 2 2" xfId="33430" xr:uid="{00000000-0005-0000-0000-0000F6740000}"/>
    <cellStyle name="Normal 7 4 2 2 4 3" xfId="24340" xr:uid="{00000000-0005-0000-0000-0000F7740000}"/>
    <cellStyle name="Normal 7 4 2 2 5" xfId="10714" xr:uid="{00000000-0005-0000-0000-0000F8740000}"/>
    <cellStyle name="Normal 7 4 2 2 5 2" xfId="28896" xr:uid="{00000000-0005-0000-0000-0000F9740000}"/>
    <cellStyle name="Normal 7 4 2 2 6" xfId="19805" xr:uid="{00000000-0005-0000-0000-0000FA740000}"/>
    <cellStyle name="Normal 7 4 2 3" xfId="2896" xr:uid="{00000000-0005-0000-0000-0000FB740000}"/>
    <cellStyle name="Normal 7 4 2 3 2" xfId="7476" xr:uid="{00000000-0005-0000-0000-0000FC740000}"/>
    <cellStyle name="Normal 7 4 2 3 2 2" xfId="16576" xr:uid="{00000000-0005-0000-0000-0000FD740000}"/>
    <cellStyle name="Normal 7 4 2 3 2 2 2" xfId="34758" xr:uid="{00000000-0005-0000-0000-0000FE740000}"/>
    <cellStyle name="Normal 7 4 2 3 2 3" xfId="25668" xr:uid="{00000000-0005-0000-0000-0000FF740000}"/>
    <cellStyle name="Normal 7 4 2 3 3" xfId="12040" xr:uid="{00000000-0005-0000-0000-000000750000}"/>
    <cellStyle name="Normal 7 4 2 3 3 2" xfId="30222" xr:uid="{00000000-0005-0000-0000-000001750000}"/>
    <cellStyle name="Normal 7 4 2 3 4" xfId="21132" xr:uid="{00000000-0005-0000-0000-000002750000}"/>
    <cellStyle name="Normal 7 4 2 4" xfId="4508" xr:uid="{00000000-0005-0000-0000-000003750000}"/>
    <cellStyle name="Normal 7 4 2 4 2" xfId="9064" xr:uid="{00000000-0005-0000-0000-000004750000}"/>
    <cellStyle name="Normal 7 4 2 4 2 2" xfId="18160" xr:uid="{00000000-0005-0000-0000-000005750000}"/>
    <cellStyle name="Normal 7 4 2 4 2 2 2" xfId="36342" xr:uid="{00000000-0005-0000-0000-000006750000}"/>
    <cellStyle name="Normal 7 4 2 4 2 3" xfId="27252" xr:uid="{00000000-0005-0000-0000-000007750000}"/>
    <cellStyle name="Normal 7 4 2 4 3" xfId="13620" xr:uid="{00000000-0005-0000-0000-000008750000}"/>
    <cellStyle name="Normal 7 4 2 4 3 2" xfId="31802" xr:uid="{00000000-0005-0000-0000-000009750000}"/>
    <cellStyle name="Normal 7 4 2 4 4" xfId="22712" xr:uid="{00000000-0005-0000-0000-00000A750000}"/>
    <cellStyle name="Normal 7 4 2 5" xfId="6147" xr:uid="{00000000-0005-0000-0000-00000B750000}"/>
    <cellStyle name="Normal 7 4 2 5 2" xfId="15247" xr:uid="{00000000-0005-0000-0000-00000C750000}"/>
    <cellStyle name="Normal 7 4 2 5 2 2" xfId="33429" xr:uid="{00000000-0005-0000-0000-00000D750000}"/>
    <cellStyle name="Normal 7 4 2 5 3" xfId="24339" xr:uid="{00000000-0005-0000-0000-00000E750000}"/>
    <cellStyle name="Normal 7 4 2 6" xfId="10713" xr:uid="{00000000-0005-0000-0000-00000F750000}"/>
    <cellStyle name="Normal 7 4 2 6 2" xfId="28895" xr:uid="{00000000-0005-0000-0000-000010750000}"/>
    <cellStyle name="Normal 7 4 2 7" xfId="19804" xr:uid="{00000000-0005-0000-0000-000011750000}"/>
    <cellStyle name="Normal 7 4 3" xfId="1510" xr:uid="{00000000-0005-0000-0000-000012750000}"/>
    <cellStyle name="Normal 7 4 3 2" xfId="2897" xr:uid="{00000000-0005-0000-0000-000013750000}"/>
    <cellStyle name="Normal 7 4 3 2 2" xfId="7477" xr:uid="{00000000-0005-0000-0000-000014750000}"/>
    <cellStyle name="Normal 7 4 3 2 2 2" xfId="16577" xr:uid="{00000000-0005-0000-0000-000015750000}"/>
    <cellStyle name="Normal 7 4 3 2 2 2 2" xfId="34759" xr:uid="{00000000-0005-0000-0000-000016750000}"/>
    <cellStyle name="Normal 7 4 3 2 2 3" xfId="25669" xr:uid="{00000000-0005-0000-0000-000017750000}"/>
    <cellStyle name="Normal 7 4 3 2 3" xfId="12041" xr:uid="{00000000-0005-0000-0000-000018750000}"/>
    <cellStyle name="Normal 7 4 3 2 3 2" xfId="30223" xr:uid="{00000000-0005-0000-0000-000019750000}"/>
    <cellStyle name="Normal 7 4 3 2 4" xfId="21133" xr:uid="{00000000-0005-0000-0000-00001A750000}"/>
    <cellStyle name="Normal 7 4 3 3" xfId="4510" xr:uid="{00000000-0005-0000-0000-00001B750000}"/>
    <cellStyle name="Normal 7 4 3 3 2" xfId="9066" xr:uid="{00000000-0005-0000-0000-00001C750000}"/>
    <cellStyle name="Normal 7 4 3 3 2 2" xfId="18162" xr:uid="{00000000-0005-0000-0000-00001D750000}"/>
    <cellStyle name="Normal 7 4 3 3 2 2 2" xfId="36344" xr:uid="{00000000-0005-0000-0000-00001E750000}"/>
    <cellStyle name="Normal 7 4 3 3 2 3" xfId="27254" xr:uid="{00000000-0005-0000-0000-00001F750000}"/>
    <cellStyle name="Normal 7 4 3 3 3" xfId="13622" xr:uid="{00000000-0005-0000-0000-000020750000}"/>
    <cellStyle name="Normal 7 4 3 3 3 2" xfId="31804" xr:uid="{00000000-0005-0000-0000-000021750000}"/>
    <cellStyle name="Normal 7 4 3 3 4" xfId="22714" xr:uid="{00000000-0005-0000-0000-000022750000}"/>
    <cellStyle name="Normal 7 4 3 4" xfId="6149" xr:uid="{00000000-0005-0000-0000-000023750000}"/>
    <cellStyle name="Normal 7 4 3 4 2" xfId="15249" xr:uid="{00000000-0005-0000-0000-000024750000}"/>
    <cellStyle name="Normal 7 4 3 4 2 2" xfId="33431" xr:uid="{00000000-0005-0000-0000-000025750000}"/>
    <cellStyle name="Normal 7 4 3 4 3" xfId="24341" xr:uid="{00000000-0005-0000-0000-000026750000}"/>
    <cellStyle name="Normal 7 4 3 5" xfId="10715" xr:uid="{00000000-0005-0000-0000-000027750000}"/>
    <cellStyle name="Normal 7 4 3 5 2" xfId="28897" xr:uid="{00000000-0005-0000-0000-000028750000}"/>
    <cellStyle name="Normal 7 4 3 6" xfId="19806" xr:uid="{00000000-0005-0000-0000-000029750000}"/>
    <cellStyle name="Normal 7 4 4" xfId="1511" xr:uid="{00000000-0005-0000-0000-00002A750000}"/>
    <cellStyle name="Normal 7 4 4 2" xfId="4511" xr:uid="{00000000-0005-0000-0000-00002B750000}"/>
    <cellStyle name="Normal 7 4 4 2 2" xfId="9067" xr:uid="{00000000-0005-0000-0000-00002C750000}"/>
    <cellStyle name="Normal 7 4 4 2 2 2" xfId="18163" xr:uid="{00000000-0005-0000-0000-00002D750000}"/>
    <cellStyle name="Normal 7 4 4 2 2 2 2" xfId="36345" xr:uid="{00000000-0005-0000-0000-00002E750000}"/>
    <cellStyle name="Normal 7 4 4 2 2 3" xfId="27255" xr:uid="{00000000-0005-0000-0000-00002F750000}"/>
    <cellStyle name="Normal 7 4 4 2 3" xfId="13623" xr:uid="{00000000-0005-0000-0000-000030750000}"/>
    <cellStyle name="Normal 7 4 4 2 3 2" xfId="31805" xr:uid="{00000000-0005-0000-0000-000031750000}"/>
    <cellStyle name="Normal 7 4 4 2 4" xfId="22715" xr:uid="{00000000-0005-0000-0000-000032750000}"/>
    <cellStyle name="Normal 7 4 4 3" xfId="6150" xr:uid="{00000000-0005-0000-0000-000033750000}"/>
    <cellStyle name="Normal 7 4 4 3 2" xfId="15250" xr:uid="{00000000-0005-0000-0000-000034750000}"/>
    <cellStyle name="Normal 7 4 4 3 2 2" xfId="33432" xr:uid="{00000000-0005-0000-0000-000035750000}"/>
    <cellStyle name="Normal 7 4 4 3 3" xfId="24342" xr:uid="{00000000-0005-0000-0000-000036750000}"/>
    <cellStyle name="Normal 7 4 4 4" xfId="10716" xr:uid="{00000000-0005-0000-0000-000037750000}"/>
    <cellStyle name="Normal 7 4 4 4 2" xfId="28898" xr:uid="{00000000-0005-0000-0000-000038750000}"/>
    <cellStyle name="Normal 7 4 4 5" xfId="19807" xr:uid="{00000000-0005-0000-0000-000039750000}"/>
    <cellStyle name="Normal 7 4 5" xfId="2898" xr:uid="{00000000-0005-0000-0000-00003A750000}"/>
    <cellStyle name="Normal 7 4 5 2" xfId="7478" xr:uid="{00000000-0005-0000-0000-00003B750000}"/>
    <cellStyle name="Normal 7 4 5 2 2" xfId="16578" xr:uid="{00000000-0005-0000-0000-00003C750000}"/>
    <cellStyle name="Normal 7 4 5 2 2 2" xfId="34760" xr:uid="{00000000-0005-0000-0000-00003D750000}"/>
    <cellStyle name="Normal 7 4 5 2 3" xfId="25670" xr:uid="{00000000-0005-0000-0000-00003E750000}"/>
    <cellStyle name="Normal 7 4 5 3" xfId="12042" xr:uid="{00000000-0005-0000-0000-00003F750000}"/>
    <cellStyle name="Normal 7 4 5 3 2" xfId="30224" xr:uid="{00000000-0005-0000-0000-000040750000}"/>
    <cellStyle name="Normal 7 4 5 4" xfId="21134" xr:uid="{00000000-0005-0000-0000-000041750000}"/>
    <cellStyle name="Normal 7 4 6" xfId="4507" xr:uid="{00000000-0005-0000-0000-000042750000}"/>
    <cellStyle name="Normal 7 4 6 2" xfId="9063" xr:uid="{00000000-0005-0000-0000-000043750000}"/>
    <cellStyle name="Normal 7 4 6 2 2" xfId="18159" xr:uid="{00000000-0005-0000-0000-000044750000}"/>
    <cellStyle name="Normal 7 4 6 2 2 2" xfId="36341" xr:uid="{00000000-0005-0000-0000-000045750000}"/>
    <cellStyle name="Normal 7 4 6 2 3" xfId="27251" xr:uid="{00000000-0005-0000-0000-000046750000}"/>
    <cellStyle name="Normal 7 4 6 3" xfId="13619" xr:uid="{00000000-0005-0000-0000-000047750000}"/>
    <cellStyle name="Normal 7 4 6 3 2" xfId="31801" xr:uid="{00000000-0005-0000-0000-000048750000}"/>
    <cellStyle name="Normal 7 4 6 4" xfId="22711" xr:uid="{00000000-0005-0000-0000-000049750000}"/>
    <cellStyle name="Normal 7 4 7" xfId="6146" xr:uid="{00000000-0005-0000-0000-00004A750000}"/>
    <cellStyle name="Normal 7 4 7 2" xfId="15246" xr:uid="{00000000-0005-0000-0000-00004B750000}"/>
    <cellStyle name="Normal 7 4 7 2 2" xfId="33428" xr:uid="{00000000-0005-0000-0000-00004C750000}"/>
    <cellStyle name="Normal 7 4 7 3" xfId="24338" xr:uid="{00000000-0005-0000-0000-00004D750000}"/>
    <cellStyle name="Normal 7 4 8" xfId="10712" xr:uid="{00000000-0005-0000-0000-00004E750000}"/>
    <cellStyle name="Normal 7 4 8 2" xfId="28894" xr:uid="{00000000-0005-0000-0000-00004F750000}"/>
    <cellStyle name="Normal 7 4 9" xfId="19803" xr:uid="{00000000-0005-0000-0000-000050750000}"/>
    <cellStyle name="Normal 7 5" xfId="1512" xr:uid="{00000000-0005-0000-0000-000051750000}"/>
    <cellStyle name="Normal 7 5 2" xfId="1513" xr:uid="{00000000-0005-0000-0000-000052750000}"/>
    <cellStyle name="Normal 7 5 2 2" xfId="2899" xr:uid="{00000000-0005-0000-0000-000053750000}"/>
    <cellStyle name="Normal 7 5 2 2 2" xfId="7479" xr:uid="{00000000-0005-0000-0000-000054750000}"/>
    <cellStyle name="Normal 7 5 2 2 2 2" xfId="16579" xr:uid="{00000000-0005-0000-0000-000055750000}"/>
    <cellStyle name="Normal 7 5 2 2 2 2 2" xfId="34761" xr:uid="{00000000-0005-0000-0000-000056750000}"/>
    <cellStyle name="Normal 7 5 2 2 2 3" xfId="25671" xr:uid="{00000000-0005-0000-0000-000057750000}"/>
    <cellStyle name="Normal 7 5 2 2 3" xfId="12043" xr:uid="{00000000-0005-0000-0000-000058750000}"/>
    <cellStyle name="Normal 7 5 2 2 3 2" xfId="30225" xr:uid="{00000000-0005-0000-0000-000059750000}"/>
    <cellStyle name="Normal 7 5 2 2 4" xfId="21135" xr:uid="{00000000-0005-0000-0000-00005A750000}"/>
    <cellStyle name="Normal 7 5 2 3" xfId="4513" xr:uid="{00000000-0005-0000-0000-00005B750000}"/>
    <cellStyle name="Normal 7 5 2 3 2" xfId="9069" xr:uid="{00000000-0005-0000-0000-00005C750000}"/>
    <cellStyle name="Normal 7 5 2 3 2 2" xfId="18165" xr:uid="{00000000-0005-0000-0000-00005D750000}"/>
    <cellStyle name="Normal 7 5 2 3 2 2 2" xfId="36347" xr:uid="{00000000-0005-0000-0000-00005E750000}"/>
    <cellStyle name="Normal 7 5 2 3 2 3" xfId="27257" xr:uid="{00000000-0005-0000-0000-00005F750000}"/>
    <cellStyle name="Normal 7 5 2 3 3" xfId="13625" xr:uid="{00000000-0005-0000-0000-000060750000}"/>
    <cellStyle name="Normal 7 5 2 3 3 2" xfId="31807" xr:uid="{00000000-0005-0000-0000-000061750000}"/>
    <cellStyle name="Normal 7 5 2 3 4" xfId="22717" xr:uid="{00000000-0005-0000-0000-000062750000}"/>
    <cellStyle name="Normal 7 5 2 4" xfId="6152" xr:uid="{00000000-0005-0000-0000-000063750000}"/>
    <cellStyle name="Normal 7 5 2 4 2" xfId="15252" xr:uid="{00000000-0005-0000-0000-000064750000}"/>
    <cellStyle name="Normal 7 5 2 4 2 2" xfId="33434" xr:uid="{00000000-0005-0000-0000-000065750000}"/>
    <cellStyle name="Normal 7 5 2 4 3" xfId="24344" xr:uid="{00000000-0005-0000-0000-000066750000}"/>
    <cellStyle name="Normal 7 5 2 5" xfId="10718" xr:uid="{00000000-0005-0000-0000-000067750000}"/>
    <cellStyle name="Normal 7 5 2 5 2" xfId="28900" xr:uid="{00000000-0005-0000-0000-000068750000}"/>
    <cellStyle name="Normal 7 5 2 6" xfId="19809" xr:uid="{00000000-0005-0000-0000-000069750000}"/>
    <cellStyle name="Normal 7 5 3" xfId="2900" xr:uid="{00000000-0005-0000-0000-00006A750000}"/>
    <cellStyle name="Normal 7 5 3 2" xfId="7480" xr:uid="{00000000-0005-0000-0000-00006B750000}"/>
    <cellStyle name="Normal 7 5 3 2 2" xfId="16580" xr:uid="{00000000-0005-0000-0000-00006C750000}"/>
    <cellStyle name="Normal 7 5 3 2 2 2" xfId="34762" xr:uid="{00000000-0005-0000-0000-00006D750000}"/>
    <cellStyle name="Normal 7 5 3 2 3" xfId="25672" xr:uid="{00000000-0005-0000-0000-00006E750000}"/>
    <cellStyle name="Normal 7 5 3 3" xfId="12044" xr:uid="{00000000-0005-0000-0000-00006F750000}"/>
    <cellStyle name="Normal 7 5 3 3 2" xfId="30226" xr:uid="{00000000-0005-0000-0000-000070750000}"/>
    <cellStyle name="Normal 7 5 3 4" xfId="21136" xr:uid="{00000000-0005-0000-0000-000071750000}"/>
    <cellStyle name="Normal 7 5 4" xfId="4512" xr:uid="{00000000-0005-0000-0000-000072750000}"/>
    <cellStyle name="Normal 7 5 4 2" xfId="9068" xr:uid="{00000000-0005-0000-0000-000073750000}"/>
    <cellStyle name="Normal 7 5 4 2 2" xfId="18164" xr:uid="{00000000-0005-0000-0000-000074750000}"/>
    <cellStyle name="Normal 7 5 4 2 2 2" xfId="36346" xr:uid="{00000000-0005-0000-0000-000075750000}"/>
    <cellStyle name="Normal 7 5 4 2 3" xfId="27256" xr:uid="{00000000-0005-0000-0000-000076750000}"/>
    <cellStyle name="Normal 7 5 4 3" xfId="13624" xr:uid="{00000000-0005-0000-0000-000077750000}"/>
    <cellStyle name="Normal 7 5 4 3 2" xfId="31806" xr:uid="{00000000-0005-0000-0000-000078750000}"/>
    <cellStyle name="Normal 7 5 4 4" xfId="22716" xr:uid="{00000000-0005-0000-0000-000079750000}"/>
    <cellStyle name="Normal 7 5 5" xfId="6151" xr:uid="{00000000-0005-0000-0000-00007A750000}"/>
    <cellStyle name="Normal 7 5 5 2" xfId="15251" xr:uid="{00000000-0005-0000-0000-00007B750000}"/>
    <cellStyle name="Normal 7 5 5 2 2" xfId="33433" xr:uid="{00000000-0005-0000-0000-00007C750000}"/>
    <cellStyle name="Normal 7 5 5 3" xfId="24343" xr:uid="{00000000-0005-0000-0000-00007D750000}"/>
    <cellStyle name="Normal 7 5 6" xfId="10717" xr:uid="{00000000-0005-0000-0000-00007E750000}"/>
    <cellStyle name="Normal 7 5 6 2" xfId="28899" xr:uid="{00000000-0005-0000-0000-00007F750000}"/>
    <cellStyle name="Normal 7 5 7" xfId="19808" xr:uid="{00000000-0005-0000-0000-000080750000}"/>
    <cellStyle name="Normal 7 6" xfId="1514" xr:uid="{00000000-0005-0000-0000-000081750000}"/>
    <cellStyle name="Normal 7 6 2" xfId="2901" xr:uid="{00000000-0005-0000-0000-000082750000}"/>
    <cellStyle name="Normal 7 6 2 2" xfId="7481" xr:uid="{00000000-0005-0000-0000-000083750000}"/>
    <cellStyle name="Normal 7 6 2 2 2" xfId="16581" xr:uid="{00000000-0005-0000-0000-000084750000}"/>
    <cellStyle name="Normal 7 6 2 2 2 2" xfId="34763" xr:uid="{00000000-0005-0000-0000-000085750000}"/>
    <cellStyle name="Normal 7 6 2 2 3" xfId="25673" xr:uid="{00000000-0005-0000-0000-000086750000}"/>
    <cellStyle name="Normal 7 6 2 3" xfId="12045" xr:uid="{00000000-0005-0000-0000-000087750000}"/>
    <cellStyle name="Normal 7 6 2 3 2" xfId="30227" xr:uid="{00000000-0005-0000-0000-000088750000}"/>
    <cellStyle name="Normal 7 6 2 4" xfId="21137" xr:uid="{00000000-0005-0000-0000-000089750000}"/>
    <cellStyle name="Normal 7 6 3" xfId="4514" xr:uid="{00000000-0005-0000-0000-00008A750000}"/>
    <cellStyle name="Normal 7 6 3 2" xfId="9070" xr:uid="{00000000-0005-0000-0000-00008B750000}"/>
    <cellStyle name="Normal 7 6 3 2 2" xfId="18166" xr:uid="{00000000-0005-0000-0000-00008C750000}"/>
    <cellStyle name="Normal 7 6 3 2 2 2" xfId="36348" xr:uid="{00000000-0005-0000-0000-00008D750000}"/>
    <cellStyle name="Normal 7 6 3 2 3" xfId="27258" xr:uid="{00000000-0005-0000-0000-00008E750000}"/>
    <cellStyle name="Normal 7 6 3 3" xfId="13626" xr:uid="{00000000-0005-0000-0000-00008F750000}"/>
    <cellStyle name="Normal 7 6 3 3 2" xfId="31808" xr:uid="{00000000-0005-0000-0000-000090750000}"/>
    <cellStyle name="Normal 7 6 3 4" xfId="22718" xr:uid="{00000000-0005-0000-0000-000091750000}"/>
    <cellStyle name="Normal 7 6 4" xfId="6153" xr:uid="{00000000-0005-0000-0000-000092750000}"/>
    <cellStyle name="Normal 7 6 4 2" xfId="15253" xr:uid="{00000000-0005-0000-0000-000093750000}"/>
    <cellStyle name="Normal 7 6 4 2 2" xfId="33435" xr:uid="{00000000-0005-0000-0000-000094750000}"/>
    <cellStyle name="Normal 7 6 4 3" xfId="24345" xr:uid="{00000000-0005-0000-0000-000095750000}"/>
    <cellStyle name="Normal 7 6 5" xfId="10719" xr:uid="{00000000-0005-0000-0000-000096750000}"/>
    <cellStyle name="Normal 7 6 5 2" xfId="28901" xr:uid="{00000000-0005-0000-0000-000097750000}"/>
    <cellStyle name="Normal 7 6 6" xfId="19810" xr:uid="{00000000-0005-0000-0000-000098750000}"/>
    <cellStyle name="Normal 7 7" xfId="1515" xr:uid="{00000000-0005-0000-0000-000099750000}"/>
    <cellStyle name="Normal 7 7 2" xfId="4515" xr:uid="{00000000-0005-0000-0000-00009A750000}"/>
    <cellStyle name="Normal 7 7 2 2" xfId="9071" xr:uid="{00000000-0005-0000-0000-00009B750000}"/>
    <cellStyle name="Normal 7 7 2 2 2" xfId="18167" xr:uid="{00000000-0005-0000-0000-00009C750000}"/>
    <cellStyle name="Normal 7 7 2 2 2 2" xfId="36349" xr:uid="{00000000-0005-0000-0000-00009D750000}"/>
    <cellStyle name="Normal 7 7 2 2 3" xfId="27259" xr:uid="{00000000-0005-0000-0000-00009E750000}"/>
    <cellStyle name="Normal 7 7 2 3" xfId="13627" xr:uid="{00000000-0005-0000-0000-00009F750000}"/>
    <cellStyle name="Normal 7 7 2 3 2" xfId="31809" xr:uid="{00000000-0005-0000-0000-0000A0750000}"/>
    <cellStyle name="Normal 7 7 2 4" xfId="22719" xr:uid="{00000000-0005-0000-0000-0000A1750000}"/>
    <cellStyle name="Normal 7 7 3" xfId="6154" xr:uid="{00000000-0005-0000-0000-0000A2750000}"/>
    <cellStyle name="Normal 7 7 3 2" xfId="15254" xr:uid="{00000000-0005-0000-0000-0000A3750000}"/>
    <cellStyle name="Normal 7 7 3 2 2" xfId="33436" xr:uid="{00000000-0005-0000-0000-0000A4750000}"/>
    <cellStyle name="Normal 7 7 3 3" xfId="24346" xr:uid="{00000000-0005-0000-0000-0000A5750000}"/>
    <cellStyle name="Normal 7 7 4" xfId="10720" xr:uid="{00000000-0005-0000-0000-0000A6750000}"/>
    <cellStyle name="Normal 7 7 4 2" xfId="28902" xr:uid="{00000000-0005-0000-0000-0000A7750000}"/>
    <cellStyle name="Normal 7 7 5" xfId="19811" xr:uid="{00000000-0005-0000-0000-0000A8750000}"/>
    <cellStyle name="Normal 7 8" xfId="2902" xr:uid="{00000000-0005-0000-0000-0000A9750000}"/>
    <cellStyle name="Normal 7 8 2" xfId="7482" xr:uid="{00000000-0005-0000-0000-0000AA750000}"/>
    <cellStyle name="Normal 7 8 2 2" xfId="16582" xr:uid="{00000000-0005-0000-0000-0000AB750000}"/>
    <cellStyle name="Normal 7 8 2 2 2" xfId="34764" xr:uid="{00000000-0005-0000-0000-0000AC750000}"/>
    <cellStyle name="Normal 7 8 2 3" xfId="25674" xr:uid="{00000000-0005-0000-0000-0000AD750000}"/>
    <cellStyle name="Normal 7 8 3" xfId="12046" xr:uid="{00000000-0005-0000-0000-0000AE750000}"/>
    <cellStyle name="Normal 7 8 3 2" xfId="30228" xr:uid="{00000000-0005-0000-0000-0000AF750000}"/>
    <cellStyle name="Normal 7 8 4" xfId="21138" xr:uid="{00000000-0005-0000-0000-0000B0750000}"/>
    <cellStyle name="Normal 7 9" xfId="3167" xr:uid="{00000000-0005-0000-0000-0000B1750000}"/>
    <cellStyle name="Normal 7 9 2" xfId="7727" xr:uid="{00000000-0005-0000-0000-0000B2750000}"/>
    <cellStyle name="Normal 7 9 2 2" xfId="16823" xr:uid="{00000000-0005-0000-0000-0000B3750000}"/>
    <cellStyle name="Normal 7 9 2 2 2" xfId="35005" xr:uid="{00000000-0005-0000-0000-0000B4750000}"/>
    <cellStyle name="Normal 7 9 2 3" xfId="25915" xr:uid="{00000000-0005-0000-0000-0000B5750000}"/>
    <cellStyle name="Normal 7 9 3" xfId="12283" xr:uid="{00000000-0005-0000-0000-0000B6750000}"/>
    <cellStyle name="Normal 7 9 3 2" xfId="30465" xr:uid="{00000000-0005-0000-0000-0000B7750000}"/>
    <cellStyle name="Normal 7 9 4" xfId="21375" xr:uid="{00000000-0005-0000-0000-0000B8750000}"/>
    <cellStyle name="Normal 70" xfId="36679" xr:uid="{00000000-0005-0000-0000-0000B9750000}"/>
    <cellStyle name="Normal 70 2" xfId="36685" xr:uid="{00000000-0005-0000-0000-0000BA750000}"/>
    <cellStyle name="Normal 70 2 2" xfId="36686" xr:uid="{00000000-0005-0000-0000-0000BB750000}"/>
    <cellStyle name="Normal 8" xfId="30" xr:uid="{00000000-0005-0000-0000-0000BC750000}"/>
    <cellStyle name="Normal 8 10" xfId="3169" xr:uid="{00000000-0005-0000-0000-0000BD750000}"/>
    <cellStyle name="Normal 8 10 2" xfId="7729" xr:uid="{00000000-0005-0000-0000-0000BE750000}"/>
    <cellStyle name="Normal 8 10 2 2" xfId="16825" xr:uid="{00000000-0005-0000-0000-0000BF750000}"/>
    <cellStyle name="Normal 8 10 2 2 2" xfId="35007" xr:uid="{00000000-0005-0000-0000-0000C0750000}"/>
    <cellStyle name="Normal 8 10 2 3" xfId="25917" xr:uid="{00000000-0005-0000-0000-0000C1750000}"/>
    <cellStyle name="Normal 8 10 3" xfId="12285" xr:uid="{00000000-0005-0000-0000-0000C2750000}"/>
    <cellStyle name="Normal 8 10 3 2" xfId="30467" xr:uid="{00000000-0005-0000-0000-0000C3750000}"/>
    <cellStyle name="Normal 8 10 4" xfId="21377" xr:uid="{00000000-0005-0000-0000-0000C4750000}"/>
    <cellStyle name="Normal 8 11" xfId="4822" xr:uid="{00000000-0005-0000-0000-0000C5750000}"/>
    <cellStyle name="Normal 8 11 2" xfId="13922" xr:uid="{00000000-0005-0000-0000-0000C6750000}"/>
    <cellStyle name="Normal 8 11 2 2" xfId="32104" xr:uid="{00000000-0005-0000-0000-0000C7750000}"/>
    <cellStyle name="Normal 8 11 3" xfId="23014" xr:uid="{00000000-0005-0000-0000-0000C8750000}"/>
    <cellStyle name="Normal 8 12" xfId="9388" xr:uid="{00000000-0005-0000-0000-0000C9750000}"/>
    <cellStyle name="Normal 8 12 2" xfId="27570" xr:uid="{00000000-0005-0000-0000-0000CA750000}"/>
    <cellStyle name="Normal 8 13" xfId="18479" xr:uid="{00000000-0005-0000-0000-0000CB750000}"/>
    <cellStyle name="Normal 8 2" xfId="37" xr:uid="{00000000-0005-0000-0000-0000CC750000}"/>
    <cellStyle name="Normal 8 2 10" xfId="1516" xr:uid="{00000000-0005-0000-0000-0000CD750000}"/>
    <cellStyle name="Normal 8 2 10 2" xfId="1517" xr:uid="{00000000-0005-0000-0000-0000CE750000}"/>
    <cellStyle name="Normal 8 2 10 2 2" xfId="2903" xr:uid="{00000000-0005-0000-0000-0000CF750000}"/>
    <cellStyle name="Normal 8 2 10 2 2 2" xfId="7483" xr:uid="{00000000-0005-0000-0000-0000D0750000}"/>
    <cellStyle name="Normal 8 2 10 2 2 2 2" xfId="16583" xr:uid="{00000000-0005-0000-0000-0000D1750000}"/>
    <cellStyle name="Normal 8 2 10 2 2 2 2 2" xfId="34765" xr:uid="{00000000-0005-0000-0000-0000D2750000}"/>
    <cellStyle name="Normal 8 2 10 2 2 2 3" xfId="25675" xr:uid="{00000000-0005-0000-0000-0000D3750000}"/>
    <cellStyle name="Normal 8 2 10 2 2 3" xfId="12047" xr:uid="{00000000-0005-0000-0000-0000D4750000}"/>
    <cellStyle name="Normal 8 2 10 2 2 3 2" xfId="30229" xr:uid="{00000000-0005-0000-0000-0000D5750000}"/>
    <cellStyle name="Normal 8 2 10 2 2 4" xfId="21139" xr:uid="{00000000-0005-0000-0000-0000D6750000}"/>
    <cellStyle name="Normal 8 2 10 2 3" xfId="4517" xr:uid="{00000000-0005-0000-0000-0000D7750000}"/>
    <cellStyle name="Normal 8 2 10 2 3 2" xfId="9073" xr:uid="{00000000-0005-0000-0000-0000D8750000}"/>
    <cellStyle name="Normal 8 2 10 2 3 2 2" xfId="18169" xr:uid="{00000000-0005-0000-0000-0000D9750000}"/>
    <cellStyle name="Normal 8 2 10 2 3 2 2 2" xfId="36351" xr:uid="{00000000-0005-0000-0000-0000DA750000}"/>
    <cellStyle name="Normal 8 2 10 2 3 2 3" xfId="27261" xr:uid="{00000000-0005-0000-0000-0000DB750000}"/>
    <cellStyle name="Normal 8 2 10 2 3 3" xfId="13629" xr:uid="{00000000-0005-0000-0000-0000DC750000}"/>
    <cellStyle name="Normal 8 2 10 2 3 3 2" xfId="31811" xr:uid="{00000000-0005-0000-0000-0000DD750000}"/>
    <cellStyle name="Normal 8 2 10 2 3 4" xfId="22721" xr:uid="{00000000-0005-0000-0000-0000DE750000}"/>
    <cellStyle name="Normal 8 2 10 2 4" xfId="6156" xr:uid="{00000000-0005-0000-0000-0000DF750000}"/>
    <cellStyle name="Normal 8 2 10 2 4 2" xfId="15256" xr:uid="{00000000-0005-0000-0000-0000E0750000}"/>
    <cellStyle name="Normal 8 2 10 2 4 2 2" xfId="33438" xr:uid="{00000000-0005-0000-0000-0000E1750000}"/>
    <cellStyle name="Normal 8 2 10 2 4 3" xfId="24348" xr:uid="{00000000-0005-0000-0000-0000E2750000}"/>
    <cellStyle name="Normal 8 2 10 2 5" xfId="10722" xr:uid="{00000000-0005-0000-0000-0000E3750000}"/>
    <cellStyle name="Normal 8 2 10 2 5 2" xfId="28904" xr:uid="{00000000-0005-0000-0000-0000E4750000}"/>
    <cellStyle name="Normal 8 2 10 2 6" xfId="19813" xr:uid="{00000000-0005-0000-0000-0000E5750000}"/>
    <cellStyle name="Normal 8 2 10 3" xfId="2904" xr:uid="{00000000-0005-0000-0000-0000E6750000}"/>
    <cellStyle name="Normal 8 2 10 3 2" xfId="7484" xr:uid="{00000000-0005-0000-0000-0000E7750000}"/>
    <cellStyle name="Normal 8 2 10 3 2 2" xfId="16584" xr:uid="{00000000-0005-0000-0000-0000E8750000}"/>
    <cellStyle name="Normal 8 2 10 3 2 2 2" xfId="34766" xr:uid="{00000000-0005-0000-0000-0000E9750000}"/>
    <cellStyle name="Normal 8 2 10 3 2 3" xfId="25676" xr:uid="{00000000-0005-0000-0000-0000EA750000}"/>
    <cellStyle name="Normal 8 2 10 3 3" xfId="12048" xr:uid="{00000000-0005-0000-0000-0000EB750000}"/>
    <cellStyle name="Normal 8 2 10 3 3 2" xfId="30230" xr:uid="{00000000-0005-0000-0000-0000EC750000}"/>
    <cellStyle name="Normal 8 2 10 3 4" xfId="21140" xr:uid="{00000000-0005-0000-0000-0000ED750000}"/>
    <cellStyle name="Normal 8 2 10 4" xfId="4516" xr:uid="{00000000-0005-0000-0000-0000EE750000}"/>
    <cellStyle name="Normal 8 2 10 4 2" xfId="9072" xr:uid="{00000000-0005-0000-0000-0000EF750000}"/>
    <cellStyle name="Normal 8 2 10 4 2 2" xfId="18168" xr:uid="{00000000-0005-0000-0000-0000F0750000}"/>
    <cellStyle name="Normal 8 2 10 4 2 2 2" xfId="36350" xr:uid="{00000000-0005-0000-0000-0000F1750000}"/>
    <cellStyle name="Normal 8 2 10 4 2 3" xfId="27260" xr:uid="{00000000-0005-0000-0000-0000F2750000}"/>
    <cellStyle name="Normal 8 2 10 4 3" xfId="13628" xr:uid="{00000000-0005-0000-0000-0000F3750000}"/>
    <cellStyle name="Normal 8 2 10 4 3 2" xfId="31810" xr:uid="{00000000-0005-0000-0000-0000F4750000}"/>
    <cellStyle name="Normal 8 2 10 4 4" xfId="22720" xr:uid="{00000000-0005-0000-0000-0000F5750000}"/>
    <cellStyle name="Normal 8 2 10 5" xfId="6155" xr:uid="{00000000-0005-0000-0000-0000F6750000}"/>
    <cellStyle name="Normal 8 2 10 5 2" xfId="15255" xr:uid="{00000000-0005-0000-0000-0000F7750000}"/>
    <cellStyle name="Normal 8 2 10 5 2 2" xfId="33437" xr:uid="{00000000-0005-0000-0000-0000F8750000}"/>
    <cellStyle name="Normal 8 2 10 5 3" xfId="24347" xr:uid="{00000000-0005-0000-0000-0000F9750000}"/>
    <cellStyle name="Normal 8 2 10 6" xfId="10721" xr:uid="{00000000-0005-0000-0000-0000FA750000}"/>
    <cellStyle name="Normal 8 2 10 6 2" xfId="28903" xr:uid="{00000000-0005-0000-0000-0000FB750000}"/>
    <cellStyle name="Normal 8 2 10 7" xfId="19812" xr:uid="{00000000-0005-0000-0000-0000FC750000}"/>
    <cellStyle name="Normal 8 2 11" xfId="1518" xr:uid="{00000000-0005-0000-0000-0000FD750000}"/>
    <cellStyle name="Normal 8 2 11 2" xfId="2905" xr:uid="{00000000-0005-0000-0000-0000FE750000}"/>
    <cellStyle name="Normal 8 2 11 2 2" xfId="7485" xr:uid="{00000000-0005-0000-0000-0000FF750000}"/>
    <cellStyle name="Normal 8 2 11 2 2 2" xfId="16585" xr:uid="{00000000-0005-0000-0000-000000760000}"/>
    <cellStyle name="Normal 8 2 11 2 2 2 2" xfId="34767" xr:uid="{00000000-0005-0000-0000-000001760000}"/>
    <cellStyle name="Normal 8 2 11 2 2 3" xfId="25677" xr:uid="{00000000-0005-0000-0000-000002760000}"/>
    <cellStyle name="Normal 8 2 11 2 3" xfId="12049" xr:uid="{00000000-0005-0000-0000-000003760000}"/>
    <cellStyle name="Normal 8 2 11 2 3 2" xfId="30231" xr:uid="{00000000-0005-0000-0000-000004760000}"/>
    <cellStyle name="Normal 8 2 11 2 4" xfId="21141" xr:uid="{00000000-0005-0000-0000-000005760000}"/>
    <cellStyle name="Normal 8 2 11 3" xfId="4518" xr:uid="{00000000-0005-0000-0000-000006760000}"/>
    <cellStyle name="Normal 8 2 11 3 2" xfId="9074" xr:uid="{00000000-0005-0000-0000-000007760000}"/>
    <cellStyle name="Normal 8 2 11 3 2 2" xfId="18170" xr:uid="{00000000-0005-0000-0000-000008760000}"/>
    <cellStyle name="Normal 8 2 11 3 2 2 2" xfId="36352" xr:uid="{00000000-0005-0000-0000-000009760000}"/>
    <cellStyle name="Normal 8 2 11 3 2 3" xfId="27262" xr:uid="{00000000-0005-0000-0000-00000A760000}"/>
    <cellStyle name="Normal 8 2 11 3 3" xfId="13630" xr:uid="{00000000-0005-0000-0000-00000B760000}"/>
    <cellStyle name="Normal 8 2 11 3 3 2" xfId="31812" xr:uid="{00000000-0005-0000-0000-00000C760000}"/>
    <cellStyle name="Normal 8 2 11 3 4" xfId="22722" xr:uid="{00000000-0005-0000-0000-00000D760000}"/>
    <cellStyle name="Normal 8 2 11 4" xfId="6157" xr:uid="{00000000-0005-0000-0000-00000E760000}"/>
    <cellStyle name="Normal 8 2 11 4 2" xfId="15257" xr:uid="{00000000-0005-0000-0000-00000F760000}"/>
    <cellStyle name="Normal 8 2 11 4 2 2" xfId="33439" xr:uid="{00000000-0005-0000-0000-000010760000}"/>
    <cellStyle name="Normal 8 2 11 4 3" xfId="24349" xr:uid="{00000000-0005-0000-0000-000011760000}"/>
    <cellStyle name="Normal 8 2 11 5" xfId="10723" xr:uid="{00000000-0005-0000-0000-000012760000}"/>
    <cellStyle name="Normal 8 2 11 5 2" xfId="28905" xr:uid="{00000000-0005-0000-0000-000013760000}"/>
    <cellStyle name="Normal 8 2 11 6" xfId="19814" xr:uid="{00000000-0005-0000-0000-000014760000}"/>
    <cellStyle name="Normal 8 2 12" xfId="1519" xr:uid="{00000000-0005-0000-0000-000015760000}"/>
    <cellStyle name="Normal 8 2 12 2" xfId="2906" xr:uid="{00000000-0005-0000-0000-000016760000}"/>
    <cellStyle name="Normal 8 2 12 2 2" xfId="7486" xr:uid="{00000000-0005-0000-0000-000017760000}"/>
    <cellStyle name="Normal 8 2 12 2 2 2" xfId="16586" xr:uid="{00000000-0005-0000-0000-000018760000}"/>
    <cellStyle name="Normal 8 2 12 2 2 2 2" xfId="34768" xr:uid="{00000000-0005-0000-0000-000019760000}"/>
    <cellStyle name="Normal 8 2 12 2 2 3" xfId="25678" xr:uid="{00000000-0005-0000-0000-00001A760000}"/>
    <cellStyle name="Normal 8 2 12 2 3" xfId="12050" xr:uid="{00000000-0005-0000-0000-00001B760000}"/>
    <cellStyle name="Normal 8 2 12 2 3 2" xfId="30232" xr:uid="{00000000-0005-0000-0000-00001C760000}"/>
    <cellStyle name="Normal 8 2 12 2 4" xfId="21142" xr:uid="{00000000-0005-0000-0000-00001D760000}"/>
    <cellStyle name="Normal 8 2 12 3" xfId="4519" xr:uid="{00000000-0005-0000-0000-00001E760000}"/>
    <cellStyle name="Normal 8 2 12 3 2" xfId="9075" xr:uid="{00000000-0005-0000-0000-00001F760000}"/>
    <cellStyle name="Normal 8 2 12 3 2 2" xfId="18171" xr:uid="{00000000-0005-0000-0000-000020760000}"/>
    <cellStyle name="Normal 8 2 12 3 2 2 2" xfId="36353" xr:uid="{00000000-0005-0000-0000-000021760000}"/>
    <cellStyle name="Normal 8 2 12 3 2 3" xfId="27263" xr:uid="{00000000-0005-0000-0000-000022760000}"/>
    <cellStyle name="Normal 8 2 12 3 3" xfId="13631" xr:uid="{00000000-0005-0000-0000-000023760000}"/>
    <cellStyle name="Normal 8 2 12 3 3 2" xfId="31813" xr:uid="{00000000-0005-0000-0000-000024760000}"/>
    <cellStyle name="Normal 8 2 12 3 4" xfId="22723" xr:uid="{00000000-0005-0000-0000-000025760000}"/>
    <cellStyle name="Normal 8 2 12 4" xfId="6158" xr:uid="{00000000-0005-0000-0000-000026760000}"/>
    <cellStyle name="Normal 8 2 12 4 2" xfId="15258" xr:uid="{00000000-0005-0000-0000-000027760000}"/>
    <cellStyle name="Normal 8 2 12 4 2 2" xfId="33440" xr:uid="{00000000-0005-0000-0000-000028760000}"/>
    <cellStyle name="Normal 8 2 12 4 3" xfId="24350" xr:uid="{00000000-0005-0000-0000-000029760000}"/>
    <cellStyle name="Normal 8 2 12 5" xfId="10724" xr:uid="{00000000-0005-0000-0000-00002A760000}"/>
    <cellStyle name="Normal 8 2 12 5 2" xfId="28906" xr:uid="{00000000-0005-0000-0000-00002B760000}"/>
    <cellStyle name="Normal 8 2 12 6" xfId="19815" xr:uid="{00000000-0005-0000-0000-00002C760000}"/>
    <cellStyle name="Normal 8 2 13" xfId="1520" xr:uid="{00000000-0005-0000-0000-00002D760000}"/>
    <cellStyle name="Normal 8 2 13 2" xfId="4520" xr:uid="{00000000-0005-0000-0000-00002E760000}"/>
    <cellStyle name="Normal 8 2 13 2 2" xfId="9076" xr:uid="{00000000-0005-0000-0000-00002F760000}"/>
    <cellStyle name="Normal 8 2 13 2 2 2" xfId="18172" xr:uid="{00000000-0005-0000-0000-000030760000}"/>
    <cellStyle name="Normal 8 2 13 2 2 2 2" xfId="36354" xr:uid="{00000000-0005-0000-0000-000031760000}"/>
    <cellStyle name="Normal 8 2 13 2 2 3" xfId="27264" xr:uid="{00000000-0005-0000-0000-000032760000}"/>
    <cellStyle name="Normal 8 2 13 2 3" xfId="13632" xr:uid="{00000000-0005-0000-0000-000033760000}"/>
    <cellStyle name="Normal 8 2 13 2 3 2" xfId="31814" xr:uid="{00000000-0005-0000-0000-000034760000}"/>
    <cellStyle name="Normal 8 2 13 2 4" xfId="22724" xr:uid="{00000000-0005-0000-0000-000035760000}"/>
    <cellStyle name="Normal 8 2 13 3" xfId="6159" xr:uid="{00000000-0005-0000-0000-000036760000}"/>
    <cellStyle name="Normal 8 2 13 3 2" xfId="15259" xr:uid="{00000000-0005-0000-0000-000037760000}"/>
    <cellStyle name="Normal 8 2 13 3 2 2" xfId="33441" xr:uid="{00000000-0005-0000-0000-000038760000}"/>
    <cellStyle name="Normal 8 2 13 3 3" xfId="24351" xr:uid="{00000000-0005-0000-0000-000039760000}"/>
    <cellStyle name="Normal 8 2 13 4" xfId="10725" xr:uid="{00000000-0005-0000-0000-00003A760000}"/>
    <cellStyle name="Normal 8 2 13 4 2" xfId="28907" xr:uid="{00000000-0005-0000-0000-00003B760000}"/>
    <cellStyle name="Normal 8 2 13 5" xfId="19816" xr:uid="{00000000-0005-0000-0000-00003C760000}"/>
    <cellStyle name="Normal 8 2 14" xfId="2907" xr:uid="{00000000-0005-0000-0000-00003D760000}"/>
    <cellStyle name="Normal 8 2 14 2" xfId="7487" xr:uid="{00000000-0005-0000-0000-00003E760000}"/>
    <cellStyle name="Normal 8 2 14 2 2" xfId="16587" xr:uid="{00000000-0005-0000-0000-00003F760000}"/>
    <cellStyle name="Normal 8 2 14 2 2 2" xfId="34769" xr:uid="{00000000-0005-0000-0000-000040760000}"/>
    <cellStyle name="Normal 8 2 14 2 3" xfId="25679" xr:uid="{00000000-0005-0000-0000-000041760000}"/>
    <cellStyle name="Normal 8 2 14 3" xfId="12051" xr:uid="{00000000-0005-0000-0000-000042760000}"/>
    <cellStyle name="Normal 8 2 14 3 2" xfId="30233" xr:uid="{00000000-0005-0000-0000-000043760000}"/>
    <cellStyle name="Normal 8 2 14 4" xfId="21143" xr:uid="{00000000-0005-0000-0000-000044760000}"/>
    <cellStyle name="Normal 8 2 15" xfId="3171" xr:uid="{00000000-0005-0000-0000-000045760000}"/>
    <cellStyle name="Normal 8 2 15 2" xfId="7731" xr:uid="{00000000-0005-0000-0000-000046760000}"/>
    <cellStyle name="Normal 8 2 15 2 2" xfId="16827" xr:uid="{00000000-0005-0000-0000-000047760000}"/>
    <cellStyle name="Normal 8 2 15 2 2 2" xfId="35009" xr:uid="{00000000-0005-0000-0000-000048760000}"/>
    <cellStyle name="Normal 8 2 15 2 3" xfId="25919" xr:uid="{00000000-0005-0000-0000-000049760000}"/>
    <cellStyle name="Normal 8 2 15 3" xfId="12287" xr:uid="{00000000-0005-0000-0000-00004A760000}"/>
    <cellStyle name="Normal 8 2 15 3 2" xfId="30469" xr:uid="{00000000-0005-0000-0000-00004B760000}"/>
    <cellStyle name="Normal 8 2 15 4" xfId="21379" xr:uid="{00000000-0005-0000-0000-00004C760000}"/>
    <cellStyle name="Normal 8 2 16" xfId="4824" xr:uid="{00000000-0005-0000-0000-00004D760000}"/>
    <cellStyle name="Normal 8 2 16 2" xfId="13924" xr:uid="{00000000-0005-0000-0000-00004E760000}"/>
    <cellStyle name="Normal 8 2 16 2 2" xfId="32106" xr:uid="{00000000-0005-0000-0000-00004F760000}"/>
    <cellStyle name="Normal 8 2 16 3" xfId="23016" xr:uid="{00000000-0005-0000-0000-000050760000}"/>
    <cellStyle name="Normal 8 2 17" xfId="9390" xr:uid="{00000000-0005-0000-0000-000051760000}"/>
    <cellStyle name="Normal 8 2 17 2" xfId="27572" xr:uid="{00000000-0005-0000-0000-000052760000}"/>
    <cellStyle name="Normal 8 2 18" xfId="18481" xr:uid="{00000000-0005-0000-0000-000053760000}"/>
    <cellStyle name="Normal 8 2 2" xfId="89" xr:uid="{00000000-0005-0000-0000-000054760000}"/>
    <cellStyle name="Normal 8 2 2 10" xfId="9413" xr:uid="{00000000-0005-0000-0000-000055760000}"/>
    <cellStyle name="Normal 8 2 2 10 2" xfId="27595" xr:uid="{00000000-0005-0000-0000-000056760000}"/>
    <cellStyle name="Normal 8 2 2 11" xfId="18504" xr:uid="{00000000-0005-0000-0000-000057760000}"/>
    <cellStyle name="Normal 8 2 2 2" xfId="1521" xr:uid="{00000000-0005-0000-0000-000058760000}"/>
    <cellStyle name="Normal 8 2 2 2 10" xfId="19817" xr:uid="{00000000-0005-0000-0000-000059760000}"/>
    <cellStyle name="Normal 8 2 2 2 2" xfId="1522" xr:uid="{00000000-0005-0000-0000-00005A760000}"/>
    <cellStyle name="Normal 8 2 2 2 2 2" xfId="1523" xr:uid="{00000000-0005-0000-0000-00005B760000}"/>
    <cellStyle name="Normal 8 2 2 2 2 2 2" xfId="1524" xr:uid="{00000000-0005-0000-0000-00005C760000}"/>
    <cellStyle name="Normal 8 2 2 2 2 2 2 2" xfId="2908" xr:uid="{00000000-0005-0000-0000-00005D760000}"/>
    <cellStyle name="Normal 8 2 2 2 2 2 2 2 2" xfId="7488" xr:uid="{00000000-0005-0000-0000-00005E760000}"/>
    <cellStyle name="Normal 8 2 2 2 2 2 2 2 2 2" xfId="16588" xr:uid="{00000000-0005-0000-0000-00005F760000}"/>
    <cellStyle name="Normal 8 2 2 2 2 2 2 2 2 2 2" xfId="34770" xr:uid="{00000000-0005-0000-0000-000060760000}"/>
    <cellStyle name="Normal 8 2 2 2 2 2 2 2 2 3" xfId="25680" xr:uid="{00000000-0005-0000-0000-000061760000}"/>
    <cellStyle name="Normal 8 2 2 2 2 2 2 2 3" xfId="12052" xr:uid="{00000000-0005-0000-0000-000062760000}"/>
    <cellStyle name="Normal 8 2 2 2 2 2 2 2 3 2" xfId="30234" xr:uid="{00000000-0005-0000-0000-000063760000}"/>
    <cellStyle name="Normal 8 2 2 2 2 2 2 2 4" xfId="21144" xr:uid="{00000000-0005-0000-0000-000064760000}"/>
    <cellStyle name="Normal 8 2 2 2 2 2 2 3" xfId="4524" xr:uid="{00000000-0005-0000-0000-000065760000}"/>
    <cellStyle name="Normal 8 2 2 2 2 2 2 3 2" xfId="9080" xr:uid="{00000000-0005-0000-0000-000066760000}"/>
    <cellStyle name="Normal 8 2 2 2 2 2 2 3 2 2" xfId="18176" xr:uid="{00000000-0005-0000-0000-000067760000}"/>
    <cellStyle name="Normal 8 2 2 2 2 2 2 3 2 2 2" xfId="36358" xr:uid="{00000000-0005-0000-0000-000068760000}"/>
    <cellStyle name="Normal 8 2 2 2 2 2 2 3 2 3" xfId="27268" xr:uid="{00000000-0005-0000-0000-000069760000}"/>
    <cellStyle name="Normal 8 2 2 2 2 2 2 3 3" xfId="13636" xr:uid="{00000000-0005-0000-0000-00006A760000}"/>
    <cellStyle name="Normal 8 2 2 2 2 2 2 3 3 2" xfId="31818" xr:uid="{00000000-0005-0000-0000-00006B760000}"/>
    <cellStyle name="Normal 8 2 2 2 2 2 2 3 4" xfId="22728" xr:uid="{00000000-0005-0000-0000-00006C760000}"/>
    <cellStyle name="Normal 8 2 2 2 2 2 2 4" xfId="6163" xr:uid="{00000000-0005-0000-0000-00006D760000}"/>
    <cellStyle name="Normal 8 2 2 2 2 2 2 4 2" xfId="15263" xr:uid="{00000000-0005-0000-0000-00006E760000}"/>
    <cellStyle name="Normal 8 2 2 2 2 2 2 4 2 2" xfId="33445" xr:uid="{00000000-0005-0000-0000-00006F760000}"/>
    <cellStyle name="Normal 8 2 2 2 2 2 2 4 3" xfId="24355" xr:uid="{00000000-0005-0000-0000-000070760000}"/>
    <cellStyle name="Normal 8 2 2 2 2 2 2 5" xfId="10729" xr:uid="{00000000-0005-0000-0000-000071760000}"/>
    <cellStyle name="Normal 8 2 2 2 2 2 2 5 2" xfId="28911" xr:uid="{00000000-0005-0000-0000-000072760000}"/>
    <cellStyle name="Normal 8 2 2 2 2 2 2 6" xfId="19820" xr:uid="{00000000-0005-0000-0000-000073760000}"/>
    <cellStyle name="Normal 8 2 2 2 2 2 3" xfId="2909" xr:uid="{00000000-0005-0000-0000-000074760000}"/>
    <cellStyle name="Normal 8 2 2 2 2 2 3 2" xfId="7489" xr:uid="{00000000-0005-0000-0000-000075760000}"/>
    <cellStyle name="Normal 8 2 2 2 2 2 3 2 2" xfId="16589" xr:uid="{00000000-0005-0000-0000-000076760000}"/>
    <cellStyle name="Normal 8 2 2 2 2 2 3 2 2 2" xfId="34771" xr:uid="{00000000-0005-0000-0000-000077760000}"/>
    <cellStyle name="Normal 8 2 2 2 2 2 3 2 3" xfId="25681" xr:uid="{00000000-0005-0000-0000-000078760000}"/>
    <cellStyle name="Normal 8 2 2 2 2 2 3 3" xfId="12053" xr:uid="{00000000-0005-0000-0000-000079760000}"/>
    <cellStyle name="Normal 8 2 2 2 2 2 3 3 2" xfId="30235" xr:uid="{00000000-0005-0000-0000-00007A760000}"/>
    <cellStyle name="Normal 8 2 2 2 2 2 3 4" xfId="21145" xr:uid="{00000000-0005-0000-0000-00007B760000}"/>
    <cellStyle name="Normal 8 2 2 2 2 2 4" xfId="4523" xr:uid="{00000000-0005-0000-0000-00007C760000}"/>
    <cellStyle name="Normal 8 2 2 2 2 2 4 2" xfId="9079" xr:uid="{00000000-0005-0000-0000-00007D760000}"/>
    <cellStyle name="Normal 8 2 2 2 2 2 4 2 2" xfId="18175" xr:uid="{00000000-0005-0000-0000-00007E760000}"/>
    <cellStyle name="Normal 8 2 2 2 2 2 4 2 2 2" xfId="36357" xr:uid="{00000000-0005-0000-0000-00007F760000}"/>
    <cellStyle name="Normal 8 2 2 2 2 2 4 2 3" xfId="27267" xr:uid="{00000000-0005-0000-0000-000080760000}"/>
    <cellStyle name="Normal 8 2 2 2 2 2 4 3" xfId="13635" xr:uid="{00000000-0005-0000-0000-000081760000}"/>
    <cellStyle name="Normal 8 2 2 2 2 2 4 3 2" xfId="31817" xr:uid="{00000000-0005-0000-0000-000082760000}"/>
    <cellStyle name="Normal 8 2 2 2 2 2 4 4" xfId="22727" xr:uid="{00000000-0005-0000-0000-000083760000}"/>
    <cellStyle name="Normal 8 2 2 2 2 2 5" xfId="6162" xr:uid="{00000000-0005-0000-0000-000084760000}"/>
    <cellStyle name="Normal 8 2 2 2 2 2 5 2" xfId="15262" xr:uid="{00000000-0005-0000-0000-000085760000}"/>
    <cellStyle name="Normal 8 2 2 2 2 2 5 2 2" xfId="33444" xr:uid="{00000000-0005-0000-0000-000086760000}"/>
    <cellStyle name="Normal 8 2 2 2 2 2 5 3" xfId="24354" xr:uid="{00000000-0005-0000-0000-000087760000}"/>
    <cellStyle name="Normal 8 2 2 2 2 2 6" xfId="10728" xr:uid="{00000000-0005-0000-0000-000088760000}"/>
    <cellStyle name="Normal 8 2 2 2 2 2 6 2" xfId="28910" xr:uid="{00000000-0005-0000-0000-000089760000}"/>
    <cellStyle name="Normal 8 2 2 2 2 2 7" xfId="19819" xr:uid="{00000000-0005-0000-0000-00008A760000}"/>
    <cellStyle name="Normal 8 2 2 2 2 3" xfId="1525" xr:uid="{00000000-0005-0000-0000-00008B760000}"/>
    <cellStyle name="Normal 8 2 2 2 2 3 2" xfId="2910" xr:uid="{00000000-0005-0000-0000-00008C760000}"/>
    <cellStyle name="Normal 8 2 2 2 2 3 2 2" xfId="7490" xr:uid="{00000000-0005-0000-0000-00008D760000}"/>
    <cellStyle name="Normal 8 2 2 2 2 3 2 2 2" xfId="16590" xr:uid="{00000000-0005-0000-0000-00008E760000}"/>
    <cellStyle name="Normal 8 2 2 2 2 3 2 2 2 2" xfId="34772" xr:uid="{00000000-0005-0000-0000-00008F760000}"/>
    <cellStyle name="Normal 8 2 2 2 2 3 2 2 3" xfId="25682" xr:uid="{00000000-0005-0000-0000-000090760000}"/>
    <cellStyle name="Normal 8 2 2 2 2 3 2 3" xfId="12054" xr:uid="{00000000-0005-0000-0000-000091760000}"/>
    <cellStyle name="Normal 8 2 2 2 2 3 2 3 2" xfId="30236" xr:uid="{00000000-0005-0000-0000-000092760000}"/>
    <cellStyle name="Normal 8 2 2 2 2 3 2 4" xfId="21146" xr:uid="{00000000-0005-0000-0000-000093760000}"/>
    <cellStyle name="Normal 8 2 2 2 2 3 3" xfId="4525" xr:uid="{00000000-0005-0000-0000-000094760000}"/>
    <cellStyle name="Normal 8 2 2 2 2 3 3 2" xfId="9081" xr:uid="{00000000-0005-0000-0000-000095760000}"/>
    <cellStyle name="Normal 8 2 2 2 2 3 3 2 2" xfId="18177" xr:uid="{00000000-0005-0000-0000-000096760000}"/>
    <cellStyle name="Normal 8 2 2 2 2 3 3 2 2 2" xfId="36359" xr:uid="{00000000-0005-0000-0000-000097760000}"/>
    <cellStyle name="Normal 8 2 2 2 2 3 3 2 3" xfId="27269" xr:uid="{00000000-0005-0000-0000-000098760000}"/>
    <cellStyle name="Normal 8 2 2 2 2 3 3 3" xfId="13637" xr:uid="{00000000-0005-0000-0000-000099760000}"/>
    <cellStyle name="Normal 8 2 2 2 2 3 3 3 2" xfId="31819" xr:uid="{00000000-0005-0000-0000-00009A760000}"/>
    <cellStyle name="Normal 8 2 2 2 2 3 3 4" xfId="22729" xr:uid="{00000000-0005-0000-0000-00009B760000}"/>
    <cellStyle name="Normal 8 2 2 2 2 3 4" xfId="6164" xr:uid="{00000000-0005-0000-0000-00009C760000}"/>
    <cellStyle name="Normal 8 2 2 2 2 3 4 2" xfId="15264" xr:uid="{00000000-0005-0000-0000-00009D760000}"/>
    <cellStyle name="Normal 8 2 2 2 2 3 4 2 2" xfId="33446" xr:uid="{00000000-0005-0000-0000-00009E760000}"/>
    <cellStyle name="Normal 8 2 2 2 2 3 4 3" xfId="24356" xr:uid="{00000000-0005-0000-0000-00009F760000}"/>
    <cellStyle name="Normal 8 2 2 2 2 3 5" xfId="10730" xr:uid="{00000000-0005-0000-0000-0000A0760000}"/>
    <cellStyle name="Normal 8 2 2 2 2 3 5 2" xfId="28912" xr:uid="{00000000-0005-0000-0000-0000A1760000}"/>
    <cellStyle name="Normal 8 2 2 2 2 3 6" xfId="19821" xr:uid="{00000000-0005-0000-0000-0000A2760000}"/>
    <cellStyle name="Normal 8 2 2 2 2 4" xfId="1526" xr:uid="{00000000-0005-0000-0000-0000A3760000}"/>
    <cellStyle name="Normal 8 2 2 2 2 4 2" xfId="4526" xr:uid="{00000000-0005-0000-0000-0000A4760000}"/>
    <cellStyle name="Normal 8 2 2 2 2 4 2 2" xfId="9082" xr:uid="{00000000-0005-0000-0000-0000A5760000}"/>
    <cellStyle name="Normal 8 2 2 2 2 4 2 2 2" xfId="18178" xr:uid="{00000000-0005-0000-0000-0000A6760000}"/>
    <cellStyle name="Normal 8 2 2 2 2 4 2 2 2 2" xfId="36360" xr:uid="{00000000-0005-0000-0000-0000A7760000}"/>
    <cellStyle name="Normal 8 2 2 2 2 4 2 2 3" xfId="27270" xr:uid="{00000000-0005-0000-0000-0000A8760000}"/>
    <cellStyle name="Normal 8 2 2 2 2 4 2 3" xfId="13638" xr:uid="{00000000-0005-0000-0000-0000A9760000}"/>
    <cellStyle name="Normal 8 2 2 2 2 4 2 3 2" xfId="31820" xr:uid="{00000000-0005-0000-0000-0000AA760000}"/>
    <cellStyle name="Normal 8 2 2 2 2 4 2 4" xfId="22730" xr:uid="{00000000-0005-0000-0000-0000AB760000}"/>
    <cellStyle name="Normal 8 2 2 2 2 4 3" xfId="6165" xr:uid="{00000000-0005-0000-0000-0000AC760000}"/>
    <cellStyle name="Normal 8 2 2 2 2 4 3 2" xfId="15265" xr:uid="{00000000-0005-0000-0000-0000AD760000}"/>
    <cellStyle name="Normal 8 2 2 2 2 4 3 2 2" xfId="33447" xr:uid="{00000000-0005-0000-0000-0000AE760000}"/>
    <cellStyle name="Normal 8 2 2 2 2 4 3 3" xfId="24357" xr:uid="{00000000-0005-0000-0000-0000AF760000}"/>
    <cellStyle name="Normal 8 2 2 2 2 4 4" xfId="10731" xr:uid="{00000000-0005-0000-0000-0000B0760000}"/>
    <cellStyle name="Normal 8 2 2 2 2 4 4 2" xfId="28913" xr:uid="{00000000-0005-0000-0000-0000B1760000}"/>
    <cellStyle name="Normal 8 2 2 2 2 4 5" xfId="19822" xr:uid="{00000000-0005-0000-0000-0000B2760000}"/>
    <cellStyle name="Normal 8 2 2 2 2 5" xfId="2911" xr:uid="{00000000-0005-0000-0000-0000B3760000}"/>
    <cellStyle name="Normal 8 2 2 2 2 5 2" xfId="7491" xr:uid="{00000000-0005-0000-0000-0000B4760000}"/>
    <cellStyle name="Normal 8 2 2 2 2 5 2 2" xfId="16591" xr:uid="{00000000-0005-0000-0000-0000B5760000}"/>
    <cellStyle name="Normal 8 2 2 2 2 5 2 2 2" xfId="34773" xr:uid="{00000000-0005-0000-0000-0000B6760000}"/>
    <cellStyle name="Normal 8 2 2 2 2 5 2 3" xfId="25683" xr:uid="{00000000-0005-0000-0000-0000B7760000}"/>
    <cellStyle name="Normal 8 2 2 2 2 5 3" xfId="12055" xr:uid="{00000000-0005-0000-0000-0000B8760000}"/>
    <cellStyle name="Normal 8 2 2 2 2 5 3 2" xfId="30237" xr:uid="{00000000-0005-0000-0000-0000B9760000}"/>
    <cellStyle name="Normal 8 2 2 2 2 5 4" xfId="21147" xr:uid="{00000000-0005-0000-0000-0000BA760000}"/>
    <cellStyle name="Normal 8 2 2 2 2 6" xfId="4522" xr:uid="{00000000-0005-0000-0000-0000BB760000}"/>
    <cellStyle name="Normal 8 2 2 2 2 6 2" xfId="9078" xr:uid="{00000000-0005-0000-0000-0000BC760000}"/>
    <cellStyle name="Normal 8 2 2 2 2 6 2 2" xfId="18174" xr:uid="{00000000-0005-0000-0000-0000BD760000}"/>
    <cellStyle name="Normal 8 2 2 2 2 6 2 2 2" xfId="36356" xr:uid="{00000000-0005-0000-0000-0000BE760000}"/>
    <cellStyle name="Normal 8 2 2 2 2 6 2 3" xfId="27266" xr:uid="{00000000-0005-0000-0000-0000BF760000}"/>
    <cellStyle name="Normal 8 2 2 2 2 6 3" xfId="13634" xr:uid="{00000000-0005-0000-0000-0000C0760000}"/>
    <cellStyle name="Normal 8 2 2 2 2 6 3 2" xfId="31816" xr:uid="{00000000-0005-0000-0000-0000C1760000}"/>
    <cellStyle name="Normal 8 2 2 2 2 6 4" xfId="22726" xr:uid="{00000000-0005-0000-0000-0000C2760000}"/>
    <cellStyle name="Normal 8 2 2 2 2 7" xfId="6161" xr:uid="{00000000-0005-0000-0000-0000C3760000}"/>
    <cellStyle name="Normal 8 2 2 2 2 7 2" xfId="15261" xr:uid="{00000000-0005-0000-0000-0000C4760000}"/>
    <cellStyle name="Normal 8 2 2 2 2 7 2 2" xfId="33443" xr:uid="{00000000-0005-0000-0000-0000C5760000}"/>
    <cellStyle name="Normal 8 2 2 2 2 7 3" xfId="24353" xr:uid="{00000000-0005-0000-0000-0000C6760000}"/>
    <cellStyle name="Normal 8 2 2 2 2 8" xfId="10727" xr:uid="{00000000-0005-0000-0000-0000C7760000}"/>
    <cellStyle name="Normal 8 2 2 2 2 8 2" xfId="28909" xr:uid="{00000000-0005-0000-0000-0000C8760000}"/>
    <cellStyle name="Normal 8 2 2 2 2 9" xfId="19818" xr:uid="{00000000-0005-0000-0000-0000C9760000}"/>
    <cellStyle name="Normal 8 2 2 2 3" xfId="1527" xr:uid="{00000000-0005-0000-0000-0000CA760000}"/>
    <cellStyle name="Normal 8 2 2 2 3 2" xfId="1528" xr:uid="{00000000-0005-0000-0000-0000CB760000}"/>
    <cellStyle name="Normal 8 2 2 2 3 2 2" xfId="2912" xr:uid="{00000000-0005-0000-0000-0000CC760000}"/>
    <cellStyle name="Normal 8 2 2 2 3 2 2 2" xfId="7492" xr:uid="{00000000-0005-0000-0000-0000CD760000}"/>
    <cellStyle name="Normal 8 2 2 2 3 2 2 2 2" xfId="16592" xr:uid="{00000000-0005-0000-0000-0000CE760000}"/>
    <cellStyle name="Normal 8 2 2 2 3 2 2 2 2 2" xfId="34774" xr:uid="{00000000-0005-0000-0000-0000CF760000}"/>
    <cellStyle name="Normal 8 2 2 2 3 2 2 2 3" xfId="25684" xr:uid="{00000000-0005-0000-0000-0000D0760000}"/>
    <cellStyle name="Normal 8 2 2 2 3 2 2 3" xfId="12056" xr:uid="{00000000-0005-0000-0000-0000D1760000}"/>
    <cellStyle name="Normal 8 2 2 2 3 2 2 3 2" xfId="30238" xr:uid="{00000000-0005-0000-0000-0000D2760000}"/>
    <cellStyle name="Normal 8 2 2 2 3 2 2 4" xfId="21148" xr:uid="{00000000-0005-0000-0000-0000D3760000}"/>
    <cellStyle name="Normal 8 2 2 2 3 2 3" xfId="4528" xr:uid="{00000000-0005-0000-0000-0000D4760000}"/>
    <cellStyle name="Normal 8 2 2 2 3 2 3 2" xfId="9084" xr:uid="{00000000-0005-0000-0000-0000D5760000}"/>
    <cellStyle name="Normal 8 2 2 2 3 2 3 2 2" xfId="18180" xr:uid="{00000000-0005-0000-0000-0000D6760000}"/>
    <cellStyle name="Normal 8 2 2 2 3 2 3 2 2 2" xfId="36362" xr:uid="{00000000-0005-0000-0000-0000D7760000}"/>
    <cellStyle name="Normal 8 2 2 2 3 2 3 2 3" xfId="27272" xr:uid="{00000000-0005-0000-0000-0000D8760000}"/>
    <cellStyle name="Normal 8 2 2 2 3 2 3 3" xfId="13640" xr:uid="{00000000-0005-0000-0000-0000D9760000}"/>
    <cellStyle name="Normal 8 2 2 2 3 2 3 3 2" xfId="31822" xr:uid="{00000000-0005-0000-0000-0000DA760000}"/>
    <cellStyle name="Normal 8 2 2 2 3 2 3 4" xfId="22732" xr:uid="{00000000-0005-0000-0000-0000DB760000}"/>
    <cellStyle name="Normal 8 2 2 2 3 2 4" xfId="6167" xr:uid="{00000000-0005-0000-0000-0000DC760000}"/>
    <cellStyle name="Normal 8 2 2 2 3 2 4 2" xfId="15267" xr:uid="{00000000-0005-0000-0000-0000DD760000}"/>
    <cellStyle name="Normal 8 2 2 2 3 2 4 2 2" xfId="33449" xr:uid="{00000000-0005-0000-0000-0000DE760000}"/>
    <cellStyle name="Normal 8 2 2 2 3 2 4 3" xfId="24359" xr:uid="{00000000-0005-0000-0000-0000DF760000}"/>
    <cellStyle name="Normal 8 2 2 2 3 2 5" xfId="10733" xr:uid="{00000000-0005-0000-0000-0000E0760000}"/>
    <cellStyle name="Normal 8 2 2 2 3 2 5 2" xfId="28915" xr:uid="{00000000-0005-0000-0000-0000E1760000}"/>
    <cellStyle name="Normal 8 2 2 2 3 2 6" xfId="19824" xr:uid="{00000000-0005-0000-0000-0000E2760000}"/>
    <cellStyle name="Normal 8 2 2 2 3 3" xfId="2913" xr:uid="{00000000-0005-0000-0000-0000E3760000}"/>
    <cellStyle name="Normal 8 2 2 2 3 3 2" xfId="7493" xr:uid="{00000000-0005-0000-0000-0000E4760000}"/>
    <cellStyle name="Normal 8 2 2 2 3 3 2 2" xfId="16593" xr:uid="{00000000-0005-0000-0000-0000E5760000}"/>
    <cellStyle name="Normal 8 2 2 2 3 3 2 2 2" xfId="34775" xr:uid="{00000000-0005-0000-0000-0000E6760000}"/>
    <cellStyle name="Normal 8 2 2 2 3 3 2 3" xfId="25685" xr:uid="{00000000-0005-0000-0000-0000E7760000}"/>
    <cellStyle name="Normal 8 2 2 2 3 3 3" xfId="12057" xr:uid="{00000000-0005-0000-0000-0000E8760000}"/>
    <cellStyle name="Normal 8 2 2 2 3 3 3 2" xfId="30239" xr:uid="{00000000-0005-0000-0000-0000E9760000}"/>
    <cellStyle name="Normal 8 2 2 2 3 3 4" xfId="21149" xr:uid="{00000000-0005-0000-0000-0000EA760000}"/>
    <cellStyle name="Normal 8 2 2 2 3 4" xfId="4527" xr:uid="{00000000-0005-0000-0000-0000EB760000}"/>
    <cellStyle name="Normal 8 2 2 2 3 4 2" xfId="9083" xr:uid="{00000000-0005-0000-0000-0000EC760000}"/>
    <cellStyle name="Normal 8 2 2 2 3 4 2 2" xfId="18179" xr:uid="{00000000-0005-0000-0000-0000ED760000}"/>
    <cellStyle name="Normal 8 2 2 2 3 4 2 2 2" xfId="36361" xr:uid="{00000000-0005-0000-0000-0000EE760000}"/>
    <cellStyle name="Normal 8 2 2 2 3 4 2 3" xfId="27271" xr:uid="{00000000-0005-0000-0000-0000EF760000}"/>
    <cellStyle name="Normal 8 2 2 2 3 4 3" xfId="13639" xr:uid="{00000000-0005-0000-0000-0000F0760000}"/>
    <cellStyle name="Normal 8 2 2 2 3 4 3 2" xfId="31821" xr:uid="{00000000-0005-0000-0000-0000F1760000}"/>
    <cellStyle name="Normal 8 2 2 2 3 4 4" xfId="22731" xr:uid="{00000000-0005-0000-0000-0000F2760000}"/>
    <cellStyle name="Normal 8 2 2 2 3 5" xfId="6166" xr:uid="{00000000-0005-0000-0000-0000F3760000}"/>
    <cellStyle name="Normal 8 2 2 2 3 5 2" xfId="15266" xr:uid="{00000000-0005-0000-0000-0000F4760000}"/>
    <cellStyle name="Normal 8 2 2 2 3 5 2 2" xfId="33448" xr:uid="{00000000-0005-0000-0000-0000F5760000}"/>
    <cellStyle name="Normal 8 2 2 2 3 5 3" xfId="24358" xr:uid="{00000000-0005-0000-0000-0000F6760000}"/>
    <cellStyle name="Normal 8 2 2 2 3 6" xfId="10732" xr:uid="{00000000-0005-0000-0000-0000F7760000}"/>
    <cellStyle name="Normal 8 2 2 2 3 6 2" xfId="28914" xr:uid="{00000000-0005-0000-0000-0000F8760000}"/>
    <cellStyle name="Normal 8 2 2 2 3 7" xfId="19823" xr:uid="{00000000-0005-0000-0000-0000F9760000}"/>
    <cellStyle name="Normal 8 2 2 2 4" xfId="1529" xr:uid="{00000000-0005-0000-0000-0000FA760000}"/>
    <cellStyle name="Normal 8 2 2 2 4 2" xfId="2914" xr:uid="{00000000-0005-0000-0000-0000FB760000}"/>
    <cellStyle name="Normal 8 2 2 2 4 2 2" xfId="7494" xr:uid="{00000000-0005-0000-0000-0000FC760000}"/>
    <cellStyle name="Normal 8 2 2 2 4 2 2 2" xfId="16594" xr:uid="{00000000-0005-0000-0000-0000FD760000}"/>
    <cellStyle name="Normal 8 2 2 2 4 2 2 2 2" xfId="34776" xr:uid="{00000000-0005-0000-0000-0000FE760000}"/>
    <cellStyle name="Normal 8 2 2 2 4 2 2 3" xfId="25686" xr:uid="{00000000-0005-0000-0000-0000FF760000}"/>
    <cellStyle name="Normal 8 2 2 2 4 2 3" xfId="12058" xr:uid="{00000000-0005-0000-0000-000000770000}"/>
    <cellStyle name="Normal 8 2 2 2 4 2 3 2" xfId="30240" xr:uid="{00000000-0005-0000-0000-000001770000}"/>
    <cellStyle name="Normal 8 2 2 2 4 2 4" xfId="21150" xr:uid="{00000000-0005-0000-0000-000002770000}"/>
    <cellStyle name="Normal 8 2 2 2 4 3" xfId="4529" xr:uid="{00000000-0005-0000-0000-000003770000}"/>
    <cellStyle name="Normal 8 2 2 2 4 3 2" xfId="9085" xr:uid="{00000000-0005-0000-0000-000004770000}"/>
    <cellStyle name="Normal 8 2 2 2 4 3 2 2" xfId="18181" xr:uid="{00000000-0005-0000-0000-000005770000}"/>
    <cellStyle name="Normal 8 2 2 2 4 3 2 2 2" xfId="36363" xr:uid="{00000000-0005-0000-0000-000006770000}"/>
    <cellStyle name="Normal 8 2 2 2 4 3 2 3" xfId="27273" xr:uid="{00000000-0005-0000-0000-000007770000}"/>
    <cellStyle name="Normal 8 2 2 2 4 3 3" xfId="13641" xr:uid="{00000000-0005-0000-0000-000008770000}"/>
    <cellStyle name="Normal 8 2 2 2 4 3 3 2" xfId="31823" xr:uid="{00000000-0005-0000-0000-000009770000}"/>
    <cellStyle name="Normal 8 2 2 2 4 3 4" xfId="22733" xr:uid="{00000000-0005-0000-0000-00000A770000}"/>
    <cellStyle name="Normal 8 2 2 2 4 4" xfId="6168" xr:uid="{00000000-0005-0000-0000-00000B770000}"/>
    <cellStyle name="Normal 8 2 2 2 4 4 2" xfId="15268" xr:uid="{00000000-0005-0000-0000-00000C770000}"/>
    <cellStyle name="Normal 8 2 2 2 4 4 2 2" xfId="33450" xr:uid="{00000000-0005-0000-0000-00000D770000}"/>
    <cellStyle name="Normal 8 2 2 2 4 4 3" xfId="24360" xr:uid="{00000000-0005-0000-0000-00000E770000}"/>
    <cellStyle name="Normal 8 2 2 2 4 5" xfId="10734" xr:uid="{00000000-0005-0000-0000-00000F770000}"/>
    <cellStyle name="Normal 8 2 2 2 4 5 2" xfId="28916" xr:uid="{00000000-0005-0000-0000-000010770000}"/>
    <cellStyle name="Normal 8 2 2 2 4 6" xfId="19825" xr:uid="{00000000-0005-0000-0000-000011770000}"/>
    <cellStyle name="Normal 8 2 2 2 5" xfId="1530" xr:uid="{00000000-0005-0000-0000-000012770000}"/>
    <cellStyle name="Normal 8 2 2 2 5 2" xfId="4530" xr:uid="{00000000-0005-0000-0000-000013770000}"/>
    <cellStyle name="Normal 8 2 2 2 5 2 2" xfId="9086" xr:uid="{00000000-0005-0000-0000-000014770000}"/>
    <cellStyle name="Normal 8 2 2 2 5 2 2 2" xfId="18182" xr:uid="{00000000-0005-0000-0000-000015770000}"/>
    <cellStyle name="Normal 8 2 2 2 5 2 2 2 2" xfId="36364" xr:uid="{00000000-0005-0000-0000-000016770000}"/>
    <cellStyle name="Normal 8 2 2 2 5 2 2 3" xfId="27274" xr:uid="{00000000-0005-0000-0000-000017770000}"/>
    <cellStyle name="Normal 8 2 2 2 5 2 3" xfId="13642" xr:uid="{00000000-0005-0000-0000-000018770000}"/>
    <cellStyle name="Normal 8 2 2 2 5 2 3 2" xfId="31824" xr:uid="{00000000-0005-0000-0000-000019770000}"/>
    <cellStyle name="Normal 8 2 2 2 5 2 4" xfId="22734" xr:uid="{00000000-0005-0000-0000-00001A770000}"/>
    <cellStyle name="Normal 8 2 2 2 5 3" xfId="6169" xr:uid="{00000000-0005-0000-0000-00001B770000}"/>
    <cellStyle name="Normal 8 2 2 2 5 3 2" xfId="15269" xr:uid="{00000000-0005-0000-0000-00001C770000}"/>
    <cellStyle name="Normal 8 2 2 2 5 3 2 2" xfId="33451" xr:uid="{00000000-0005-0000-0000-00001D770000}"/>
    <cellStyle name="Normal 8 2 2 2 5 3 3" xfId="24361" xr:uid="{00000000-0005-0000-0000-00001E770000}"/>
    <cellStyle name="Normal 8 2 2 2 5 4" xfId="10735" xr:uid="{00000000-0005-0000-0000-00001F770000}"/>
    <cellStyle name="Normal 8 2 2 2 5 4 2" xfId="28917" xr:uid="{00000000-0005-0000-0000-000020770000}"/>
    <cellStyle name="Normal 8 2 2 2 5 5" xfId="19826" xr:uid="{00000000-0005-0000-0000-000021770000}"/>
    <cellStyle name="Normal 8 2 2 2 6" xfId="2915" xr:uid="{00000000-0005-0000-0000-000022770000}"/>
    <cellStyle name="Normal 8 2 2 2 6 2" xfId="7495" xr:uid="{00000000-0005-0000-0000-000023770000}"/>
    <cellStyle name="Normal 8 2 2 2 6 2 2" xfId="16595" xr:uid="{00000000-0005-0000-0000-000024770000}"/>
    <cellStyle name="Normal 8 2 2 2 6 2 2 2" xfId="34777" xr:uid="{00000000-0005-0000-0000-000025770000}"/>
    <cellStyle name="Normal 8 2 2 2 6 2 3" xfId="25687" xr:uid="{00000000-0005-0000-0000-000026770000}"/>
    <cellStyle name="Normal 8 2 2 2 6 3" xfId="12059" xr:uid="{00000000-0005-0000-0000-000027770000}"/>
    <cellStyle name="Normal 8 2 2 2 6 3 2" xfId="30241" xr:uid="{00000000-0005-0000-0000-000028770000}"/>
    <cellStyle name="Normal 8 2 2 2 6 4" xfId="21151" xr:uid="{00000000-0005-0000-0000-000029770000}"/>
    <cellStyle name="Normal 8 2 2 2 7" xfId="4521" xr:uid="{00000000-0005-0000-0000-00002A770000}"/>
    <cellStyle name="Normal 8 2 2 2 7 2" xfId="9077" xr:uid="{00000000-0005-0000-0000-00002B770000}"/>
    <cellStyle name="Normal 8 2 2 2 7 2 2" xfId="18173" xr:uid="{00000000-0005-0000-0000-00002C770000}"/>
    <cellStyle name="Normal 8 2 2 2 7 2 2 2" xfId="36355" xr:uid="{00000000-0005-0000-0000-00002D770000}"/>
    <cellStyle name="Normal 8 2 2 2 7 2 3" xfId="27265" xr:uid="{00000000-0005-0000-0000-00002E770000}"/>
    <cellStyle name="Normal 8 2 2 2 7 3" xfId="13633" xr:uid="{00000000-0005-0000-0000-00002F770000}"/>
    <cellStyle name="Normal 8 2 2 2 7 3 2" xfId="31815" xr:uid="{00000000-0005-0000-0000-000030770000}"/>
    <cellStyle name="Normal 8 2 2 2 7 4" xfId="22725" xr:uid="{00000000-0005-0000-0000-000031770000}"/>
    <cellStyle name="Normal 8 2 2 2 8" xfId="6160" xr:uid="{00000000-0005-0000-0000-000032770000}"/>
    <cellStyle name="Normal 8 2 2 2 8 2" xfId="15260" xr:uid="{00000000-0005-0000-0000-000033770000}"/>
    <cellStyle name="Normal 8 2 2 2 8 2 2" xfId="33442" xr:uid="{00000000-0005-0000-0000-000034770000}"/>
    <cellStyle name="Normal 8 2 2 2 8 3" xfId="24352" xr:uid="{00000000-0005-0000-0000-000035770000}"/>
    <cellStyle name="Normal 8 2 2 2 9" xfId="10726" xr:uid="{00000000-0005-0000-0000-000036770000}"/>
    <cellStyle name="Normal 8 2 2 2 9 2" xfId="28908" xr:uid="{00000000-0005-0000-0000-000037770000}"/>
    <cellStyle name="Normal 8 2 2 3" xfId="1531" xr:uid="{00000000-0005-0000-0000-000038770000}"/>
    <cellStyle name="Normal 8 2 2 3 2" xfId="1532" xr:uid="{00000000-0005-0000-0000-000039770000}"/>
    <cellStyle name="Normal 8 2 2 3 2 2" xfId="1533" xr:uid="{00000000-0005-0000-0000-00003A770000}"/>
    <cellStyle name="Normal 8 2 2 3 2 2 2" xfId="2916" xr:uid="{00000000-0005-0000-0000-00003B770000}"/>
    <cellStyle name="Normal 8 2 2 3 2 2 2 2" xfId="7496" xr:uid="{00000000-0005-0000-0000-00003C770000}"/>
    <cellStyle name="Normal 8 2 2 3 2 2 2 2 2" xfId="16596" xr:uid="{00000000-0005-0000-0000-00003D770000}"/>
    <cellStyle name="Normal 8 2 2 3 2 2 2 2 2 2" xfId="34778" xr:uid="{00000000-0005-0000-0000-00003E770000}"/>
    <cellStyle name="Normal 8 2 2 3 2 2 2 2 3" xfId="25688" xr:uid="{00000000-0005-0000-0000-00003F770000}"/>
    <cellStyle name="Normal 8 2 2 3 2 2 2 3" xfId="12060" xr:uid="{00000000-0005-0000-0000-000040770000}"/>
    <cellStyle name="Normal 8 2 2 3 2 2 2 3 2" xfId="30242" xr:uid="{00000000-0005-0000-0000-000041770000}"/>
    <cellStyle name="Normal 8 2 2 3 2 2 2 4" xfId="21152" xr:uid="{00000000-0005-0000-0000-000042770000}"/>
    <cellStyle name="Normal 8 2 2 3 2 2 3" xfId="4533" xr:uid="{00000000-0005-0000-0000-000043770000}"/>
    <cellStyle name="Normal 8 2 2 3 2 2 3 2" xfId="9089" xr:uid="{00000000-0005-0000-0000-000044770000}"/>
    <cellStyle name="Normal 8 2 2 3 2 2 3 2 2" xfId="18185" xr:uid="{00000000-0005-0000-0000-000045770000}"/>
    <cellStyle name="Normal 8 2 2 3 2 2 3 2 2 2" xfId="36367" xr:uid="{00000000-0005-0000-0000-000046770000}"/>
    <cellStyle name="Normal 8 2 2 3 2 2 3 2 3" xfId="27277" xr:uid="{00000000-0005-0000-0000-000047770000}"/>
    <cellStyle name="Normal 8 2 2 3 2 2 3 3" xfId="13645" xr:uid="{00000000-0005-0000-0000-000048770000}"/>
    <cellStyle name="Normal 8 2 2 3 2 2 3 3 2" xfId="31827" xr:uid="{00000000-0005-0000-0000-000049770000}"/>
    <cellStyle name="Normal 8 2 2 3 2 2 3 4" xfId="22737" xr:uid="{00000000-0005-0000-0000-00004A770000}"/>
    <cellStyle name="Normal 8 2 2 3 2 2 4" xfId="6172" xr:uid="{00000000-0005-0000-0000-00004B770000}"/>
    <cellStyle name="Normal 8 2 2 3 2 2 4 2" xfId="15272" xr:uid="{00000000-0005-0000-0000-00004C770000}"/>
    <cellStyle name="Normal 8 2 2 3 2 2 4 2 2" xfId="33454" xr:uid="{00000000-0005-0000-0000-00004D770000}"/>
    <cellStyle name="Normal 8 2 2 3 2 2 4 3" xfId="24364" xr:uid="{00000000-0005-0000-0000-00004E770000}"/>
    <cellStyle name="Normal 8 2 2 3 2 2 5" xfId="10738" xr:uid="{00000000-0005-0000-0000-00004F770000}"/>
    <cellStyle name="Normal 8 2 2 3 2 2 5 2" xfId="28920" xr:uid="{00000000-0005-0000-0000-000050770000}"/>
    <cellStyle name="Normal 8 2 2 3 2 2 6" xfId="19829" xr:uid="{00000000-0005-0000-0000-000051770000}"/>
    <cellStyle name="Normal 8 2 2 3 2 3" xfId="2917" xr:uid="{00000000-0005-0000-0000-000052770000}"/>
    <cellStyle name="Normal 8 2 2 3 2 3 2" xfId="7497" xr:uid="{00000000-0005-0000-0000-000053770000}"/>
    <cellStyle name="Normal 8 2 2 3 2 3 2 2" xfId="16597" xr:uid="{00000000-0005-0000-0000-000054770000}"/>
    <cellStyle name="Normal 8 2 2 3 2 3 2 2 2" xfId="34779" xr:uid="{00000000-0005-0000-0000-000055770000}"/>
    <cellStyle name="Normal 8 2 2 3 2 3 2 3" xfId="25689" xr:uid="{00000000-0005-0000-0000-000056770000}"/>
    <cellStyle name="Normal 8 2 2 3 2 3 3" xfId="12061" xr:uid="{00000000-0005-0000-0000-000057770000}"/>
    <cellStyle name="Normal 8 2 2 3 2 3 3 2" xfId="30243" xr:uid="{00000000-0005-0000-0000-000058770000}"/>
    <cellStyle name="Normal 8 2 2 3 2 3 4" xfId="21153" xr:uid="{00000000-0005-0000-0000-000059770000}"/>
    <cellStyle name="Normal 8 2 2 3 2 4" xfId="4532" xr:uid="{00000000-0005-0000-0000-00005A770000}"/>
    <cellStyle name="Normal 8 2 2 3 2 4 2" xfId="9088" xr:uid="{00000000-0005-0000-0000-00005B770000}"/>
    <cellStyle name="Normal 8 2 2 3 2 4 2 2" xfId="18184" xr:uid="{00000000-0005-0000-0000-00005C770000}"/>
    <cellStyle name="Normal 8 2 2 3 2 4 2 2 2" xfId="36366" xr:uid="{00000000-0005-0000-0000-00005D770000}"/>
    <cellStyle name="Normal 8 2 2 3 2 4 2 3" xfId="27276" xr:uid="{00000000-0005-0000-0000-00005E770000}"/>
    <cellStyle name="Normal 8 2 2 3 2 4 3" xfId="13644" xr:uid="{00000000-0005-0000-0000-00005F770000}"/>
    <cellStyle name="Normal 8 2 2 3 2 4 3 2" xfId="31826" xr:uid="{00000000-0005-0000-0000-000060770000}"/>
    <cellStyle name="Normal 8 2 2 3 2 4 4" xfId="22736" xr:uid="{00000000-0005-0000-0000-000061770000}"/>
    <cellStyle name="Normal 8 2 2 3 2 5" xfId="6171" xr:uid="{00000000-0005-0000-0000-000062770000}"/>
    <cellStyle name="Normal 8 2 2 3 2 5 2" xfId="15271" xr:uid="{00000000-0005-0000-0000-000063770000}"/>
    <cellStyle name="Normal 8 2 2 3 2 5 2 2" xfId="33453" xr:uid="{00000000-0005-0000-0000-000064770000}"/>
    <cellStyle name="Normal 8 2 2 3 2 5 3" xfId="24363" xr:uid="{00000000-0005-0000-0000-000065770000}"/>
    <cellStyle name="Normal 8 2 2 3 2 6" xfId="10737" xr:uid="{00000000-0005-0000-0000-000066770000}"/>
    <cellStyle name="Normal 8 2 2 3 2 6 2" xfId="28919" xr:uid="{00000000-0005-0000-0000-000067770000}"/>
    <cellStyle name="Normal 8 2 2 3 2 7" xfId="19828" xr:uid="{00000000-0005-0000-0000-000068770000}"/>
    <cellStyle name="Normal 8 2 2 3 3" xfId="1534" xr:uid="{00000000-0005-0000-0000-000069770000}"/>
    <cellStyle name="Normal 8 2 2 3 3 2" xfId="2918" xr:uid="{00000000-0005-0000-0000-00006A770000}"/>
    <cellStyle name="Normal 8 2 2 3 3 2 2" xfId="7498" xr:uid="{00000000-0005-0000-0000-00006B770000}"/>
    <cellStyle name="Normal 8 2 2 3 3 2 2 2" xfId="16598" xr:uid="{00000000-0005-0000-0000-00006C770000}"/>
    <cellStyle name="Normal 8 2 2 3 3 2 2 2 2" xfId="34780" xr:uid="{00000000-0005-0000-0000-00006D770000}"/>
    <cellStyle name="Normal 8 2 2 3 3 2 2 3" xfId="25690" xr:uid="{00000000-0005-0000-0000-00006E770000}"/>
    <cellStyle name="Normal 8 2 2 3 3 2 3" xfId="12062" xr:uid="{00000000-0005-0000-0000-00006F770000}"/>
    <cellStyle name="Normal 8 2 2 3 3 2 3 2" xfId="30244" xr:uid="{00000000-0005-0000-0000-000070770000}"/>
    <cellStyle name="Normal 8 2 2 3 3 2 4" xfId="21154" xr:uid="{00000000-0005-0000-0000-000071770000}"/>
    <cellStyle name="Normal 8 2 2 3 3 3" xfId="4534" xr:uid="{00000000-0005-0000-0000-000072770000}"/>
    <cellStyle name="Normal 8 2 2 3 3 3 2" xfId="9090" xr:uid="{00000000-0005-0000-0000-000073770000}"/>
    <cellStyle name="Normal 8 2 2 3 3 3 2 2" xfId="18186" xr:uid="{00000000-0005-0000-0000-000074770000}"/>
    <cellStyle name="Normal 8 2 2 3 3 3 2 2 2" xfId="36368" xr:uid="{00000000-0005-0000-0000-000075770000}"/>
    <cellStyle name="Normal 8 2 2 3 3 3 2 3" xfId="27278" xr:uid="{00000000-0005-0000-0000-000076770000}"/>
    <cellStyle name="Normal 8 2 2 3 3 3 3" xfId="13646" xr:uid="{00000000-0005-0000-0000-000077770000}"/>
    <cellStyle name="Normal 8 2 2 3 3 3 3 2" xfId="31828" xr:uid="{00000000-0005-0000-0000-000078770000}"/>
    <cellStyle name="Normal 8 2 2 3 3 3 4" xfId="22738" xr:uid="{00000000-0005-0000-0000-000079770000}"/>
    <cellStyle name="Normal 8 2 2 3 3 4" xfId="6173" xr:uid="{00000000-0005-0000-0000-00007A770000}"/>
    <cellStyle name="Normal 8 2 2 3 3 4 2" xfId="15273" xr:uid="{00000000-0005-0000-0000-00007B770000}"/>
    <cellStyle name="Normal 8 2 2 3 3 4 2 2" xfId="33455" xr:uid="{00000000-0005-0000-0000-00007C770000}"/>
    <cellStyle name="Normal 8 2 2 3 3 4 3" xfId="24365" xr:uid="{00000000-0005-0000-0000-00007D770000}"/>
    <cellStyle name="Normal 8 2 2 3 3 5" xfId="10739" xr:uid="{00000000-0005-0000-0000-00007E770000}"/>
    <cellStyle name="Normal 8 2 2 3 3 5 2" xfId="28921" xr:uid="{00000000-0005-0000-0000-00007F770000}"/>
    <cellStyle name="Normal 8 2 2 3 3 6" xfId="19830" xr:uid="{00000000-0005-0000-0000-000080770000}"/>
    <cellStyle name="Normal 8 2 2 3 4" xfId="1535" xr:uid="{00000000-0005-0000-0000-000081770000}"/>
    <cellStyle name="Normal 8 2 2 3 4 2" xfId="4535" xr:uid="{00000000-0005-0000-0000-000082770000}"/>
    <cellStyle name="Normal 8 2 2 3 4 2 2" xfId="9091" xr:uid="{00000000-0005-0000-0000-000083770000}"/>
    <cellStyle name="Normal 8 2 2 3 4 2 2 2" xfId="18187" xr:uid="{00000000-0005-0000-0000-000084770000}"/>
    <cellStyle name="Normal 8 2 2 3 4 2 2 2 2" xfId="36369" xr:uid="{00000000-0005-0000-0000-000085770000}"/>
    <cellStyle name="Normal 8 2 2 3 4 2 2 3" xfId="27279" xr:uid="{00000000-0005-0000-0000-000086770000}"/>
    <cellStyle name="Normal 8 2 2 3 4 2 3" xfId="13647" xr:uid="{00000000-0005-0000-0000-000087770000}"/>
    <cellStyle name="Normal 8 2 2 3 4 2 3 2" xfId="31829" xr:uid="{00000000-0005-0000-0000-000088770000}"/>
    <cellStyle name="Normal 8 2 2 3 4 2 4" xfId="22739" xr:uid="{00000000-0005-0000-0000-000089770000}"/>
    <cellStyle name="Normal 8 2 2 3 4 3" xfId="6174" xr:uid="{00000000-0005-0000-0000-00008A770000}"/>
    <cellStyle name="Normal 8 2 2 3 4 3 2" xfId="15274" xr:uid="{00000000-0005-0000-0000-00008B770000}"/>
    <cellStyle name="Normal 8 2 2 3 4 3 2 2" xfId="33456" xr:uid="{00000000-0005-0000-0000-00008C770000}"/>
    <cellStyle name="Normal 8 2 2 3 4 3 3" xfId="24366" xr:uid="{00000000-0005-0000-0000-00008D770000}"/>
    <cellStyle name="Normal 8 2 2 3 4 4" xfId="10740" xr:uid="{00000000-0005-0000-0000-00008E770000}"/>
    <cellStyle name="Normal 8 2 2 3 4 4 2" xfId="28922" xr:uid="{00000000-0005-0000-0000-00008F770000}"/>
    <cellStyle name="Normal 8 2 2 3 4 5" xfId="19831" xr:uid="{00000000-0005-0000-0000-000090770000}"/>
    <cellStyle name="Normal 8 2 2 3 5" xfId="2919" xr:uid="{00000000-0005-0000-0000-000091770000}"/>
    <cellStyle name="Normal 8 2 2 3 5 2" xfId="7499" xr:uid="{00000000-0005-0000-0000-000092770000}"/>
    <cellStyle name="Normal 8 2 2 3 5 2 2" xfId="16599" xr:uid="{00000000-0005-0000-0000-000093770000}"/>
    <cellStyle name="Normal 8 2 2 3 5 2 2 2" xfId="34781" xr:uid="{00000000-0005-0000-0000-000094770000}"/>
    <cellStyle name="Normal 8 2 2 3 5 2 3" xfId="25691" xr:uid="{00000000-0005-0000-0000-000095770000}"/>
    <cellStyle name="Normal 8 2 2 3 5 3" xfId="12063" xr:uid="{00000000-0005-0000-0000-000096770000}"/>
    <cellStyle name="Normal 8 2 2 3 5 3 2" xfId="30245" xr:uid="{00000000-0005-0000-0000-000097770000}"/>
    <cellStyle name="Normal 8 2 2 3 5 4" xfId="21155" xr:uid="{00000000-0005-0000-0000-000098770000}"/>
    <cellStyle name="Normal 8 2 2 3 6" xfId="4531" xr:uid="{00000000-0005-0000-0000-000099770000}"/>
    <cellStyle name="Normal 8 2 2 3 6 2" xfId="9087" xr:uid="{00000000-0005-0000-0000-00009A770000}"/>
    <cellStyle name="Normal 8 2 2 3 6 2 2" xfId="18183" xr:uid="{00000000-0005-0000-0000-00009B770000}"/>
    <cellStyle name="Normal 8 2 2 3 6 2 2 2" xfId="36365" xr:uid="{00000000-0005-0000-0000-00009C770000}"/>
    <cellStyle name="Normal 8 2 2 3 6 2 3" xfId="27275" xr:uid="{00000000-0005-0000-0000-00009D770000}"/>
    <cellStyle name="Normal 8 2 2 3 6 3" xfId="13643" xr:uid="{00000000-0005-0000-0000-00009E770000}"/>
    <cellStyle name="Normal 8 2 2 3 6 3 2" xfId="31825" xr:uid="{00000000-0005-0000-0000-00009F770000}"/>
    <cellStyle name="Normal 8 2 2 3 6 4" xfId="22735" xr:uid="{00000000-0005-0000-0000-0000A0770000}"/>
    <cellStyle name="Normal 8 2 2 3 7" xfId="6170" xr:uid="{00000000-0005-0000-0000-0000A1770000}"/>
    <cellStyle name="Normal 8 2 2 3 7 2" xfId="15270" xr:uid="{00000000-0005-0000-0000-0000A2770000}"/>
    <cellStyle name="Normal 8 2 2 3 7 2 2" xfId="33452" xr:uid="{00000000-0005-0000-0000-0000A3770000}"/>
    <cellStyle name="Normal 8 2 2 3 7 3" xfId="24362" xr:uid="{00000000-0005-0000-0000-0000A4770000}"/>
    <cellStyle name="Normal 8 2 2 3 8" xfId="10736" xr:uid="{00000000-0005-0000-0000-0000A5770000}"/>
    <cellStyle name="Normal 8 2 2 3 8 2" xfId="28918" xr:uid="{00000000-0005-0000-0000-0000A6770000}"/>
    <cellStyle name="Normal 8 2 2 3 9" xfId="19827" xr:uid="{00000000-0005-0000-0000-0000A7770000}"/>
    <cellStyle name="Normal 8 2 2 4" xfId="1536" xr:uid="{00000000-0005-0000-0000-0000A8770000}"/>
    <cellStyle name="Normal 8 2 2 4 2" xfId="1537" xr:uid="{00000000-0005-0000-0000-0000A9770000}"/>
    <cellStyle name="Normal 8 2 2 4 2 2" xfId="2920" xr:uid="{00000000-0005-0000-0000-0000AA770000}"/>
    <cellStyle name="Normal 8 2 2 4 2 2 2" xfId="7500" xr:uid="{00000000-0005-0000-0000-0000AB770000}"/>
    <cellStyle name="Normal 8 2 2 4 2 2 2 2" xfId="16600" xr:uid="{00000000-0005-0000-0000-0000AC770000}"/>
    <cellStyle name="Normal 8 2 2 4 2 2 2 2 2" xfId="34782" xr:uid="{00000000-0005-0000-0000-0000AD770000}"/>
    <cellStyle name="Normal 8 2 2 4 2 2 2 3" xfId="25692" xr:uid="{00000000-0005-0000-0000-0000AE770000}"/>
    <cellStyle name="Normal 8 2 2 4 2 2 3" xfId="12064" xr:uid="{00000000-0005-0000-0000-0000AF770000}"/>
    <cellStyle name="Normal 8 2 2 4 2 2 3 2" xfId="30246" xr:uid="{00000000-0005-0000-0000-0000B0770000}"/>
    <cellStyle name="Normal 8 2 2 4 2 2 4" xfId="21156" xr:uid="{00000000-0005-0000-0000-0000B1770000}"/>
    <cellStyle name="Normal 8 2 2 4 2 3" xfId="4537" xr:uid="{00000000-0005-0000-0000-0000B2770000}"/>
    <cellStyle name="Normal 8 2 2 4 2 3 2" xfId="9093" xr:uid="{00000000-0005-0000-0000-0000B3770000}"/>
    <cellStyle name="Normal 8 2 2 4 2 3 2 2" xfId="18189" xr:uid="{00000000-0005-0000-0000-0000B4770000}"/>
    <cellStyle name="Normal 8 2 2 4 2 3 2 2 2" xfId="36371" xr:uid="{00000000-0005-0000-0000-0000B5770000}"/>
    <cellStyle name="Normal 8 2 2 4 2 3 2 3" xfId="27281" xr:uid="{00000000-0005-0000-0000-0000B6770000}"/>
    <cellStyle name="Normal 8 2 2 4 2 3 3" xfId="13649" xr:uid="{00000000-0005-0000-0000-0000B7770000}"/>
    <cellStyle name="Normal 8 2 2 4 2 3 3 2" xfId="31831" xr:uid="{00000000-0005-0000-0000-0000B8770000}"/>
    <cellStyle name="Normal 8 2 2 4 2 3 4" xfId="22741" xr:uid="{00000000-0005-0000-0000-0000B9770000}"/>
    <cellStyle name="Normal 8 2 2 4 2 4" xfId="6176" xr:uid="{00000000-0005-0000-0000-0000BA770000}"/>
    <cellStyle name="Normal 8 2 2 4 2 4 2" xfId="15276" xr:uid="{00000000-0005-0000-0000-0000BB770000}"/>
    <cellStyle name="Normal 8 2 2 4 2 4 2 2" xfId="33458" xr:uid="{00000000-0005-0000-0000-0000BC770000}"/>
    <cellStyle name="Normal 8 2 2 4 2 4 3" xfId="24368" xr:uid="{00000000-0005-0000-0000-0000BD770000}"/>
    <cellStyle name="Normal 8 2 2 4 2 5" xfId="10742" xr:uid="{00000000-0005-0000-0000-0000BE770000}"/>
    <cellStyle name="Normal 8 2 2 4 2 5 2" xfId="28924" xr:uid="{00000000-0005-0000-0000-0000BF770000}"/>
    <cellStyle name="Normal 8 2 2 4 2 6" xfId="19833" xr:uid="{00000000-0005-0000-0000-0000C0770000}"/>
    <cellStyle name="Normal 8 2 2 4 3" xfId="2921" xr:uid="{00000000-0005-0000-0000-0000C1770000}"/>
    <cellStyle name="Normal 8 2 2 4 3 2" xfId="7501" xr:uid="{00000000-0005-0000-0000-0000C2770000}"/>
    <cellStyle name="Normal 8 2 2 4 3 2 2" xfId="16601" xr:uid="{00000000-0005-0000-0000-0000C3770000}"/>
    <cellStyle name="Normal 8 2 2 4 3 2 2 2" xfId="34783" xr:uid="{00000000-0005-0000-0000-0000C4770000}"/>
    <cellStyle name="Normal 8 2 2 4 3 2 3" xfId="25693" xr:uid="{00000000-0005-0000-0000-0000C5770000}"/>
    <cellStyle name="Normal 8 2 2 4 3 3" xfId="12065" xr:uid="{00000000-0005-0000-0000-0000C6770000}"/>
    <cellStyle name="Normal 8 2 2 4 3 3 2" xfId="30247" xr:uid="{00000000-0005-0000-0000-0000C7770000}"/>
    <cellStyle name="Normal 8 2 2 4 3 4" xfId="21157" xr:uid="{00000000-0005-0000-0000-0000C8770000}"/>
    <cellStyle name="Normal 8 2 2 4 4" xfId="4536" xr:uid="{00000000-0005-0000-0000-0000C9770000}"/>
    <cellStyle name="Normal 8 2 2 4 4 2" xfId="9092" xr:uid="{00000000-0005-0000-0000-0000CA770000}"/>
    <cellStyle name="Normal 8 2 2 4 4 2 2" xfId="18188" xr:uid="{00000000-0005-0000-0000-0000CB770000}"/>
    <cellStyle name="Normal 8 2 2 4 4 2 2 2" xfId="36370" xr:uid="{00000000-0005-0000-0000-0000CC770000}"/>
    <cellStyle name="Normal 8 2 2 4 4 2 3" xfId="27280" xr:uid="{00000000-0005-0000-0000-0000CD770000}"/>
    <cellStyle name="Normal 8 2 2 4 4 3" xfId="13648" xr:uid="{00000000-0005-0000-0000-0000CE770000}"/>
    <cellStyle name="Normal 8 2 2 4 4 3 2" xfId="31830" xr:uid="{00000000-0005-0000-0000-0000CF770000}"/>
    <cellStyle name="Normal 8 2 2 4 4 4" xfId="22740" xr:uid="{00000000-0005-0000-0000-0000D0770000}"/>
    <cellStyle name="Normal 8 2 2 4 5" xfId="6175" xr:uid="{00000000-0005-0000-0000-0000D1770000}"/>
    <cellStyle name="Normal 8 2 2 4 5 2" xfId="15275" xr:uid="{00000000-0005-0000-0000-0000D2770000}"/>
    <cellStyle name="Normal 8 2 2 4 5 2 2" xfId="33457" xr:uid="{00000000-0005-0000-0000-0000D3770000}"/>
    <cellStyle name="Normal 8 2 2 4 5 3" xfId="24367" xr:uid="{00000000-0005-0000-0000-0000D4770000}"/>
    <cellStyle name="Normal 8 2 2 4 6" xfId="10741" xr:uid="{00000000-0005-0000-0000-0000D5770000}"/>
    <cellStyle name="Normal 8 2 2 4 6 2" xfId="28923" xr:uid="{00000000-0005-0000-0000-0000D6770000}"/>
    <cellStyle name="Normal 8 2 2 4 7" xfId="19832" xr:uid="{00000000-0005-0000-0000-0000D7770000}"/>
    <cellStyle name="Normal 8 2 2 5" xfId="1538" xr:uid="{00000000-0005-0000-0000-0000D8770000}"/>
    <cellStyle name="Normal 8 2 2 5 2" xfId="2922" xr:uid="{00000000-0005-0000-0000-0000D9770000}"/>
    <cellStyle name="Normal 8 2 2 5 2 2" xfId="7502" xr:uid="{00000000-0005-0000-0000-0000DA770000}"/>
    <cellStyle name="Normal 8 2 2 5 2 2 2" xfId="16602" xr:uid="{00000000-0005-0000-0000-0000DB770000}"/>
    <cellStyle name="Normal 8 2 2 5 2 2 2 2" xfId="34784" xr:uid="{00000000-0005-0000-0000-0000DC770000}"/>
    <cellStyle name="Normal 8 2 2 5 2 2 3" xfId="25694" xr:uid="{00000000-0005-0000-0000-0000DD770000}"/>
    <cellStyle name="Normal 8 2 2 5 2 3" xfId="12066" xr:uid="{00000000-0005-0000-0000-0000DE770000}"/>
    <cellStyle name="Normal 8 2 2 5 2 3 2" xfId="30248" xr:uid="{00000000-0005-0000-0000-0000DF770000}"/>
    <cellStyle name="Normal 8 2 2 5 2 4" xfId="21158" xr:uid="{00000000-0005-0000-0000-0000E0770000}"/>
    <cellStyle name="Normal 8 2 2 5 3" xfId="4538" xr:uid="{00000000-0005-0000-0000-0000E1770000}"/>
    <cellStyle name="Normal 8 2 2 5 3 2" xfId="9094" xr:uid="{00000000-0005-0000-0000-0000E2770000}"/>
    <cellStyle name="Normal 8 2 2 5 3 2 2" xfId="18190" xr:uid="{00000000-0005-0000-0000-0000E3770000}"/>
    <cellStyle name="Normal 8 2 2 5 3 2 2 2" xfId="36372" xr:uid="{00000000-0005-0000-0000-0000E4770000}"/>
    <cellStyle name="Normal 8 2 2 5 3 2 3" xfId="27282" xr:uid="{00000000-0005-0000-0000-0000E5770000}"/>
    <cellStyle name="Normal 8 2 2 5 3 3" xfId="13650" xr:uid="{00000000-0005-0000-0000-0000E6770000}"/>
    <cellStyle name="Normal 8 2 2 5 3 3 2" xfId="31832" xr:uid="{00000000-0005-0000-0000-0000E7770000}"/>
    <cellStyle name="Normal 8 2 2 5 3 4" xfId="22742" xr:uid="{00000000-0005-0000-0000-0000E8770000}"/>
    <cellStyle name="Normal 8 2 2 5 4" xfId="6177" xr:uid="{00000000-0005-0000-0000-0000E9770000}"/>
    <cellStyle name="Normal 8 2 2 5 4 2" xfId="15277" xr:uid="{00000000-0005-0000-0000-0000EA770000}"/>
    <cellStyle name="Normal 8 2 2 5 4 2 2" xfId="33459" xr:uid="{00000000-0005-0000-0000-0000EB770000}"/>
    <cellStyle name="Normal 8 2 2 5 4 3" xfId="24369" xr:uid="{00000000-0005-0000-0000-0000EC770000}"/>
    <cellStyle name="Normal 8 2 2 5 5" xfId="10743" xr:uid="{00000000-0005-0000-0000-0000ED770000}"/>
    <cellStyle name="Normal 8 2 2 5 5 2" xfId="28925" xr:uid="{00000000-0005-0000-0000-0000EE770000}"/>
    <cellStyle name="Normal 8 2 2 5 6" xfId="19834" xr:uid="{00000000-0005-0000-0000-0000EF770000}"/>
    <cellStyle name="Normal 8 2 2 6" xfId="1539" xr:uid="{00000000-0005-0000-0000-0000F0770000}"/>
    <cellStyle name="Normal 8 2 2 6 2" xfId="4539" xr:uid="{00000000-0005-0000-0000-0000F1770000}"/>
    <cellStyle name="Normal 8 2 2 6 2 2" xfId="9095" xr:uid="{00000000-0005-0000-0000-0000F2770000}"/>
    <cellStyle name="Normal 8 2 2 6 2 2 2" xfId="18191" xr:uid="{00000000-0005-0000-0000-0000F3770000}"/>
    <cellStyle name="Normal 8 2 2 6 2 2 2 2" xfId="36373" xr:uid="{00000000-0005-0000-0000-0000F4770000}"/>
    <cellStyle name="Normal 8 2 2 6 2 2 3" xfId="27283" xr:uid="{00000000-0005-0000-0000-0000F5770000}"/>
    <cellStyle name="Normal 8 2 2 6 2 3" xfId="13651" xr:uid="{00000000-0005-0000-0000-0000F6770000}"/>
    <cellStyle name="Normal 8 2 2 6 2 3 2" xfId="31833" xr:uid="{00000000-0005-0000-0000-0000F7770000}"/>
    <cellStyle name="Normal 8 2 2 6 2 4" xfId="22743" xr:uid="{00000000-0005-0000-0000-0000F8770000}"/>
    <cellStyle name="Normal 8 2 2 6 3" xfId="6178" xr:uid="{00000000-0005-0000-0000-0000F9770000}"/>
    <cellStyle name="Normal 8 2 2 6 3 2" xfId="15278" xr:uid="{00000000-0005-0000-0000-0000FA770000}"/>
    <cellStyle name="Normal 8 2 2 6 3 2 2" xfId="33460" xr:uid="{00000000-0005-0000-0000-0000FB770000}"/>
    <cellStyle name="Normal 8 2 2 6 3 3" xfId="24370" xr:uid="{00000000-0005-0000-0000-0000FC770000}"/>
    <cellStyle name="Normal 8 2 2 6 4" xfId="10744" xr:uid="{00000000-0005-0000-0000-0000FD770000}"/>
    <cellStyle name="Normal 8 2 2 6 4 2" xfId="28926" xr:uid="{00000000-0005-0000-0000-0000FE770000}"/>
    <cellStyle name="Normal 8 2 2 6 5" xfId="19835" xr:uid="{00000000-0005-0000-0000-0000FF770000}"/>
    <cellStyle name="Normal 8 2 2 7" xfId="2923" xr:uid="{00000000-0005-0000-0000-000000780000}"/>
    <cellStyle name="Normal 8 2 2 7 2" xfId="7503" xr:uid="{00000000-0005-0000-0000-000001780000}"/>
    <cellStyle name="Normal 8 2 2 7 2 2" xfId="16603" xr:uid="{00000000-0005-0000-0000-000002780000}"/>
    <cellStyle name="Normal 8 2 2 7 2 2 2" xfId="34785" xr:uid="{00000000-0005-0000-0000-000003780000}"/>
    <cellStyle name="Normal 8 2 2 7 2 3" xfId="25695" xr:uid="{00000000-0005-0000-0000-000004780000}"/>
    <cellStyle name="Normal 8 2 2 7 3" xfId="12067" xr:uid="{00000000-0005-0000-0000-000005780000}"/>
    <cellStyle name="Normal 8 2 2 7 3 2" xfId="30249" xr:uid="{00000000-0005-0000-0000-000006780000}"/>
    <cellStyle name="Normal 8 2 2 7 4" xfId="21159" xr:uid="{00000000-0005-0000-0000-000007780000}"/>
    <cellStyle name="Normal 8 2 2 8" xfId="3197" xr:uid="{00000000-0005-0000-0000-000008780000}"/>
    <cellStyle name="Normal 8 2 2 8 2" xfId="7757" xr:uid="{00000000-0005-0000-0000-000009780000}"/>
    <cellStyle name="Normal 8 2 2 8 2 2" xfId="16853" xr:uid="{00000000-0005-0000-0000-00000A780000}"/>
    <cellStyle name="Normal 8 2 2 8 2 2 2" xfId="35035" xr:uid="{00000000-0005-0000-0000-00000B780000}"/>
    <cellStyle name="Normal 8 2 2 8 2 3" xfId="25945" xr:uid="{00000000-0005-0000-0000-00000C780000}"/>
    <cellStyle name="Normal 8 2 2 8 3" xfId="12313" xr:uid="{00000000-0005-0000-0000-00000D780000}"/>
    <cellStyle name="Normal 8 2 2 8 3 2" xfId="30495" xr:uid="{00000000-0005-0000-0000-00000E780000}"/>
    <cellStyle name="Normal 8 2 2 8 4" xfId="21405" xr:uid="{00000000-0005-0000-0000-00000F780000}"/>
    <cellStyle name="Normal 8 2 2 9" xfId="4847" xr:uid="{00000000-0005-0000-0000-000010780000}"/>
    <cellStyle name="Normal 8 2 2 9 2" xfId="13947" xr:uid="{00000000-0005-0000-0000-000011780000}"/>
    <cellStyle name="Normal 8 2 2 9 2 2" xfId="32129" xr:uid="{00000000-0005-0000-0000-000012780000}"/>
    <cellStyle name="Normal 8 2 2 9 3" xfId="23039" xr:uid="{00000000-0005-0000-0000-000013780000}"/>
    <cellStyle name="Normal 8 2 3" xfId="123" xr:uid="{00000000-0005-0000-0000-000014780000}"/>
    <cellStyle name="Normal 8 2 3 10" xfId="4862" xr:uid="{00000000-0005-0000-0000-000015780000}"/>
    <cellStyle name="Normal 8 2 3 10 2" xfId="13962" xr:uid="{00000000-0005-0000-0000-000016780000}"/>
    <cellStyle name="Normal 8 2 3 10 2 2" xfId="32144" xr:uid="{00000000-0005-0000-0000-000017780000}"/>
    <cellStyle name="Normal 8 2 3 10 3" xfId="23054" xr:uid="{00000000-0005-0000-0000-000018780000}"/>
    <cellStyle name="Normal 8 2 3 11" xfId="9428" xr:uid="{00000000-0005-0000-0000-000019780000}"/>
    <cellStyle name="Normal 8 2 3 11 2" xfId="27610" xr:uid="{00000000-0005-0000-0000-00001A780000}"/>
    <cellStyle name="Normal 8 2 3 12" xfId="18519" xr:uid="{00000000-0005-0000-0000-00001B780000}"/>
    <cellStyle name="Normal 8 2 3 2" xfId="154" xr:uid="{00000000-0005-0000-0000-00001C780000}"/>
    <cellStyle name="Normal 8 2 3 2 10" xfId="18534" xr:uid="{00000000-0005-0000-0000-00001D780000}"/>
    <cellStyle name="Normal 8 2 3 2 2" xfId="1540" xr:uid="{00000000-0005-0000-0000-00001E780000}"/>
    <cellStyle name="Normal 8 2 3 2 2 2" xfId="1541" xr:uid="{00000000-0005-0000-0000-00001F780000}"/>
    <cellStyle name="Normal 8 2 3 2 2 2 2" xfId="1542" xr:uid="{00000000-0005-0000-0000-000020780000}"/>
    <cellStyle name="Normal 8 2 3 2 2 2 2 2" xfId="2924" xr:uid="{00000000-0005-0000-0000-000021780000}"/>
    <cellStyle name="Normal 8 2 3 2 2 2 2 2 2" xfId="7504" xr:uid="{00000000-0005-0000-0000-000022780000}"/>
    <cellStyle name="Normal 8 2 3 2 2 2 2 2 2 2" xfId="16604" xr:uid="{00000000-0005-0000-0000-000023780000}"/>
    <cellStyle name="Normal 8 2 3 2 2 2 2 2 2 2 2" xfId="34786" xr:uid="{00000000-0005-0000-0000-000024780000}"/>
    <cellStyle name="Normal 8 2 3 2 2 2 2 2 2 3" xfId="25696" xr:uid="{00000000-0005-0000-0000-000025780000}"/>
    <cellStyle name="Normal 8 2 3 2 2 2 2 2 3" xfId="12068" xr:uid="{00000000-0005-0000-0000-000026780000}"/>
    <cellStyle name="Normal 8 2 3 2 2 2 2 2 3 2" xfId="30250" xr:uid="{00000000-0005-0000-0000-000027780000}"/>
    <cellStyle name="Normal 8 2 3 2 2 2 2 2 4" xfId="21160" xr:uid="{00000000-0005-0000-0000-000028780000}"/>
    <cellStyle name="Normal 8 2 3 2 2 2 2 3" xfId="4542" xr:uid="{00000000-0005-0000-0000-000029780000}"/>
    <cellStyle name="Normal 8 2 3 2 2 2 2 3 2" xfId="9098" xr:uid="{00000000-0005-0000-0000-00002A780000}"/>
    <cellStyle name="Normal 8 2 3 2 2 2 2 3 2 2" xfId="18194" xr:uid="{00000000-0005-0000-0000-00002B780000}"/>
    <cellStyle name="Normal 8 2 3 2 2 2 2 3 2 2 2" xfId="36376" xr:uid="{00000000-0005-0000-0000-00002C780000}"/>
    <cellStyle name="Normal 8 2 3 2 2 2 2 3 2 3" xfId="27286" xr:uid="{00000000-0005-0000-0000-00002D780000}"/>
    <cellStyle name="Normal 8 2 3 2 2 2 2 3 3" xfId="13654" xr:uid="{00000000-0005-0000-0000-00002E780000}"/>
    <cellStyle name="Normal 8 2 3 2 2 2 2 3 3 2" xfId="31836" xr:uid="{00000000-0005-0000-0000-00002F780000}"/>
    <cellStyle name="Normal 8 2 3 2 2 2 2 3 4" xfId="22746" xr:uid="{00000000-0005-0000-0000-000030780000}"/>
    <cellStyle name="Normal 8 2 3 2 2 2 2 4" xfId="6181" xr:uid="{00000000-0005-0000-0000-000031780000}"/>
    <cellStyle name="Normal 8 2 3 2 2 2 2 4 2" xfId="15281" xr:uid="{00000000-0005-0000-0000-000032780000}"/>
    <cellStyle name="Normal 8 2 3 2 2 2 2 4 2 2" xfId="33463" xr:uid="{00000000-0005-0000-0000-000033780000}"/>
    <cellStyle name="Normal 8 2 3 2 2 2 2 4 3" xfId="24373" xr:uid="{00000000-0005-0000-0000-000034780000}"/>
    <cellStyle name="Normal 8 2 3 2 2 2 2 5" xfId="10747" xr:uid="{00000000-0005-0000-0000-000035780000}"/>
    <cellStyle name="Normal 8 2 3 2 2 2 2 5 2" xfId="28929" xr:uid="{00000000-0005-0000-0000-000036780000}"/>
    <cellStyle name="Normal 8 2 3 2 2 2 2 6" xfId="19838" xr:uid="{00000000-0005-0000-0000-000037780000}"/>
    <cellStyle name="Normal 8 2 3 2 2 2 3" xfId="2925" xr:uid="{00000000-0005-0000-0000-000038780000}"/>
    <cellStyle name="Normal 8 2 3 2 2 2 3 2" xfId="7505" xr:uid="{00000000-0005-0000-0000-000039780000}"/>
    <cellStyle name="Normal 8 2 3 2 2 2 3 2 2" xfId="16605" xr:uid="{00000000-0005-0000-0000-00003A780000}"/>
    <cellStyle name="Normal 8 2 3 2 2 2 3 2 2 2" xfId="34787" xr:uid="{00000000-0005-0000-0000-00003B780000}"/>
    <cellStyle name="Normal 8 2 3 2 2 2 3 2 3" xfId="25697" xr:uid="{00000000-0005-0000-0000-00003C780000}"/>
    <cellStyle name="Normal 8 2 3 2 2 2 3 3" xfId="12069" xr:uid="{00000000-0005-0000-0000-00003D780000}"/>
    <cellStyle name="Normal 8 2 3 2 2 2 3 3 2" xfId="30251" xr:uid="{00000000-0005-0000-0000-00003E780000}"/>
    <cellStyle name="Normal 8 2 3 2 2 2 3 4" xfId="21161" xr:uid="{00000000-0005-0000-0000-00003F780000}"/>
    <cellStyle name="Normal 8 2 3 2 2 2 4" xfId="4541" xr:uid="{00000000-0005-0000-0000-000040780000}"/>
    <cellStyle name="Normal 8 2 3 2 2 2 4 2" xfId="9097" xr:uid="{00000000-0005-0000-0000-000041780000}"/>
    <cellStyle name="Normal 8 2 3 2 2 2 4 2 2" xfId="18193" xr:uid="{00000000-0005-0000-0000-000042780000}"/>
    <cellStyle name="Normal 8 2 3 2 2 2 4 2 2 2" xfId="36375" xr:uid="{00000000-0005-0000-0000-000043780000}"/>
    <cellStyle name="Normal 8 2 3 2 2 2 4 2 3" xfId="27285" xr:uid="{00000000-0005-0000-0000-000044780000}"/>
    <cellStyle name="Normal 8 2 3 2 2 2 4 3" xfId="13653" xr:uid="{00000000-0005-0000-0000-000045780000}"/>
    <cellStyle name="Normal 8 2 3 2 2 2 4 3 2" xfId="31835" xr:uid="{00000000-0005-0000-0000-000046780000}"/>
    <cellStyle name="Normal 8 2 3 2 2 2 4 4" xfId="22745" xr:uid="{00000000-0005-0000-0000-000047780000}"/>
    <cellStyle name="Normal 8 2 3 2 2 2 5" xfId="6180" xr:uid="{00000000-0005-0000-0000-000048780000}"/>
    <cellStyle name="Normal 8 2 3 2 2 2 5 2" xfId="15280" xr:uid="{00000000-0005-0000-0000-000049780000}"/>
    <cellStyle name="Normal 8 2 3 2 2 2 5 2 2" xfId="33462" xr:uid="{00000000-0005-0000-0000-00004A780000}"/>
    <cellStyle name="Normal 8 2 3 2 2 2 5 3" xfId="24372" xr:uid="{00000000-0005-0000-0000-00004B780000}"/>
    <cellStyle name="Normal 8 2 3 2 2 2 6" xfId="10746" xr:uid="{00000000-0005-0000-0000-00004C780000}"/>
    <cellStyle name="Normal 8 2 3 2 2 2 6 2" xfId="28928" xr:uid="{00000000-0005-0000-0000-00004D780000}"/>
    <cellStyle name="Normal 8 2 3 2 2 2 7" xfId="19837" xr:uid="{00000000-0005-0000-0000-00004E780000}"/>
    <cellStyle name="Normal 8 2 3 2 2 3" xfId="1543" xr:uid="{00000000-0005-0000-0000-00004F780000}"/>
    <cellStyle name="Normal 8 2 3 2 2 3 2" xfId="2926" xr:uid="{00000000-0005-0000-0000-000050780000}"/>
    <cellStyle name="Normal 8 2 3 2 2 3 2 2" xfId="7506" xr:uid="{00000000-0005-0000-0000-000051780000}"/>
    <cellStyle name="Normal 8 2 3 2 2 3 2 2 2" xfId="16606" xr:uid="{00000000-0005-0000-0000-000052780000}"/>
    <cellStyle name="Normal 8 2 3 2 2 3 2 2 2 2" xfId="34788" xr:uid="{00000000-0005-0000-0000-000053780000}"/>
    <cellStyle name="Normal 8 2 3 2 2 3 2 2 3" xfId="25698" xr:uid="{00000000-0005-0000-0000-000054780000}"/>
    <cellStyle name="Normal 8 2 3 2 2 3 2 3" xfId="12070" xr:uid="{00000000-0005-0000-0000-000055780000}"/>
    <cellStyle name="Normal 8 2 3 2 2 3 2 3 2" xfId="30252" xr:uid="{00000000-0005-0000-0000-000056780000}"/>
    <cellStyle name="Normal 8 2 3 2 2 3 2 4" xfId="21162" xr:uid="{00000000-0005-0000-0000-000057780000}"/>
    <cellStyle name="Normal 8 2 3 2 2 3 3" xfId="4543" xr:uid="{00000000-0005-0000-0000-000058780000}"/>
    <cellStyle name="Normal 8 2 3 2 2 3 3 2" xfId="9099" xr:uid="{00000000-0005-0000-0000-000059780000}"/>
    <cellStyle name="Normal 8 2 3 2 2 3 3 2 2" xfId="18195" xr:uid="{00000000-0005-0000-0000-00005A780000}"/>
    <cellStyle name="Normal 8 2 3 2 2 3 3 2 2 2" xfId="36377" xr:uid="{00000000-0005-0000-0000-00005B780000}"/>
    <cellStyle name="Normal 8 2 3 2 2 3 3 2 3" xfId="27287" xr:uid="{00000000-0005-0000-0000-00005C780000}"/>
    <cellStyle name="Normal 8 2 3 2 2 3 3 3" xfId="13655" xr:uid="{00000000-0005-0000-0000-00005D780000}"/>
    <cellStyle name="Normal 8 2 3 2 2 3 3 3 2" xfId="31837" xr:uid="{00000000-0005-0000-0000-00005E780000}"/>
    <cellStyle name="Normal 8 2 3 2 2 3 3 4" xfId="22747" xr:uid="{00000000-0005-0000-0000-00005F780000}"/>
    <cellStyle name="Normal 8 2 3 2 2 3 4" xfId="6182" xr:uid="{00000000-0005-0000-0000-000060780000}"/>
    <cellStyle name="Normal 8 2 3 2 2 3 4 2" xfId="15282" xr:uid="{00000000-0005-0000-0000-000061780000}"/>
    <cellStyle name="Normal 8 2 3 2 2 3 4 2 2" xfId="33464" xr:uid="{00000000-0005-0000-0000-000062780000}"/>
    <cellStyle name="Normal 8 2 3 2 2 3 4 3" xfId="24374" xr:uid="{00000000-0005-0000-0000-000063780000}"/>
    <cellStyle name="Normal 8 2 3 2 2 3 5" xfId="10748" xr:uid="{00000000-0005-0000-0000-000064780000}"/>
    <cellStyle name="Normal 8 2 3 2 2 3 5 2" xfId="28930" xr:uid="{00000000-0005-0000-0000-000065780000}"/>
    <cellStyle name="Normal 8 2 3 2 2 3 6" xfId="19839" xr:uid="{00000000-0005-0000-0000-000066780000}"/>
    <cellStyle name="Normal 8 2 3 2 2 4" xfId="1544" xr:uid="{00000000-0005-0000-0000-000067780000}"/>
    <cellStyle name="Normal 8 2 3 2 2 4 2" xfId="4544" xr:uid="{00000000-0005-0000-0000-000068780000}"/>
    <cellStyle name="Normal 8 2 3 2 2 4 2 2" xfId="9100" xr:uid="{00000000-0005-0000-0000-000069780000}"/>
    <cellStyle name="Normal 8 2 3 2 2 4 2 2 2" xfId="18196" xr:uid="{00000000-0005-0000-0000-00006A780000}"/>
    <cellStyle name="Normal 8 2 3 2 2 4 2 2 2 2" xfId="36378" xr:uid="{00000000-0005-0000-0000-00006B780000}"/>
    <cellStyle name="Normal 8 2 3 2 2 4 2 2 3" xfId="27288" xr:uid="{00000000-0005-0000-0000-00006C780000}"/>
    <cellStyle name="Normal 8 2 3 2 2 4 2 3" xfId="13656" xr:uid="{00000000-0005-0000-0000-00006D780000}"/>
    <cellStyle name="Normal 8 2 3 2 2 4 2 3 2" xfId="31838" xr:uid="{00000000-0005-0000-0000-00006E780000}"/>
    <cellStyle name="Normal 8 2 3 2 2 4 2 4" xfId="22748" xr:uid="{00000000-0005-0000-0000-00006F780000}"/>
    <cellStyle name="Normal 8 2 3 2 2 4 3" xfId="6183" xr:uid="{00000000-0005-0000-0000-000070780000}"/>
    <cellStyle name="Normal 8 2 3 2 2 4 3 2" xfId="15283" xr:uid="{00000000-0005-0000-0000-000071780000}"/>
    <cellStyle name="Normal 8 2 3 2 2 4 3 2 2" xfId="33465" xr:uid="{00000000-0005-0000-0000-000072780000}"/>
    <cellStyle name="Normal 8 2 3 2 2 4 3 3" xfId="24375" xr:uid="{00000000-0005-0000-0000-000073780000}"/>
    <cellStyle name="Normal 8 2 3 2 2 4 4" xfId="10749" xr:uid="{00000000-0005-0000-0000-000074780000}"/>
    <cellStyle name="Normal 8 2 3 2 2 4 4 2" xfId="28931" xr:uid="{00000000-0005-0000-0000-000075780000}"/>
    <cellStyle name="Normal 8 2 3 2 2 4 5" xfId="19840" xr:uid="{00000000-0005-0000-0000-000076780000}"/>
    <cellStyle name="Normal 8 2 3 2 2 5" xfId="2927" xr:uid="{00000000-0005-0000-0000-000077780000}"/>
    <cellStyle name="Normal 8 2 3 2 2 5 2" xfId="7507" xr:uid="{00000000-0005-0000-0000-000078780000}"/>
    <cellStyle name="Normal 8 2 3 2 2 5 2 2" xfId="16607" xr:uid="{00000000-0005-0000-0000-000079780000}"/>
    <cellStyle name="Normal 8 2 3 2 2 5 2 2 2" xfId="34789" xr:uid="{00000000-0005-0000-0000-00007A780000}"/>
    <cellStyle name="Normal 8 2 3 2 2 5 2 3" xfId="25699" xr:uid="{00000000-0005-0000-0000-00007B780000}"/>
    <cellStyle name="Normal 8 2 3 2 2 5 3" xfId="12071" xr:uid="{00000000-0005-0000-0000-00007C780000}"/>
    <cellStyle name="Normal 8 2 3 2 2 5 3 2" xfId="30253" xr:uid="{00000000-0005-0000-0000-00007D780000}"/>
    <cellStyle name="Normal 8 2 3 2 2 5 4" xfId="21163" xr:uid="{00000000-0005-0000-0000-00007E780000}"/>
    <cellStyle name="Normal 8 2 3 2 2 6" xfId="4540" xr:uid="{00000000-0005-0000-0000-00007F780000}"/>
    <cellStyle name="Normal 8 2 3 2 2 6 2" xfId="9096" xr:uid="{00000000-0005-0000-0000-000080780000}"/>
    <cellStyle name="Normal 8 2 3 2 2 6 2 2" xfId="18192" xr:uid="{00000000-0005-0000-0000-000081780000}"/>
    <cellStyle name="Normal 8 2 3 2 2 6 2 2 2" xfId="36374" xr:uid="{00000000-0005-0000-0000-000082780000}"/>
    <cellStyle name="Normal 8 2 3 2 2 6 2 3" xfId="27284" xr:uid="{00000000-0005-0000-0000-000083780000}"/>
    <cellStyle name="Normal 8 2 3 2 2 6 3" xfId="13652" xr:uid="{00000000-0005-0000-0000-000084780000}"/>
    <cellStyle name="Normal 8 2 3 2 2 6 3 2" xfId="31834" xr:uid="{00000000-0005-0000-0000-000085780000}"/>
    <cellStyle name="Normal 8 2 3 2 2 6 4" xfId="22744" xr:uid="{00000000-0005-0000-0000-000086780000}"/>
    <cellStyle name="Normal 8 2 3 2 2 7" xfId="6179" xr:uid="{00000000-0005-0000-0000-000087780000}"/>
    <cellStyle name="Normal 8 2 3 2 2 7 2" xfId="15279" xr:uid="{00000000-0005-0000-0000-000088780000}"/>
    <cellStyle name="Normal 8 2 3 2 2 7 2 2" xfId="33461" xr:uid="{00000000-0005-0000-0000-000089780000}"/>
    <cellStyle name="Normal 8 2 3 2 2 7 3" xfId="24371" xr:uid="{00000000-0005-0000-0000-00008A780000}"/>
    <cellStyle name="Normal 8 2 3 2 2 8" xfId="10745" xr:uid="{00000000-0005-0000-0000-00008B780000}"/>
    <cellStyle name="Normal 8 2 3 2 2 8 2" xfId="28927" xr:uid="{00000000-0005-0000-0000-00008C780000}"/>
    <cellStyle name="Normal 8 2 3 2 2 9" xfId="19836" xr:uid="{00000000-0005-0000-0000-00008D780000}"/>
    <cellStyle name="Normal 8 2 3 2 3" xfId="1545" xr:uid="{00000000-0005-0000-0000-00008E780000}"/>
    <cellStyle name="Normal 8 2 3 2 3 2" xfId="1546" xr:uid="{00000000-0005-0000-0000-00008F780000}"/>
    <cellStyle name="Normal 8 2 3 2 3 2 2" xfId="2928" xr:uid="{00000000-0005-0000-0000-000090780000}"/>
    <cellStyle name="Normal 8 2 3 2 3 2 2 2" xfId="7508" xr:uid="{00000000-0005-0000-0000-000091780000}"/>
    <cellStyle name="Normal 8 2 3 2 3 2 2 2 2" xfId="16608" xr:uid="{00000000-0005-0000-0000-000092780000}"/>
    <cellStyle name="Normal 8 2 3 2 3 2 2 2 2 2" xfId="34790" xr:uid="{00000000-0005-0000-0000-000093780000}"/>
    <cellStyle name="Normal 8 2 3 2 3 2 2 2 3" xfId="25700" xr:uid="{00000000-0005-0000-0000-000094780000}"/>
    <cellStyle name="Normal 8 2 3 2 3 2 2 3" xfId="12072" xr:uid="{00000000-0005-0000-0000-000095780000}"/>
    <cellStyle name="Normal 8 2 3 2 3 2 2 3 2" xfId="30254" xr:uid="{00000000-0005-0000-0000-000096780000}"/>
    <cellStyle name="Normal 8 2 3 2 3 2 2 4" xfId="21164" xr:uid="{00000000-0005-0000-0000-000097780000}"/>
    <cellStyle name="Normal 8 2 3 2 3 2 3" xfId="4546" xr:uid="{00000000-0005-0000-0000-000098780000}"/>
    <cellStyle name="Normal 8 2 3 2 3 2 3 2" xfId="9102" xr:uid="{00000000-0005-0000-0000-000099780000}"/>
    <cellStyle name="Normal 8 2 3 2 3 2 3 2 2" xfId="18198" xr:uid="{00000000-0005-0000-0000-00009A780000}"/>
    <cellStyle name="Normal 8 2 3 2 3 2 3 2 2 2" xfId="36380" xr:uid="{00000000-0005-0000-0000-00009B780000}"/>
    <cellStyle name="Normal 8 2 3 2 3 2 3 2 3" xfId="27290" xr:uid="{00000000-0005-0000-0000-00009C780000}"/>
    <cellStyle name="Normal 8 2 3 2 3 2 3 3" xfId="13658" xr:uid="{00000000-0005-0000-0000-00009D780000}"/>
    <cellStyle name="Normal 8 2 3 2 3 2 3 3 2" xfId="31840" xr:uid="{00000000-0005-0000-0000-00009E780000}"/>
    <cellStyle name="Normal 8 2 3 2 3 2 3 4" xfId="22750" xr:uid="{00000000-0005-0000-0000-00009F780000}"/>
    <cellStyle name="Normal 8 2 3 2 3 2 4" xfId="6185" xr:uid="{00000000-0005-0000-0000-0000A0780000}"/>
    <cellStyle name="Normal 8 2 3 2 3 2 4 2" xfId="15285" xr:uid="{00000000-0005-0000-0000-0000A1780000}"/>
    <cellStyle name="Normal 8 2 3 2 3 2 4 2 2" xfId="33467" xr:uid="{00000000-0005-0000-0000-0000A2780000}"/>
    <cellStyle name="Normal 8 2 3 2 3 2 4 3" xfId="24377" xr:uid="{00000000-0005-0000-0000-0000A3780000}"/>
    <cellStyle name="Normal 8 2 3 2 3 2 5" xfId="10751" xr:uid="{00000000-0005-0000-0000-0000A4780000}"/>
    <cellStyle name="Normal 8 2 3 2 3 2 5 2" xfId="28933" xr:uid="{00000000-0005-0000-0000-0000A5780000}"/>
    <cellStyle name="Normal 8 2 3 2 3 2 6" xfId="19842" xr:uid="{00000000-0005-0000-0000-0000A6780000}"/>
    <cellStyle name="Normal 8 2 3 2 3 3" xfId="2929" xr:uid="{00000000-0005-0000-0000-0000A7780000}"/>
    <cellStyle name="Normal 8 2 3 2 3 3 2" xfId="7509" xr:uid="{00000000-0005-0000-0000-0000A8780000}"/>
    <cellStyle name="Normal 8 2 3 2 3 3 2 2" xfId="16609" xr:uid="{00000000-0005-0000-0000-0000A9780000}"/>
    <cellStyle name="Normal 8 2 3 2 3 3 2 2 2" xfId="34791" xr:uid="{00000000-0005-0000-0000-0000AA780000}"/>
    <cellStyle name="Normal 8 2 3 2 3 3 2 3" xfId="25701" xr:uid="{00000000-0005-0000-0000-0000AB780000}"/>
    <cellStyle name="Normal 8 2 3 2 3 3 3" xfId="12073" xr:uid="{00000000-0005-0000-0000-0000AC780000}"/>
    <cellStyle name="Normal 8 2 3 2 3 3 3 2" xfId="30255" xr:uid="{00000000-0005-0000-0000-0000AD780000}"/>
    <cellStyle name="Normal 8 2 3 2 3 3 4" xfId="21165" xr:uid="{00000000-0005-0000-0000-0000AE780000}"/>
    <cellStyle name="Normal 8 2 3 2 3 4" xfId="4545" xr:uid="{00000000-0005-0000-0000-0000AF780000}"/>
    <cellStyle name="Normal 8 2 3 2 3 4 2" xfId="9101" xr:uid="{00000000-0005-0000-0000-0000B0780000}"/>
    <cellStyle name="Normal 8 2 3 2 3 4 2 2" xfId="18197" xr:uid="{00000000-0005-0000-0000-0000B1780000}"/>
    <cellStyle name="Normal 8 2 3 2 3 4 2 2 2" xfId="36379" xr:uid="{00000000-0005-0000-0000-0000B2780000}"/>
    <cellStyle name="Normal 8 2 3 2 3 4 2 3" xfId="27289" xr:uid="{00000000-0005-0000-0000-0000B3780000}"/>
    <cellStyle name="Normal 8 2 3 2 3 4 3" xfId="13657" xr:uid="{00000000-0005-0000-0000-0000B4780000}"/>
    <cellStyle name="Normal 8 2 3 2 3 4 3 2" xfId="31839" xr:uid="{00000000-0005-0000-0000-0000B5780000}"/>
    <cellStyle name="Normal 8 2 3 2 3 4 4" xfId="22749" xr:uid="{00000000-0005-0000-0000-0000B6780000}"/>
    <cellStyle name="Normal 8 2 3 2 3 5" xfId="6184" xr:uid="{00000000-0005-0000-0000-0000B7780000}"/>
    <cellStyle name="Normal 8 2 3 2 3 5 2" xfId="15284" xr:uid="{00000000-0005-0000-0000-0000B8780000}"/>
    <cellStyle name="Normal 8 2 3 2 3 5 2 2" xfId="33466" xr:uid="{00000000-0005-0000-0000-0000B9780000}"/>
    <cellStyle name="Normal 8 2 3 2 3 5 3" xfId="24376" xr:uid="{00000000-0005-0000-0000-0000BA780000}"/>
    <cellStyle name="Normal 8 2 3 2 3 6" xfId="10750" xr:uid="{00000000-0005-0000-0000-0000BB780000}"/>
    <cellStyle name="Normal 8 2 3 2 3 6 2" xfId="28932" xr:uid="{00000000-0005-0000-0000-0000BC780000}"/>
    <cellStyle name="Normal 8 2 3 2 3 7" xfId="19841" xr:uid="{00000000-0005-0000-0000-0000BD780000}"/>
    <cellStyle name="Normal 8 2 3 2 4" xfId="1547" xr:uid="{00000000-0005-0000-0000-0000BE780000}"/>
    <cellStyle name="Normal 8 2 3 2 4 2" xfId="2930" xr:uid="{00000000-0005-0000-0000-0000BF780000}"/>
    <cellStyle name="Normal 8 2 3 2 4 2 2" xfId="7510" xr:uid="{00000000-0005-0000-0000-0000C0780000}"/>
    <cellStyle name="Normal 8 2 3 2 4 2 2 2" xfId="16610" xr:uid="{00000000-0005-0000-0000-0000C1780000}"/>
    <cellStyle name="Normal 8 2 3 2 4 2 2 2 2" xfId="34792" xr:uid="{00000000-0005-0000-0000-0000C2780000}"/>
    <cellStyle name="Normal 8 2 3 2 4 2 2 3" xfId="25702" xr:uid="{00000000-0005-0000-0000-0000C3780000}"/>
    <cellStyle name="Normal 8 2 3 2 4 2 3" xfId="12074" xr:uid="{00000000-0005-0000-0000-0000C4780000}"/>
    <cellStyle name="Normal 8 2 3 2 4 2 3 2" xfId="30256" xr:uid="{00000000-0005-0000-0000-0000C5780000}"/>
    <cellStyle name="Normal 8 2 3 2 4 2 4" xfId="21166" xr:uid="{00000000-0005-0000-0000-0000C6780000}"/>
    <cellStyle name="Normal 8 2 3 2 4 3" xfId="4547" xr:uid="{00000000-0005-0000-0000-0000C7780000}"/>
    <cellStyle name="Normal 8 2 3 2 4 3 2" xfId="9103" xr:uid="{00000000-0005-0000-0000-0000C8780000}"/>
    <cellStyle name="Normal 8 2 3 2 4 3 2 2" xfId="18199" xr:uid="{00000000-0005-0000-0000-0000C9780000}"/>
    <cellStyle name="Normal 8 2 3 2 4 3 2 2 2" xfId="36381" xr:uid="{00000000-0005-0000-0000-0000CA780000}"/>
    <cellStyle name="Normal 8 2 3 2 4 3 2 3" xfId="27291" xr:uid="{00000000-0005-0000-0000-0000CB780000}"/>
    <cellStyle name="Normal 8 2 3 2 4 3 3" xfId="13659" xr:uid="{00000000-0005-0000-0000-0000CC780000}"/>
    <cellStyle name="Normal 8 2 3 2 4 3 3 2" xfId="31841" xr:uid="{00000000-0005-0000-0000-0000CD780000}"/>
    <cellStyle name="Normal 8 2 3 2 4 3 4" xfId="22751" xr:uid="{00000000-0005-0000-0000-0000CE780000}"/>
    <cellStyle name="Normal 8 2 3 2 4 4" xfId="6186" xr:uid="{00000000-0005-0000-0000-0000CF780000}"/>
    <cellStyle name="Normal 8 2 3 2 4 4 2" xfId="15286" xr:uid="{00000000-0005-0000-0000-0000D0780000}"/>
    <cellStyle name="Normal 8 2 3 2 4 4 2 2" xfId="33468" xr:uid="{00000000-0005-0000-0000-0000D1780000}"/>
    <cellStyle name="Normal 8 2 3 2 4 4 3" xfId="24378" xr:uid="{00000000-0005-0000-0000-0000D2780000}"/>
    <cellStyle name="Normal 8 2 3 2 4 5" xfId="10752" xr:uid="{00000000-0005-0000-0000-0000D3780000}"/>
    <cellStyle name="Normal 8 2 3 2 4 5 2" xfId="28934" xr:uid="{00000000-0005-0000-0000-0000D4780000}"/>
    <cellStyle name="Normal 8 2 3 2 4 6" xfId="19843" xr:uid="{00000000-0005-0000-0000-0000D5780000}"/>
    <cellStyle name="Normal 8 2 3 2 5" xfId="1548" xr:uid="{00000000-0005-0000-0000-0000D6780000}"/>
    <cellStyle name="Normal 8 2 3 2 5 2" xfId="4548" xr:uid="{00000000-0005-0000-0000-0000D7780000}"/>
    <cellStyle name="Normal 8 2 3 2 5 2 2" xfId="9104" xr:uid="{00000000-0005-0000-0000-0000D8780000}"/>
    <cellStyle name="Normal 8 2 3 2 5 2 2 2" xfId="18200" xr:uid="{00000000-0005-0000-0000-0000D9780000}"/>
    <cellStyle name="Normal 8 2 3 2 5 2 2 2 2" xfId="36382" xr:uid="{00000000-0005-0000-0000-0000DA780000}"/>
    <cellStyle name="Normal 8 2 3 2 5 2 2 3" xfId="27292" xr:uid="{00000000-0005-0000-0000-0000DB780000}"/>
    <cellStyle name="Normal 8 2 3 2 5 2 3" xfId="13660" xr:uid="{00000000-0005-0000-0000-0000DC780000}"/>
    <cellStyle name="Normal 8 2 3 2 5 2 3 2" xfId="31842" xr:uid="{00000000-0005-0000-0000-0000DD780000}"/>
    <cellStyle name="Normal 8 2 3 2 5 2 4" xfId="22752" xr:uid="{00000000-0005-0000-0000-0000DE780000}"/>
    <cellStyle name="Normal 8 2 3 2 5 3" xfId="6187" xr:uid="{00000000-0005-0000-0000-0000DF780000}"/>
    <cellStyle name="Normal 8 2 3 2 5 3 2" xfId="15287" xr:uid="{00000000-0005-0000-0000-0000E0780000}"/>
    <cellStyle name="Normal 8 2 3 2 5 3 2 2" xfId="33469" xr:uid="{00000000-0005-0000-0000-0000E1780000}"/>
    <cellStyle name="Normal 8 2 3 2 5 3 3" xfId="24379" xr:uid="{00000000-0005-0000-0000-0000E2780000}"/>
    <cellStyle name="Normal 8 2 3 2 5 4" xfId="10753" xr:uid="{00000000-0005-0000-0000-0000E3780000}"/>
    <cellStyle name="Normal 8 2 3 2 5 4 2" xfId="28935" xr:uid="{00000000-0005-0000-0000-0000E4780000}"/>
    <cellStyle name="Normal 8 2 3 2 5 5" xfId="19844" xr:uid="{00000000-0005-0000-0000-0000E5780000}"/>
    <cellStyle name="Normal 8 2 3 2 6" xfId="2931" xr:uid="{00000000-0005-0000-0000-0000E6780000}"/>
    <cellStyle name="Normal 8 2 3 2 6 2" xfId="7511" xr:uid="{00000000-0005-0000-0000-0000E7780000}"/>
    <cellStyle name="Normal 8 2 3 2 6 2 2" xfId="16611" xr:uid="{00000000-0005-0000-0000-0000E8780000}"/>
    <cellStyle name="Normal 8 2 3 2 6 2 2 2" xfId="34793" xr:uid="{00000000-0005-0000-0000-0000E9780000}"/>
    <cellStyle name="Normal 8 2 3 2 6 2 3" xfId="25703" xr:uid="{00000000-0005-0000-0000-0000EA780000}"/>
    <cellStyle name="Normal 8 2 3 2 6 3" xfId="12075" xr:uid="{00000000-0005-0000-0000-0000EB780000}"/>
    <cellStyle name="Normal 8 2 3 2 6 3 2" xfId="30257" xr:uid="{00000000-0005-0000-0000-0000EC780000}"/>
    <cellStyle name="Normal 8 2 3 2 6 4" xfId="21167" xr:uid="{00000000-0005-0000-0000-0000ED780000}"/>
    <cellStyle name="Normal 8 2 3 2 7" xfId="3230" xr:uid="{00000000-0005-0000-0000-0000EE780000}"/>
    <cellStyle name="Normal 8 2 3 2 7 2" xfId="7790" xr:uid="{00000000-0005-0000-0000-0000EF780000}"/>
    <cellStyle name="Normal 8 2 3 2 7 2 2" xfId="16886" xr:uid="{00000000-0005-0000-0000-0000F0780000}"/>
    <cellStyle name="Normal 8 2 3 2 7 2 2 2" xfId="35068" xr:uid="{00000000-0005-0000-0000-0000F1780000}"/>
    <cellStyle name="Normal 8 2 3 2 7 2 3" xfId="25978" xr:uid="{00000000-0005-0000-0000-0000F2780000}"/>
    <cellStyle name="Normal 8 2 3 2 7 3" xfId="12346" xr:uid="{00000000-0005-0000-0000-0000F3780000}"/>
    <cellStyle name="Normal 8 2 3 2 7 3 2" xfId="30528" xr:uid="{00000000-0005-0000-0000-0000F4780000}"/>
    <cellStyle name="Normal 8 2 3 2 7 4" xfId="21438" xr:uid="{00000000-0005-0000-0000-0000F5780000}"/>
    <cellStyle name="Normal 8 2 3 2 8" xfId="4877" xr:uid="{00000000-0005-0000-0000-0000F6780000}"/>
    <cellStyle name="Normal 8 2 3 2 8 2" xfId="13977" xr:uid="{00000000-0005-0000-0000-0000F7780000}"/>
    <cellStyle name="Normal 8 2 3 2 8 2 2" xfId="32159" xr:uid="{00000000-0005-0000-0000-0000F8780000}"/>
    <cellStyle name="Normal 8 2 3 2 8 3" xfId="23069" xr:uid="{00000000-0005-0000-0000-0000F9780000}"/>
    <cellStyle name="Normal 8 2 3 2 9" xfId="9443" xr:uid="{00000000-0005-0000-0000-0000FA780000}"/>
    <cellStyle name="Normal 8 2 3 2 9 2" xfId="27625" xr:uid="{00000000-0005-0000-0000-0000FB780000}"/>
    <cellStyle name="Normal 8 2 3 3" xfId="1549" xr:uid="{00000000-0005-0000-0000-0000FC780000}"/>
    <cellStyle name="Normal 8 2 3 3 10" xfId="19845" xr:uid="{00000000-0005-0000-0000-0000FD780000}"/>
    <cellStyle name="Normal 8 2 3 3 2" xfId="1550" xr:uid="{00000000-0005-0000-0000-0000FE780000}"/>
    <cellStyle name="Normal 8 2 3 3 2 2" xfId="1551" xr:uid="{00000000-0005-0000-0000-0000FF780000}"/>
    <cellStyle name="Normal 8 2 3 3 2 2 2" xfId="1552" xr:uid="{00000000-0005-0000-0000-000000790000}"/>
    <cellStyle name="Normal 8 2 3 3 2 2 2 2" xfId="2932" xr:uid="{00000000-0005-0000-0000-000001790000}"/>
    <cellStyle name="Normal 8 2 3 3 2 2 2 2 2" xfId="7512" xr:uid="{00000000-0005-0000-0000-000002790000}"/>
    <cellStyle name="Normal 8 2 3 3 2 2 2 2 2 2" xfId="16612" xr:uid="{00000000-0005-0000-0000-000003790000}"/>
    <cellStyle name="Normal 8 2 3 3 2 2 2 2 2 2 2" xfId="34794" xr:uid="{00000000-0005-0000-0000-000004790000}"/>
    <cellStyle name="Normal 8 2 3 3 2 2 2 2 2 3" xfId="25704" xr:uid="{00000000-0005-0000-0000-000005790000}"/>
    <cellStyle name="Normal 8 2 3 3 2 2 2 2 3" xfId="12076" xr:uid="{00000000-0005-0000-0000-000006790000}"/>
    <cellStyle name="Normal 8 2 3 3 2 2 2 2 3 2" xfId="30258" xr:uid="{00000000-0005-0000-0000-000007790000}"/>
    <cellStyle name="Normal 8 2 3 3 2 2 2 2 4" xfId="21168" xr:uid="{00000000-0005-0000-0000-000008790000}"/>
    <cellStyle name="Normal 8 2 3 3 2 2 2 3" xfId="4552" xr:uid="{00000000-0005-0000-0000-000009790000}"/>
    <cellStyle name="Normal 8 2 3 3 2 2 2 3 2" xfId="9108" xr:uid="{00000000-0005-0000-0000-00000A790000}"/>
    <cellStyle name="Normal 8 2 3 3 2 2 2 3 2 2" xfId="18204" xr:uid="{00000000-0005-0000-0000-00000B790000}"/>
    <cellStyle name="Normal 8 2 3 3 2 2 2 3 2 2 2" xfId="36386" xr:uid="{00000000-0005-0000-0000-00000C790000}"/>
    <cellStyle name="Normal 8 2 3 3 2 2 2 3 2 3" xfId="27296" xr:uid="{00000000-0005-0000-0000-00000D790000}"/>
    <cellStyle name="Normal 8 2 3 3 2 2 2 3 3" xfId="13664" xr:uid="{00000000-0005-0000-0000-00000E790000}"/>
    <cellStyle name="Normal 8 2 3 3 2 2 2 3 3 2" xfId="31846" xr:uid="{00000000-0005-0000-0000-00000F790000}"/>
    <cellStyle name="Normal 8 2 3 3 2 2 2 3 4" xfId="22756" xr:uid="{00000000-0005-0000-0000-000010790000}"/>
    <cellStyle name="Normal 8 2 3 3 2 2 2 4" xfId="6191" xr:uid="{00000000-0005-0000-0000-000011790000}"/>
    <cellStyle name="Normal 8 2 3 3 2 2 2 4 2" xfId="15291" xr:uid="{00000000-0005-0000-0000-000012790000}"/>
    <cellStyle name="Normal 8 2 3 3 2 2 2 4 2 2" xfId="33473" xr:uid="{00000000-0005-0000-0000-000013790000}"/>
    <cellStyle name="Normal 8 2 3 3 2 2 2 4 3" xfId="24383" xr:uid="{00000000-0005-0000-0000-000014790000}"/>
    <cellStyle name="Normal 8 2 3 3 2 2 2 5" xfId="10757" xr:uid="{00000000-0005-0000-0000-000015790000}"/>
    <cellStyle name="Normal 8 2 3 3 2 2 2 5 2" xfId="28939" xr:uid="{00000000-0005-0000-0000-000016790000}"/>
    <cellStyle name="Normal 8 2 3 3 2 2 2 6" xfId="19848" xr:uid="{00000000-0005-0000-0000-000017790000}"/>
    <cellStyle name="Normal 8 2 3 3 2 2 3" xfId="2933" xr:uid="{00000000-0005-0000-0000-000018790000}"/>
    <cellStyle name="Normal 8 2 3 3 2 2 3 2" xfId="7513" xr:uid="{00000000-0005-0000-0000-000019790000}"/>
    <cellStyle name="Normal 8 2 3 3 2 2 3 2 2" xfId="16613" xr:uid="{00000000-0005-0000-0000-00001A790000}"/>
    <cellStyle name="Normal 8 2 3 3 2 2 3 2 2 2" xfId="34795" xr:uid="{00000000-0005-0000-0000-00001B790000}"/>
    <cellStyle name="Normal 8 2 3 3 2 2 3 2 3" xfId="25705" xr:uid="{00000000-0005-0000-0000-00001C790000}"/>
    <cellStyle name="Normal 8 2 3 3 2 2 3 3" xfId="12077" xr:uid="{00000000-0005-0000-0000-00001D790000}"/>
    <cellStyle name="Normal 8 2 3 3 2 2 3 3 2" xfId="30259" xr:uid="{00000000-0005-0000-0000-00001E790000}"/>
    <cellStyle name="Normal 8 2 3 3 2 2 3 4" xfId="21169" xr:uid="{00000000-0005-0000-0000-00001F790000}"/>
    <cellStyle name="Normal 8 2 3 3 2 2 4" xfId="4551" xr:uid="{00000000-0005-0000-0000-000020790000}"/>
    <cellStyle name="Normal 8 2 3 3 2 2 4 2" xfId="9107" xr:uid="{00000000-0005-0000-0000-000021790000}"/>
    <cellStyle name="Normal 8 2 3 3 2 2 4 2 2" xfId="18203" xr:uid="{00000000-0005-0000-0000-000022790000}"/>
    <cellStyle name="Normal 8 2 3 3 2 2 4 2 2 2" xfId="36385" xr:uid="{00000000-0005-0000-0000-000023790000}"/>
    <cellStyle name="Normal 8 2 3 3 2 2 4 2 3" xfId="27295" xr:uid="{00000000-0005-0000-0000-000024790000}"/>
    <cellStyle name="Normal 8 2 3 3 2 2 4 3" xfId="13663" xr:uid="{00000000-0005-0000-0000-000025790000}"/>
    <cellStyle name="Normal 8 2 3 3 2 2 4 3 2" xfId="31845" xr:uid="{00000000-0005-0000-0000-000026790000}"/>
    <cellStyle name="Normal 8 2 3 3 2 2 4 4" xfId="22755" xr:uid="{00000000-0005-0000-0000-000027790000}"/>
    <cellStyle name="Normal 8 2 3 3 2 2 5" xfId="6190" xr:uid="{00000000-0005-0000-0000-000028790000}"/>
    <cellStyle name="Normal 8 2 3 3 2 2 5 2" xfId="15290" xr:uid="{00000000-0005-0000-0000-000029790000}"/>
    <cellStyle name="Normal 8 2 3 3 2 2 5 2 2" xfId="33472" xr:uid="{00000000-0005-0000-0000-00002A790000}"/>
    <cellStyle name="Normal 8 2 3 3 2 2 5 3" xfId="24382" xr:uid="{00000000-0005-0000-0000-00002B790000}"/>
    <cellStyle name="Normal 8 2 3 3 2 2 6" xfId="10756" xr:uid="{00000000-0005-0000-0000-00002C790000}"/>
    <cellStyle name="Normal 8 2 3 3 2 2 6 2" xfId="28938" xr:uid="{00000000-0005-0000-0000-00002D790000}"/>
    <cellStyle name="Normal 8 2 3 3 2 2 7" xfId="19847" xr:uid="{00000000-0005-0000-0000-00002E790000}"/>
    <cellStyle name="Normal 8 2 3 3 2 3" xfId="1553" xr:uid="{00000000-0005-0000-0000-00002F790000}"/>
    <cellStyle name="Normal 8 2 3 3 2 3 2" xfId="2934" xr:uid="{00000000-0005-0000-0000-000030790000}"/>
    <cellStyle name="Normal 8 2 3 3 2 3 2 2" xfId="7514" xr:uid="{00000000-0005-0000-0000-000031790000}"/>
    <cellStyle name="Normal 8 2 3 3 2 3 2 2 2" xfId="16614" xr:uid="{00000000-0005-0000-0000-000032790000}"/>
    <cellStyle name="Normal 8 2 3 3 2 3 2 2 2 2" xfId="34796" xr:uid="{00000000-0005-0000-0000-000033790000}"/>
    <cellStyle name="Normal 8 2 3 3 2 3 2 2 3" xfId="25706" xr:uid="{00000000-0005-0000-0000-000034790000}"/>
    <cellStyle name="Normal 8 2 3 3 2 3 2 3" xfId="12078" xr:uid="{00000000-0005-0000-0000-000035790000}"/>
    <cellStyle name="Normal 8 2 3 3 2 3 2 3 2" xfId="30260" xr:uid="{00000000-0005-0000-0000-000036790000}"/>
    <cellStyle name="Normal 8 2 3 3 2 3 2 4" xfId="21170" xr:uid="{00000000-0005-0000-0000-000037790000}"/>
    <cellStyle name="Normal 8 2 3 3 2 3 3" xfId="4553" xr:uid="{00000000-0005-0000-0000-000038790000}"/>
    <cellStyle name="Normal 8 2 3 3 2 3 3 2" xfId="9109" xr:uid="{00000000-0005-0000-0000-000039790000}"/>
    <cellStyle name="Normal 8 2 3 3 2 3 3 2 2" xfId="18205" xr:uid="{00000000-0005-0000-0000-00003A790000}"/>
    <cellStyle name="Normal 8 2 3 3 2 3 3 2 2 2" xfId="36387" xr:uid="{00000000-0005-0000-0000-00003B790000}"/>
    <cellStyle name="Normal 8 2 3 3 2 3 3 2 3" xfId="27297" xr:uid="{00000000-0005-0000-0000-00003C790000}"/>
    <cellStyle name="Normal 8 2 3 3 2 3 3 3" xfId="13665" xr:uid="{00000000-0005-0000-0000-00003D790000}"/>
    <cellStyle name="Normal 8 2 3 3 2 3 3 3 2" xfId="31847" xr:uid="{00000000-0005-0000-0000-00003E790000}"/>
    <cellStyle name="Normal 8 2 3 3 2 3 3 4" xfId="22757" xr:uid="{00000000-0005-0000-0000-00003F790000}"/>
    <cellStyle name="Normal 8 2 3 3 2 3 4" xfId="6192" xr:uid="{00000000-0005-0000-0000-000040790000}"/>
    <cellStyle name="Normal 8 2 3 3 2 3 4 2" xfId="15292" xr:uid="{00000000-0005-0000-0000-000041790000}"/>
    <cellStyle name="Normal 8 2 3 3 2 3 4 2 2" xfId="33474" xr:uid="{00000000-0005-0000-0000-000042790000}"/>
    <cellStyle name="Normal 8 2 3 3 2 3 4 3" xfId="24384" xr:uid="{00000000-0005-0000-0000-000043790000}"/>
    <cellStyle name="Normal 8 2 3 3 2 3 5" xfId="10758" xr:uid="{00000000-0005-0000-0000-000044790000}"/>
    <cellStyle name="Normal 8 2 3 3 2 3 5 2" xfId="28940" xr:uid="{00000000-0005-0000-0000-000045790000}"/>
    <cellStyle name="Normal 8 2 3 3 2 3 6" xfId="19849" xr:uid="{00000000-0005-0000-0000-000046790000}"/>
    <cellStyle name="Normal 8 2 3 3 2 4" xfId="1554" xr:uid="{00000000-0005-0000-0000-000047790000}"/>
    <cellStyle name="Normal 8 2 3 3 2 4 2" xfId="4554" xr:uid="{00000000-0005-0000-0000-000048790000}"/>
    <cellStyle name="Normal 8 2 3 3 2 4 2 2" xfId="9110" xr:uid="{00000000-0005-0000-0000-000049790000}"/>
    <cellStyle name="Normal 8 2 3 3 2 4 2 2 2" xfId="18206" xr:uid="{00000000-0005-0000-0000-00004A790000}"/>
    <cellStyle name="Normal 8 2 3 3 2 4 2 2 2 2" xfId="36388" xr:uid="{00000000-0005-0000-0000-00004B790000}"/>
    <cellStyle name="Normal 8 2 3 3 2 4 2 2 3" xfId="27298" xr:uid="{00000000-0005-0000-0000-00004C790000}"/>
    <cellStyle name="Normal 8 2 3 3 2 4 2 3" xfId="13666" xr:uid="{00000000-0005-0000-0000-00004D790000}"/>
    <cellStyle name="Normal 8 2 3 3 2 4 2 3 2" xfId="31848" xr:uid="{00000000-0005-0000-0000-00004E790000}"/>
    <cellStyle name="Normal 8 2 3 3 2 4 2 4" xfId="22758" xr:uid="{00000000-0005-0000-0000-00004F790000}"/>
    <cellStyle name="Normal 8 2 3 3 2 4 3" xfId="6193" xr:uid="{00000000-0005-0000-0000-000050790000}"/>
    <cellStyle name="Normal 8 2 3 3 2 4 3 2" xfId="15293" xr:uid="{00000000-0005-0000-0000-000051790000}"/>
    <cellStyle name="Normal 8 2 3 3 2 4 3 2 2" xfId="33475" xr:uid="{00000000-0005-0000-0000-000052790000}"/>
    <cellStyle name="Normal 8 2 3 3 2 4 3 3" xfId="24385" xr:uid="{00000000-0005-0000-0000-000053790000}"/>
    <cellStyle name="Normal 8 2 3 3 2 4 4" xfId="10759" xr:uid="{00000000-0005-0000-0000-000054790000}"/>
    <cellStyle name="Normal 8 2 3 3 2 4 4 2" xfId="28941" xr:uid="{00000000-0005-0000-0000-000055790000}"/>
    <cellStyle name="Normal 8 2 3 3 2 4 5" xfId="19850" xr:uid="{00000000-0005-0000-0000-000056790000}"/>
    <cellStyle name="Normal 8 2 3 3 2 5" xfId="2935" xr:uid="{00000000-0005-0000-0000-000057790000}"/>
    <cellStyle name="Normal 8 2 3 3 2 5 2" xfId="7515" xr:uid="{00000000-0005-0000-0000-000058790000}"/>
    <cellStyle name="Normal 8 2 3 3 2 5 2 2" xfId="16615" xr:uid="{00000000-0005-0000-0000-000059790000}"/>
    <cellStyle name="Normal 8 2 3 3 2 5 2 2 2" xfId="34797" xr:uid="{00000000-0005-0000-0000-00005A790000}"/>
    <cellStyle name="Normal 8 2 3 3 2 5 2 3" xfId="25707" xr:uid="{00000000-0005-0000-0000-00005B790000}"/>
    <cellStyle name="Normal 8 2 3 3 2 5 3" xfId="12079" xr:uid="{00000000-0005-0000-0000-00005C790000}"/>
    <cellStyle name="Normal 8 2 3 3 2 5 3 2" xfId="30261" xr:uid="{00000000-0005-0000-0000-00005D790000}"/>
    <cellStyle name="Normal 8 2 3 3 2 5 4" xfId="21171" xr:uid="{00000000-0005-0000-0000-00005E790000}"/>
    <cellStyle name="Normal 8 2 3 3 2 6" xfId="4550" xr:uid="{00000000-0005-0000-0000-00005F790000}"/>
    <cellStyle name="Normal 8 2 3 3 2 6 2" xfId="9106" xr:uid="{00000000-0005-0000-0000-000060790000}"/>
    <cellStyle name="Normal 8 2 3 3 2 6 2 2" xfId="18202" xr:uid="{00000000-0005-0000-0000-000061790000}"/>
    <cellStyle name="Normal 8 2 3 3 2 6 2 2 2" xfId="36384" xr:uid="{00000000-0005-0000-0000-000062790000}"/>
    <cellStyle name="Normal 8 2 3 3 2 6 2 3" xfId="27294" xr:uid="{00000000-0005-0000-0000-000063790000}"/>
    <cellStyle name="Normal 8 2 3 3 2 6 3" xfId="13662" xr:uid="{00000000-0005-0000-0000-000064790000}"/>
    <cellStyle name="Normal 8 2 3 3 2 6 3 2" xfId="31844" xr:uid="{00000000-0005-0000-0000-000065790000}"/>
    <cellStyle name="Normal 8 2 3 3 2 6 4" xfId="22754" xr:uid="{00000000-0005-0000-0000-000066790000}"/>
    <cellStyle name="Normal 8 2 3 3 2 7" xfId="6189" xr:uid="{00000000-0005-0000-0000-000067790000}"/>
    <cellStyle name="Normal 8 2 3 3 2 7 2" xfId="15289" xr:uid="{00000000-0005-0000-0000-000068790000}"/>
    <cellStyle name="Normal 8 2 3 3 2 7 2 2" xfId="33471" xr:uid="{00000000-0005-0000-0000-000069790000}"/>
    <cellStyle name="Normal 8 2 3 3 2 7 3" xfId="24381" xr:uid="{00000000-0005-0000-0000-00006A790000}"/>
    <cellStyle name="Normal 8 2 3 3 2 8" xfId="10755" xr:uid="{00000000-0005-0000-0000-00006B790000}"/>
    <cellStyle name="Normal 8 2 3 3 2 8 2" xfId="28937" xr:uid="{00000000-0005-0000-0000-00006C790000}"/>
    <cellStyle name="Normal 8 2 3 3 2 9" xfId="19846" xr:uid="{00000000-0005-0000-0000-00006D790000}"/>
    <cellStyle name="Normal 8 2 3 3 3" xfId="1555" xr:uid="{00000000-0005-0000-0000-00006E790000}"/>
    <cellStyle name="Normal 8 2 3 3 3 2" xfId="1556" xr:uid="{00000000-0005-0000-0000-00006F790000}"/>
    <cellStyle name="Normal 8 2 3 3 3 2 2" xfId="2936" xr:uid="{00000000-0005-0000-0000-000070790000}"/>
    <cellStyle name="Normal 8 2 3 3 3 2 2 2" xfId="7516" xr:uid="{00000000-0005-0000-0000-000071790000}"/>
    <cellStyle name="Normal 8 2 3 3 3 2 2 2 2" xfId="16616" xr:uid="{00000000-0005-0000-0000-000072790000}"/>
    <cellStyle name="Normal 8 2 3 3 3 2 2 2 2 2" xfId="34798" xr:uid="{00000000-0005-0000-0000-000073790000}"/>
    <cellStyle name="Normal 8 2 3 3 3 2 2 2 3" xfId="25708" xr:uid="{00000000-0005-0000-0000-000074790000}"/>
    <cellStyle name="Normal 8 2 3 3 3 2 2 3" xfId="12080" xr:uid="{00000000-0005-0000-0000-000075790000}"/>
    <cellStyle name="Normal 8 2 3 3 3 2 2 3 2" xfId="30262" xr:uid="{00000000-0005-0000-0000-000076790000}"/>
    <cellStyle name="Normal 8 2 3 3 3 2 2 4" xfId="21172" xr:uid="{00000000-0005-0000-0000-000077790000}"/>
    <cellStyle name="Normal 8 2 3 3 3 2 3" xfId="4556" xr:uid="{00000000-0005-0000-0000-000078790000}"/>
    <cellStyle name="Normal 8 2 3 3 3 2 3 2" xfId="9112" xr:uid="{00000000-0005-0000-0000-000079790000}"/>
    <cellStyle name="Normal 8 2 3 3 3 2 3 2 2" xfId="18208" xr:uid="{00000000-0005-0000-0000-00007A790000}"/>
    <cellStyle name="Normal 8 2 3 3 3 2 3 2 2 2" xfId="36390" xr:uid="{00000000-0005-0000-0000-00007B790000}"/>
    <cellStyle name="Normal 8 2 3 3 3 2 3 2 3" xfId="27300" xr:uid="{00000000-0005-0000-0000-00007C790000}"/>
    <cellStyle name="Normal 8 2 3 3 3 2 3 3" xfId="13668" xr:uid="{00000000-0005-0000-0000-00007D790000}"/>
    <cellStyle name="Normal 8 2 3 3 3 2 3 3 2" xfId="31850" xr:uid="{00000000-0005-0000-0000-00007E790000}"/>
    <cellStyle name="Normal 8 2 3 3 3 2 3 4" xfId="22760" xr:uid="{00000000-0005-0000-0000-00007F790000}"/>
    <cellStyle name="Normal 8 2 3 3 3 2 4" xfId="6195" xr:uid="{00000000-0005-0000-0000-000080790000}"/>
    <cellStyle name="Normal 8 2 3 3 3 2 4 2" xfId="15295" xr:uid="{00000000-0005-0000-0000-000081790000}"/>
    <cellStyle name="Normal 8 2 3 3 3 2 4 2 2" xfId="33477" xr:uid="{00000000-0005-0000-0000-000082790000}"/>
    <cellStyle name="Normal 8 2 3 3 3 2 4 3" xfId="24387" xr:uid="{00000000-0005-0000-0000-000083790000}"/>
    <cellStyle name="Normal 8 2 3 3 3 2 5" xfId="10761" xr:uid="{00000000-0005-0000-0000-000084790000}"/>
    <cellStyle name="Normal 8 2 3 3 3 2 5 2" xfId="28943" xr:uid="{00000000-0005-0000-0000-000085790000}"/>
    <cellStyle name="Normal 8 2 3 3 3 2 6" xfId="19852" xr:uid="{00000000-0005-0000-0000-000086790000}"/>
    <cellStyle name="Normal 8 2 3 3 3 3" xfId="2937" xr:uid="{00000000-0005-0000-0000-000087790000}"/>
    <cellStyle name="Normal 8 2 3 3 3 3 2" xfId="7517" xr:uid="{00000000-0005-0000-0000-000088790000}"/>
    <cellStyle name="Normal 8 2 3 3 3 3 2 2" xfId="16617" xr:uid="{00000000-0005-0000-0000-000089790000}"/>
    <cellStyle name="Normal 8 2 3 3 3 3 2 2 2" xfId="34799" xr:uid="{00000000-0005-0000-0000-00008A790000}"/>
    <cellStyle name="Normal 8 2 3 3 3 3 2 3" xfId="25709" xr:uid="{00000000-0005-0000-0000-00008B790000}"/>
    <cellStyle name="Normal 8 2 3 3 3 3 3" xfId="12081" xr:uid="{00000000-0005-0000-0000-00008C790000}"/>
    <cellStyle name="Normal 8 2 3 3 3 3 3 2" xfId="30263" xr:uid="{00000000-0005-0000-0000-00008D790000}"/>
    <cellStyle name="Normal 8 2 3 3 3 3 4" xfId="21173" xr:uid="{00000000-0005-0000-0000-00008E790000}"/>
    <cellStyle name="Normal 8 2 3 3 3 4" xfId="4555" xr:uid="{00000000-0005-0000-0000-00008F790000}"/>
    <cellStyle name="Normal 8 2 3 3 3 4 2" xfId="9111" xr:uid="{00000000-0005-0000-0000-000090790000}"/>
    <cellStyle name="Normal 8 2 3 3 3 4 2 2" xfId="18207" xr:uid="{00000000-0005-0000-0000-000091790000}"/>
    <cellStyle name="Normal 8 2 3 3 3 4 2 2 2" xfId="36389" xr:uid="{00000000-0005-0000-0000-000092790000}"/>
    <cellStyle name="Normal 8 2 3 3 3 4 2 3" xfId="27299" xr:uid="{00000000-0005-0000-0000-000093790000}"/>
    <cellStyle name="Normal 8 2 3 3 3 4 3" xfId="13667" xr:uid="{00000000-0005-0000-0000-000094790000}"/>
    <cellStyle name="Normal 8 2 3 3 3 4 3 2" xfId="31849" xr:uid="{00000000-0005-0000-0000-000095790000}"/>
    <cellStyle name="Normal 8 2 3 3 3 4 4" xfId="22759" xr:uid="{00000000-0005-0000-0000-000096790000}"/>
    <cellStyle name="Normal 8 2 3 3 3 5" xfId="6194" xr:uid="{00000000-0005-0000-0000-000097790000}"/>
    <cellStyle name="Normal 8 2 3 3 3 5 2" xfId="15294" xr:uid="{00000000-0005-0000-0000-000098790000}"/>
    <cellStyle name="Normal 8 2 3 3 3 5 2 2" xfId="33476" xr:uid="{00000000-0005-0000-0000-000099790000}"/>
    <cellStyle name="Normal 8 2 3 3 3 5 3" xfId="24386" xr:uid="{00000000-0005-0000-0000-00009A790000}"/>
    <cellStyle name="Normal 8 2 3 3 3 6" xfId="10760" xr:uid="{00000000-0005-0000-0000-00009B790000}"/>
    <cellStyle name="Normal 8 2 3 3 3 6 2" xfId="28942" xr:uid="{00000000-0005-0000-0000-00009C790000}"/>
    <cellStyle name="Normal 8 2 3 3 3 7" xfId="19851" xr:uid="{00000000-0005-0000-0000-00009D790000}"/>
    <cellStyle name="Normal 8 2 3 3 4" xfId="1557" xr:uid="{00000000-0005-0000-0000-00009E790000}"/>
    <cellStyle name="Normal 8 2 3 3 4 2" xfId="2938" xr:uid="{00000000-0005-0000-0000-00009F790000}"/>
    <cellStyle name="Normal 8 2 3 3 4 2 2" xfId="7518" xr:uid="{00000000-0005-0000-0000-0000A0790000}"/>
    <cellStyle name="Normal 8 2 3 3 4 2 2 2" xfId="16618" xr:uid="{00000000-0005-0000-0000-0000A1790000}"/>
    <cellStyle name="Normal 8 2 3 3 4 2 2 2 2" xfId="34800" xr:uid="{00000000-0005-0000-0000-0000A2790000}"/>
    <cellStyle name="Normal 8 2 3 3 4 2 2 3" xfId="25710" xr:uid="{00000000-0005-0000-0000-0000A3790000}"/>
    <cellStyle name="Normal 8 2 3 3 4 2 3" xfId="12082" xr:uid="{00000000-0005-0000-0000-0000A4790000}"/>
    <cellStyle name="Normal 8 2 3 3 4 2 3 2" xfId="30264" xr:uid="{00000000-0005-0000-0000-0000A5790000}"/>
    <cellStyle name="Normal 8 2 3 3 4 2 4" xfId="21174" xr:uid="{00000000-0005-0000-0000-0000A6790000}"/>
    <cellStyle name="Normal 8 2 3 3 4 3" xfId="4557" xr:uid="{00000000-0005-0000-0000-0000A7790000}"/>
    <cellStyle name="Normal 8 2 3 3 4 3 2" xfId="9113" xr:uid="{00000000-0005-0000-0000-0000A8790000}"/>
    <cellStyle name="Normal 8 2 3 3 4 3 2 2" xfId="18209" xr:uid="{00000000-0005-0000-0000-0000A9790000}"/>
    <cellStyle name="Normal 8 2 3 3 4 3 2 2 2" xfId="36391" xr:uid="{00000000-0005-0000-0000-0000AA790000}"/>
    <cellStyle name="Normal 8 2 3 3 4 3 2 3" xfId="27301" xr:uid="{00000000-0005-0000-0000-0000AB790000}"/>
    <cellStyle name="Normal 8 2 3 3 4 3 3" xfId="13669" xr:uid="{00000000-0005-0000-0000-0000AC790000}"/>
    <cellStyle name="Normal 8 2 3 3 4 3 3 2" xfId="31851" xr:uid="{00000000-0005-0000-0000-0000AD790000}"/>
    <cellStyle name="Normal 8 2 3 3 4 3 4" xfId="22761" xr:uid="{00000000-0005-0000-0000-0000AE790000}"/>
    <cellStyle name="Normal 8 2 3 3 4 4" xfId="6196" xr:uid="{00000000-0005-0000-0000-0000AF790000}"/>
    <cellStyle name="Normal 8 2 3 3 4 4 2" xfId="15296" xr:uid="{00000000-0005-0000-0000-0000B0790000}"/>
    <cellStyle name="Normal 8 2 3 3 4 4 2 2" xfId="33478" xr:uid="{00000000-0005-0000-0000-0000B1790000}"/>
    <cellStyle name="Normal 8 2 3 3 4 4 3" xfId="24388" xr:uid="{00000000-0005-0000-0000-0000B2790000}"/>
    <cellStyle name="Normal 8 2 3 3 4 5" xfId="10762" xr:uid="{00000000-0005-0000-0000-0000B3790000}"/>
    <cellStyle name="Normal 8 2 3 3 4 5 2" xfId="28944" xr:uid="{00000000-0005-0000-0000-0000B4790000}"/>
    <cellStyle name="Normal 8 2 3 3 4 6" xfId="19853" xr:uid="{00000000-0005-0000-0000-0000B5790000}"/>
    <cellStyle name="Normal 8 2 3 3 5" xfId="1558" xr:uid="{00000000-0005-0000-0000-0000B6790000}"/>
    <cellStyle name="Normal 8 2 3 3 5 2" xfId="4558" xr:uid="{00000000-0005-0000-0000-0000B7790000}"/>
    <cellStyle name="Normal 8 2 3 3 5 2 2" xfId="9114" xr:uid="{00000000-0005-0000-0000-0000B8790000}"/>
    <cellStyle name="Normal 8 2 3 3 5 2 2 2" xfId="18210" xr:uid="{00000000-0005-0000-0000-0000B9790000}"/>
    <cellStyle name="Normal 8 2 3 3 5 2 2 2 2" xfId="36392" xr:uid="{00000000-0005-0000-0000-0000BA790000}"/>
    <cellStyle name="Normal 8 2 3 3 5 2 2 3" xfId="27302" xr:uid="{00000000-0005-0000-0000-0000BB790000}"/>
    <cellStyle name="Normal 8 2 3 3 5 2 3" xfId="13670" xr:uid="{00000000-0005-0000-0000-0000BC790000}"/>
    <cellStyle name="Normal 8 2 3 3 5 2 3 2" xfId="31852" xr:uid="{00000000-0005-0000-0000-0000BD790000}"/>
    <cellStyle name="Normal 8 2 3 3 5 2 4" xfId="22762" xr:uid="{00000000-0005-0000-0000-0000BE790000}"/>
    <cellStyle name="Normal 8 2 3 3 5 3" xfId="6197" xr:uid="{00000000-0005-0000-0000-0000BF790000}"/>
    <cellStyle name="Normal 8 2 3 3 5 3 2" xfId="15297" xr:uid="{00000000-0005-0000-0000-0000C0790000}"/>
    <cellStyle name="Normal 8 2 3 3 5 3 2 2" xfId="33479" xr:uid="{00000000-0005-0000-0000-0000C1790000}"/>
    <cellStyle name="Normal 8 2 3 3 5 3 3" xfId="24389" xr:uid="{00000000-0005-0000-0000-0000C2790000}"/>
    <cellStyle name="Normal 8 2 3 3 5 4" xfId="10763" xr:uid="{00000000-0005-0000-0000-0000C3790000}"/>
    <cellStyle name="Normal 8 2 3 3 5 4 2" xfId="28945" xr:uid="{00000000-0005-0000-0000-0000C4790000}"/>
    <cellStyle name="Normal 8 2 3 3 5 5" xfId="19854" xr:uid="{00000000-0005-0000-0000-0000C5790000}"/>
    <cellStyle name="Normal 8 2 3 3 6" xfId="2939" xr:uid="{00000000-0005-0000-0000-0000C6790000}"/>
    <cellStyle name="Normal 8 2 3 3 6 2" xfId="7519" xr:uid="{00000000-0005-0000-0000-0000C7790000}"/>
    <cellStyle name="Normal 8 2 3 3 6 2 2" xfId="16619" xr:uid="{00000000-0005-0000-0000-0000C8790000}"/>
    <cellStyle name="Normal 8 2 3 3 6 2 2 2" xfId="34801" xr:uid="{00000000-0005-0000-0000-0000C9790000}"/>
    <cellStyle name="Normal 8 2 3 3 6 2 3" xfId="25711" xr:uid="{00000000-0005-0000-0000-0000CA790000}"/>
    <cellStyle name="Normal 8 2 3 3 6 3" xfId="12083" xr:uid="{00000000-0005-0000-0000-0000CB790000}"/>
    <cellStyle name="Normal 8 2 3 3 6 3 2" xfId="30265" xr:uid="{00000000-0005-0000-0000-0000CC790000}"/>
    <cellStyle name="Normal 8 2 3 3 6 4" xfId="21175" xr:uid="{00000000-0005-0000-0000-0000CD790000}"/>
    <cellStyle name="Normal 8 2 3 3 7" xfId="4549" xr:uid="{00000000-0005-0000-0000-0000CE790000}"/>
    <cellStyle name="Normal 8 2 3 3 7 2" xfId="9105" xr:uid="{00000000-0005-0000-0000-0000CF790000}"/>
    <cellStyle name="Normal 8 2 3 3 7 2 2" xfId="18201" xr:uid="{00000000-0005-0000-0000-0000D0790000}"/>
    <cellStyle name="Normal 8 2 3 3 7 2 2 2" xfId="36383" xr:uid="{00000000-0005-0000-0000-0000D1790000}"/>
    <cellStyle name="Normal 8 2 3 3 7 2 3" xfId="27293" xr:uid="{00000000-0005-0000-0000-0000D2790000}"/>
    <cellStyle name="Normal 8 2 3 3 7 3" xfId="13661" xr:uid="{00000000-0005-0000-0000-0000D3790000}"/>
    <cellStyle name="Normal 8 2 3 3 7 3 2" xfId="31843" xr:uid="{00000000-0005-0000-0000-0000D4790000}"/>
    <cellStyle name="Normal 8 2 3 3 7 4" xfId="22753" xr:uid="{00000000-0005-0000-0000-0000D5790000}"/>
    <cellStyle name="Normal 8 2 3 3 8" xfId="6188" xr:uid="{00000000-0005-0000-0000-0000D6790000}"/>
    <cellStyle name="Normal 8 2 3 3 8 2" xfId="15288" xr:uid="{00000000-0005-0000-0000-0000D7790000}"/>
    <cellStyle name="Normal 8 2 3 3 8 2 2" xfId="33470" xr:uid="{00000000-0005-0000-0000-0000D8790000}"/>
    <cellStyle name="Normal 8 2 3 3 8 3" xfId="24380" xr:uid="{00000000-0005-0000-0000-0000D9790000}"/>
    <cellStyle name="Normal 8 2 3 3 9" xfId="10754" xr:uid="{00000000-0005-0000-0000-0000DA790000}"/>
    <cellStyle name="Normal 8 2 3 3 9 2" xfId="28936" xr:uid="{00000000-0005-0000-0000-0000DB790000}"/>
    <cellStyle name="Normal 8 2 3 4" xfId="1559" xr:uid="{00000000-0005-0000-0000-0000DC790000}"/>
    <cellStyle name="Normal 8 2 3 4 2" xfId="1560" xr:uid="{00000000-0005-0000-0000-0000DD790000}"/>
    <cellStyle name="Normal 8 2 3 4 2 2" xfId="1561" xr:uid="{00000000-0005-0000-0000-0000DE790000}"/>
    <cellStyle name="Normal 8 2 3 4 2 2 2" xfId="2940" xr:uid="{00000000-0005-0000-0000-0000DF790000}"/>
    <cellStyle name="Normal 8 2 3 4 2 2 2 2" xfId="7520" xr:uid="{00000000-0005-0000-0000-0000E0790000}"/>
    <cellStyle name="Normal 8 2 3 4 2 2 2 2 2" xfId="16620" xr:uid="{00000000-0005-0000-0000-0000E1790000}"/>
    <cellStyle name="Normal 8 2 3 4 2 2 2 2 2 2" xfId="34802" xr:uid="{00000000-0005-0000-0000-0000E2790000}"/>
    <cellStyle name="Normal 8 2 3 4 2 2 2 2 3" xfId="25712" xr:uid="{00000000-0005-0000-0000-0000E3790000}"/>
    <cellStyle name="Normal 8 2 3 4 2 2 2 3" xfId="12084" xr:uid="{00000000-0005-0000-0000-0000E4790000}"/>
    <cellStyle name="Normal 8 2 3 4 2 2 2 3 2" xfId="30266" xr:uid="{00000000-0005-0000-0000-0000E5790000}"/>
    <cellStyle name="Normal 8 2 3 4 2 2 2 4" xfId="21176" xr:uid="{00000000-0005-0000-0000-0000E6790000}"/>
    <cellStyle name="Normal 8 2 3 4 2 2 3" xfId="4561" xr:uid="{00000000-0005-0000-0000-0000E7790000}"/>
    <cellStyle name="Normal 8 2 3 4 2 2 3 2" xfId="9117" xr:uid="{00000000-0005-0000-0000-0000E8790000}"/>
    <cellStyle name="Normal 8 2 3 4 2 2 3 2 2" xfId="18213" xr:uid="{00000000-0005-0000-0000-0000E9790000}"/>
    <cellStyle name="Normal 8 2 3 4 2 2 3 2 2 2" xfId="36395" xr:uid="{00000000-0005-0000-0000-0000EA790000}"/>
    <cellStyle name="Normal 8 2 3 4 2 2 3 2 3" xfId="27305" xr:uid="{00000000-0005-0000-0000-0000EB790000}"/>
    <cellStyle name="Normal 8 2 3 4 2 2 3 3" xfId="13673" xr:uid="{00000000-0005-0000-0000-0000EC790000}"/>
    <cellStyle name="Normal 8 2 3 4 2 2 3 3 2" xfId="31855" xr:uid="{00000000-0005-0000-0000-0000ED790000}"/>
    <cellStyle name="Normal 8 2 3 4 2 2 3 4" xfId="22765" xr:uid="{00000000-0005-0000-0000-0000EE790000}"/>
    <cellStyle name="Normal 8 2 3 4 2 2 4" xfId="6200" xr:uid="{00000000-0005-0000-0000-0000EF790000}"/>
    <cellStyle name="Normal 8 2 3 4 2 2 4 2" xfId="15300" xr:uid="{00000000-0005-0000-0000-0000F0790000}"/>
    <cellStyle name="Normal 8 2 3 4 2 2 4 2 2" xfId="33482" xr:uid="{00000000-0005-0000-0000-0000F1790000}"/>
    <cellStyle name="Normal 8 2 3 4 2 2 4 3" xfId="24392" xr:uid="{00000000-0005-0000-0000-0000F2790000}"/>
    <cellStyle name="Normal 8 2 3 4 2 2 5" xfId="10766" xr:uid="{00000000-0005-0000-0000-0000F3790000}"/>
    <cellStyle name="Normal 8 2 3 4 2 2 5 2" xfId="28948" xr:uid="{00000000-0005-0000-0000-0000F4790000}"/>
    <cellStyle name="Normal 8 2 3 4 2 2 6" xfId="19857" xr:uid="{00000000-0005-0000-0000-0000F5790000}"/>
    <cellStyle name="Normal 8 2 3 4 2 3" xfId="2941" xr:uid="{00000000-0005-0000-0000-0000F6790000}"/>
    <cellStyle name="Normal 8 2 3 4 2 3 2" xfId="7521" xr:uid="{00000000-0005-0000-0000-0000F7790000}"/>
    <cellStyle name="Normal 8 2 3 4 2 3 2 2" xfId="16621" xr:uid="{00000000-0005-0000-0000-0000F8790000}"/>
    <cellStyle name="Normal 8 2 3 4 2 3 2 2 2" xfId="34803" xr:uid="{00000000-0005-0000-0000-0000F9790000}"/>
    <cellStyle name="Normal 8 2 3 4 2 3 2 3" xfId="25713" xr:uid="{00000000-0005-0000-0000-0000FA790000}"/>
    <cellStyle name="Normal 8 2 3 4 2 3 3" xfId="12085" xr:uid="{00000000-0005-0000-0000-0000FB790000}"/>
    <cellStyle name="Normal 8 2 3 4 2 3 3 2" xfId="30267" xr:uid="{00000000-0005-0000-0000-0000FC790000}"/>
    <cellStyle name="Normal 8 2 3 4 2 3 4" xfId="21177" xr:uid="{00000000-0005-0000-0000-0000FD790000}"/>
    <cellStyle name="Normal 8 2 3 4 2 4" xfId="4560" xr:uid="{00000000-0005-0000-0000-0000FE790000}"/>
    <cellStyle name="Normal 8 2 3 4 2 4 2" xfId="9116" xr:uid="{00000000-0005-0000-0000-0000FF790000}"/>
    <cellStyle name="Normal 8 2 3 4 2 4 2 2" xfId="18212" xr:uid="{00000000-0005-0000-0000-0000007A0000}"/>
    <cellStyle name="Normal 8 2 3 4 2 4 2 2 2" xfId="36394" xr:uid="{00000000-0005-0000-0000-0000017A0000}"/>
    <cellStyle name="Normal 8 2 3 4 2 4 2 3" xfId="27304" xr:uid="{00000000-0005-0000-0000-0000027A0000}"/>
    <cellStyle name="Normal 8 2 3 4 2 4 3" xfId="13672" xr:uid="{00000000-0005-0000-0000-0000037A0000}"/>
    <cellStyle name="Normal 8 2 3 4 2 4 3 2" xfId="31854" xr:uid="{00000000-0005-0000-0000-0000047A0000}"/>
    <cellStyle name="Normal 8 2 3 4 2 4 4" xfId="22764" xr:uid="{00000000-0005-0000-0000-0000057A0000}"/>
    <cellStyle name="Normal 8 2 3 4 2 5" xfId="6199" xr:uid="{00000000-0005-0000-0000-0000067A0000}"/>
    <cellStyle name="Normal 8 2 3 4 2 5 2" xfId="15299" xr:uid="{00000000-0005-0000-0000-0000077A0000}"/>
    <cellStyle name="Normal 8 2 3 4 2 5 2 2" xfId="33481" xr:uid="{00000000-0005-0000-0000-0000087A0000}"/>
    <cellStyle name="Normal 8 2 3 4 2 5 3" xfId="24391" xr:uid="{00000000-0005-0000-0000-0000097A0000}"/>
    <cellStyle name="Normal 8 2 3 4 2 6" xfId="10765" xr:uid="{00000000-0005-0000-0000-00000A7A0000}"/>
    <cellStyle name="Normal 8 2 3 4 2 6 2" xfId="28947" xr:uid="{00000000-0005-0000-0000-00000B7A0000}"/>
    <cellStyle name="Normal 8 2 3 4 2 7" xfId="19856" xr:uid="{00000000-0005-0000-0000-00000C7A0000}"/>
    <cellStyle name="Normal 8 2 3 4 3" xfId="1562" xr:uid="{00000000-0005-0000-0000-00000D7A0000}"/>
    <cellStyle name="Normal 8 2 3 4 3 2" xfId="2942" xr:uid="{00000000-0005-0000-0000-00000E7A0000}"/>
    <cellStyle name="Normal 8 2 3 4 3 2 2" xfId="7522" xr:uid="{00000000-0005-0000-0000-00000F7A0000}"/>
    <cellStyle name="Normal 8 2 3 4 3 2 2 2" xfId="16622" xr:uid="{00000000-0005-0000-0000-0000107A0000}"/>
    <cellStyle name="Normal 8 2 3 4 3 2 2 2 2" xfId="34804" xr:uid="{00000000-0005-0000-0000-0000117A0000}"/>
    <cellStyle name="Normal 8 2 3 4 3 2 2 3" xfId="25714" xr:uid="{00000000-0005-0000-0000-0000127A0000}"/>
    <cellStyle name="Normal 8 2 3 4 3 2 3" xfId="12086" xr:uid="{00000000-0005-0000-0000-0000137A0000}"/>
    <cellStyle name="Normal 8 2 3 4 3 2 3 2" xfId="30268" xr:uid="{00000000-0005-0000-0000-0000147A0000}"/>
    <cellStyle name="Normal 8 2 3 4 3 2 4" xfId="21178" xr:uid="{00000000-0005-0000-0000-0000157A0000}"/>
    <cellStyle name="Normal 8 2 3 4 3 3" xfId="4562" xr:uid="{00000000-0005-0000-0000-0000167A0000}"/>
    <cellStyle name="Normal 8 2 3 4 3 3 2" xfId="9118" xr:uid="{00000000-0005-0000-0000-0000177A0000}"/>
    <cellStyle name="Normal 8 2 3 4 3 3 2 2" xfId="18214" xr:uid="{00000000-0005-0000-0000-0000187A0000}"/>
    <cellStyle name="Normal 8 2 3 4 3 3 2 2 2" xfId="36396" xr:uid="{00000000-0005-0000-0000-0000197A0000}"/>
    <cellStyle name="Normal 8 2 3 4 3 3 2 3" xfId="27306" xr:uid="{00000000-0005-0000-0000-00001A7A0000}"/>
    <cellStyle name="Normal 8 2 3 4 3 3 3" xfId="13674" xr:uid="{00000000-0005-0000-0000-00001B7A0000}"/>
    <cellStyle name="Normal 8 2 3 4 3 3 3 2" xfId="31856" xr:uid="{00000000-0005-0000-0000-00001C7A0000}"/>
    <cellStyle name="Normal 8 2 3 4 3 3 4" xfId="22766" xr:uid="{00000000-0005-0000-0000-00001D7A0000}"/>
    <cellStyle name="Normal 8 2 3 4 3 4" xfId="6201" xr:uid="{00000000-0005-0000-0000-00001E7A0000}"/>
    <cellStyle name="Normal 8 2 3 4 3 4 2" xfId="15301" xr:uid="{00000000-0005-0000-0000-00001F7A0000}"/>
    <cellStyle name="Normal 8 2 3 4 3 4 2 2" xfId="33483" xr:uid="{00000000-0005-0000-0000-0000207A0000}"/>
    <cellStyle name="Normal 8 2 3 4 3 4 3" xfId="24393" xr:uid="{00000000-0005-0000-0000-0000217A0000}"/>
    <cellStyle name="Normal 8 2 3 4 3 5" xfId="10767" xr:uid="{00000000-0005-0000-0000-0000227A0000}"/>
    <cellStyle name="Normal 8 2 3 4 3 5 2" xfId="28949" xr:uid="{00000000-0005-0000-0000-0000237A0000}"/>
    <cellStyle name="Normal 8 2 3 4 3 6" xfId="19858" xr:uid="{00000000-0005-0000-0000-0000247A0000}"/>
    <cellStyle name="Normal 8 2 3 4 4" xfId="1563" xr:uid="{00000000-0005-0000-0000-0000257A0000}"/>
    <cellStyle name="Normal 8 2 3 4 4 2" xfId="4563" xr:uid="{00000000-0005-0000-0000-0000267A0000}"/>
    <cellStyle name="Normal 8 2 3 4 4 2 2" xfId="9119" xr:uid="{00000000-0005-0000-0000-0000277A0000}"/>
    <cellStyle name="Normal 8 2 3 4 4 2 2 2" xfId="18215" xr:uid="{00000000-0005-0000-0000-0000287A0000}"/>
    <cellStyle name="Normal 8 2 3 4 4 2 2 2 2" xfId="36397" xr:uid="{00000000-0005-0000-0000-0000297A0000}"/>
    <cellStyle name="Normal 8 2 3 4 4 2 2 3" xfId="27307" xr:uid="{00000000-0005-0000-0000-00002A7A0000}"/>
    <cellStyle name="Normal 8 2 3 4 4 2 3" xfId="13675" xr:uid="{00000000-0005-0000-0000-00002B7A0000}"/>
    <cellStyle name="Normal 8 2 3 4 4 2 3 2" xfId="31857" xr:uid="{00000000-0005-0000-0000-00002C7A0000}"/>
    <cellStyle name="Normal 8 2 3 4 4 2 4" xfId="22767" xr:uid="{00000000-0005-0000-0000-00002D7A0000}"/>
    <cellStyle name="Normal 8 2 3 4 4 3" xfId="6202" xr:uid="{00000000-0005-0000-0000-00002E7A0000}"/>
    <cellStyle name="Normal 8 2 3 4 4 3 2" xfId="15302" xr:uid="{00000000-0005-0000-0000-00002F7A0000}"/>
    <cellStyle name="Normal 8 2 3 4 4 3 2 2" xfId="33484" xr:uid="{00000000-0005-0000-0000-0000307A0000}"/>
    <cellStyle name="Normal 8 2 3 4 4 3 3" xfId="24394" xr:uid="{00000000-0005-0000-0000-0000317A0000}"/>
    <cellStyle name="Normal 8 2 3 4 4 4" xfId="10768" xr:uid="{00000000-0005-0000-0000-0000327A0000}"/>
    <cellStyle name="Normal 8 2 3 4 4 4 2" xfId="28950" xr:uid="{00000000-0005-0000-0000-0000337A0000}"/>
    <cellStyle name="Normal 8 2 3 4 4 5" xfId="19859" xr:uid="{00000000-0005-0000-0000-0000347A0000}"/>
    <cellStyle name="Normal 8 2 3 4 5" xfId="2943" xr:uid="{00000000-0005-0000-0000-0000357A0000}"/>
    <cellStyle name="Normal 8 2 3 4 5 2" xfId="7523" xr:uid="{00000000-0005-0000-0000-0000367A0000}"/>
    <cellStyle name="Normal 8 2 3 4 5 2 2" xfId="16623" xr:uid="{00000000-0005-0000-0000-0000377A0000}"/>
    <cellStyle name="Normal 8 2 3 4 5 2 2 2" xfId="34805" xr:uid="{00000000-0005-0000-0000-0000387A0000}"/>
    <cellStyle name="Normal 8 2 3 4 5 2 3" xfId="25715" xr:uid="{00000000-0005-0000-0000-0000397A0000}"/>
    <cellStyle name="Normal 8 2 3 4 5 3" xfId="12087" xr:uid="{00000000-0005-0000-0000-00003A7A0000}"/>
    <cellStyle name="Normal 8 2 3 4 5 3 2" xfId="30269" xr:uid="{00000000-0005-0000-0000-00003B7A0000}"/>
    <cellStyle name="Normal 8 2 3 4 5 4" xfId="21179" xr:uid="{00000000-0005-0000-0000-00003C7A0000}"/>
    <cellStyle name="Normal 8 2 3 4 6" xfId="4559" xr:uid="{00000000-0005-0000-0000-00003D7A0000}"/>
    <cellStyle name="Normal 8 2 3 4 6 2" xfId="9115" xr:uid="{00000000-0005-0000-0000-00003E7A0000}"/>
    <cellStyle name="Normal 8 2 3 4 6 2 2" xfId="18211" xr:uid="{00000000-0005-0000-0000-00003F7A0000}"/>
    <cellStyle name="Normal 8 2 3 4 6 2 2 2" xfId="36393" xr:uid="{00000000-0005-0000-0000-0000407A0000}"/>
    <cellStyle name="Normal 8 2 3 4 6 2 3" xfId="27303" xr:uid="{00000000-0005-0000-0000-0000417A0000}"/>
    <cellStyle name="Normal 8 2 3 4 6 3" xfId="13671" xr:uid="{00000000-0005-0000-0000-0000427A0000}"/>
    <cellStyle name="Normal 8 2 3 4 6 3 2" xfId="31853" xr:uid="{00000000-0005-0000-0000-0000437A0000}"/>
    <cellStyle name="Normal 8 2 3 4 6 4" xfId="22763" xr:uid="{00000000-0005-0000-0000-0000447A0000}"/>
    <cellStyle name="Normal 8 2 3 4 7" xfId="6198" xr:uid="{00000000-0005-0000-0000-0000457A0000}"/>
    <cellStyle name="Normal 8 2 3 4 7 2" xfId="15298" xr:uid="{00000000-0005-0000-0000-0000467A0000}"/>
    <cellStyle name="Normal 8 2 3 4 7 2 2" xfId="33480" xr:uid="{00000000-0005-0000-0000-0000477A0000}"/>
    <cellStyle name="Normal 8 2 3 4 7 3" xfId="24390" xr:uid="{00000000-0005-0000-0000-0000487A0000}"/>
    <cellStyle name="Normal 8 2 3 4 8" xfId="10764" xr:uid="{00000000-0005-0000-0000-0000497A0000}"/>
    <cellStyle name="Normal 8 2 3 4 8 2" xfId="28946" xr:uid="{00000000-0005-0000-0000-00004A7A0000}"/>
    <cellStyle name="Normal 8 2 3 4 9" xfId="19855" xr:uid="{00000000-0005-0000-0000-00004B7A0000}"/>
    <cellStyle name="Normal 8 2 3 5" xfId="1564" xr:uid="{00000000-0005-0000-0000-00004C7A0000}"/>
    <cellStyle name="Normal 8 2 3 5 2" xfId="1565" xr:uid="{00000000-0005-0000-0000-00004D7A0000}"/>
    <cellStyle name="Normal 8 2 3 5 2 2" xfId="2944" xr:uid="{00000000-0005-0000-0000-00004E7A0000}"/>
    <cellStyle name="Normal 8 2 3 5 2 2 2" xfId="7524" xr:uid="{00000000-0005-0000-0000-00004F7A0000}"/>
    <cellStyle name="Normal 8 2 3 5 2 2 2 2" xfId="16624" xr:uid="{00000000-0005-0000-0000-0000507A0000}"/>
    <cellStyle name="Normal 8 2 3 5 2 2 2 2 2" xfId="34806" xr:uid="{00000000-0005-0000-0000-0000517A0000}"/>
    <cellStyle name="Normal 8 2 3 5 2 2 2 3" xfId="25716" xr:uid="{00000000-0005-0000-0000-0000527A0000}"/>
    <cellStyle name="Normal 8 2 3 5 2 2 3" xfId="12088" xr:uid="{00000000-0005-0000-0000-0000537A0000}"/>
    <cellStyle name="Normal 8 2 3 5 2 2 3 2" xfId="30270" xr:uid="{00000000-0005-0000-0000-0000547A0000}"/>
    <cellStyle name="Normal 8 2 3 5 2 2 4" xfId="21180" xr:uid="{00000000-0005-0000-0000-0000557A0000}"/>
    <cellStyle name="Normal 8 2 3 5 2 3" xfId="4565" xr:uid="{00000000-0005-0000-0000-0000567A0000}"/>
    <cellStyle name="Normal 8 2 3 5 2 3 2" xfId="9121" xr:uid="{00000000-0005-0000-0000-0000577A0000}"/>
    <cellStyle name="Normal 8 2 3 5 2 3 2 2" xfId="18217" xr:uid="{00000000-0005-0000-0000-0000587A0000}"/>
    <cellStyle name="Normal 8 2 3 5 2 3 2 2 2" xfId="36399" xr:uid="{00000000-0005-0000-0000-0000597A0000}"/>
    <cellStyle name="Normal 8 2 3 5 2 3 2 3" xfId="27309" xr:uid="{00000000-0005-0000-0000-00005A7A0000}"/>
    <cellStyle name="Normal 8 2 3 5 2 3 3" xfId="13677" xr:uid="{00000000-0005-0000-0000-00005B7A0000}"/>
    <cellStyle name="Normal 8 2 3 5 2 3 3 2" xfId="31859" xr:uid="{00000000-0005-0000-0000-00005C7A0000}"/>
    <cellStyle name="Normal 8 2 3 5 2 3 4" xfId="22769" xr:uid="{00000000-0005-0000-0000-00005D7A0000}"/>
    <cellStyle name="Normal 8 2 3 5 2 4" xfId="6204" xr:uid="{00000000-0005-0000-0000-00005E7A0000}"/>
    <cellStyle name="Normal 8 2 3 5 2 4 2" xfId="15304" xr:uid="{00000000-0005-0000-0000-00005F7A0000}"/>
    <cellStyle name="Normal 8 2 3 5 2 4 2 2" xfId="33486" xr:uid="{00000000-0005-0000-0000-0000607A0000}"/>
    <cellStyle name="Normal 8 2 3 5 2 4 3" xfId="24396" xr:uid="{00000000-0005-0000-0000-0000617A0000}"/>
    <cellStyle name="Normal 8 2 3 5 2 5" xfId="10770" xr:uid="{00000000-0005-0000-0000-0000627A0000}"/>
    <cellStyle name="Normal 8 2 3 5 2 5 2" xfId="28952" xr:uid="{00000000-0005-0000-0000-0000637A0000}"/>
    <cellStyle name="Normal 8 2 3 5 2 6" xfId="19861" xr:uid="{00000000-0005-0000-0000-0000647A0000}"/>
    <cellStyle name="Normal 8 2 3 5 3" xfId="2945" xr:uid="{00000000-0005-0000-0000-0000657A0000}"/>
    <cellStyle name="Normal 8 2 3 5 3 2" xfId="7525" xr:uid="{00000000-0005-0000-0000-0000667A0000}"/>
    <cellStyle name="Normal 8 2 3 5 3 2 2" xfId="16625" xr:uid="{00000000-0005-0000-0000-0000677A0000}"/>
    <cellStyle name="Normal 8 2 3 5 3 2 2 2" xfId="34807" xr:uid="{00000000-0005-0000-0000-0000687A0000}"/>
    <cellStyle name="Normal 8 2 3 5 3 2 3" xfId="25717" xr:uid="{00000000-0005-0000-0000-0000697A0000}"/>
    <cellStyle name="Normal 8 2 3 5 3 3" xfId="12089" xr:uid="{00000000-0005-0000-0000-00006A7A0000}"/>
    <cellStyle name="Normal 8 2 3 5 3 3 2" xfId="30271" xr:uid="{00000000-0005-0000-0000-00006B7A0000}"/>
    <cellStyle name="Normal 8 2 3 5 3 4" xfId="21181" xr:uid="{00000000-0005-0000-0000-00006C7A0000}"/>
    <cellStyle name="Normal 8 2 3 5 4" xfId="4564" xr:uid="{00000000-0005-0000-0000-00006D7A0000}"/>
    <cellStyle name="Normal 8 2 3 5 4 2" xfId="9120" xr:uid="{00000000-0005-0000-0000-00006E7A0000}"/>
    <cellStyle name="Normal 8 2 3 5 4 2 2" xfId="18216" xr:uid="{00000000-0005-0000-0000-00006F7A0000}"/>
    <cellStyle name="Normal 8 2 3 5 4 2 2 2" xfId="36398" xr:uid="{00000000-0005-0000-0000-0000707A0000}"/>
    <cellStyle name="Normal 8 2 3 5 4 2 3" xfId="27308" xr:uid="{00000000-0005-0000-0000-0000717A0000}"/>
    <cellStyle name="Normal 8 2 3 5 4 3" xfId="13676" xr:uid="{00000000-0005-0000-0000-0000727A0000}"/>
    <cellStyle name="Normal 8 2 3 5 4 3 2" xfId="31858" xr:uid="{00000000-0005-0000-0000-0000737A0000}"/>
    <cellStyle name="Normal 8 2 3 5 4 4" xfId="22768" xr:uid="{00000000-0005-0000-0000-0000747A0000}"/>
    <cellStyle name="Normal 8 2 3 5 5" xfId="6203" xr:uid="{00000000-0005-0000-0000-0000757A0000}"/>
    <cellStyle name="Normal 8 2 3 5 5 2" xfId="15303" xr:uid="{00000000-0005-0000-0000-0000767A0000}"/>
    <cellStyle name="Normal 8 2 3 5 5 2 2" xfId="33485" xr:uid="{00000000-0005-0000-0000-0000777A0000}"/>
    <cellStyle name="Normal 8 2 3 5 5 3" xfId="24395" xr:uid="{00000000-0005-0000-0000-0000787A0000}"/>
    <cellStyle name="Normal 8 2 3 5 6" xfId="10769" xr:uid="{00000000-0005-0000-0000-0000797A0000}"/>
    <cellStyle name="Normal 8 2 3 5 6 2" xfId="28951" xr:uid="{00000000-0005-0000-0000-00007A7A0000}"/>
    <cellStyle name="Normal 8 2 3 5 7" xfId="19860" xr:uid="{00000000-0005-0000-0000-00007B7A0000}"/>
    <cellStyle name="Normal 8 2 3 6" xfId="1566" xr:uid="{00000000-0005-0000-0000-00007C7A0000}"/>
    <cellStyle name="Normal 8 2 3 6 2" xfId="2946" xr:uid="{00000000-0005-0000-0000-00007D7A0000}"/>
    <cellStyle name="Normal 8 2 3 6 2 2" xfId="7526" xr:uid="{00000000-0005-0000-0000-00007E7A0000}"/>
    <cellStyle name="Normal 8 2 3 6 2 2 2" xfId="16626" xr:uid="{00000000-0005-0000-0000-00007F7A0000}"/>
    <cellStyle name="Normal 8 2 3 6 2 2 2 2" xfId="34808" xr:uid="{00000000-0005-0000-0000-0000807A0000}"/>
    <cellStyle name="Normal 8 2 3 6 2 2 3" xfId="25718" xr:uid="{00000000-0005-0000-0000-0000817A0000}"/>
    <cellStyle name="Normal 8 2 3 6 2 3" xfId="12090" xr:uid="{00000000-0005-0000-0000-0000827A0000}"/>
    <cellStyle name="Normal 8 2 3 6 2 3 2" xfId="30272" xr:uid="{00000000-0005-0000-0000-0000837A0000}"/>
    <cellStyle name="Normal 8 2 3 6 2 4" xfId="21182" xr:uid="{00000000-0005-0000-0000-0000847A0000}"/>
    <cellStyle name="Normal 8 2 3 6 3" xfId="4566" xr:uid="{00000000-0005-0000-0000-0000857A0000}"/>
    <cellStyle name="Normal 8 2 3 6 3 2" xfId="9122" xr:uid="{00000000-0005-0000-0000-0000867A0000}"/>
    <cellStyle name="Normal 8 2 3 6 3 2 2" xfId="18218" xr:uid="{00000000-0005-0000-0000-0000877A0000}"/>
    <cellStyle name="Normal 8 2 3 6 3 2 2 2" xfId="36400" xr:uid="{00000000-0005-0000-0000-0000887A0000}"/>
    <cellStyle name="Normal 8 2 3 6 3 2 3" xfId="27310" xr:uid="{00000000-0005-0000-0000-0000897A0000}"/>
    <cellStyle name="Normal 8 2 3 6 3 3" xfId="13678" xr:uid="{00000000-0005-0000-0000-00008A7A0000}"/>
    <cellStyle name="Normal 8 2 3 6 3 3 2" xfId="31860" xr:uid="{00000000-0005-0000-0000-00008B7A0000}"/>
    <cellStyle name="Normal 8 2 3 6 3 4" xfId="22770" xr:uid="{00000000-0005-0000-0000-00008C7A0000}"/>
    <cellStyle name="Normal 8 2 3 6 4" xfId="6205" xr:uid="{00000000-0005-0000-0000-00008D7A0000}"/>
    <cellStyle name="Normal 8 2 3 6 4 2" xfId="15305" xr:uid="{00000000-0005-0000-0000-00008E7A0000}"/>
    <cellStyle name="Normal 8 2 3 6 4 2 2" xfId="33487" xr:uid="{00000000-0005-0000-0000-00008F7A0000}"/>
    <cellStyle name="Normal 8 2 3 6 4 3" xfId="24397" xr:uid="{00000000-0005-0000-0000-0000907A0000}"/>
    <cellStyle name="Normal 8 2 3 6 5" xfId="10771" xr:uid="{00000000-0005-0000-0000-0000917A0000}"/>
    <cellStyle name="Normal 8 2 3 6 5 2" xfId="28953" xr:uid="{00000000-0005-0000-0000-0000927A0000}"/>
    <cellStyle name="Normal 8 2 3 6 6" xfId="19862" xr:uid="{00000000-0005-0000-0000-0000937A0000}"/>
    <cellStyle name="Normal 8 2 3 7" xfId="1567" xr:uid="{00000000-0005-0000-0000-0000947A0000}"/>
    <cellStyle name="Normal 8 2 3 7 2" xfId="4567" xr:uid="{00000000-0005-0000-0000-0000957A0000}"/>
    <cellStyle name="Normal 8 2 3 7 2 2" xfId="9123" xr:uid="{00000000-0005-0000-0000-0000967A0000}"/>
    <cellStyle name="Normal 8 2 3 7 2 2 2" xfId="18219" xr:uid="{00000000-0005-0000-0000-0000977A0000}"/>
    <cellStyle name="Normal 8 2 3 7 2 2 2 2" xfId="36401" xr:uid="{00000000-0005-0000-0000-0000987A0000}"/>
    <cellStyle name="Normal 8 2 3 7 2 2 3" xfId="27311" xr:uid="{00000000-0005-0000-0000-0000997A0000}"/>
    <cellStyle name="Normal 8 2 3 7 2 3" xfId="13679" xr:uid="{00000000-0005-0000-0000-00009A7A0000}"/>
    <cellStyle name="Normal 8 2 3 7 2 3 2" xfId="31861" xr:uid="{00000000-0005-0000-0000-00009B7A0000}"/>
    <cellStyle name="Normal 8 2 3 7 2 4" xfId="22771" xr:uid="{00000000-0005-0000-0000-00009C7A0000}"/>
    <cellStyle name="Normal 8 2 3 7 3" xfId="6206" xr:uid="{00000000-0005-0000-0000-00009D7A0000}"/>
    <cellStyle name="Normal 8 2 3 7 3 2" xfId="15306" xr:uid="{00000000-0005-0000-0000-00009E7A0000}"/>
    <cellStyle name="Normal 8 2 3 7 3 2 2" xfId="33488" xr:uid="{00000000-0005-0000-0000-00009F7A0000}"/>
    <cellStyle name="Normal 8 2 3 7 3 3" xfId="24398" xr:uid="{00000000-0005-0000-0000-0000A07A0000}"/>
    <cellStyle name="Normal 8 2 3 7 4" xfId="10772" xr:uid="{00000000-0005-0000-0000-0000A17A0000}"/>
    <cellStyle name="Normal 8 2 3 7 4 2" xfId="28954" xr:uid="{00000000-0005-0000-0000-0000A27A0000}"/>
    <cellStyle name="Normal 8 2 3 7 5" xfId="19863" xr:uid="{00000000-0005-0000-0000-0000A37A0000}"/>
    <cellStyle name="Normal 8 2 3 8" xfId="2947" xr:uid="{00000000-0005-0000-0000-0000A47A0000}"/>
    <cellStyle name="Normal 8 2 3 8 2" xfId="7527" xr:uid="{00000000-0005-0000-0000-0000A57A0000}"/>
    <cellStyle name="Normal 8 2 3 8 2 2" xfId="16627" xr:uid="{00000000-0005-0000-0000-0000A67A0000}"/>
    <cellStyle name="Normal 8 2 3 8 2 2 2" xfId="34809" xr:uid="{00000000-0005-0000-0000-0000A77A0000}"/>
    <cellStyle name="Normal 8 2 3 8 2 3" xfId="25719" xr:uid="{00000000-0005-0000-0000-0000A87A0000}"/>
    <cellStyle name="Normal 8 2 3 8 3" xfId="12091" xr:uid="{00000000-0005-0000-0000-0000A97A0000}"/>
    <cellStyle name="Normal 8 2 3 8 3 2" xfId="30273" xr:uid="{00000000-0005-0000-0000-0000AA7A0000}"/>
    <cellStyle name="Normal 8 2 3 8 4" xfId="21183" xr:uid="{00000000-0005-0000-0000-0000AB7A0000}"/>
    <cellStyle name="Normal 8 2 3 9" xfId="3214" xr:uid="{00000000-0005-0000-0000-0000AC7A0000}"/>
    <cellStyle name="Normal 8 2 3 9 2" xfId="7774" xr:uid="{00000000-0005-0000-0000-0000AD7A0000}"/>
    <cellStyle name="Normal 8 2 3 9 2 2" xfId="16870" xr:uid="{00000000-0005-0000-0000-0000AE7A0000}"/>
    <cellStyle name="Normal 8 2 3 9 2 2 2" xfId="35052" xr:uid="{00000000-0005-0000-0000-0000AF7A0000}"/>
    <cellStyle name="Normal 8 2 3 9 2 3" xfId="25962" xr:uid="{00000000-0005-0000-0000-0000B07A0000}"/>
    <cellStyle name="Normal 8 2 3 9 3" xfId="12330" xr:uid="{00000000-0005-0000-0000-0000B17A0000}"/>
    <cellStyle name="Normal 8 2 3 9 3 2" xfId="30512" xr:uid="{00000000-0005-0000-0000-0000B27A0000}"/>
    <cellStyle name="Normal 8 2 3 9 4" xfId="21422" xr:uid="{00000000-0005-0000-0000-0000B37A0000}"/>
    <cellStyle name="Normal 8 2 4" xfId="145" xr:uid="{00000000-0005-0000-0000-0000B47A0000}"/>
    <cellStyle name="Normal 8 2 4 10" xfId="18529" xr:uid="{00000000-0005-0000-0000-0000B57A0000}"/>
    <cellStyle name="Normal 8 2 4 2" xfId="1568" xr:uid="{00000000-0005-0000-0000-0000B67A0000}"/>
    <cellStyle name="Normal 8 2 4 2 2" xfId="1569" xr:uid="{00000000-0005-0000-0000-0000B77A0000}"/>
    <cellStyle name="Normal 8 2 4 2 2 2" xfId="1570" xr:uid="{00000000-0005-0000-0000-0000B87A0000}"/>
    <cellStyle name="Normal 8 2 4 2 2 2 2" xfId="2948" xr:uid="{00000000-0005-0000-0000-0000B97A0000}"/>
    <cellStyle name="Normal 8 2 4 2 2 2 2 2" xfId="7528" xr:uid="{00000000-0005-0000-0000-0000BA7A0000}"/>
    <cellStyle name="Normal 8 2 4 2 2 2 2 2 2" xfId="16628" xr:uid="{00000000-0005-0000-0000-0000BB7A0000}"/>
    <cellStyle name="Normal 8 2 4 2 2 2 2 2 2 2" xfId="34810" xr:uid="{00000000-0005-0000-0000-0000BC7A0000}"/>
    <cellStyle name="Normal 8 2 4 2 2 2 2 2 3" xfId="25720" xr:uid="{00000000-0005-0000-0000-0000BD7A0000}"/>
    <cellStyle name="Normal 8 2 4 2 2 2 2 3" xfId="12092" xr:uid="{00000000-0005-0000-0000-0000BE7A0000}"/>
    <cellStyle name="Normal 8 2 4 2 2 2 2 3 2" xfId="30274" xr:uid="{00000000-0005-0000-0000-0000BF7A0000}"/>
    <cellStyle name="Normal 8 2 4 2 2 2 2 4" xfId="21184" xr:uid="{00000000-0005-0000-0000-0000C07A0000}"/>
    <cellStyle name="Normal 8 2 4 2 2 2 3" xfId="4570" xr:uid="{00000000-0005-0000-0000-0000C17A0000}"/>
    <cellStyle name="Normal 8 2 4 2 2 2 3 2" xfId="9126" xr:uid="{00000000-0005-0000-0000-0000C27A0000}"/>
    <cellStyle name="Normal 8 2 4 2 2 2 3 2 2" xfId="18222" xr:uid="{00000000-0005-0000-0000-0000C37A0000}"/>
    <cellStyle name="Normal 8 2 4 2 2 2 3 2 2 2" xfId="36404" xr:uid="{00000000-0005-0000-0000-0000C47A0000}"/>
    <cellStyle name="Normal 8 2 4 2 2 2 3 2 3" xfId="27314" xr:uid="{00000000-0005-0000-0000-0000C57A0000}"/>
    <cellStyle name="Normal 8 2 4 2 2 2 3 3" xfId="13682" xr:uid="{00000000-0005-0000-0000-0000C67A0000}"/>
    <cellStyle name="Normal 8 2 4 2 2 2 3 3 2" xfId="31864" xr:uid="{00000000-0005-0000-0000-0000C77A0000}"/>
    <cellStyle name="Normal 8 2 4 2 2 2 3 4" xfId="22774" xr:uid="{00000000-0005-0000-0000-0000C87A0000}"/>
    <cellStyle name="Normal 8 2 4 2 2 2 4" xfId="6209" xr:uid="{00000000-0005-0000-0000-0000C97A0000}"/>
    <cellStyle name="Normal 8 2 4 2 2 2 4 2" xfId="15309" xr:uid="{00000000-0005-0000-0000-0000CA7A0000}"/>
    <cellStyle name="Normal 8 2 4 2 2 2 4 2 2" xfId="33491" xr:uid="{00000000-0005-0000-0000-0000CB7A0000}"/>
    <cellStyle name="Normal 8 2 4 2 2 2 4 3" xfId="24401" xr:uid="{00000000-0005-0000-0000-0000CC7A0000}"/>
    <cellStyle name="Normal 8 2 4 2 2 2 5" xfId="10775" xr:uid="{00000000-0005-0000-0000-0000CD7A0000}"/>
    <cellStyle name="Normal 8 2 4 2 2 2 5 2" xfId="28957" xr:uid="{00000000-0005-0000-0000-0000CE7A0000}"/>
    <cellStyle name="Normal 8 2 4 2 2 2 6" xfId="19866" xr:uid="{00000000-0005-0000-0000-0000CF7A0000}"/>
    <cellStyle name="Normal 8 2 4 2 2 3" xfId="2949" xr:uid="{00000000-0005-0000-0000-0000D07A0000}"/>
    <cellStyle name="Normal 8 2 4 2 2 3 2" xfId="7529" xr:uid="{00000000-0005-0000-0000-0000D17A0000}"/>
    <cellStyle name="Normal 8 2 4 2 2 3 2 2" xfId="16629" xr:uid="{00000000-0005-0000-0000-0000D27A0000}"/>
    <cellStyle name="Normal 8 2 4 2 2 3 2 2 2" xfId="34811" xr:uid="{00000000-0005-0000-0000-0000D37A0000}"/>
    <cellStyle name="Normal 8 2 4 2 2 3 2 3" xfId="25721" xr:uid="{00000000-0005-0000-0000-0000D47A0000}"/>
    <cellStyle name="Normal 8 2 4 2 2 3 3" xfId="12093" xr:uid="{00000000-0005-0000-0000-0000D57A0000}"/>
    <cellStyle name="Normal 8 2 4 2 2 3 3 2" xfId="30275" xr:uid="{00000000-0005-0000-0000-0000D67A0000}"/>
    <cellStyle name="Normal 8 2 4 2 2 3 4" xfId="21185" xr:uid="{00000000-0005-0000-0000-0000D77A0000}"/>
    <cellStyle name="Normal 8 2 4 2 2 4" xfId="4569" xr:uid="{00000000-0005-0000-0000-0000D87A0000}"/>
    <cellStyle name="Normal 8 2 4 2 2 4 2" xfId="9125" xr:uid="{00000000-0005-0000-0000-0000D97A0000}"/>
    <cellStyle name="Normal 8 2 4 2 2 4 2 2" xfId="18221" xr:uid="{00000000-0005-0000-0000-0000DA7A0000}"/>
    <cellStyle name="Normal 8 2 4 2 2 4 2 2 2" xfId="36403" xr:uid="{00000000-0005-0000-0000-0000DB7A0000}"/>
    <cellStyle name="Normal 8 2 4 2 2 4 2 3" xfId="27313" xr:uid="{00000000-0005-0000-0000-0000DC7A0000}"/>
    <cellStyle name="Normal 8 2 4 2 2 4 3" xfId="13681" xr:uid="{00000000-0005-0000-0000-0000DD7A0000}"/>
    <cellStyle name="Normal 8 2 4 2 2 4 3 2" xfId="31863" xr:uid="{00000000-0005-0000-0000-0000DE7A0000}"/>
    <cellStyle name="Normal 8 2 4 2 2 4 4" xfId="22773" xr:uid="{00000000-0005-0000-0000-0000DF7A0000}"/>
    <cellStyle name="Normal 8 2 4 2 2 5" xfId="6208" xr:uid="{00000000-0005-0000-0000-0000E07A0000}"/>
    <cellStyle name="Normal 8 2 4 2 2 5 2" xfId="15308" xr:uid="{00000000-0005-0000-0000-0000E17A0000}"/>
    <cellStyle name="Normal 8 2 4 2 2 5 2 2" xfId="33490" xr:uid="{00000000-0005-0000-0000-0000E27A0000}"/>
    <cellStyle name="Normal 8 2 4 2 2 5 3" xfId="24400" xr:uid="{00000000-0005-0000-0000-0000E37A0000}"/>
    <cellStyle name="Normal 8 2 4 2 2 6" xfId="10774" xr:uid="{00000000-0005-0000-0000-0000E47A0000}"/>
    <cellStyle name="Normal 8 2 4 2 2 6 2" xfId="28956" xr:uid="{00000000-0005-0000-0000-0000E57A0000}"/>
    <cellStyle name="Normal 8 2 4 2 2 7" xfId="19865" xr:uid="{00000000-0005-0000-0000-0000E67A0000}"/>
    <cellStyle name="Normal 8 2 4 2 3" xfId="1571" xr:uid="{00000000-0005-0000-0000-0000E77A0000}"/>
    <cellStyle name="Normal 8 2 4 2 3 2" xfId="2950" xr:uid="{00000000-0005-0000-0000-0000E87A0000}"/>
    <cellStyle name="Normal 8 2 4 2 3 2 2" xfId="7530" xr:uid="{00000000-0005-0000-0000-0000E97A0000}"/>
    <cellStyle name="Normal 8 2 4 2 3 2 2 2" xfId="16630" xr:uid="{00000000-0005-0000-0000-0000EA7A0000}"/>
    <cellStyle name="Normal 8 2 4 2 3 2 2 2 2" xfId="34812" xr:uid="{00000000-0005-0000-0000-0000EB7A0000}"/>
    <cellStyle name="Normal 8 2 4 2 3 2 2 3" xfId="25722" xr:uid="{00000000-0005-0000-0000-0000EC7A0000}"/>
    <cellStyle name="Normal 8 2 4 2 3 2 3" xfId="12094" xr:uid="{00000000-0005-0000-0000-0000ED7A0000}"/>
    <cellStyle name="Normal 8 2 4 2 3 2 3 2" xfId="30276" xr:uid="{00000000-0005-0000-0000-0000EE7A0000}"/>
    <cellStyle name="Normal 8 2 4 2 3 2 4" xfId="21186" xr:uid="{00000000-0005-0000-0000-0000EF7A0000}"/>
    <cellStyle name="Normal 8 2 4 2 3 3" xfId="4571" xr:uid="{00000000-0005-0000-0000-0000F07A0000}"/>
    <cellStyle name="Normal 8 2 4 2 3 3 2" xfId="9127" xr:uid="{00000000-0005-0000-0000-0000F17A0000}"/>
    <cellStyle name="Normal 8 2 4 2 3 3 2 2" xfId="18223" xr:uid="{00000000-0005-0000-0000-0000F27A0000}"/>
    <cellStyle name="Normal 8 2 4 2 3 3 2 2 2" xfId="36405" xr:uid="{00000000-0005-0000-0000-0000F37A0000}"/>
    <cellStyle name="Normal 8 2 4 2 3 3 2 3" xfId="27315" xr:uid="{00000000-0005-0000-0000-0000F47A0000}"/>
    <cellStyle name="Normal 8 2 4 2 3 3 3" xfId="13683" xr:uid="{00000000-0005-0000-0000-0000F57A0000}"/>
    <cellStyle name="Normal 8 2 4 2 3 3 3 2" xfId="31865" xr:uid="{00000000-0005-0000-0000-0000F67A0000}"/>
    <cellStyle name="Normal 8 2 4 2 3 3 4" xfId="22775" xr:uid="{00000000-0005-0000-0000-0000F77A0000}"/>
    <cellStyle name="Normal 8 2 4 2 3 4" xfId="6210" xr:uid="{00000000-0005-0000-0000-0000F87A0000}"/>
    <cellStyle name="Normal 8 2 4 2 3 4 2" xfId="15310" xr:uid="{00000000-0005-0000-0000-0000F97A0000}"/>
    <cellStyle name="Normal 8 2 4 2 3 4 2 2" xfId="33492" xr:uid="{00000000-0005-0000-0000-0000FA7A0000}"/>
    <cellStyle name="Normal 8 2 4 2 3 4 3" xfId="24402" xr:uid="{00000000-0005-0000-0000-0000FB7A0000}"/>
    <cellStyle name="Normal 8 2 4 2 3 5" xfId="10776" xr:uid="{00000000-0005-0000-0000-0000FC7A0000}"/>
    <cellStyle name="Normal 8 2 4 2 3 5 2" xfId="28958" xr:uid="{00000000-0005-0000-0000-0000FD7A0000}"/>
    <cellStyle name="Normal 8 2 4 2 3 6" xfId="19867" xr:uid="{00000000-0005-0000-0000-0000FE7A0000}"/>
    <cellStyle name="Normal 8 2 4 2 4" xfId="1572" xr:uid="{00000000-0005-0000-0000-0000FF7A0000}"/>
    <cellStyle name="Normal 8 2 4 2 4 2" xfId="4572" xr:uid="{00000000-0005-0000-0000-0000007B0000}"/>
    <cellStyle name="Normal 8 2 4 2 4 2 2" xfId="9128" xr:uid="{00000000-0005-0000-0000-0000017B0000}"/>
    <cellStyle name="Normal 8 2 4 2 4 2 2 2" xfId="18224" xr:uid="{00000000-0005-0000-0000-0000027B0000}"/>
    <cellStyle name="Normal 8 2 4 2 4 2 2 2 2" xfId="36406" xr:uid="{00000000-0005-0000-0000-0000037B0000}"/>
    <cellStyle name="Normal 8 2 4 2 4 2 2 3" xfId="27316" xr:uid="{00000000-0005-0000-0000-0000047B0000}"/>
    <cellStyle name="Normal 8 2 4 2 4 2 3" xfId="13684" xr:uid="{00000000-0005-0000-0000-0000057B0000}"/>
    <cellStyle name="Normal 8 2 4 2 4 2 3 2" xfId="31866" xr:uid="{00000000-0005-0000-0000-0000067B0000}"/>
    <cellStyle name="Normal 8 2 4 2 4 2 4" xfId="22776" xr:uid="{00000000-0005-0000-0000-0000077B0000}"/>
    <cellStyle name="Normal 8 2 4 2 4 3" xfId="6211" xr:uid="{00000000-0005-0000-0000-0000087B0000}"/>
    <cellStyle name="Normal 8 2 4 2 4 3 2" xfId="15311" xr:uid="{00000000-0005-0000-0000-0000097B0000}"/>
    <cellStyle name="Normal 8 2 4 2 4 3 2 2" xfId="33493" xr:uid="{00000000-0005-0000-0000-00000A7B0000}"/>
    <cellStyle name="Normal 8 2 4 2 4 3 3" xfId="24403" xr:uid="{00000000-0005-0000-0000-00000B7B0000}"/>
    <cellStyle name="Normal 8 2 4 2 4 4" xfId="10777" xr:uid="{00000000-0005-0000-0000-00000C7B0000}"/>
    <cellStyle name="Normal 8 2 4 2 4 4 2" xfId="28959" xr:uid="{00000000-0005-0000-0000-00000D7B0000}"/>
    <cellStyle name="Normal 8 2 4 2 4 5" xfId="19868" xr:uid="{00000000-0005-0000-0000-00000E7B0000}"/>
    <cellStyle name="Normal 8 2 4 2 5" xfId="2951" xr:uid="{00000000-0005-0000-0000-00000F7B0000}"/>
    <cellStyle name="Normal 8 2 4 2 5 2" xfId="7531" xr:uid="{00000000-0005-0000-0000-0000107B0000}"/>
    <cellStyle name="Normal 8 2 4 2 5 2 2" xfId="16631" xr:uid="{00000000-0005-0000-0000-0000117B0000}"/>
    <cellStyle name="Normal 8 2 4 2 5 2 2 2" xfId="34813" xr:uid="{00000000-0005-0000-0000-0000127B0000}"/>
    <cellStyle name="Normal 8 2 4 2 5 2 3" xfId="25723" xr:uid="{00000000-0005-0000-0000-0000137B0000}"/>
    <cellStyle name="Normal 8 2 4 2 5 3" xfId="12095" xr:uid="{00000000-0005-0000-0000-0000147B0000}"/>
    <cellStyle name="Normal 8 2 4 2 5 3 2" xfId="30277" xr:uid="{00000000-0005-0000-0000-0000157B0000}"/>
    <cellStyle name="Normal 8 2 4 2 5 4" xfId="21187" xr:uid="{00000000-0005-0000-0000-0000167B0000}"/>
    <cellStyle name="Normal 8 2 4 2 6" xfId="4568" xr:uid="{00000000-0005-0000-0000-0000177B0000}"/>
    <cellStyle name="Normal 8 2 4 2 6 2" xfId="9124" xr:uid="{00000000-0005-0000-0000-0000187B0000}"/>
    <cellStyle name="Normal 8 2 4 2 6 2 2" xfId="18220" xr:uid="{00000000-0005-0000-0000-0000197B0000}"/>
    <cellStyle name="Normal 8 2 4 2 6 2 2 2" xfId="36402" xr:uid="{00000000-0005-0000-0000-00001A7B0000}"/>
    <cellStyle name="Normal 8 2 4 2 6 2 3" xfId="27312" xr:uid="{00000000-0005-0000-0000-00001B7B0000}"/>
    <cellStyle name="Normal 8 2 4 2 6 3" xfId="13680" xr:uid="{00000000-0005-0000-0000-00001C7B0000}"/>
    <cellStyle name="Normal 8 2 4 2 6 3 2" xfId="31862" xr:uid="{00000000-0005-0000-0000-00001D7B0000}"/>
    <cellStyle name="Normal 8 2 4 2 6 4" xfId="22772" xr:uid="{00000000-0005-0000-0000-00001E7B0000}"/>
    <cellStyle name="Normal 8 2 4 2 7" xfId="6207" xr:uid="{00000000-0005-0000-0000-00001F7B0000}"/>
    <cellStyle name="Normal 8 2 4 2 7 2" xfId="15307" xr:uid="{00000000-0005-0000-0000-0000207B0000}"/>
    <cellStyle name="Normal 8 2 4 2 7 2 2" xfId="33489" xr:uid="{00000000-0005-0000-0000-0000217B0000}"/>
    <cellStyle name="Normal 8 2 4 2 7 3" xfId="24399" xr:uid="{00000000-0005-0000-0000-0000227B0000}"/>
    <cellStyle name="Normal 8 2 4 2 8" xfId="10773" xr:uid="{00000000-0005-0000-0000-0000237B0000}"/>
    <cellStyle name="Normal 8 2 4 2 8 2" xfId="28955" xr:uid="{00000000-0005-0000-0000-0000247B0000}"/>
    <cellStyle name="Normal 8 2 4 2 9" xfId="19864" xr:uid="{00000000-0005-0000-0000-0000257B0000}"/>
    <cellStyle name="Normal 8 2 4 3" xfId="1573" xr:uid="{00000000-0005-0000-0000-0000267B0000}"/>
    <cellStyle name="Normal 8 2 4 3 2" xfId="1574" xr:uid="{00000000-0005-0000-0000-0000277B0000}"/>
    <cellStyle name="Normal 8 2 4 3 2 2" xfId="2952" xr:uid="{00000000-0005-0000-0000-0000287B0000}"/>
    <cellStyle name="Normal 8 2 4 3 2 2 2" xfId="7532" xr:uid="{00000000-0005-0000-0000-0000297B0000}"/>
    <cellStyle name="Normal 8 2 4 3 2 2 2 2" xfId="16632" xr:uid="{00000000-0005-0000-0000-00002A7B0000}"/>
    <cellStyle name="Normal 8 2 4 3 2 2 2 2 2" xfId="34814" xr:uid="{00000000-0005-0000-0000-00002B7B0000}"/>
    <cellStyle name="Normal 8 2 4 3 2 2 2 3" xfId="25724" xr:uid="{00000000-0005-0000-0000-00002C7B0000}"/>
    <cellStyle name="Normal 8 2 4 3 2 2 3" xfId="12096" xr:uid="{00000000-0005-0000-0000-00002D7B0000}"/>
    <cellStyle name="Normal 8 2 4 3 2 2 3 2" xfId="30278" xr:uid="{00000000-0005-0000-0000-00002E7B0000}"/>
    <cellStyle name="Normal 8 2 4 3 2 2 4" xfId="21188" xr:uid="{00000000-0005-0000-0000-00002F7B0000}"/>
    <cellStyle name="Normal 8 2 4 3 2 3" xfId="4574" xr:uid="{00000000-0005-0000-0000-0000307B0000}"/>
    <cellStyle name="Normal 8 2 4 3 2 3 2" xfId="9130" xr:uid="{00000000-0005-0000-0000-0000317B0000}"/>
    <cellStyle name="Normal 8 2 4 3 2 3 2 2" xfId="18226" xr:uid="{00000000-0005-0000-0000-0000327B0000}"/>
    <cellStyle name="Normal 8 2 4 3 2 3 2 2 2" xfId="36408" xr:uid="{00000000-0005-0000-0000-0000337B0000}"/>
    <cellStyle name="Normal 8 2 4 3 2 3 2 3" xfId="27318" xr:uid="{00000000-0005-0000-0000-0000347B0000}"/>
    <cellStyle name="Normal 8 2 4 3 2 3 3" xfId="13686" xr:uid="{00000000-0005-0000-0000-0000357B0000}"/>
    <cellStyle name="Normal 8 2 4 3 2 3 3 2" xfId="31868" xr:uid="{00000000-0005-0000-0000-0000367B0000}"/>
    <cellStyle name="Normal 8 2 4 3 2 3 4" xfId="22778" xr:uid="{00000000-0005-0000-0000-0000377B0000}"/>
    <cellStyle name="Normal 8 2 4 3 2 4" xfId="6213" xr:uid="{00000000-0005-0000-0000-0000387B0000}"/>
    <cellStyle name="Normal 8 2 4 3 2 4 2" xfId="15313" xr:uid="{00000000-0005-0000-0000-0000397B0000}"/>
    <cellStyle name="Normal 8 2 4 3 2 4 2 2" xfId="33495" xr:uid="{00000000-0005-0000-0000-00003A7B0000}"/>
    <cellStyle name="Normal 8 2 4 3 2 4 3" xfId="24405" xr:uid="{00000000-0005-0000-0000-00003B7B0000}"/>
    <cellStyle name="Normal 8 2 4 3 2 5" xfId="10779" xr:uid="{00000000-0005-0000-0000-00003C7B0000}"/>
    <cellStyle name="Normal 8 2 4 3 2 5 2" xfId="28961" xr:uid="{00000000-0005-0000-0000-00003D7B0000}"/>
    <cellStyle name="Normal 8 2 4 3 2 6" xfId="19870" xr:uid="{00000000-0005-0000-0000-00003E7B0000}"/>
    <cellStyle name="Normal 8 2 4 3 3" xfId="2953" xr:uid="{00000000-0005-0000-0000-00003F7B0000}"/>
    <cellStyle name="Normal 8 2 4 3 3 2" xfId="7533" xr:uid="{00000000-0005-0000-0000-0000407B0000}"/>
    <cellStyle name="Normal 8 2 4 3 3 2 2" xfId="16633" xr:uid="{00000000-0005-0000-0000-0000417B0000}"/>
    <cellStyle name="Normal 8 2 4 3 3 2 2 2" xfId="34815" xr:uid="{00000000-0005-0000-0000-0000427B0000}"/>
    <cellStyle name="Normal 8 2 4 3 3 2 3" xfId="25725" xr:uid="{00000000-0005-0000-0000-0000437B0000}"/>
    <cellStyle name="Normal 8 2 4 3 3 3" xfId="12097" xr:uid="{00000000-0005-0000-0000-0000447B0000}"/>
    <cellStyle name="Normal 8 2 4 3 3 3 2" xfId="30279" xr:uid="{00000000-0005-0000-0000-0000457B0000}"/>
    <cellStyle name="Normal 8 2 4 3 3 4" xfId="21189" xr:uid="{00000000-0005-0000-0000-0000467B0000}"/>
    <cellStyle name="Normal 8 2 4 3 4" xfId="4573" xr:uid="{00000000-0005-0000-0000-0000477B0000}"/>
    <cellStyle name="Normal 8 2 4 3 4 2" xfId="9129" xr:uid="{00000000-0005-0000-0000-0000487B0000}"/>
    <cellStyle name="Normal 8 2 4 3 4 2 2" xfId="18225" xr:uid="{00000000-0005-0000-0000-0000497B0000}"/>
    <cellStyle name="Normal 8 2 4 3 4 2 2 2" xfId="36407" xr:uid="{00000000-0005-0000-0000-00004A7B0000}"/>
    <cellStyle name="Normal 8 2 4 3 4 2 3" xfId="27317" xr:uid="{00000000-0005-0000-0000-00004B7B0000}"/>
    <cellStyle name="Normal 8 2 4 3 4 3" xfId="13685" xr:uid="{00000000-0005-0000-0000-00004C7B0000}"/>
    <cellStyle name="Normal 8 2 4 3 4 3 2" xfId="31867" xr:uid="{00000000-0005-0000-0000-00004D7B0000}"/>
    <cellStyle name="Normal 8 2 4 3 4 4" xfId="22777" xr:uid="{00000000-0005-0000-0000-00004E7B0000}"/>
    <cellStyle name="Normal 8 2 4 3 5" xfId="6212" xr:uid="{00000000-0005-0000-0000-00004F7B0000}"/>
    <cellStyle name="Normal 8 2 4 3 5 2" xfId="15312" xr:uid="{00000000-0005-0000-0000-0000507B0000}"/>
    <cellStyle name="Normal 8 2 4 3 5 2 2" xfId="33494" xr:uid="{00000000-0005-0000-0000-0000517B0000}"/>
    <cellStyle name="Normal 8 2 4 3 5 3" xfId="24404" xr:uid="{00000000-0005-0000-0000-0000527B0000}"/>
    <cellStyle name="Normal 8 2 4 3 6" xfId="10778" xr:uid="{00000000-0005-0000-0000-0000537B0000}"/>
    <cellStyle name="Normal 8 2 4 3 6 2" xfId="28960" xr:uid="{00000000-0005-0000-0000-0000547B0000}"/>
    <cellStyle name="Normal 8 2 4 3 7" xfId="19869" xr:uid="{00000000-0005-0000-0000-0000557B0000}"/>
    <cellStyle name="Normal 8 2 4 4" xfId="1575" xr:uid="{00000000-0005-0000-0000-0000567B0000}"/>
    <cellStyle name="Normal 8 2 4 4 2" xfId="2954" xr:uid="{00000000-0005-0000-0000-0000577B0000}"/>
    <cellStyle name="Normal 8 2 4 4 2 2" xfId="7534" xr:uid="{00000000-0005-0000-0000-0000587B0000}"/>
    <cellStyle name="Normal 8 2 4 4 2 2 2" xfId="16634" xr:uid="{00000000-0005-0000-0000-0000597B0000}"/>
    <cellStyle name="Normal 8 2 4 4 2 2 2 2" xfId="34816" xr:uid="{00000000-0005-0000-0000-00005A7B0000}"/>
    <cellStyle name="Normal 8 2 4 4 2 2 3" xfId="25726" xr:uid="{00000000-0005-0000-0000-00005B7B0000}"/>
    <cellStyle name="Normal 8 2 4 4 2 3" xfId="12098" xr:uid="{00000000-0005-0000-0000-00005C7B0000}"/>
    <cellStyle name="Normal 8 2 4 4 2 3 2" xfId="30280" xr:uid="{00000000-0005-0000-0000-00005D7B0000}"/>
    <cellStyle name="Normal 8 2 4 4 2 4" xfId="21190" xr:uid="{00000000-0005-0000-0000-00005E7B0000}"/>
    <cellStyle name="Normal 8 2 4 4 3" xfId="4575" xr:uid="{00000000-0005-0000-0000-00005F7B0000}"/>
    <cellStyle name="Normal 8 2 4 4 3 2" xfId="9131" xr:uid="{00000000-0005-0000-0000-0000607B0000}"/>
    <cellStyle name="Normal 8 2 4 4 3 2 2" xfId="18227" xr:uid="{00000000-0005-0000-0000-0000617B0000}"/>
    <cellStyle name="Normal 8 2 4 4 3 2 2 2" xfId="36409" xr:uid="{00000000-0005-0000-0000-0000627B0000}"/>
    <cellStyle name="Normal 8 2 4 4 3 2 3" xfId="27319" xr:uid="{00000000-0005-0000-0000-0000637B0000}"/>
    <cellStyle name="Normal 8 2 4 4 3 3" xfId="13687" xr:uid="{00000000-0005-0000-0000-0000647B0000}"/>
    <cellStyle name="Normal 8 2 4 4 3 3 2" xfId="31869" xr:uid="{00000000-0005-0000-0000-0000657B0000}"/>
    <cellStyle name="Normal 8 2 4 4 3 4" xfId="22779" xr:uid="{00000000-0005-0000-0000-0000667B0000}"/>
    <cellStyle name="Normal 8 2 4 4 4" xfId="6214" xr:uid="{00000000-0005-0000-0000-0000677B0000}"/>
    <cellStyle name="Normal 8 2 4 4 4 2" xfId="15314" xr:uid="{00000000-0005-0000-0000-0000687B0000}"/>
    <cellStyle name="Normal 8 2 4 4 4 2 2" xfId="33496" xr:uid="{00000000-0005-0000-0000-0000697B0000}"/>
    <cellStyle name="Normal 8 2 4 4 4 3" xfId="24406" xr:uid="{00000000-0005-0000-0000-00006A7B0000}"/>
    <cellStyle name="Normal 8 2 4 4 5" xfId="10780" xr:uid="{00000000-0005-0000-0000-00006B7B0000}"/>
    <cellStyle name="Normal 8 2 4 4 5 2" xfId="28962" xr:uid="{00000000-0005-0000-0000-00006C7B0000}"/>
    <cellStyle name="Normal 8 2 4 4 6" xfId="19871" xr:uid="{00000000-0005-0000-0000-00006D7B0000}"/>
    <cellStyle name="Normal 8 2 4 5" xfId="1576" xr:uid="{00000000-0005-0000-0000-00006E7B0000}"/>
    <cellStyle name="Normal 8 2 4 5 2" xfId="4576" xr:uid="{00000000-0005-0000-0000-00006F7B0000}"/>
    <cellStyle name="Normal 8 2 4 5 2 2" xfId="9132" xr:uid="{00000000-0005-0000-0000-0000707B0000}"/>
    <cellStyle name="Normal 8 2 4 5 2 2 2" xfId="18228" xr:uid="{00000000-0005-0000-0000-0000717B0000}"/>
    <cellStyle name="Normal 8 2 4 5 2 2 2 2" xfId="36410" xr:uid="{00000000-0005-0000-0000-0000727B0000}"/>
    <cellStyle name="Normal 8 2 4 5 2 2 3" xfId="27320" xr:uid="{00000000-0005-0000-0000-0000737B0000}"/>
    <cellStyle name="Normal 8 2 4 5 2 3" xfId="13688" xr:uid="{00000000-0005-0000-0000-0000747B0000}"/>
    <cellStyle name="Normal 8 2 4 5 2 3 2" xfId="31870" xr:uid="{00000000-0005-0000-0000-0000757B0000}"/>
    <cellStyle name="Normal 8 2 4 5 2 4" xfId="22780" xr:uid="{00000000-0005-0000-0000-0000767B0000}"/>
    <cellStyle name="Normal 8 2 4 5 3" xfId="6215" xr:uid="{00000000-0005-0000-0000-0000777B0000}"/>
    <cellStyle name="Normal 8 2 4 5 3 2" xfId="15315" xr:uid="{00000000-0005-0000-0000-0000787B0000}"/>
    <cellStyle name="Normal 8 2 4 5 3 2 2" xfId="33497" xr:uid="{00000000-0005-0000-0000-0000797B0000}"/>
    <cellStyle name="Normal 8 2 4 5 3 3" xfId="24407" xr:uid="{00000000-0005-0000-0000-00007A7B0000}"/>
    <cellStyle name="Normal 8 2 4 5 4" xfId="10781" xr:uid="{00000000-0005-0000-0000-00007B7B0000}"/>
    <cellStyle name="Normal 8 2 4 5 4 2" xfId="28963" xr:uid="{00000000-0005-0000-0000-00007C7B0000}"/>
    <cellStyle name="Normal 8 2 4 5 5" xfId="19872" xr:uid="{00000000-0005-0000-0000-00007D7B0000}"/>
    <cellStyle name="Normal 8 2 4 6" xfId="2955" xr:uid="{00000000-0005-0000-0000-00007E7B0000}"/>
    <cellStyle name="Normal 8 2 4 6 2" xfId="7535" xr:uid="{00000000-0005-0000-0000-00007F7B0000}"/>
    <cellStyle name="Normal 8 2 4 6 2 2" xfId="16635" xr:uid="{00000000-0005-0000-0000-0000807B0000}"/>
    <cellStyle name="Normal 8 2 4 6 2 2 2" xfId="34817" xr:uid="{00000000-0005-0000-0000-0000817B0000}"/>
    <cellStyle name="Normal 8 2 4 6 2 3" xfId="25727" xr:uid="{00000000-0005-0000-0000-0000827B0000}"/>
    <cellStyle name="Normal 8 2 4 6 3" xfId="12099" xr:uid="{00000000-0005-0000-0000-0000837B0000}"/>
    <cellStyle name="Normal 8 2 4 6 3 2" xfId="30281" xr:uid="{00000000-0005-0000-0000-0000847B0000}"/>
    <cellStyle name="Normal 8 2 4 6 4" xfId="21191" xr:uid="{00000000-0005-0000-0000-0000857B0000}"/>
    <cellStyle name="Normal 8 2 4 7" xfId="3225" xr:uid="{00000000-0005-0000-0000-0000867B0000}"/>
    <cellStyle name="Normal 8 2 4 7 2" xfId="7785" xr:uid="{00000000-0005-0000-0000-0000877B0000}"/>
    <cellStyle name="Normal 8 2 4 7 2 2" xfId="16881" xr:uid="{00000000-0005-0000-0000-0000887B0000}"/>
    <cellStyle name="Normal 8 2 4 7 2 2 2" xfId="35063" xr:uid="{00000000-0005-0000-0000-0000897B0000}"/>
    <cellStyle name="Normal 8 2 4 7 2 3" xfId="25973" xr:uid="{00000000-0005-0000-0000-00008A7B0000}"/>
    <cellStyle name="Normal 8 2 4 7 3" xfId="12341" xr:uid="{00000000-0005-0000-0000-00008B7B0000}"/>
    <cellStyle name="Normal 8 2 4 7 3 2" xfId="30523" xr:uid="{00000000-0005-0000-0000-00008C7B0000}"/>
    <cellStyle name="Normal 8 2 4 7 4" xfId="21433" xr:uid="{00000000-0005-0000-0000-00008D7B0000}"/>
    <cellStyle name="Normal 8 2 4 8" xfId="4872" xr:uid="{00000000-0005-0000-0000-00008E7B0000}"/>
    <cellStyle name="Normal 8 2 4 8 2" xfId="13972" xr:uid="{00000000-0005-0000-0000-00008F7B0000}"/>
    <cellStyle name="Normal 8 2 4 8 2 2" xfId="32154" xr:uid="{00000000-0005-0000-0000-0000907B0000}"/>
    <cellStyle name="Normal 8 2 4 8 3" xfId="23064" xr:uid="{00000000-0005-0000-0000-0000917B0000}"/>
    <cellStyle name="Normal 8 2 4 9" xfId="9438" xr:uid="{00000000-0005-0000-0000-0000927B0000}"/>
    <cellStyle name="Normal 8 2 4 9 2" xfId="27620" xr:uid="{00000000-0005-0000-0000-0000937B0000}"/>
    <cellStyle name="Normal 8 2 5" xfId="166" xr:uid="{00000000-0005-0000-0000-0000947B0000}"/>
    <cellStyle name="Normal 8 2 5 10" xfId="18545" xr:uid="{00000000-0005-0000-0000-0000957B0000}"/>
    <cellStyle name="Normal 8 2 5 2" xfId="1577" xr:uid="{00000000-0005-0000-0000-0000967B0000}"/>
    <cellStyle name="Normal 8 2 5 2 2" xfId="1578" xr:uid="{00000000-0005-0000-0000-0000977B0000}"/>
    <cellStyle name="Normal 8 2 5 2 2 2" xfId="1579" xr:uid="{00000000-0005-0000-0000-0000987B0000}"/>
    <cellStyle name="Normal 8 2 5 2 2 2 2" xfId="2956" xr:uid="{00000000-0005-0000-0000-0000997B0000}"/>
    <cellStyle name="Normal 8 2 5 2 2 2 2 2" xfId="7536" xr:uid="{00000000-0005-0000-0000-00009A7B0000}"/>
    <cellStyle name="Normal 8 2 5 2 2 2 2 2 2" xfId="16636" xr:uid="{00000000-0005-0000-0000-00009B7B0000}"/>
    <cellStyle name="Normal 8 2 5 2 2 2 2 2 2 2" xfId="34818" xr:uid="{00000000-0005-0000-0000-00009C7B0000}"/>
    <cellStyle name="Normal 8 2 5 2 2 2 2 2 3" xfId="25728" xr:uid="{00000000-0005-0000-0000-00009D7B0000}"/>
    <cellStyle name="Normal 8 2 5 2 2 2 2 3" xfId="12100" xr:uid="{00000000-0005-0000-0000-00009E7B0000}"/>
    <cellStyle name="Normal 8 2 5 2 2 2 2 3 2" xfId="30282" xr:uid="{00000000-0005-0000-0000-00009F7B0000}"/>
    <cellStyle name="Normal 8 2 5 2 2 2 2 4" xfId="21192" xr:uid="{00000000-0005-0000-0000-0000A07B0000}"/>
    <cellStyle name="Normal 8 2 5 2 2 2 3" xfId="4579" xr:uid="{00000000-0005-0000-0000-0000A17B0000}"/>
    <cellStyle name="Normal 8 2 5 2 2 2 3 2" xfId="9135" xr:uid="{00000000-0005-0000-0000-0000A27B0000}"/>
    <cellStyle name="Normal 8 2 5 2 2 2 3 2 2" xfId="18231" xr:uid="{00000000-0005-0000-0000-0000A37B0000}"/>
    <cellStyle name="Normal 8 2 5 2 2 2 3 2 2 2" xfId="36413" xr:uid="{00000000-0005-0000-0000-0000A47B0000}"/>
    <cellStyle name="Normal 8 2 5 2 2 2 3 2 3" xfId="27323" xr:uid="{00000000-0005-0000-0000-0000A57B0000}"/>
    <cellStyle name="Normal 8 2 5 2 2 2 3 3" xfId="13691" xr:uid="{00000000-0005-0000-0000-0000A67B0000}"/>
    <cellStyle name="Normal 8 2 5 2 2 2 3 3 2" xfId="31873" xr:uid="{00000000-0005-0000-0000-0000A77B0000}"/>
    <cellStyle name="Normal 8 2 5 2 2 2 3 4" xfId="22783" xr:uid="{00000000-0005-0000-0000-0000A87B0000}"/>
    <cellStyle name="Normal 8 2 5 2 2 2 4" xfId="6218" xr:uid="{00000000-0005-0000-0000-0000A97B0000}"/>
    <cellStyle name="Normal 8 2 5 2 2 2 4 2" xfId="15318" xr:uid="{00000000-0005-0000-0000-0000AA7B0000}"/>
    <cellStyle name="Normal 8 2 5 2 2 2 4 2 2" xfId="33500" xr:uid="{00000000-0005-0000-0000-0000AB7B0000}"/>
    <cellStyle name="Normal 8 2 5 2 2 2 4 3" xfId="24410" xr:uid="{00000000-0005-0000-0000-0000AC7B0000}"/>
    <cellStyle name="Normal 8 2 5 2 2 2 5" xfId="10784" xr:uid="{00000000-0005-0000-0000-0000AD7B0000}"/>
    <cellStyle name="Normal 8 2 5 2 2 2 5 2" xfId="28966" xr:uid="{00000000-0005-0000-0000-0000AE7B0000}"/>
    <cellStyle name="Normal 8 2 5 2 2 2 6" xfId="19875" xr:uid="{00000000-0005-0000-0000-0000AF7B0000}"/>
    <cellStyle name="Normal 8 2 5 2 2 3" xfId="2957" xr:uid="{00000000-0005-0000-0000-0000B07B0000}"/>
    <cellStyle name="Normal 8 2 5 2 2 3 2" xfId="7537" xr:uid="{00000000-0005-0000-0000-0000B17B0000}"/>
    <cellStyle name="Normal 8 2 5 2 2 3 2 2" xfId="16637" xr:uid="{00000000-0005-0000-0000-0000B27B0000}"/>
    <cellStyle name="Normal 8 2 5 2 2 3 2 2 2" xfId="34819" xr:uid="{00000000-0005-0000-0000-0000B37B0000}"/>
    <cellStyle name="Normal 8 2 5 2 2 3 2 3" xfId="25729" xr:uid="{00000000-0005-0000-0000-0000B47B0000}"/>
    <cellStyle name="Normal 8 2 5 2 2 3 3" xfId="12101" xr:uid="{00000000-0005-0000-0000-0000B57B0000}"/>
    <cellStyle name="Normal 8 2 5 2 2 3 3 2" xfId="30283" xr:uid="{00000000-0005-0000-0000-0000B67B0000}"/>
    <cellStyle name="Normal 8 2 5 2 2 3 4" xfId="21193" xr:uid="{00000000-0005-0000-0000-0000B77B0000}"/>
    <cellStyle name="Normal 8 2 5 2 2 4" xfId="4578" xr:uid="{00000000-0005-0000-0000-0000B87B0000}"/>
    <cellStyle name="Normal 8 2 5 2 2 4 2" xfId="9134" xr:uid="{00000000-0005-0000-0000-0000B97B0000}"/>
    <cellStyle name="Normal 8 2 5 2 2 4 2 2" xfId="18230" xr:uid="{00000000-0005-0000-0000-0000BA7B0000}"/>
    <cellStyle name="Normal 8 2 5 2 2 4 2 2 2" xfId="36412" xr:uid="{00000000-0005-0000-0000-0000BB7B0000}"/>
    <cellStyle name="Normal 8 2 5 2 2 4 2 3" xfId="27322" xr:uid="{00000000-0005-0000-0000-0000BC7B0000}"/>
    <cellStyle name="Normal 8 2 5 2 2 4 3" xfId="13690" xr:uid="{00000000-0005-0000-0000-0000BD7B0000}"/>
    <cellStyle name="Normal 8 2 5 2 2 4 3 2" xfId="31872" xr:uid="{00000000-0005-0000-0000-0000BE7B0000}"/>
    <cellStyle name="Normal 8 2 5 2 2 4 4" xfId="22782" xr:uid="{00000000-0005-0000-0000-0000BF7B0000}"/>
    <cellStyle name="Normal 8 2 5 2 2 5" xfId="6217" xr:uid="{00000000-0005-0000-0000-0000C07B0000}"/>
    <cellStyle name="Normal 8 2 5 2 2 5 2" xfId="15317" xr:uid="{00000000-0005-0000-0000-0000C17B0000}"/>
    <cellStyle name="Normal 8 2 5 2 2 5 2 2" xfId="33499" xr:uid="{00000000-0005-0000-0000-0000C27B0000}"/>
    <cellStyle name="Normal 8 2 5 2 2 5 3" xfId="24409" xr:uid="{00000000-0005-0000-0000-0000C37B0000}"/>
    <cellStyle name="Normal 8 2 5 2 2 6" xfId="10783" xr:uid="{00000000-0005-0000-0000-0000C47B0000}"/>
    <cellStyle name="Normal 8 2 5 2 2 6 2" xfId="28965" xr:uid="{00000000-0005-0000-0000-0000C57B0000}"/>
    <cellStyle name="Normal 8 2 5 2 2 7" xfId="19874" xr:uid="{00000000-0005-0000-0000-0000C67B0000}"/>
    <cellStyle name="Normal 8 2 5 2 3" xfId="1580" xr:uid="{00000000-0005-0000-0000-0000C77B0000}"/>
    <cellStyle name="Normal 8 2 5 2 3 2" xfId="2958" xr:uid="{00000000-0005-0000-0000-0000C87B0000}"/>
    <cellStyle name="Normal 8 2 5 2 3 2 2" xfId="7538" xr:uid="{00000000-0005-0000-0000-0000C97B0000}"/>
    <cellStyle name="Normal 8 2 5 2 3 2 2 2" xfId="16638" xr:uid="{00000000-0005-0000-0000-0000CA7B0000}"/>
    <cellStyle name="Normal 8 2 5 2 3 2 2 2 2" xfId="34820" xr:uid="{00000000-0005-0000-0000-0000CB7B0000}"/>
    <cellStyle name="Normal 8 2 5 2 3 2 2 3" xfId="25730" xr:uid="{00000000-0005-0000-0000-0000CC7B0000}"/>
    <cellStyle name="Normal 8 2 5 2 3 2 3" xfId="12102" xr:uid="{00000000-0005-0000-0000-0000CD7B0000}"/>
    <cellStyle name="Normal 8 2 5 2 3 2 3 2" xfId="30284" xr:uid="{00000000-0005-0000-0000-0000CE7B0000}"/>
    <cellStyle name="Normal 8 2 5 2 3 2 4" xfId="21194" xr:uid="{00000000-0005-0000-0000-0000CF7B0000}"/>
    <cellStyle name="Normal 8 2 5 2 3 3" xfId="4580" xr:uid="{00000000-0005-0000-0000-0000D07B0000}"/>
    <cellStyle name="Normal 8 2 5 2 3 3 2" xfId="9136" xr:uid="{00000000-0005-0000-0000-0000D17B0000}"/>
    <cellStyle name="Normal 8 2 5 2 3 3 2 2" xfId="18232" xr:uid="{00000000-0005-0000-0000-0000D27B0000}"/>
    <cellStyle name="Normal 8 2 5 2 3 3 2 2 2" xfId="36414" xr:uid="{00000000-0005-0000-0000-0000D37B0000}"/>
    <cellStyle name="Normal 8 2 5 2 3 3 2 3" xfId="27324" xr:uid="{00000000-0005-0000-0000-0000D47B0000}"/>
    <cellStyle name="Normal 8 2 5 2 3 3 3" xfId="13692" xr:uid="{00000000-0005-0000-0000-0000D57B0000}"/>
    <cellStyle name="Normal 8 2 5 2 3 3 3 2" xfId="31874" xr:uid="{00000000-0005-0000-0000-0000D67B0000}"/>
    <cellStyle name="Normal 8 2 5 2 3 3 4" xfId="22784" xr:uid="{00000000-0005-0000-0000-0000D77B0000}"/>
    <cellStyle name="Normal 8 2 5 2 3 4" xfId="6219" xr:uid="{00000000-0005-0000-0000-0000D87B0000}"/>
    <cellStyle name="Normal 8 2 5 2 3 4 2" xfId="15319" xr:uid="{00000000-0005-0000-0000-0000D97B0000}"/>
    <cellStyle name="Normal 8 2 5 2 3 4 2 2" xfId="33501" xr:uid="{00000000-0005-0000-0000-0000DA7B0000}"/>
    <cellStyle name="Normal 8 2 5 2 3 4 3" xfId="24411" xr:uid="{00000000-0005-0000-0000-0000DB7B0000}"/>
    <cellStyle name="Normal 8 2 5 2 3 5" xfId="10785" xr:uid="{00000000-0005-0000-0000-0000DC7B0000}"/>
    <cellStyle name="Normal 8 2 5 2 3 5 2" xfId="28967" xr:uid="{00000000-0005-0000-0000-0000DD7B0000}"/>
    <cellStyle name="Normal 8 2 5 2 3 6" xfId="19876" xr:uid="{00000000-0005-0000-0000-0000DE7B0000}"/>
    <cellStyle name="Normal 8 2 5 2 4" xfId="1581" xr:uid="{00000000-0005-0000-0000-0000DF7B0000}"/>
    <cellStyle name="Normal 8 2 5 2 4 2" xfId="4581" xr:uid="{00000000-0005-0000-0000-0000E07B0000}"/>
    <cellStyle name="Normal 8 2 5 2 4 2 2" xfId="9137" xr:uid="{00000000-0005-0000-0000-0000E17B0000}"/>
    <cellStyle name="Normal 8 2 5 2 4 2 2 2" xfId="18233" xr:uid="{00000000-0005-0000-0000-0000E27B0000}"/>
    <cellStyle name="Normal 8 2 5 2 4 2 2 2 2" xfId="36415" xr:uid="{00000000-0005-0000-0000-0000E37B0000}"/>
    <cellStyle name="Normal 8 2 5 2 4 2 2 3" xfId="27325" xr:uid="{00000000-0005-0000-0000-0000E47B0000}"/>
    <cellStyle name="Normal 8 2 5 2 4 2 3" xfId="13693" xr:uid="{00000000-0005-0000-0000-0000E57B0000}"/>
    <cellStyle name="Normal 8 2 5 2 4 2 3 2" xfId="31875" xr:uid="{00000000-0005-0000-0000-0000E67B0000}"/>
    <cellStyle name="Normal 8 2 5 2 4 2 4" xfId="22785" xr:uid="{00000000-0005-0000-0000-0000E77B0000}"/>
    <cellStyle name="Normal 8 2 5 2 4 3" xfId="6220" xr:uid="{00000000-0005-0000-0000-0000E87B0000}"/>
    <cellStyle name="Normal 8 2 5 2 4 3 2" xfId="15320" xr:uid="{00000000-0005-0000-0000-0000E97B0000}"/>
    <cellStyle name="Normal 8 2 5 2 4 3 2 2" xfId="33502" xr:uid="{00000000-0005-0000-0000-0000EA7B0000}"/>
    <cellStyle name="Normal 8 2 5 2 4 3 3" xfId="24412" xr:uid="{00000000-0005-0000-0000-0000EB7B0000}"/>
    <cellStyle name="Normal 8 2 5 2 4 4" xfId="10786" xr:uid="{00000000-0005-0000-0000-0000EC7B0000}"/>
    <cellStyle name="Normal 8 2 5 2 4 4 2" xfId="28968" xr:uid="{00000000-0005-0000-0000-0000ED7B0000}"/>
    <cellStyle name="Normal 8 2 5 2 4 5" xfId="19877" xr:uid="{00000000-0005-0000-0000-0000EE7B0000}"/>
    <cellStyle name="Normal 8 2 5 2 5" xfId="2959" xr:uid="{00000000-0005-0000-0000-0000EF7B0000}"/>
    <cellStyle name="Normal 8 2 5 2 5 2" xfId="7539" xr:uid="{00000000-0005-0000-0000-0000F07B0000}"/>
    <cellStyle name="Normal 8 2 5 2 5 2 2" xfId="16639" xr:uid="{00000000-0005-0000-0000-0000F17B0000}"/>
    <cellStyle name="Normal 8 2 5 2 5 2 2 2" xfId="34821" xr:uid="{00000000-0005-0000-0000-0000F27B0000}"/>
    <cellStyle name="Normal 8 2 5 2 5 2 3" xfId="25731" xr:uid="{00000000-0005-0000-0000-0000F37B0000}"/>
    <cellStyle name="Normal 8 2 5 2 5 3" xfId="12103" xr:uid="{00000000-0005-0000-0000-0000F47B0000}"/>
    <cellStyle name="Normal 8 2 5 2 5 3 2" xfId="30285" xr:uid="{00000000-0005-0000-0000-0000F57B0000}"/>
    <cellStyle name="Normal 8 2 5 2 5 4" xfId="21195" xr:uid="{00000000-0005-0000-0000-0000F67B0000}"/>
    <cellStyle name="Normal 8 2 5 2 6" xfId="4577" xr:uid="{00000000-0005-0000-0000-0000F77B0000}"/>
    <cellStyle name="Normal 8 2 5 2 6 2" xfId="9133" xr:uid="{00000000-0005-0000-0000-0000F87B0000}"/>
    <cellStyle name="Normal 8 2 5 2 6 2 2" xfId="18229" xr:uid="{00000000-0005-0000-0000-0000F97B0000}"/>
    <cellStyle name="Normal 8 2 5 2 6 2 2 2" xfId="36411" xr:uid="{00000000-0005-0000-0000-0000FA7B0000}"/>
    <cellStyle name="Normal 8 2 5 2 6 2 3" xfId="27321" xr:uid="{00000000-0005-0000-0000-0000FB7B0000}"/>
    <cellStyle name="Normal 8 2 5 2 6 3" xfId="13689" xr:uid="{00000000-0005-0000-0000-0000FC7B0000}"/>
    <cellStyle name="Normal 8 2 5 2 6 3 2" xfId="31871" xr:uid="{00000000-0005-0000-0000-0000FD7B0000}"/>
    <cellStyle name="Normal 8 2 5 2 6 4" xfId="22781" xr:uid="{00000000-0005-0000-0000-0000FE7B0000}"/>
    <cellStyle name="Normal 8 2 5 2 7" xfId="6216" xr:uid="{00000000-0005-0000-0000-0000FF7B0000}"/>
    <cellStyle name="Normal 8 2 5 2 7 2" xfId="15316" xr:uid="{00000000-0005-0000-0000-0000007C0000}"/>
    <cellStyle name="Normal 8 2 5 2 7 2 2" xfId="33498" xr:uid="{00000000-0005-0000-0000-0000017C0000}"/>
    <cellStyle name="Normal 8 2 5 2 7 3" xfId="24408" xr:uid="{00000000-0005-0000-0000-0000027C0000}"/>
    <cellStyle name="Normal 8 2 5 2 8" xfId="10782" xr:uid="{00000000-0005-0000-0000-0000037C0000}"/>
    <cellStyle name="Normal 8 2 5 2 8 2" xfId="28964" xr:uid="{00000000-0005-0000-0000-0000047C0000}"/>
    <cellStyle name="Normal 8 2 5 2 9" xfId="19873" xr:uid="{00000000-0005-0000-0000-0000057C0000}"/>
    <cellStyle name="Normal 8 2 5 3" xfId="1582" xr:uid="{00000000-0005-0000-0000-0000067C0000}"/>
    <cellStyle name="Normal 8 2 5 3 2" xfId="1583" xr:uid="{00000000-0005-0000-0000-0000077C0000}"/>
    <cellStyle name="Normal 8 2 5 3 2 2" xfId="2960" xr:uid="{00000000-0005-0000-0000-0000087C0000}"/>
    <cellStyle name="Normal 8 2 5 3 2 2 2" xfId="7540" xr:uid="{00000000-0005-0000-0000-0000097C0000}"/>
    <cellStyle name="Normal 8 2 5 3 2 2 2 2" xfId="16640" xr:uid="{00000000-0005-0000-0000-00000A7C0000}"/>
    <cellStyle name="Normal 8 2 5 3 2 2 2 2 2" xfId="34822" xr:uid="{00000000-0005-0000-0000-00000B7C0000}"/>
    <cellStyle name="Normal 8 2 5 3 2 2 2 3" xfId="25732" xr:uid="{00000000-0005-0000-0000-00000C7C0000}"/>
    <cellStyle name="Normal 8 2 5 3 2 2 3" xfId="12104" xr:uid="{00000000-0005-0000-0000-00000D7C0000}"/>
    <cellStyle name="Normal 8 2 5 3 2 2 3 2" xfId="30286" xr:uid="{00000000-0005-0000-0000-00000E7C0000}"/>
    <cellStyle name="Normal 8 2 5 3 2 2 4" xfId="21196" xr:uid="{00000000-0005-0000-0000-00000F7C0000}"/>
    <cellStyle name="Normal 8 2 5 3 2 3" xfId="4583" xr:uid="{00000000-0005-0000-0000-0000107C0000}"/>
    <cellStyle name="Normal 8 2 5 3 2 3 2" xfId="9139" xr:uid="{00000000-0005-0000-0000-0000117C0000}"/>
    <cellStyle name="Normal 8 2 5 3 2 3 2 2" xfId="18235" xr:uid="{00000000-0005-0000-0000-0000127C0000}"/>
    <cellStyle name="Normal 8 2 5 3 2 3 2 2 2" xfId="36417" xr:uid="{00000000-0005-0000-0000-0000137C0000}"/>
    <cellStyle name="Normal 8 2 5 3 2 3 2 3" xfId="27327" xr:uid="{00000000-0005-0000-0000-0000147C0000}"/>
    <cellStyle name="Normal 8 2 5 3 2 3 3" xfId="13695" xr:uid="{00000000-0005-0000-0000-0000157C0000}"/>
    <cellStyle name="Normal 8 2 5 3 2 3 3 2" xfId="31877" xr:uid="{00000000-0005-0000-0000-0000167C0000}"/>
    <cellStyle name="Normal 8 2 5 3 2 3 4" xfId="22787" xr:uid="{00000000-0005-0000-0000-0000177C0000}"/>
    <cellStyle name="Normal 8 2 5 3 2 4" xfId="6222" xr:uid="{00000000-0005-0000-0000-0000187C0000}"/>
    <cellStyle name="Normal 8 2 5 3 2 4 2" xfId="15322" xr:uid="{00000000-0005-0000-0000-0000197C0000}"/>
    <cellStyle name="Normal 8 2 5 3 2 4 2 2" xfId="33504" xr:uid="{00000000-0005-0000-0000-00001A7C0000}"/>
    <cellStyle name="Normal 8 2 5 3 2 4 3" xfId="24414" xr:uid="{00000000-0005-0000-0000-00001B7C0000}"/>
    <cellStyle name="Normal 8 2 5 3 2 5" xfId="10788" xr:uid="{00000000-0005-0000-0000-00001C7C0000}"/>
    <cellStyle name="Normal 8 2 5 3 2 5 2" xfId="28970" xr:uid="{00000000-0005-0000-0000-00001D7C0000}"/>
    <cellStyle name="Normal 8 2 5 3 2 6" xfId="19879" xr:uid="{00000000-0005-0000-0000-00001E7C0000}"/>
    <cellStyle name="Normal 8 2 5 3 3" xfId="2961" xr:uid="{00000000-0005-0000-0000-00001F7C0000}"/>
    <cellStyle name="Normal 8 2 5 3 3 2" xfId="7541" xr:uid="{00000000-0005-0000-0000-0000207C0000}"/>
    <cellStyle name="Normal 8 2 5 3 3 2 2" xfId="16641" xr:uid="{00000000-0005-0000-0000-0000217C0000}"/>
    <cellStyle name="Normal 8 2 5 3 3 2 2 2" xfId="34823" xr:uid="{00000000-0005-0000-0000-0000227C0000}"/>
    <cellStyle name="Normal 8 2 5 3 3 2 3" xfId="25733" xr:uid="{00000000-0005-0000-0000-0000237C0000}"/>
    <cellStyle name="Normal 8 2 5 3 3 3" xfId="12105" xr:uid="{00000000-0005-0000-0000-0000247C0000}"/>
    <cellStyle name="Normal 8 2 5 3 3 3 2" xfId="30287" xr:uid="{00000000-0005-0000-0000-0000257C0000}"/>
    <cellStyle name="Normal 8 2 5 3 3 4" xfId="21197" xr:uid="{00000000-0005-0000-0000-0000267C0000}"/>
    <cellStyle name="Normal 8 2 5 3 4" xfId="4582" xr:uid="{00000000-0005-0000-0000-0000277C0000}"/>
    <cellStyle name="Normal 8 2 5 3 4 2" xfId="9138" xr:uid="{00000000-0005-0000-0000-0000287C0000}"/>
    <cellStyle name="Normal 8 2 5 3 4 2 2" xfId="18234" xr:uid="{00000000-0005-0000-0000-0000297C0000}"/>
    <cellStyle name="Normal 8 2 5 3 4 2 2 2" xfId="36416" xr:uid="{00000000-0005-0000-0000-00002A7C0000}"/>
    <cellStyle name="Normal 8 2 5 3 4 2 3" xfId="27326" xr:uid="{00000000-0005-0000-0000-00002B7C0000}"/>
    <cellStyle name="Normal 8 2 5 3 4 3" xfId="13694" xr:uid="{00000000-0005-0000-0000-00002C7C0000}"/>
    <cellStyle name="Normal 8 2 5 3 4 3 2" xfId="31876" xr:uid="{00000000-0005-0000-0000-00002D7C0000}"/>
    <cellStyle name="Normal 8 2 5 3 4 4" xfId="22786" xr:uid="{00000000-0005-0000-0000-00002E7C0000}"/>
    <cellStyle name="Normal 8 2 5 3 5" xfId="6221" xr:uid="{00000000-0005-0000-0000-00002F7C0000}"/>
    <cellStyle name="Normal 8 2 5 3 5 2" xfId="15321" xr:uid="{00000000-0005-0000-0000-0000307C0000}"/>
    <cellStyle name="Normal 8 2 5 3 5 2 2" xfId="33503" xr:uid="{00000000-0005-0000-0000-0000317C0000}"/>
    <cellStyle name="Normal 8 2 5 3 5 3" xfId="24413" xr:uid="{00000000-0005-0000-0000-0000327C0000}"/>
    <cellStyle name="Normal 8 2 5 3 6" xfId="10787" xr:uid="{00000000-0005-0000-0000-0000337C0000}"/>
    <cellStyle name="Normal 8 2 5 3 6 2" xfId="28969" xr:uid="{00000000-0005-0000-0000-0000347C0000}"/>
    <cellStyle name="Normal 8 2 5 3 7" xfId="19878" xr:uid="{00000000-0005-0000-0000-0000357C0000}"/>
    <cellStyle name="Normal 8 2 5 4" xfId="1584" xr:uid="{00000000-0005-0000-0000-0000367C0000}"/>
    <cellStyle name="Normal 8 2 5 4 2" xfId="2962" xr:uid="{00000000-0005-0000-0000-0000377C0000}"/>
    <cellStyle name="Normal 8 2 5 4 2 2" xfId="7542" xr:uid="{00000000-0005-0000-0000-0000387C0000}"/>
    <cellStyle name="Normal 8 2 5 4 2 2 2" xfId="16642" xr:uid="{00000000-0005-0000-0000-0000397C0000}"/>
    <cellStyle name="Normal 8 2 5 4 2 2 2 2" xfId="34824" xr:uid="{00000000-0005-0000-0000-00003A7C0000}"/>
    <cellStyle name="Normal 8 2 5 4 2 2 3" xfId="25734" xr:uid="{00000000-0005-0000-0000-00003B7C0000}"/>
    <cellStyle name="Normal 8 2 5 4 2 3" xfId="12106" xr:uid="{00000000-0005-0000-0000-00003C7C0000}"/>
    <cellStyle name="Normal 8 2 5 4 2 3 2" xfId="30288" xr:uid="{00000000-0005-0000-0000-00003D7C0000}"/>
    <cellStyle name="Normal 8 2 5 4 2 4" xfId="21198" xr:uid="{00000000-0005-0000-0000-00003E7C0000}"/>
    <cellStyle name="Normal 8 2 5 4 3" xfId="4584" xr:uid="{00000000-0005-0000-0000-00003F7C0000}"/>
    <cellStyle name="Normal 8 2 5 4 3 2" xfId="9140" xr:uid="{00000000-0005-0000-0000-0000407C0000}"/>
    <cellStyle name="Normal 8 2 5 4 3 2 2" xfId="18236" xr:uid="{00000000-0005-0000-0000-0000417C0000}"/>
    <cellStyle name="Normal 8 2 5 4 3 2 2 2" xfId="36418" xr:uid="{00000000-0005-0000-0000-0000427C0000}"/>
    <cellStyle name="Normal 8 2 5 4 3 2 3" xfId="27328" xr:uid="{00000000-0005-0000-0000-0000437C0000}"/>
    <cellStyle name="Normal 8 2 5 4 3 3" xfId="13696" xr:uid="{00000000-0005-0000-0000-0000447C0000}"/>
    <cellStyle name="Normal 8 2 5 4 3 3 2" xfId="31878" xr:uid="{00000000-0005-0000-0000-0000457C0000}"/>
    <cellStyle name="Normal 8 2 5 4 3 4" xfId="22788" xr:uid="{00000000-0005-0000-0000-0000467C0000}"/>
    <cellStyle name="Normal 8 2 5 4 4" xfId="6223" xr:uid="{00000000-0005-0000-0000-0000477C0000}"/>
    <cellStyle name="Normal 8 2 5 4 4 2" xfId="15323" xr:uid="{00000000-0005-0000-0000-0000487C0000}"/>
    <cellStyle name="Normal 8 2 5 4 4 2 2" xfId="33505" xr:uid="{00000000-0005-0000-0000-0000497C0000}"/>
    <cellStyle name="Normal 8 2 5 4 4 3" xfId="24415" xr:uid="{00000000-0005-0000-0000-00004A7C0000}"/>
    <cellStyle name="Normal 8 2 5 4 5" xfId="10789" xr:uid="{00000000-0005-0000-0000-00004B7C0000}"/>
    <cellStyle name="Normal 8 2 5 4 5 2" xfId="28971" xr:uid="{00000000-0005-0000-0000-00004C7C0000}"/>
    <cellStyle name="Normal 8 2 5 4 6" xfId="19880" xr:uid="{00000000-0005-0000-0000-00004D7C0000}"/>
    <cellStyle name="Normal 8 2 5 5" xfId="1585" xr:uid="{00000000-0005-0000-0000-00004E7C0000}"/>
    <cellStyle name="Normal 8 2 5 5 2" xfId="4585" xr:uid="{00000000-0005-0000-0000-00004F7C0000}"/>
    <cellStyle name="Normal 8 2 5 5 2 2" xfId="9141" xr:uid="{00000000-0005-0000-0000-0000507C0000}"/>
    <cellStyle name="Normal 8 2 5 5 2 2 2" xfId="18237" xr:uid="{00000000-0005-0000-0000-0000517C0000}"/>
    <cellStyle name="Normal 8 2 5 5 2 2 2 2" xfId="36419" xr:uid="{00000000-0005-0000-0000-0000527C0000}"/>
    <cellStyle name="Normal 8 2 5 5 2 2 3" xfId="27329" xr:uid="{00000000-0005-0000-0000-0000537C0000}"/>
    <cellStyle name="Normal 8 2 5 5 2 3" xfId="13697" xr:uid="{00000000-0005-0000-0000-0000547C0000}"/>
    <cellStyle name="Normal 8 2 5 5 2 3 2" xfId="31879" xr:uid="{00000000-0005-0000-0000-0000557C0000}"/>
    <cellStyle name="Normal 8 2 5 5 2 4" xfId="22789" xr:uid="{00000000-0005-0000-0000-0000567C0000}"/>
    <cellStyle name="Normal 8 2 5 5 3" xfId="6224" xr:uid="{00000000-0005-0000-0000-0000577C0000}"/>
    <cellStyle name="Normal 8 2 5 5 3 2" xfId="15324" xr:uid="{00000000-0005-0000-0000-0000587C0000}"/>
    <cellStyle name="Normal 8 2 5 5 3 2 2" xfId="33506" xr:uid="{00000000-0005-0000-0000-0000597C0000}"/>
    <cellStyle name="Normal 8 2 5 5 3 3" xfId="24416" xr:uid="{00000000-0005-0000-0000-00005A7C0000}"/>
    <cellStyle name="Normal 8 2 5 5 4" xfId="10790" xr:uid="{00000000-0005-0000-0000-00005B7C0000}"/>
    <cellStyle name="Normal 8 2 5 5 4 2" xfId="28972" xr:uid="{00000000-0005-0000-0000-00005C7C0000}"/>
    <cellStyle name="Normal 8 2 5 5 5" xfId="19881" xr:uid="{00000000-0005-0000-0000-00005D7C0000}"/>
    <cellStyle name="Normal 8 2 5 6" xfId="2963" xr:uid="{00000000-0005-0000-0000-00005E7C0000}"/>
    <cellStyle name="Normal 8 2 5 6 2" xfId="7543" xr:uid="{00000000-0005-0000-0000-00005F7C0000}"/>
    <cellStyle name="Normal 8 2 5 6 2 2" xfId="16643" xr:uid="{00000000-0005-0000-0000-0000607C0000}"/>
    <cellStyle name="Normal 8 2 5 6 2 2 2" xfId="34825" xr:uid="{00000000-0005-0000-0000-0000617C0000}"/>
    <cellStyle name="Normal 8 2 5 6 2 3" xfId="25735" xr:uid="{00000000-0005-0000-0000-0000627C0000}"/>
    <cellStyle name="Normal 8 2 5 6 3" xfId="12107" xr:uid="{00000000-0005-0000-0000-0000637C0000}"/>
    <cellStyle name="Normal 8 2 5 6 3 2" xfId="30289" xr:uid="{00000000-0005-0000-0000-0000647C0000}"/>
    <cellStyle name="Normal 8 2 5 6 4" xfId="21199" xr:uid="{00000000-0005-0000-0000-0000657C0000}"/>
    <cellStyle name="Normal 8 2 5 7" xfId="3241" xr:uid="{00000000-0005-0000-0000-0000667C0000}"/>
    <cellStyle name="Normal 8 2 5 7 2" xfId="7801" xr:uid="{00000000-0005-0000-0000-0000677C0000}"/>
    <cellStyle name="Normal 8 2 5 7 2 2" xfId="16897" xr:uid="{00000000-0005-0000-0000-0000687C0000}"/>
    <cellStyle name="Normal 8 2 5 7 2 2 2" xfId="35079" xr:uid="{00000000-0005-0000-0000-0000697C0000}"/>
    <cellStyle name="Normal 8 2 5 7 2 3" xfId="25989" xr:uid="{00000000-0005-0000-0000-00006A7C0000}"/>
    <cellStyle name="Normal 8 2 5 7 3" xfId="12357" xr:uid="{00000000-0005-0000-0000-00006B7C0000}"/>
    <cellStyle name="Normal 8 2 5 7 3 2" xfId="30539" xr:uid="{00000000-0005-0000-0000-00006C7C0000}"/>
    <cellStyle name="Normal 8 2 5 7 4" xfId="21449" xr:uid="{00000000-0005-0000-0000-00006D7C0000}"/>
    <cellStyle name="Normal 8 2 5 8" xfId="4888" xr:uid="{00000000-0005-0000-0000-00006E7C0000}"/>
    <cellStyle name="Normal 8 2 5 8 2" xfId="13988" xr:uid="{00000000-0005-0000-0000-00006F7C0000}"/>
    <cellStyle name="Normal 8 2 5 8 2 2" xfId="32170" xr:uid="{00000000-0005-0000-0000-0000707C0000}"/>
    <cellStyle name="Normal 8 2 5 8 3" xfId="23080" xr:uid="{00000000-0005-0000-0000-0000717C0000}"/>
    <cellStyle name="Normal 8 2 5 9" xfId="9454" xr:uid="{00000000-0005-0000-0000-0000727C0000}"/>
    <cellStyle name="Normal 8 2 5 9 2" xfId="27636" xr:uid="{00000000-0005-0000-0000-0000737C0000}"/>
    <cellStyle name="Normal 8 2 6" xfId="180" xr:uid="{00000000-0005-0000-0000-0000747C0000}"/>
    <cellStyle name="Normal 8 2 6 10" xfId="18557" xr:uid="{00000000-0005-0000-0000-0000757C0000}"/>
    <cellStyle name="Normal 8 2 6 2" xfId="194" xr:uid="{00000000-0005-0000-0000-0000767C0000}"/>
    <cellStyle name="Normal 8 2 6 2 2" xfId="1586" xr:uid="{00000000-0005-0000-0000-0000777C0000}"/>
    <cellStyle name="Normal 8 2 6 2 2 2" xfId="1587" xr:uid="{00000000-0005-0000-0000-0000787C0000}"/>
    <cellStyle name="Normal 8 2 6 2 2 2 2" xfId="2964" xr:uid="{00000000-0005-0000-0000-0000797C0000}"/>
    <cellStyle name="Normal 8 2 6 2 2 2 2 2" xfId="7544" xr:uid="{00000000-0005-0000-0000-00007A7C0000}"/>
    <cellStyle name="Normal 8 2 6 2 2 2 2 2 2" xfId="16644" xr:uid="{00000000-0005-0000-0000-00007B7C0000}"/>
    <cellStyle name="Normal 8 2 6 2 2 2 2 2 2 2" xfId="34826" xr:uid="{00000000-0005-0000-0000-00007C7C0000}"/>
    <cellStyle name="Normal 8 2 6 2 2 2 2 2 3" xfId="25736" xr:uid="{00000000-0005-0000-0000-00007D7C0000}"/>
    <cellStyle name="Normal 8 2 6 2 2 2 2 3" xfId="12108" xr:uid="{00000000-0005-0000-0000-00007E7C0000}"/>
    <cellStyle name="Normal 8 2 6 2 2 2 2 3 2" xfId="30290" xr:uid="{00000000-0005-0000-0000-00007F7C0000}"/>
    <cellStyle name="Normal 8 2 6 2 2 2 2 4" xfId="21200" xr:uid="{00000000-0005-0000-0000-0000807C0000}"/>
    <cellStyle name="Normal 8 2 6 2 2 2 3" xfId="4587" xr:uid="{00000000-0005-0000-0000-0000817C0000}"/>
    <cellStyle name="Normal 8 2 6 2 2 2 3 2" xfId="9143" xr:uid="{00000000-0005-0000-0000-0000827C0000}"/>
    <cellStyle name="Normal 8 2 6 2 2 2 3 2 2" xfId="18239" xr:uid="{00000000-0005-0000-0000-0000837C0000}"/>
    <cellStyle name="Normal 8 2 6 2 2 2 3 2 2 2" xfId="36421" xr:uid="{00000000-0005-0000-0000-0000847C0000}"/>
    <cellStyle name="Normal 8 2 6 2 2 2 3 2 3" xfId="27331" xr:uid="{00000000-0005-0000-0000-0000857C0000}"/>
    <cellStyle name="Normal 8 2 6 2 2 2 3 3" xfId="13699" xr:uid="{00000000-0005-0000-0000-0000867C0000}"/>
    <cellStyle name="Normal 8 2 6 2 2 2 3 3 2" xfId="31881" xr:uid="{00000000-0005-0000-0000-0000877C0000}"/>
    <cellStyle name="Normal 8 2 6 2 2 2 3 4" xfId="22791" xr:uid="{00000000-0005-0000-0000-0000887C0000}"/>
    <cellStyle name="Normal 8 2 6 2 2 2 4" xfId="6226" xr:uid="{00000000-0005-0000-0000-0000897C0000}"/>
    <cellStyle name="Normal 8 2 6 2 2 2 4 2" xfId="15326" xr:uid="{00000000-0005-0000-0000-00008A7C0000}"/>
    <cellStyle name="Normal 8 2 6 2 2 2 4 2 2" xfId="33508" xr:uid="{00000000-0005-0000-0000-00008B7C0000}"/>
    <cellStyle name="Normal 8 2 6 2 2 2 4 3" xfId="24418" xr:uid="{00000000-0005-0000-0000-00008C7C0000}"/>
    <cellStyle name="Normal 8 2 6 2 2 2 5" xfId="10792" xr:uid="{00000000-0005-0000-0000-00008D7C0000}"/>
    <cellStyle name="Normal 8 2 6 2 2 2 5 2" xfId="28974" xr:uid="{00000000-0005-0000-0000-00008E7C0000}"/>
    <cellStyle name="Normal 8 2 6 2 2 2 6" xfId="19883" xr:uid="{00000000-0005-0000-0000-00008F7C0000}"/>
    <cellStyle name="Normal 8 2 6 2 2 3" xfId="2965" xr:uid="{00000000-0005-0000-0000-0000907C0000}"/>
    <cellStyle name="Normal 8 2 6 2 2 3 2" xfId="7545" xr:uid="{00000000-0005-0000-0000-0000917C0000}"/>
    <cellStyle name="Normal 8 2 6 2 2 3 2 2" xfId="16645" xr:uid="{00000000-0005-0000-0000-0000927C0000}"/>
    <cellStyle name="Normal 8 2 6 2 2 3 2 2 2" xfId="34827" xr:uid="{00000000-0005-0000-0000-0000937C0000}"/>
    <cellStyle name="Normal 8 2 6 2 2 3 2 3" xfId="25737" xr:uid="{00000000-0005-0000-0000-0000947C0000}"/>
    <cellStyle name="Normal 8 2 6 2 2 3 3" xfId="12109" xr:uid="{00000000-0005-0000-0000-0000957C0000}"/>
    <cellStyle name="Normal 8 2 6 2 2 3 3 2" xfId="30291" xr:uid="{00000000-0005-0000-0000-0000967C0000}"/>
    <cellStyle name="Normal 8 2 6 2 2 3 4" xfId="21201" xr:uid="{00000000-0005-0000-0000-0000977C0000}"/>
    <cellStyle name="Normal 8 2 6 2 2 4" xfId="4586" xr:uid="{00000000-0005-0000-0000-0000987C0000}"/>
    <cellStyle name="Normal 8 2 6 2 2 4 2" xfId="9142" xr:uid="{00000000-0005-0000-0000-0000997C0000}"/>
    <cellStyle name="Normal 8 2 6 2 2 4 2 2" xfId="18238" xr:uid="{00000000-0005-0000-0000-00009A7C0000}"/>
    <cellStyle name="Normal 8 2 6 2 2 4 2 2 2" xfId="36420" xr:uid="{00000000-0005-0000-0000-00009B7C0000}"/>
    <cellStyle name="Normal 8 2 6 2 2 4 2 3" xfId="27330" xr:uid="{00000000-0005-0000-0000-00009C7C0000}"/>
    <cellStyle name="Normal 8 2 6 2 2 4 3" xfId="13698" xr:uid="{00000000-0005-0000-0000-00009D7C0000}"/>
    <cellStyle name="Normal 8 2 6 2 2 4 3 2" xfId="31880" xr:uid="{00000000-0005-0000-0000-00009E7C0000}"/>
    <cellStyle name="Normal 8 2 6 2 2 4 4" xfId="22790" xr:uid="{00000000-0005-0000-0000-00009F7C0000}"/>
    <cellStyle name="Normal 8 2 6 2 2 5" xfId="6225" xr:uid="{00000000-0005-0000-0000-0000A07C0000}"/>
    <cellStyle name="Normal 8 2 6 2 2 5 2" xfId="15325" xr:uid="{00000000-0005-0000-0000-0000A17C0000}"/>
    <cellStyle name="Normal 8 2 6 2 2 5 2 2" xfId="33507" xr:uid="{00000000-0005-0000-0000-0000A27C0000}"/>
    <cellStyle name="Normal 8 2 6 2 2 5 3" xfId="24417" xr:uid="{00000000-0005-0000-0000-0000A37C0000}"/>
    <cellStyle name="Normal 8 2 6 2 2 6" xfId="10791" xr:uid="{00000000-0005-0000-0000-0000A47C0000}"/>
    <cellStyle name="Normal 8 2 6 2 2 6 2" xfId="28973" xr:uid="{00000000-0005-0000-0000-0000A57C0000}"/>
    <cellStyle name="Normal 8 2 6 2 2 7" xfId="19882" xr:uid="{00000000-0005-0000-0000-0000A67C0000}"/>
    <cellStyle name="Normal 8 2 6 2 3" xfId="1588" xr:uid="{00000000-0005-0000-0000-0000A77C0000}"/>
    <cellStyle name="Normal 8 2 6 2 3 2" xfId="2966" xr:uid="{00000000-0005-0000-0000-0000A87C0000}"/>
    <cellStyle name="Normal 8 2 6 2 3 2 2" xfId="7546" xr:uid="{00000000-0005-0000-0000-0000A97C0000}"/>
    <cellStyle name="Normal 8 2 6 2 3 2 2 2" xfId="16646" xr:uid="{00000000-0005-0000-0000-0000AA7C0000}"/>
    <cellStyle name="Normal 8 2 6 2 3 2 2 2 2" xfId="34828" xr:uid="{00000000-0005-0000-0000-0000AB7C0000}"/>
    <cellStyle name="Normal 8 2 6 2 3 2 2 3" xfId="25738" xr:uid="{00000000-0005-0000-0000-0000AC7C0000}"/>
    <cellStyle name="Normal 8 2 6 2 3 2 3" xfId="12110" xr:uid="{00000000-0005-0000-0000-0000AD7C0000}"/>
    <cellStyle name="Normal 8 2 6 2 3 2 3 2" xfId="30292" xr:uid="{00000000-0005-0000-0000-0000AE7C0000}"/>
    <cellStyle name="Normal 8 2 6 2 3 2 4" xfId="21202" xr:uid="{00000000-0005-0000-0000-0000AF7C0000}"/>
    <cellStyle name="Normal 8 2 6 2 3 3" xfId="4588" xr:uid="{00000000-0005-0000-0000-0000B07C0000}"/>
    <cellStyle name="Normal 8 2 6 2 3 3 2" xfId="9144" xr:uid="{00000000-0005-0000-0000-0000B17C0000}"/>
    <cellStyle name="Normal 8 2 6 2 3 3 2 2" xfId="18240" xr:uid="{00000000-0005-0000-0000-0000B27C0000}"/>
    <cellStyle name="Normal 8 2 6 2 3 3 2 2 2" xfId="36422" xr:uid="{00000000-0005-0000-0000-0000B37C0000}"/>
    <cellStyle name="Normal 8 2 6 2 3 3 2 3" xfId="27332" xr:uid="{00000000-0005-0000-0000-0000B47C0000}"/>
    <cellStyle name="Normal 8 2 6 2 3 3 3" xfId="13700" xr:uid="{00000000-0005-0000-0000-0000B57C0000}"/>
    <cellStyle name="Normal 8 2 6 2 3 3 3 2" xfId="31882" xr:uid="{00000000-0005-0000-0000-0000B67C0000}"/>
    <cellStyle name="Normal 8 2 6 2 3 3 4" xfId="22792" xr:uid="{00000000-0005-0000-0000-0000B77C0000}"/>
    <cellStyle name="Normal 8 2 6 2 3 4" xfId="6227" xr:uid="{00000000-0005-0000-0000-0000B87C0000}"/>
    <cellStyle name="Normal 8 2 6 2 3 4 2" xfId="15327" xr:uid="{00000000-0005-0000-0000-0000B97C0000}"/>
    <cellStyle name="Normal 8 2 6 2 3 4 2 2" xfId="33509" xr:uid="{00000000-0005-0000-0000-0000BA7C0000}"/>
    <cellStyle name="Normal 8 2 6 2 3 4 3" xfId="24419" xr:uid="{00000000-0005-0000-0000-0000BB7C0000}"/>
    <cellStyle name="Normal 8 2 6 2 3 5" xfId="10793" xr:uid="{00000000-0005-0000-0000-0000BC7C0000}"/>
    <cellStyle name="Normal 8 2 6 2 3 5 2" xfId="28975" xr:uid="{00000000-0005-0000-0000-0000BD7C0000}"/>
    <cellStyle name="Normal 8 2 6 2 3 6" xfId="19884" xr:uid="{00000000-0005-0000-0000-0000BE7C0000}"/>
    <cellStyle name="Normal 8 2 6 2 4" xfId="1589" xr:uid="{00000000-0005-0000-0000-0000BF7C0000}"/>
    <cellStyle name="Normal 8 2 6 2 4 2" xfId="4589" xr:uid="{00000000-0005-0000-0000-0000C07C0000}"/>
    <cellStyle name="Normal 8 2 6 2 4 2 2" xfId="9145" xr:uid="{00000000-0005-0000-0000-0000C17C0000}"/>
    <cellStyle name="Normal 8 2 6 2 4 2 2 2" xfId="18241" xr:uid="{00000000-0005-0000-0000-0000C27C0000}"/>
    <cellStyle name="Normal 8 2 6 2 4 2 2 2 2" xfId="36423" xr:uid="{00000000-0005-0000-0000-0000C37C0000}"/>
    <cellStyle name="Normal 8 2 6 2 4 2 2 3" xfId="27333" xr:uid="{00000000-0005-0000-0000-0000C47C0000}"/>
    <cellStyle name="Normal 8 2 6 2 4 2 3" xfId="13701" xr:uid="{00000000-0005-0000-0000-0000C57C0000}"/>
    <cellStyle name="Normal 8 2 6 2 4 2 3 2" xfId="31883" xr:uid="{00000000-0005-0000-0000-0000C67C0000}"/>
    <cellStyle name="Normal 8 2 6 2 4 2 4" xfId="22793" xr:uid="{00000000-0005-0000-0000-0000C77C0000}"/>
    <cellStyle name="Normal 8 2 6 2 4 3" xfId="6228" xr:uid="{00000000-0005-0000-0000-0000C87C0000}"/>
    <cellStyle name="Normal 8 2 6 2 4 3 2" xfId="15328" xr:uid="{00000000-0005-0000-0000-0000C97C0000}"/>
    <cellStyle name="Normal 8 2 6 2 4 3 2 2" xfId="33510" xr:uid="{00000000-0005-0000-0000-0000CA7C0000}"/>
    <cellStyle name="Normal 8 2 6 2 4 3 3" xfId="24420" xr:uid="{00000000-0005-0000-0000-0000CB7C0000}"/>
    <cellStyle name="Normal 8 2 6 2 4 4" xfId="10794" xr:uid="{00000000-0005-0000-0000-0000CC7C0000}"/>
    <cellStyle name="Normal 8 2 6 2 4 4 2" xfId="28976" xr:uid="{00000000-0005-0000-0000-0000CD7C0000}"/>
    <cellStyle name="Normal 8 2 6 2 4 5" xfId="19885" xr:uid="{00000000-0005-0000-0000-0000CE7C0000}"/>
    <cellStyle name="Normal 8 2 6 2 5" xfId="2967" xr:uid="{00000000-0005-0000-0000-0000CF7C0000}"/>
    <cellStyle name="Normal 8 2 6 2 5 2" xfId="7547" xr:uid="{00000000-0005-0000-0000-0000D07C0000}"/>
    <cellStyle name="Normal 8 2 6 2 5 2 2" xfId="16647" xr:uid="{00000000-0005-0000-0000-0000D17C0000}"/>
    <cellStyle name="Normal 8 2 6 2 5 2 2 2" xfId="34829" xr:uid="{00000000-0005-0000-0000-0000D27C0000}"/>
    <cellStyle name="Normal 8 2 6 2 5 2 3" xfId="25739" xr:uid="{00000000-0005-0000-0000-0000D37C0000}"/>
    <cellStyle name="Normal 8 2 6 2 5 3" xfId="12111" xr:uid="{00000000-0005-0000-0000-0000D47C0000}"/>
    <cellStyle name="Normal 8 2 6 2 5 3 2" xfId="30293" xr:uid="{00000000-0005-0000-0000-0000D57C0000}"/>
    <cellStyle name="Normal 8 2 6 2 5 4" xfId="21203" xr:uid="{00000000-0005-0000-0000-0000D67C0000}"/>
    <cellStyle name="Normal 8 2 6 2 6" xfId="3265" xr:uid="{00000000-0005-0000-0000-0000D77C0000}"/>
    <cellStyle name="Normal 8 2 6 2 6 2" xfId="7825" xr:uid="{00000000-0005-0000-0000-0000D87C0000}"/>
    <cellStyle name="Normal 8 2 6 2 6 2 2" xfId="16921" xr:uid="{00000000-0005-0000-0000-0000D97C0000}"/>
    <cellStyle name="Normal 8 2 6 2 6 2 2 2" xfId="35103" xr:uid="{00000000-0005-0000-0000-0000DA7C0000}"/>
    <cellStyle name="Normal 8 2 6 2 6 2 3" xfId="26013" xr:uid="{00000000-0005-0000-0000-0000DB7C0000}"/>
    <cellStyle name="Normal 8 2 6 2 6 3" xfId="12381" xr:uid="{00000000-0005-0000-0000-0000DC7C0000}"/>
    <cellStyle name="Normal 8 2 6 2 6 3 2" xfId="30563" xr:uid="{00000000-0005-0000-0000-0000DD7C0000}"/>
    <cellStyle name="Normal 8 2 6 2 6 4" xfId="21473" xr:uid="{00000000-0005-0000-0000-0000DE7C0000}"/>
    <cellStyle name="Normal 8 2 6 2 7" xfId="4912" xr:uid="{00000000-0005-0000-0000-0000DF7C0000}"/>
    <cellStyle name="Normal 8 2 6 2 7 2" xfId="14012" xr:uid="{00000000-0005-0000-0000-0000E07C0000}"/>
    <cellStyle name="Normal 8 2 6 2 7 2 2" xfId="32194" xr:uid="{00000000-0005-0000-0000-0000E17C0000}"/>
    <cellStyle name="Normal 8 2 6 2 7 3" xfId="23104" xr:uid="{00000000-0005-0000-0000-0000E27C0000}"/>
    <cellStyle name="Normal 8 2 6 2 8" xfId="9478" xr:uid="{00000000-0005-0000-0000-0000E37C0000}"/>
    <cellStyle name="Normal 8 2 6 2 8 2" xfId="27660" xr:uid="{00000000-0005-0000-0000-0000E47C0000}"/>
    <cellStyle name="Normal 8 2 6 2 9" xfId="18569" xr:uid="{00000000-0005-0000-0000-0000E57C0000}"/>
    <cellStyle name="Normal 8 2 6 3" xfId="1590" xr:uid="{00000000-0005-0000-0000-0000E67C0000}"/>
    <cellStyle name="Normal 8 2 6 3 2" xfId="1591" xr:uid="{00000000-0005-0000-0000-0000E77C0000}"/>
    <cellStyle name="Normal 8 2 6 3 2 2" xfId="2968" xr:uid="{00000000-0005-0000-0000-0000E87C0000}"/>
    <cellStyle name="Normal 8 2 6 3 2 2 2" xfId="7548" xr:uid="{00000000-0005-0000-0000-0000E97C0000}"/>
    <cellStyle name="Normal 8 2 6 3 2 2 2 2" xfId="16648" xr:uid="{00000000-0005-0000-0000-0000EA7C0000}"/>
    <cellStyle name="Normal 8 2 6 3 2 2 2 2 2" xfId="34830" xr:uid="{00000000-0005-0000-0000-0000EB7C0000}"/>
    <cellStyle name="Normal 8 2 6 3 2 2 2 3" xfId="25740" xr:uid="{00000000-0005-0000-0000-0000EC7C0000}"/>
    <cellStyle name="Normal 8 2 6 3 2 2 3" xfId="12112" xr:uid="{00000000-0005-0000-0000-0000ED7C0000}"/>
    <cellStyle name="Normal 8 2 6 3 2 2 3 2" xfId="30294" xr:uid="{00000000-0005-0000-0000-0000EE7C0000}"/>
    <cellStyle name="Normal 8 2 6 3 2 2 4" xfId="21204" xr:uid="{00000000-0005-0000-0000-0000EF7C0000}"/>
    <cellStyle name="Normal 8 2 6 3 2 3" xfId="4591" xr:uid="{00000000-0005-0000-0000-0000F07C0000}"/>
    <cellStyle name="Normal 8 2 6 3 2 3 2" xfId="9147" xr:uid="{00000000-0005-0000-0000-0000F17C0000}"/>
    <cellStyle name="Normal 8 2 6 3 2 3 2 2" xfId="18243" xr:uid="{00000000-0005-0000-0000-0000F27C0000}"/>
    <cellStyle name="Normal 8 2 6 3 2 3 2 2 2" xfId="36425" xr:uid="{00000000-0005-0000-0000-0000F37C0000}"/>
    <cellStyle name="Normal 8 2 6 3 2 3 2 3" xfId="27335" xr:uid="{00000000-0005-0000-0000-0000F47C0000}"/>
    <cellStyle name="Normal 8 2 6 3 2 3 3" xfId="13703" xr:uid="{00000000-0005-0000-0000-0000F57C0000}"/>
    <cellStyle name="Normal 8 2 6 3 2 3 3 2" xfId="31885" xr:uid="{00000000-0005-0000-0000-0000F67C0000}"/>
    <cellStyle name="Normal 8 2 6 3 2 3 4" xfId="22795" xr:uid="{00000000-0005-0000-0000-0000F77C0000}"/>
    <cellStyle name="Normal 8 2 6 3 2 4" xfId="6230" xr:uid="{00000000-0005-0000-0000-0000F87C0000}"/>
    <cellStyle name="Normal 8 2 6 3 2 4 2" xfId="15330" xr:uid="{00000000-0005-0000-0000-0000F97C0000}"/>
    <cellStyle name="Normal 8 2 6 3 2 4 2 2" xfId="33512" xr:uid="{00000000-0005-0000-0000-0000FA7C0000}"/>
    <cellStyle name="Normal 8 2 6 3 2 4 3" xfId="24422" xr:uid="{00000000-0005-0000-0000-0000FB7C0000}"/>
    <cellStyle name="Normal 8 2 6 3 2 5" xfId="10796" xr:uid="{00000000-0005-0000-0000-0000FC7C0000}"/>
    <cellStyle name="Normal 8 2 6 3 2 5 2" xfId="28978" xr:uid="{00000000-0005-0000-0000-0000FD7C0000}"/>
    <cellStyle name="Normal 8 2 6 3 2 6" xfId="19887" xr:uid="{00000000-0005-0000-0000-0000FE7C0000}"/>
    <cellStyle name="Normal 8 2 6 3 3" xfId="2969" xr:uid="{00000000-0005-0000-0000-0000FF7C0000}"/>
    <cellStyle name="Normal 8 2 6 3 3 2" xfId="7549" xr:uid="{00000000-0005-0000-0000-0000007D0000}"/>
    <cellStyle name="Normal 8 2 6 3 3 2 2" xfId="16649" xr:uid="{00000000-0005-0000-0000-0000017D0000}"/>
    <cellStyle name="Normal 8 2 6 3 3 2 2 2" xfId="34831" xr:uid="{00000000-0005-0000-0000-0000027D0000}"/>
    <cellStyle name="Normal 8 2 6 3 3 2 3" xfId="25741" xr:uid="{00000000-0005-0000-0000-0000037D0000}"/>
    <cellStyle name="Normal 8 2 6 3 3 3" xfId="12113" xr:uid="{00000000-0005-0000-0000-0000047D0000}"/>
    <cellStyle name="Normal 8 2 6 3 3 3 2" xfId="30295" xr:uid="{00000000-0005-0000-0000-0000057D0000}"/>
    <cellStyle name="Normal 8 2 6 3 3 4" xfId="21205" xr:uid="{00000000-0005-0000-0000-0000067D0000}"/>
    <cellStyle name="Normal 8 2 6 3 4" xfId="4590" xr:uid="{00000000-0005-0000-0000-0000077D0000}"/>
    <cellStyle name="Normal 8 2 6 3 4 2" xfId="9146" xr:uid="{00000000-0005-0000-0000-0000087D0000}"/>
    <cellStyle name="Normal 8 2 6 3 4 2 2" xfId="18242" xr:uid="{00000000-0005-0000-0000-0000097D0000}"/>
    <cellStyle name="Normal 8 2 6 3 4 2 2 2" xfId="36424" xr:uid="{00000000-0005-0000-0000-00000A7D0000}"/>
    <cellStyle name="Normal 8 2 6 3 4 2 3" xfId="27334" xr:uid="{00000000-0005-0000-0000-00000B7D0000}"/>
    <cellStyle name="Normal 8 2 6 3 4 3" xfId="13702" xr:uid="{00000000-0005-0000-0000-00000C7D0000}"/>
    <cellStyle name="Normal 8 2 6 3 4 3 2" xfId="31884" xr:uid="{00000000-0005-0000-0000-00000D7D0000}"/>
    <cellStyle name="Normal 8 2 6 3 4 4" xfId="22794" xr:uid="{00000000-0005-0000-0000-00000E7D0000}"/>
    <cellStyle name="Normal 8 2 6 3 5" xfId="6229" xr:uid="{00000000-0005-0000-0000-00000F7D0000}"/>
    <cellStyle name="Normal 8 2 6 3 5 2" xfId="15329" xr:uid="{00000000-0005-0000-0000-0000107D0000}"/>
    <cellStyle name="Normal 8 2 6 3 5 2 2" xfId="33511" xr:uid="{00000000-0005-0000-0000-0000117D0000}"/>
    <cellStyle name="Normal 8 2 6 3 5 3" xfId="24421" xr:uid="{00000000-0005-0000-0000-0000127D0000}"/>
    <cellStyle name="Normal 8 2 6 3 6" xfId="10795" xr:uid="{00000000-0005-0000-0000-0000137D0000}"/>
    <cellStyle name="Normal 8 2 6 3 6 2" xfId="28977" xr:uid="{00000000-0005-0000-0000-0000147D0000}"/>
    <cellStyle name="Normal 8 2 6 3 7" xfId="19886" xr:uid="{00000000-0005-0000-0000-0000157D0000}"/>
    <cellStyle name="Normal 8 2 6 4" xfId="1592" xr:uid="{00000000-0005-0000-0000-0000167D0000}"/>
    <cellStyle name="Normal 8 2 6 4 2" xfId="2970" xr:uid="{00000000-0005-0000-0000-0000177D0000}"/>
    <cellStyle name="Normal 8 2 6 4 2 2" xfId="7550" xr:uid="{00000000-0005-0000-0000-0000187D0000}"/>
    <cellStyle name="Normal 8 2 6 4 2 2 2" xfId="16650" xr:uid="{00000000-0005-0000-0000-0000197D0000}"/>
    <cellStyle name="Normal 8 2 6 4 2 2 2 2" xfId="34832" xr:uid="{00000000-0005-0000-0000-00001A7D0000}"/>
    <cellStyle name="Normal 8 2 6 4 2 2 3" xfId="25742" xr:uid="{00000000-0005-0000-0000-00001B7D0000}"/>
    <cellStyle name="Normal 8 2 6 4 2 3" xfId="12114" xr:uid="{00000000-0005-0000-0000-00001C7D0000}"/>
    <cellStyle name="Normal 8 2 6 4 2 3 2" xfId="30296" xr:uid="{00000000-0005-0000-0000-00001D7D0000}"/>
    <cellStyle name="Normal 8 2 6 4 2 4" xfId="21206" xr:uid="{00000000-0005-0000-0000-00001E7D0000}"/>
    <cellStyle name="Normal 8 2 6 4 3" xfId="4592" xr:uid="{00000000-0005-0000-0000-00001F7D0000}"/>
    <cellStyle name="Normal 8 2 6 4 3 2" xfId="9148" xr:uid="{00000000-0005-0000-0000-0000207D0000}"/>
    <cellStyle name="Normal 8 2 6 4 3 2 2" xfId="18244" xr:uid="{00000000-0005-0000-0000-0000217D0000}"/>
    <cellStyle name="Normal 8 2 6 4 3 2 2 2" xfId="36426" xr:uid="{00000000-0005-0000-0000-0000227D0000}"/>
    <cellStyle name="Normal 8 2 6 4 3 2 3" xfId="27336" xr:uid="{00000000-0005-0000-0000-0000237D0000}"/>
    <cellStyle name="Normal 8 2 6 4 3 3" xfId="13704" xr:uid="{00000000-0005-0000-0000-0000247D0000}"/>
    <cellStyle name="Normal 8 2 6 4 3 3 2" xfId="31886" xr:uid="{00000000-0005-0000-0000-0000257D0000}"/>
    <cellStyle name="Normal 8 2 6 4 3 4" xfId="22796" xr:uid="{00000000-0005-0000-0000-0000267D0000}"/>
    <cellStyle name="Normal 8 2 6 4 4" xfId="6231" xr:uid="{00000000-0005-0000-0000-0000277D0000}"/>
    <cellStyle name="Normal 8 2 6 4 4 2" xfId="15331" xr:uid="{00000000-0005-0000-0000-0000287D0000}"/>
    <cellStyle name="Normal 8 2 6 4 4 2 2" xfId="33513" xr:uid="{00000000-0005-0000-0000-0000297D0000}"/>
    <cellStyle name="Normal 8 2 6 4 4 3" xfId="24423" xr:uid="{00000000-0005-0000-0000-00002A7D0000}"/>
    <cellStyle name="Normal 8 2 6 4 5" xfId="10797" xr:uid="{00000000-0005-0000-0000-00002B7D0000}"/>
    <cellStyle name="Normal 8 2 6 4 5 2" xfId="28979" xr:uid="{00000000-0005-0000-0000-00002C7D0000}"/>
    <cellStyle name="Normal 8 2 6 4 6" xfId="19888" xr:uid="{00000000-0005-0000-0000-00002D7D0000}"/>
    <cellStyle name="Normal 8 2 6 5" xfId="1593" xr:uid="{00000000-0005-0000-0000-00002E7D0000}"/>
    <cellStyle name="Normal 8 2 6 5 2" xfId="4593" xr:uid="{00000000-0005-0000-0000-00002F7D0000}"/>
    <cellStyle name="Normal 8 2 6 5 2 2" xfId="9149" xr:uid="{00000000-0005-0000-0000-0000307D0000}"/>
    <cellStyle name="Normal 8 2 6 5 2 2 2" xfId="18245" xr:uid="{00000000-0005-0000-0000-0000317D0000}"/>
    <cellStyle name="Normal 8 2 6 5 2 2 2 2" xfId="36427" xr:uid="{00000000-0005-0000-0000-0000327D0000}"/>
    <cellStyle name="Normal 8 2 6 5 2 2 3" xfId="27337" xr:uid="{00000000-0005-0000-0000-0000337D0000}"/>
    <cellStyle name="Normal 8 2 6 5 2 3" xfId="13705" xr:uid="{00000000-0005-0000-0000-0000347D0000}"/>
    <cellStyle name="Normal 8 2 6 5 2 3 2" xfId="31887" xr:uid="{00000000-0005-0000-0000-0000357D0000}"/>
    <cellStyle name="Normal 8 2 6 5 2 4" xfId="22797" xr:uid="{00000000-0005-0000-0000-0000367D0000}"/>
    <cellStyle name="Normal 8 2 6 5 3" xfId="6232" xr:uid="{00000000-0005-0000-0000-0000377D0000}"/>
    <cellStyle name="Normal 8 2 6 5 3 2" xfId="15332" xr:uid="{00000000-0005-0000-0000-0000387D0000}"/>
    <cellStyle name="Normal 8 2 6 5 3 2 2" xfId="33514" xr:uid="{00000000-0005-0000-0000-0000397D0000}"/>
    <cellStyle name="Normal 8 2 6 5 3 3" xfId="24424" xr:uid="{00000000-0005-0000-0000-00003A7D0000}"/>
    <cellStyle name="Normal 8 2 6 5 4" xfId="10798" xr:uid="{00000000-0005-0000-0000-00003B7D0000}"/>
    <cellStyle name="Normal 8 2 6 5 4 2" xfId="28980" xr:uid="{00000000-0005-0000-0000-00003C7D0000}"/>
    <cellStyle name="Normal 8 2 6 5 5" xfId="19889" xr:uid="{00000000-0005-0000-0000-00003D7D0000}"/>
    <cellStyle name="Normal 8 2 6 6" xfId="2971" xr:uid="{00000000-0005-0000-0000-00003E7D0000}"/>
    <cellStyle name="Normal 8 2 6 6 2" xfId="7551" xr:uid="{00000000-0005-0000-0000-00003F7D0000}"/>
    <cellStyle name="Normal 8 2 6 6 2 2" xfId="16651" xr:uid="{00000000-0005-0000-0000-0000407D0000}"/>
    <cellStyle name="Normal 8 2 6 6 2 2 2" xfId="34833" xr:uid="{00000000-0005-0000-0000-0000417D0000}"/>
    <cellStyle name="Normal 8 2 6 6 2 3" xfId="25743" xr:uid="{00000000-0005-0000-0000-0000427D0000}"/>
    <cellStyle name="Normal 8 2 6 6 3" xfId="12115" xr:uid="{00000000-0005-0000-0000-0000437D0000}"/>
    <cellStyle name="Normal 8 2 6 6 3 2" xfId="30297" xr:uid="{00000000-0005-0000-0000-0000447D0000}"/>
    <cellStyle name="Normal 8 2 6 6 4" xfId="21207" xr:uid="{00000000-0005-0000-0000-0000457D0000}"/>
    <cellStyle name="Normal 8 2 6 7" xfId="3253" xr:uid="{00000000-0005-0000-0000-0000467D0000}"/>
    <cellStyle name="Normal 8 2 6 7 2" xfId="7813" xr:uid="{00000000-0005-0000-0000-0000477D0000}"/>
    <cellStyle name="Normal 8 2 6 7 2 2" xfId="16909" xr:uid="{00000000-0005-0000-0000-0000487D0000}"/>
    <cellStyle name="Normal 8 2 6 7 2 2 2" xfId="35091" xr:uid="{00000000-0005-0000-0000-0000497D0000}"/>
    <cellStyle name="Normal 8 2 6 7 2 3" xfId="26001" xr:uid="{00000000-0005-0000-0000-00004A7D0000}"/>
    <cellStyle name="Normal 8 2 6 7 3" xfId="12369" xr:uid="{00000000-0005-0000-0000-00004B7D0000}"/>
    <cellStyle name="Normal 8 2 6 7 3 2" xfId="30551" xr:uid="{00000000-0005-0000-0000-00004C7D0000}"/>
    <cellStyle name="Normal 8 2 6 7 4" xfId="21461" xr:uid="{00000000-0005-0000-0000-00004D7D0000}"/>
    <cellStyle name="Normal 8 2 6 8" xfId="4900" xr:uid="{00000000-0005-0000-0000-00004E7D0000}"/>
    <cellStyle name="Normal 8 2 6 8 2" xfId="14000" xr:uid="{00000000-0005-0000-0000-00004F7D0000}"/>
    <cellStyle name="Normal 8 2 6 8 2 2" xfId="32182" xr:uid="{00000000-0005-0000-0000-0000507D0000}"/>
    <cellStyle name="Normal 8 2 6 8 3" xfId="23092" xr:uid="{00000000-0005-0000-0000-0000517D0000}"/>
    <cellStyle name="Normal 8 2 6 9" xfId="9466" xr:uid="{00000000-0005-0000-0000-0000527D0000}"/>
    <cellStyle name="Normal 8 2 6 9 2" xfId="27648" xr:uid="{00000000-0005-0000-0000-0000537D0000}"/>
    <cellStyle name="Normal 8 2 7" xfId="1594" xr:uid="{00000000-0005-0000-0000-0000547D0000}"/>
    <cellStyle name="Normal 8 2 7 10" xfId="19890" xr:uid="{00000000-0005-0000-0000-0000557D0000}"/>
    <cellStyle name="Normal 8 2 7 2" xfId="1595" xr:uid="{00000000-0005-0000-0000-0000567D0000}"/>
    <cellStyle name="Normal 8 2 7 2 2" xfId="1596" xr:uid="{00000000-0005-0000-0000-0000577D0000}"/>
    <cellStyle name="Normal 8 2 7 2 2 2" xfId="1597" xr:uid="{00000000-0005-0000-0000-0000587D0000}"/>
    <cellStyle name="Normal 8 2 7 2 2 2 2" xfId="2972" xr:uid="{00000000-0005-0000-0000-0000597D0000}"/>
    <cellStyle name="Normal 8 2 7 2 2 2 2 2" xfId="7552" xr:uid="{00000000-0005-0000-0000-00005A7D0000}"/>
    <cellStyle name="Normal 8 2 7 2 2 2 2 2 2" xfId="16652" xr:uid="{00000000-0005-0000-0000-00005B7D0000}"/>
    <cellStyle name="Normal 8 2 7 2 2 2 2 2 2 2" xfId="34834" xr:uid="{00000000-0005-0000-0000-00005C7D0000}"/>
    <cellStyle name="Normal 8 2 7 2 2 2 2 2 3" xfId="25744" xr:uid="{00000000-0005-0000-0000-00005D7D0000}"/>
    <cellStyle name="Normal 8 2 7 2 2 2 2 3" xfId="12116" xr:uid="{00000000-0005-0000-0000-00005E7D0000}"/>
    <cellStyle name="Normal 8 2 7 2 2 2 2 3 2" xfId="30298" xr:uid="{00000000-0005-0000-0000-00005F7D0000}"/>
    <cellStyle name="Normal 8 2 7 2 2 2 2 4" xfId="21208" xr:uid="{00000000-0005-0000-0000-0000607D0000}"/>
    <cellStyle name="Normal 8 2 7 2 2 2 3" xfId="4597" xr:uid="{00000000-0005-0000-0000-0000617D0000}"/>
    <cellStyle name="Normal 8 2 7 2 2 2 3 2" xfId="9153" xr:uid="{00000000-0005-0000-0000-0000627D0000}"/>
    <cellStyle name="Normal 8 2 7 2 2 2 3 2 2" xfId="18249" xr:uid="{00000000-0005-0000-0000-0000637D0000}"/>
    <cellStyle name="Normal 8 2 7 2 2 2 3 2 2 2" xfId="36431" xr:uid="{00000000-0005-0000-0000-0000647D0000}"/>
    <cellStyle name="Normal 8 2 7 2 2 2 3 2 3" xfId="27341" xr:uid="{00000000-0005-0000-0000-0000657D0000}"/>
    <cellStyle name="Normal 8 2 7 2 2 2 3 3" xfId="13709" xr:uid="{00000000-0005-0000-0000-0000667D0000}"/>
    <cellStyle name="Normal 8 2 7 2 2 2 3 3 2" xfId="31891" xr:uid="{00000000-0005-0000-0000-0000677D0000}"/>
    <cellStyle name="Normal 8 2 7 2 2 2 3 4" xfId="22801" xr:uid="{00000000-0005-0000-0000-0000687D0000}"/>
    <cellStyle name="Normal 8 2 7 2 2 2 4" xfId="6236" xr:uid="{00000000-0005-0000-0000-0000697D0000}"/>
    <cellStyle name="Normal 8 2 7 2 2 2 4 2" xfId="15336" xr:uid="{00000000-0005-0000-0000-00006A7D0000}"/>
    <cellStyle name="Normal 8 2 7 2 2 2 4 2 2" xfId="33518" xr:uid="{00000000-0005-0000-0000-00006B7D0000}"/>
    <cellStyle name="Normal 8 2 7 2 2 2 4 3" xfId="24428" xr:uid="{00000000-0005-0000-0000-00006C7D0000}"/>
    <cellStyle name="Normal 8 2 7 2 2 2 5" xfId="10802" xr:uid="{00000000-0005-0000-0000-00006D7D0000}"/>
    <cellStyle name="Normal 8 2 7 2 2 2 5 2" xfId="28984" xr:uid="{00000000-0005-0000-0000-00006E7D0000}"/>
    <cellStyle name="Normal 8 2 7 2 2 2 6" xfId="19893" xr:uid="{00000000-0005-0000-0000-00006F7D0000}"/>
    <cellStyle name="Normal 8 2 7 2 2 3" xfId="2973" xr:uid="{00000000-0005-0000-0000-0000707D0000}"/>
    <cellStyle name="Normal 8 2 7 2 2 3 2" xfId="7553" xr:uid="{00000000-0005-0000-0000-0000717D0000}"/>
    <cellStyle name="Normal 8 2 7 2 2 3 2 2" xfId="16653" xr:uid="{00000000-0005-0000-0000-0000727D0000}"/>
    <cellStyle name="Normal 8 2 7 2 2 3 2 2 2" xfId="34835" xr:uid="{00000000-0005-0000-0000-0000737D0000}"/>
    <cellStyle name="Normal 8 2 7 2 2 3 2 3" xfId="25745" xr:uid="{00000000-0005-0000-0000-0000747D0000}"/>
    <cellStyle name="Normal 8 2 7 2 2 3 3" xfId="12117" xr:uid="{00000000-0005-0000-0000-0000757D0000}"/>
    <cellStyle name="Normal 8 2 7 2 2 3 3 2" xfId="30299" xr:uid="{00000000-0005-0000-0000-0000767D0000}"/>
    <cellStyle name="Normal 8 2 7 2 2 3 4" xfId="21209" xr:uid="{00000000-0005-0000-0000-0000777D0000}"/>
    <cellStyle name="Normal 8 2 7 2 2 4" xfId="4596" xr:uid="{00000000-0005-0000-0000-0000787D0000}"/>
    <cellStyle name="Normal 8 2 7 2 2 4 2" xfId="9152" xr:uid="{00000000-0005-0000-0000-0000797D0000}"/>
    <cellStyle name="Normal 8 2 7 2 2 4 2 2" xfId="18248" xr:uid="{00000000-0005-0000-0000-00007A7D0000}"/>
    <cellStyle name="Normal 8 2 7 2 2 4 2 2 2" xfId="36430" xr:uid="{00000000-0005-0000-0000-00007B7D0000}"/>
    <cellStyle name="Normal 8 2 7 2 2 4 2 3" xfId="27340" xr:uid="{00000000-0005-0000-0000-00007C7D0000}"/>
    <cellStyle name="Normal 8 2 7 2 2 4 3" xfId="13708" xr:uid="{00000000-0005-0000-0000-00007D7D0000}"/>
    <cellStyle name="Normal 8 2 7 2 2 4 3 2" xfId="31890" xr:uid="{00000000-0005-0000-0000-00007E7D0000}"/>
    <cellStyle name="Normal 8 2 7 2 2 4 4" xfId="22800" xr:uid="{00000000-0005-0000-0000-00007F7D0000}"/>
    <cellStyle name="Normal 8 2 7 2 2 5" xfId="6235" xr:uid="{00000000-0005-0000-0000-0000807D0000}"/>
    <cellStyle name="Normal 8 2 7 2 2 5 2" xfId="15335" xr:uid="{00000000-0005-0000-0000-0000817D0000}"/>
    <cellStyle name="Normal 8 2 7 2 2 5 2 2" xfId="33517" xr:uid="{00000000-0005-0000-0000-0000827D0000}"/>
    <cellStyle name="Normal 8 2 7 2 2 5 3" xfId="24427" xr:uid="{00000000-0005-0000-0000-0000837D0000}"/>
    <cellStyle name="Normal 8 2 7 2 2 6" xfId="10801" xr:uid="{00000000-0005-0000-0000-0000847D0000}"/>
    <cellStyle name="Normal 8 2 7 2 2 6 2" xfId="28983" xr:uid="{00000000-0005-0000-0000-0000857D0000}"/>
    <cellStyle name="Normal 8 2 7 2 2 7" xfId="19892" xr:uid="{00000000-0005-0000-0000-0000867D0000}"/>
    <cellStyle name="Normal 8 2 7 2 3" xfId="1598" xr:uid="{00000000-0005-0000-0000-0000877D0000}"/>
    <cellStyle name="Normal 8 2 7 2 3 2" xfId="2974" xr:uid="{00000000-0005-0000-0000-0000887D0000}"/>
    <cellStyle name="Normal 8 2 7 2 3 2 2" xfId="7554" xr:uid="{00000000-0005-0000-0000-0000897D0000}"/>
    <cellStyle name="Normal 8 2 7 2 3 2 2 2" xfId="16654" xr:uid="{00000000-0005-0000-0000-00008A7D0000}"/>
    <cellStyle name="Normal 8 2 7 2 3 2 2 2 2" xfId="34836" xr:uid="{00000000-0005-0000-0000-00008B7D0000}"/>
    <cellStyle name="Normal 8 2 7 2 3 2 2 3" xfId="25746" xr:uid="{00000000-0005-0000-0000-00008C7D0000}"/>
    <cellStyle name="Normal 8 2 7 2 3 2 3" xfId="12118" xr:uid="{00000000-0005-0000-0000-00008D7D0000}"/>
    <cellStyle name="Normal 8 2 7 2 3 2 3 2" xfId="30300" xr:uid="{00000000-0005-0000-0000-00008E7D0000}"/>
    <cellStyle name="Normal 8 2 7 2 3 2 4" xfId="21210" xr:uid="{00000000-0005-0000-0000-00008F7D0000}"/>
    <cellStyle name="Normal 8 2 7 2 3 3" xfId="4598" xr:uid="{00000000-0005-0000-0000-0000907D0000}"/>
    <cellStyle name="Normal 8 2 7 2 3 3 2" xfId="9154" xr:uid="{00000000-0005-0000-0000-0000917D0000}"/>
    <cellStyle name="Normal 8 2 7 2 3 3 2 2" xfId="18250" xr:uid="{00000000-0005-0000-0000-0000927D0000}"/>
    <cellStyle name="Normal 8 2 7 2 3 3 2 2 2" xfId="36432" xr:uid="{00000000-0005-0000-0000-0000937D0000}"/>
    <cellStyle name="Normal 8 2 7 2 3 3 2 3" xfId="27342" xr:uid="{00000000-0005-0000-0000-0000947D0000}"/>
    <cellStyle name="Normal 8 2 7 2 3 3 3" xfId="13710" xr:uid="{00000000-0005-0000-0000-0000957D0000}"/>
    <cellStyle name="Normal 8 2 7 2 3 3 3 2" xfId="31892" xr:uid="{00000000-0005-0000-0000-0000967D0000}"/>
    <cellStyle name="Normal 8 2 7 2 3 3 4" xfId="22802" xr:uid="{00000000-0005-0000-0000-0000977D0000}"/>
    <cellStyle name="Normal 8 2 7 2 3 4" xfId="6237" xr:uid="{00000000-0005-0000-0000-0000987D0000}"/>
    <cellStyle name="Normal 8 2 7 2 3 4 2" xfId="15337" xr:uid="{00000000-0005-0000-0000-0000997D0000}"/>
    <cellStyle name="Normal 8 2 7 2 3 4 2 2" xfId="33519" xr:uid="{00000000-0005-0000-0000-00009A7D0000}"/>
    <cellStyle name="Normal 8 2 7 2 3 4 3" xfId="24429" xr:uid="{00000000-0005-0000-0000-00009B7D0000}"/>
    <cellStyle name="Normal 8 2 7 2 3 5" xfId="10803" xr:uid="{00000000-0005-0000-0000-00009C7D0000}"/>
    <cellStyle name="Normal 8 2 7 2 3 5 2" xfId="28985" xr:uid="{00000000-0005-0000-0000-00009D7D0000}"/>
    <cellStyle name="Normal 8 2 7 2 3 6" xfId="19894" xr:uid="{00000000-0005-0000-0000-00009E7D0000}"/>
    <cellStyle name="Normal 8 2 7 2 4" xfId="1599" xr:uid="{00000000-0005-0000-0000-00009F7D0000}"/>
    <cellStyle name="Normal 8 2 7 2 4 2" xfId="4599" xr:uid="{00000000-0005-0000-0000-0000A07D0000}"/>
    <cellStyle name="Normal 8 2 7 2 4 2 2" xfId="9155" xr:uid="{00000000-0005-0000-0000-0000A17D0000}"/>
    <cellStyle name="Normal 8 2 7 2 4 2 2 2" xfId="18251" xr:uid="{00000000-0005-0000-0000-0000A27D0000}"/>
    <cellStyle name="Normal 8 2 7 2 4 2 2 2 2" xfId="36433" xr:uid="{00000000-0005-0000-0000-0000A37D0000}"/>
    <cellStyle name="Normal 8 2 7 2 4 2 2 3" xfId="27343" xr:uid="{00000000-0005-0000-0000-0000A47D0000}"/>
    <cellStyle name="Normal 8 2 7 2 4 2 3" xfId="13711" xr:uid="{00000000-0005-0000-0000-0000A57D0000}"/>
    <cellStyle name="Normal 8 2 7 2 4 2 3 2" xfId="31893" xr:uid="{00000000-0005-0000-0000-0000A67D0000}"/>
    <cellStyle name="Normal 8 2 7 2 4 2 4" xfId="22803" xr:uid="{00000000-0005-0000-0000-0000A77D0000}"/>
    <cellStyle name="Normal 8 2 7 2 4 3" xfId="6238" xr:uid="{00000000-0005-0000-0000-0000A87D0000}"/>
    <cellStyle name="Normal 8 2 7 2 4 3 2" xfId="15338" xr:uid="{00000000-0005-0000-0000-0000A97D0000}"/>
    <cellStyle name="Normal 8 2 7 2 4 3 2 2" xfId="33520" xr:uid="{00000000-0005-0000-0000-0000AA7D0000}"/>
    <cellStyle name="Normal 8 2 7 2 4 3 3" xfId="24430" xr:uid="{00000000-0005-0000-0000-0000AB7D0000}"/>
    <cellStyle name="Normal 8 2 7 2 4 4" xfId="10804" xr:uid="{00000000-0005-0000-0000-0000AC7D0000}"/>
    <cellStyle name="Normal 8 2 7 2 4 4 2" xfId="28986" xr:uid="{00000000-0005-0000-0000-0000AD7D0000}"/>
    <cellStyle name="Normal 8 2 7 2 4 5" xfId="19895" xr:uid="{00000000-0005-0000-0000-0000AE7D0000}"/>
    <cellStyle name="Normal 8 2 7 2 5" xfId="2975" xr:uid="{00000000-0005-0000-0000-0000AF7D0000}"/>
    <cellStyle name="Normal 8 2 7 2 5 2" xfId="7555" xr:uid="{00000000-0005-0000-0000-0000B07D0000}"/>
    <cellStyle name="Normal 8 2 7 2 5 2 2" xfId="16655" xr:uid="{00000000-0005-0000-0000-0000B17D0000}"/>
    <cellStyle name="Normal 8 2 7 2 5 2 2 2" xfId="34837" xr:uid="{00000000-0005-0000-0000-0000B27D0000}"/>
    <cellStyle name="Normal 8 2 7 2 5 2 3" xfId="25747" xr:uid="{00000000-0005-0000-0000-0000B37D0000}"/>
    <cellStyle name="Normal 8 2 7 2 5 3" xfId="12119" xr:uid="{00000000-0005-0000-0000-0000B47D0000}"/>
    <cellStyle name="Normal 8 2 7 2 5 3 2" xfId="30301" xr:uid="{00000000-0005-0000-0000-0000B57D0000}"/>
    <cellStyle name="Normal 8 2 7 2 5 4" xfId="21211" xr:uid="{00000000-0005-0000-0000-0000B67D0000}"/>
    <cellStyle name="Normal 8 2 7 2 6" xfId="4595" xr:uid="{00000000-0005-0000-0000-0000B77D0000}"/>
    <cellStyle name="Normal 8 2 7 2 6 2" xfId="9151" xr:uid="{00000000-0005-0000-0000-0000B87D0000}"/>
    <cellStyle name="Normal 8 2 7 2 6 2 2" xfId="18247" xr:uid="{00000000-0005-0000-0000-0000B97D0000}"/>
    <cellStyle name="Normal 8 2 7 2 6 2 2 2" xfId="36429" xr:uid="{00000000-0005-0000-0000-0000BA7D0000}"/>
    <cellStyle name="Normal 8 2 7 2 6 2 3" xfId="27339" xr:uid="{00000000-0005-0000-0000-0000BB7D0000}"/>
    <cellStyle name="Normal 8 2 7 2 6 3" xfId="13707" xr:uid="{00000000-0005-0000-0000-0000BC7D0000}"/>
    <cellStyle name="Normal 8 2 7 2 6 3 2" xfId="31889" xr:uid="{00000000-0005-0000-0000-0000BD7D0000}"/>
    <cellStyle name="Normal 8 2 7 2 6 4" xfId="22799" xr:uid="{00000000-0005-0000-0000-0000BE7D0000}"/>
    <cellStyle name="Normal 8 2 7 2 7" xfId="6234" xr:uid="{00000000-0005-0000-0000-0000BF7D0000}"/>
    <cellStyle name="Normal 8 2 7 2 7 2" xfId="15334" xr:uid="{00000000-0005-0000-0000-0000C07D0000}"/>
    <cellStyle name="Normal 8 2 7 2 7 2 2" xfId="33516" xr:uid="{00000000-0005-0000-0000-0000C17D0000}"/>
    <cellStyle name="Normal 8 2 7 2 7 3" xfId="24426" xr:uid="{00000000-0005-0000-0000-0000C27D0000}"/>
    <cellStyle name="Normal 8 2 7 2 8" xfId="10800" xr:uid="{00000000-0005-0000-0000-0000C37D0000}"/>
    <cellStyle name="Normal 8 2 7 2 8 2" xfId="28982" xr:uid="{00000000-0005-0000-0000-0000C47D0000}"/>
    <cellStyle name="Normal 8 2 7 2 9" xfId="19891" xr:uid="{00000000-0005-0000-0000-0000C57D0000}"/>
    <cellStyle name="Normal 8 2 7 3" xfId="1600" xr:uid="{00000000-0005-0000-0000-0000C67D0000}"/>
    <cellStyle name="Normal 8 2 7 3 2" xfId="1601" xr:uid="{00000000-0005-0000-0000-0000C77D0000}"/>
    <cellStyle name="Normal 8 2 7 3 2 2" xfId="2976" xr:uid="{00000000-0005-0000-0000-0000C87D0000}"/>
    <cellStyle name="Normal 8 2 7 3 2 2 2" xfId="7556" xr:uid="{00000000-0005-0000-0000-0000C97D0000}"/>
    <cellStyle name="Normal 8 2 7 3 2 2 2 2" xfId="16656" xr:uid="{00000000-0005-0000-0000-0000CA7D0000}"/>
    <cellStyle name="Normal 8 2 7 3 2 2 2 2 2" xfId="34838" xr:uid="{00000000-0005-0000-0000-0000CB7D0000}"/>
    <cellStyle name="Normal 8 2 7 3 2 2 2 3" xfId="25748" xr:uid="{00000000-0005-0000-0000-0000CC7D0000}"/>
    <cellStyle name="Normal 8 2 7 3 2 2 3" xfId="12120" xr:uid="{00000000-0005-0000-0000-0000CD7D0000}"/>
    <cellStyle name="Normal 8 2 7 3 2 2 3 2" xfId="30302" xr:uid="{00000000-0005-0000-0000-0000CE7D0000}"/>
    <cellStyle name="Normal 8 2 7 3 2 2 4" xfId="21212" xr:uid="{00000000-0005-0000-0000-0000CF7D0000}"/>
    <cellStyle name="Normal 8 2 7 3 2 3" xfId="4601" xr:uid="{00000000-0005-0000-0000-0000D07D0000}"/>
    <cellStyle name="Normal 8 2 7 3 2 3 2" xfId="9157" xr:uid="{00000000-0005-0000-0000-0000D17D0000}"/>
    <cellStyle name="Normal 8 2 7 3 2 3 2 2" xfId="18253" xr:uid="{00000000-0005-0000-0000-0000D27D0000}"/>
    <cellStyle name="Normal 8 2 7 3 2 3 2 2 2" xfId="36435" xr:uid="{00000000-0005-0000-0000-0000D37D0000}"/>
    <cellStyle name="Normal 8 2 7 3 2 3 2 3" xfId="27345" xr:uid="{00000000-0005-0000-0000-0000D47D0000}"/>
    <cellStyle name="Normal 8 2 7 3 2 3 3" xfId="13713" xr:uid="{00000000-0005-0000-0000-0000D57D0000}"/>
    <cellStyle name="Normal 8 2 7 3 2 3 3 2" xfId="31895" xr:uid="{00000000-0005-0000-0000-0000D67D0000}"/>
    <cellStyle name="Normal 8 2 7 3 2 3 4" xfId="22805" xr:uid="{00000000-0005-0000-0000-0000D77D0000}"/>
    <cellStyle name="Normal 8 2 7 3 2 4" xfId="6240" xr:uid="{00000000-0005-0000-0000-0000D87D0000}"/>
    <cellStyle name="Normal 8 2 7 3 2 4 2" xfId="15340" xr:uid="{00000000-0005-0000-0000-0000D97D0000}"/>
    <cellStyle name="Normal 8 2 7 3 2 4 2 2" xfId="33522" xr:uid="{00000000-0005-0000-0000-0000DA7D0000}"/>
    <cellStyle name="Normal 8 2 7 3 2 4 3" xfId="24432" xr:uid="{00000000-0005-0000-0000-0000DB7D0000}"/>
    <cellStyle name="Normal 8 2 7 3 2 5" xfId="10806" xr:uid="{00000000-0005-0000-0000-0000DC7D0000}"/>
    <cellStyle name="Normal 8 2 7 3 2 5 2" xfId="28988" xr:uid="{00000000-0005-0000-0000-0000DD7D0000}"/>
    <cellStyle name="Normal 8 2 7 3 2 6" xfId="19897" xr:uid="{00000000-0005-0000-0000-0000DE7D0000}"/>
    <cellStyle name="Normal 8 2 7 3 3" xfId="2977" xr:uid="{00000000-0005-0000-0000-0000DF7D0000}"/>
    <cellStyle name="Normal 8 2 7 3 3 2" xfId="7557" xr:uid="{00000000-0005-0000-0000-0000E07D0000}"/>
    <cellStyle name="Normal 8 2 7 3 3 2 2" xfId="16657" xr:uid="{00000000-0005-0000-0000-0000E17D0000}"/>
    <cellStyle name="Normal 8 2 7 3 3 2 2 2" xfId="34839" xr:uid="{00000000-0005-0000-0000-0000E27D0000}"/>
    <cellStyle name="Normal 8 2 7 3 3 2 3" xfId="25749" xr:uid="{00000000-0005-0000-0000-0000E37D0000}"/>
    <cellStyle name="Normal 8 2 7 3 3 3" xfId="12121" xr:uid="{00000000-0005-0000-0000-0000E47D0000}"/>
    <cellStyle name="Normal 8 2 7 3 3 3 2" xfId="30303" xr:uid="{00000000-0005-0000-0000-0000E57D0000}"/>
    <cellStyle name="Normal 8 2 7 3 3 4" xfId="21213" xr:uid="{00000000-0005-0000-0000-0000E67D0000}"/>
    <cellStyle name="Normal 8 2 7 3 4" xfId="4600" xr:uid="{00000000-0005-0000-0000-0000E77D0000}"/>
    <cellStyle name="Normal 8 2 7 3 4 2" xfId="9156" xr:uid="{00000000-0005-0000-0000-0000E87D0000}"/>
    <cellStyle name="Normal 8 2 7 3 4 2 2" xfId="18252" xr:uid="{00000000-0005-0000-0000-0000E97D0000}"/>
    <cellStyle name="Normal 8 2 7 3 4 2 2 2" xfId="36434" xr:uid="{00000000-0005-0000-0000-0000EA7D0000}"/>
    <cellStyle name="Normal 8 2 7 3 4 2 3" xfId="27344" xr:uid="{00000000-0005-0000-0000-0000EB7D0000}"/>
    <cellStyle name="Normal 8 2 7 3 4 3" xfId="13712" xr:uid="{00000000-0005-0000-0000-0000EC7D0000}"/>
    <cellStyle name="Normal 8 2 7 3 4 3 2" xfId="31894" xr:uid="{00000000-0005-0000-0000-0000ED7D0000}"/>
    <cellStyle name="Normal 8 2 7 3 4 4" xfId="22804" xr:uid="{00000000-0005-0000-0000-0000EE7D0000}"/>
    <cellStyle name="Normal 8 2 7 3 5" xfId="6239" xr:uid="{00000000-0005-0000-0000-0000EF7D0000}"/>
    <cellStyle name="Normal 8 2 7 3 5 2" xfId="15339" xr:uid="{00000000-0005-0000-0000-0000F07D0000}"/>
    <cellStyle name="Normal 8 2 7 3 5 2 2" xfId="33521" xr:uid="{00000000-0005-0000-0000-0000F17D0000}"/>
    <cellStyle name="Normal 8 2 7 3 5 3" xfId="24431" xr:uid="{00000000-0005-0000-0000-0000F27D0000}"/>
    <cellStyle name="Normal 8 2 7 3 6" xfId="10805" xr:uid="{00000000-0005-0000-0000-0000F37D0000}"/>
    <cellStyle name="Normal 8 2 7 3 6 2" xfId="28987" xr:uid="{00000000-0005-0000-0000-0000F47D0000}"/>
    <cellStyle name="Normal 8 2 7 3 7" xfId="19896" xr:uid="{00000000-0005-0000-0000-0000F57D0000}"/>
    <cellStyle name="Normal 8 2 7 4" xfId="1602" xr:uid="{00000000-0005-0000-0000-0000F67D0000}"/>
    <cellStyle name="Normal 8 2 7 4 2" xfId="2978" xr:uid="{00000000-0005-0000-0000-0000F77D0000}"/>
    <cellStyle name="Normal 8 2 7 4 2 2" xfId="7558" xr:uid="{00000000-0005-0000-0000-0000F87D0000}"/>
    <cellStyle name="Normal 8 2 7 4 2 2 2" xfId="16658" xr:uid="{00000000-0005-0000-0000-0000F97D0000}"/>
    <cellStyle name="Normal 8 2 7 4 2 2 2 2" xfId="34840" xr:uid="{00000000-0005-0000-0000-0000FA7D0000}"/>
    <cellStyle name="Normal 8 2 7 4 2 2 3" xfId="25750" xr:uid="{00000000-0005-0000-0000-0000FB7D0000}"/>
    <cellStyle name="Normal 8 2 7 4 2 3" xfId="12122" xr:uid="{00000000-0005-0000-0000-0000FC7D0000}"/>
    <cellStyle name="Normal 8 2 7 4 2 3 2" xfId="30304" xr:uid="{00000000-0005-0000-0000-0000FD7D0000}"/>
    <cellStyle name="Normal 8 2 7 4 2 4" xfId="21214" xr:uid="{00000000-0005-0000-0000-0000FE7D0000}"/>
    <cellStyle name="Normal 8 2 7 4 3" xfId="4602" xr:uid="{00000000-0005-0000-0000-0000FF7D0000}"/>
    <cellStyle name="Normal 8 2 7 4 3 2" xfId="9158" xr:uid="{00000000-0005-0000-0000-0000007E0000}"/>
    <cellStyle name="Normal 8 2 7 4 3 2 2" xfId="18254" xr:uid="{00000000-0005-0000-0000-0000017E0000}"/>
    <cellStyle name="Normal 8 2 7 4 3 2 2 2" xfId="36436" xr:uid="{00000000-0005-0000-0000-0000027E0000}"/>
    <cellStyle name="Normal 8 2 7 4 3 2 3" xfId="27346" xr:uid="{00000000-0005-0000-0000-0000037E0000}"/>
    <cellStyle name="Normal 8 2 7 4 3 3" xfId="13714" xr:uid="{00000000-0005-0000-0000-0000047E0000}"/>
    <cellStyle name="Normal 8 2 7 4 3 3 2" xfId="31896" xr:uid="{00000000-0005-0000-0000-0000057E0000}"/>
    <cellStyle name="Normal 8 2 7 4 3 4" xfId="22806" xr:uid="{00000000-0005-0000-0000-0000067E0000}"/>
    <cellStyle name="Normal 8 2 7 4 4" xfId="6241" xr:uid="{00000000-0005-0000-0000-0000077E0000}"/>
    <cellStyle name="Normal 8 2 7 4 4 2" xfId="15341" xr:uid="{00000000-0005-0000-0000-0000087E0000}"/>
    <cellStyle name="Normal 8 2 7 4 4 2 2" xfId="33523" xr:uid="{00000000-0005-0000-0000-0000097E0000}"/>
    <cellStyle name="Normal 8 2 7 4 4 3" xfId="24433" xr:uid="{00000000-0005-0000-0000-00000A7E0000}"/>
    <cellStyle name="Normal 8 2 7 4 5" xfId="10807" xr:uid="{00000000-0005-0000-0000-00000B7E0000}"/>
    <cellStyle name="Normal 8 2 7 4 5 2" xfId="28989" xr:uid="{00000000-0005-0000-0000-00000C7E0000}"/>
    <cellStyle name="Normal 8 2 7 4 6" xfId="19898" xr:uid="{00000000-0005-0000-0000-00000D7E0000}"/>
    <cellStyle name="Normal 8 2 7 5" xfId="1603" xr:uid="{00000000-0005-0000-0000-00000E7E0000}"/>
    <cellStyle name="Normal 8 2 7 5 2" xfId="4603" xr:uid="{00000000-0005-0000-0000-00000F7E0000}"/>
    <cellStyle name="Normal 8 2 7 5 2 2" xfId="9159" xr:uid="{00000000-0005-0000-0000-0000107E0000}"/>
    <cellStyle name="Normal 8 2 7 5 2 2 2" xfId="18255" xr:uid="{00000000-0005-0000-0000-0000117E0000}"/>
    <cellStyle name="Normal 8 2 7 5 2 2 2 2" xfId="36437" xr:uid="{00000000-0005-0000-0000-0000127E0000}"/>
    <cellStyle name="Normal 8 2 7 5 2 2 3" xfId="27347" xr:uid="{00000000-0005-0000-0000-0000137E0000}"/>
    <cellStyle name="Normal 8 2 7 5 2 3" xfId="13715" xr:uid="{00000000-0005-0000-0000-0000147E0000}"/>
    <cellStyle name="Normal 8 2 7 5 2 3 2" xfId="31897" xr:uid="{00000000-0005-0000-0000-0000157E0000}"/>
    <cellStyle name="Normal 8 2 7 5 2 4" xfId="22807" xr:uid="{00000000-0005-0000-0000-0000167E0000}"/>
    <cellStyle name="Normal 8 2 7 5 3" xfId="6242" xr:uid="{00000000-0005-0000-0000-0000177E0000}"/>
    <cellStyle name="Normal 8 2 7 5 3 2" xfId="15342" xr:uid="{00000000-0005-0000-0000-0000187E0000}"/>
    <cellStyle name="Normal 8 2 7 5 3 2 2" xfId="33524" xr:uid="{00000000-0005-0000-0000-0000197E0000}"/>
    <cellStyle name="Normal 8 2 7 5 3 3" xfId="24434" xr:uid="{00000000-0005-0000-0000-00001A7E0000}"/>
    <cellStyle name="Normal 8 2 7 5 4" xfId="10808" xr:uid="{00000000-0005-0000-0000-00001B7E0000}"/>
    <cellStyle name="Normal 8 2 7 5 4 2" xfId="28990" xr:uid="{00000000-0005-0000-0000-00001C7E0000}"/>
    <cellStyle name="Normal 8 2 7 5 5" xfId="19899" xr:uid="{00000000-0005-0000-0000-00001D7E0000}"/>
    <cellStyle name="Normal 8 2 7 6" xfId="2979" xr:uid="{00000000-0005-0000-0000-00001E7E0000}"/>
    <cellStyle name="Normal 8 2 7 6 2" xfId="7559" xr:uid="{00000000-0005-0000-0000-00001F7E0000}"/>
    <cellStyle name="Normal 8 2 7 6 2 2" xfId="16659" xr:uid="{00000000-0005-0000-0000-0000207E0000}"/>
    <cellStyle name="Normal 8 2 7 6 2 2 2" xfId="34841" xr:uid="{00000000-0005-0000-0000-0000217E0000}"/>
    <cellStyle name="Normal 8 2 7 6 2 3" xfId="25751" xr:uid="{00000000-0005-0000-0000-0000227E0000}"/>
    <cellStyle name="Normal 8 2 7 6 3" xfId="12123" xr:uid="{00000000-0005-0000-0000-0000237E0000}"/>
    <cellStyle name="Normal 8 2 7 6 3 2" xfId="30305" xr:uid="{00000000-0005-0000-0000-0000247E0000}"/>
    <cellStyle name="Normal 8 2 7 6 4" xfId="21215" xr:uid="{00000000-0005-0000-0000-0000257E0000}"/>
    <cellStyle name="Normal 8 2 7 7" xfId="4594" xr:uid="{00000000-0005-0000-0000-0000267E0000}"/>
    <cellStyle name="Normal 8 2 7 7 2" xfId="9150" xr:uid="{00000000-0005-0000-0000-0000277E0000}"/>
    <cellStyle name="Normal 8 2 7 7 2 2" xfId="18246" xr:uid="{00000000-0005-0000-0000-0000287E0000}"/>
    <cellStyle name="Normal 8 2 7 7 2 2 2" xfId="36428" xr:uid="{00000000-0005-0000-0000-0000297E0000}"/>
    <cellStyle name="Normal 8 2 7 7 2 3" xfId="27338" xr:uid="{00000000-0005-0000-0000-00002A7E0000}"/>
    <cellStyle name="Normal 8 2 7 7 3" xfId="13706" xr:uid="{00000000-0005-0000-0000-00002B7E0000}"/>
    <cellStyle name="Normal 8 2 7 7 3 2" xfId="31888" xr:uid="{00000000-0005-0000-0000-00002C7E0000}"/>
    <cellStyle name="Normal 8 2 7 7 4" xfId="22798" xr:uid="{00000000-0005-0000-0000-00002D7E0000}"/>
    <cellStyle name="Normal 8 2 7 8" xfId="6233" xr:uid="{00000000-0005-0000-0000-00002E7E0000}"/>
    <cellStyle name="Normal 8 2 7 8 2" xfId="15333" xr:uid="{00000000-0005-0000-0000-00002F7E0000}"/>
    <cellStyle name="Normal 8 2 7 8 2 2" xfId="33515" xr:uid="{00000000-0005-0000-0000-0000307E0000}"/>
    <cellStyle name="Normal 8 2 7 8 3" xfId="24425" xr:uid="{00000000-0005-0000-0000-0000317E0000}"/>
    <cellStyle name="Normal 8 2 7 9" xfId="10799" xr:uid="{00000000-0005-0000-0000-0000327E0000}"/>
    <cellStyle name="Normal 8 2 7 9 2" xfId="28981" xr:uid="{00000000-0005-0000-0000-0000337E0000}"/>
    <cellStyle name="Normal 8 2 8" xfId="1604" xr:uid="{00000000-0005-0000-0000-0000347E0000}"/>
    <cellStyle name="Normal 8 2 8 10" xfId="6243" xr:uid="{00000000-0005-0000-0000-0000357E0000}"/>
    <cellStyle name="Normal 8 2 8 10 2" xfId="15343" xr:uid="{00000000-0005-0000-0000-0000367E0000}"/>
    <cellStyle name="Normal 8 2 8 10 2 2" xfId="33525" xr:uid="{00000000-0005-0000-0000-0000377E0000}"/>
    <cellStyle name="Normal 8 2 8 10 3" xfId="24435" xr:uid="{00000000-0005-0000-0000-0000387E0000}"/>
    <cellStyle name="Normal 8 2 8 11" xfId="10809" xr:uid="{00000000-0005-0000-0000-0000397E0000}"/>
    <cellStyle name="Normal 8 2 8 11 2" xfId="28991" xr:uid="{00000000-0005-0000-0000-00003A7E0000}"/>
    <cellStyle name="Normal 8 2 8 12" xfId="19900" xr:uid="{00000000-0005-0000-0000-00003B7E0000}"/>
    <cellStyle name="Normal 8 2 8 2" xfId="1605" xr:uid="{00000000-0005-0000-0000-00003C7E0000}"/>
    <cellStyle name="Normal 8 2 8 2 2" xfId="1606" xr:uid="{00000000-0005-0000-0000-00003D7E0000}"/>
    <cellStyle name="Normal 8 2 8 2 2 2" xfId="1607" xr:uid="{00000000-0005-0000-0000-00003E7E0000}"/>
    <cellStyle name="Normal 8 2 8 2 2 2 2" xfId="2980" xr:uid="{00000000-0005-0000-0000-00003F7E0000}"/>
    <cellStyle name="Normal 8 2 8 2 2 2 2 2" xfId="7560" xr:uid="{00000000-0005-0000-0000-0000407E0000}"/>
    <cellStyle name="Normal 8 2 8 2 2 2 2 2 2" xfId="16660" xr:uid="{00000000-0005-0000-0000-0000417E0000}"/>
    <cellStyle name="Normal 8 2 8 2 2 2 2 2 2 2" xfId="34842" xr:uid="{00000000-0005-0000-0000-0000427E0000}"/>
    <cellStyle name="Normal 8 2 8 2 2 2 2 2 3" xfId="25752" xr:uid="{00000000-0005-0000-0000-0000437E0000}"/>
    <cellStyle name="Normal 8 2 8 2 2 2 2 3" xfId="12124" xr:uid="{00000000-0005-0000-0000-0000447E0000}"/>
    <cellStyle name="Normal 8 2 8 2 2 2 2 3 2" xfId="30306" xr:uid="{00000000-0005-0000-0000-0000457E0000}"/>
    <cellStyle name="Normal 8 2 8 2 2 2 2 4" xfId="21216" xr:uid="{00000000-0005-0000-0000-0000467E0000}"/>
    <cellStyle name="Normal 8 2 8 2 2 2 3" xfId="4607" xr:uid="{00000000-0005-0000-0000-0000477E0000}"/>
    <cellStyle name="Normal 8 2 8 2 2 2 3 2" xfId="9163" xr:uid="{00000000-0005-0000-0000-0000487E0000}"/>
    <cellStyle name="Normal 8 2 8 2 2 2 3 2 2" xfId="18259" xr:uid="{00000000-0005-0000-0000-0000497E0000}"/>
    <cellStyle name="Normal 8 2 8 2 2 2 3 2 2 2" xfId="36441" xr:uid="{00000000-0005-0000-0000-00004A7E0000}"/>
    <cellStyle name="Normal 8 2 8 2 2 2 3 2 3" xfId="27351" xr:uid="{00000000-0005-0000-0000-00004B7E0000}"/>
    <cellStyle name="Normal 8 2 8 2 2 2 3 3" xfId="13719" xr:uid="{00000000-0005-0000-0000-00004C7E0000}"/>
    <cellStyle name="Normal 8 2 8 2 2 2 3 3 2" xfId="31901" xr:uid="{00000000-0005-0000-0000-00004D7E0000}"/>
    <cellStyle name="Normal 8 2 8 2 2 2 3 4" xfId="22811" xr:uid="{00000000-0005-0000-0000-00004E7E0000}"/>
    <cellStyle name="Normal 8 2 8 2 2 2 4" xfId="6246" xr:uid="{00000000-0005-0000-0000-00004F7E0000}"/>
    <cellStyle name="Normal 8 2 8 2 2 2 4 2" xfId="15346" xr:uid="{00000000-0005-0000-0000-0000507E0000}"/>
    <cellStyle name="Normal 8 2 8 2 2 2 4 2 2" xfId="33528" xr:uid="{00000000-0005-0000-0000-0000517E0000}"/>
    <cellStyle name="Normal 8 2 8 2 2 2 4 3" xfId="24438" xr:uid="{00000000-0005-0000-0000-0000527E0000}"/>
    <cellStyle name="Normal 8 2 8 2 2 2 5" xfId="10812" xr:uid="{00000000-0005-0000-0000-0000537E0000}"/>
    <cellStyle name="Normal 8 2 8 2 2 2 5 2" xfId="28994" xr:uid="{00000000-0005-0000-0000-0000547E0000}"/>
    <cellStyle name="Normal 8 2 8 2 2 2 6" xfId="19903" xr:uid="{00000000-0005-0000-0000-0000557E0000}"/>
    <cellStyle name="Normal 8 2 8 2 2 3" xfId="2981" xr:uid="{00000000-0005-0000-0000-0000567E0000}"/>
    <cellStyle name="Normal 8 2 8 2 2 3 2" xfId="7561" xr:uid="{00000000-0005-0000-0000-0000577E0000}"/>
    <cellStyle name="Normal 8 2 8 2 2 3 2 2" xfId="16661" xr:uid="{00000000-0005-0000-0000-0000587E0000}"/>
    <cellStyle name="Normal 8 2 8 2 2 3 2 2 2" xfId="34843" xr:uid="{00000000-0005-0000-0000-0000597E0000}"/>
    <cellStyle name="Normal 8 2 8 2 2 3 2 3" xfId="25753" xr:uid="{00000000-0005-0000-0000-00005A7E0000}"/>
    <cellStyle name="Normal 8 2 8 2 2 3 3" xfId="12125" xr:uid="{00000000-0005-0000-0000-00005B7E0000}"/>
    <cellStyle name="Normal 8 2 8 2 2 3 3 2" xfId="30307" xr:uid="{00000000-0005-0000-0000-00005C7E0000}"/>
    <cellStyle name="Normal 8 2 8 2 2 3 4" xfId="21217" xr:uid="{00000000-0005-0000-0000-00005D7E0000}"/>
    <cellStyle name="Normal 8 2 8 2 2 4" xfId="4606" xr:uid="{00000000-0005-0000-0000-00005E7E0000}"/>
    <cellStyle name="Normal 8 2 8 2 2 4 2" xfId="9162" xr:uid="{00000000-0005-0000-0000-00005F7E0000}"/>
    <cellStyle name="Normal 8 2 8 2 2 4 2 2" xfId="18258" xr:uid="{00000000-0005-0000-0000-0000607E0000}"/>
    <cellStyle name="Normal 8 2 8 2 2 4 2 2 2" xfId="36440" xr:uid="{00000000-0005-0000-0000-0000617E0000}"/>
    <cellStyle name="Normal 8 2 8 2 2 4 2 3" xfId="27350" xr:uid="{00000000-0005-0000-0000-0000627E0000}"/>
    <cellStyle name="Normal 8 2 8 2 2 4 3" xfId="13718" xr:uid="{00000000-0005-0000-0000-0000637E0000}"/>
    <cellStyle name="Normal 8 2 8 2 2 4 3 2" xfId="31900" xr:uid="{00000000-0005-0000-0000-0000647E0000}"/>
    <cellStyle name="Normal 8 2 8 2 2 4 4" xfId="22810" xr:uid="{00000000-0005-0000-0000-0000657E0000}"/>
    <cellStyle name="Normal 8 2 8 2 2 5" xfId="6245" xr:uid="{00000000-0005-0000-0000-0000667E0000}"/>
    <cellStyle name="Normal 8 2 8 2 2 5 2" xfId="15345" xr:uid="{00000000-0005-0000-0000-0000677E0000}"/>
    <cellStyle name="Normal 8 2 8 2 2 5 2 2" xfId="33527" xr:uid="{00000000-0005-0000-0000-0000687E0000}"/>
    <cellStyle name="Normal 8 2 8 2 2 5 3" xfId="24437" xr:uid="{00000000-0005-0000-0000-0000697E0000}"/>
    <cellStyle name="Normal 8 2 8 2 2 6" xfId="10811" xr:uid="{00000000-0005-0000-0000-00006A7E0000}"/>
    <cellStyle name="Normal 8 2 8 2 2 6 2" xfId="28993" xr:uid="{00000000-0005-0000-0000-00006B7E0000}"/>
    <cellStyle name="Normal 8 2 8 2 2 7" xfId="19902" xr:uid="{00000000-0005-0000-0000-00006C7E0000}"/>
    <cellStyle name="Normal 8 2 8 2 3" xfId="1608" xr:uid="{00000000-0005-0000-0000-00006D7E0000}"/>
    <cellStyle name="Normal 8 2 8 2 3 2" xfId="2982" xr:uid="{00000000-0005-0000-0000-00006E7E0000}"/>
    <cellStyle name="Normal 8 2 8 2 3 2 2" xfId="7562" xr:uid="{00000000-0005-0000-0000-00006F7E0000}"/>
    <cellStyle name="Normal 8 2 8 2 3 2 2 2" xfId="16662" xr:uid="{00000000-0005-0000-0000-0000707E0000}"/>
    <cellStyle name="Normal 8 2 8 2 3 2 2 2 2" xfId="34844" xr:uid="{00000000-0005-0000-0000-0000717E0000}"/>
    <cellStyle name="Normal 8 2 8 2 3 2 2 3" xfId="25754" xr:uid="{00000000-0005-0000-0000-0000727E0000}"/>
    <cellStyle name="Normal 8 2 8 2 3 2 3" xfId="12126" xr:uid="{00000000-0005-0000-0000-0000737E0000}"/>
    <cellStyle name="Normal 8 2 8 2 3 2 3 2" xfId="30308" xr:uid="{00000000-0005-0000-0000-0000747E0000}"/>
    <cellStyle name="Normal 8 2 8 2 3 2 4" xfId="21218" xr:uid="{00000000-0005-0000-0000-0000757E0000}"/>
    <cellStyle name="Normal 8 2 8 2 3 3" xfId="4608" xr:uid="{00000000-0005-0000-0000-0000767E0000}"/>
    <cellStyle name="Normal 8 2 8 2 3 3 2" xfId="9164" xr:uid="{00000000-0005-0000-0000-0000777E0000}"/>
    <cellStyle name="Normal 8 2 8 2 3 3 2 2" xfId="18260" xr:uid="{00000000-0005-0000-0000-0000787E0000}"/>
    <cellStyle name="Normal 8 2 8 2 3 3 2 2 2" xfId="36442" xr:uid="{00000000-0005-0000-0000-0000797E0000}"/>
    <cellStyle name="Normal 8 2 8 2 3 3 2 3" xfId="27352" xr:uid="{00000000-0005-0000-0000-00007A7E0000}"/>
    <cellStyle name="Normal 8 2 8 2 3 3 3" xfId="13720" xr:uid="{00000000-0005-0000-0000-00007B7E0000}"/>
    <cellStyle name="Normal 8 2 8 2 3 3 3 2" xfId="31902" xr:uid="{00000000-0005-0000-0000-00007C7E0000}"/>
    <cellStyle name="Normal 8 2 8 2 3 3 4" xfId="22812" xr:uid="{00000000-0005-0000-0000-00007D7E0000}"/>
    <cellStyle name="Normal 8 2 8 2 3 4" xfId="6247" xr:uid="{00000000-0005-0000-0000-00007E7E0000}"/>
    <cellStyle name="Normal 8 2 8 2 3 4 2" xfId="15347" xr:uid="{00000000-0005-0000-0000-00007F7E0000}"/>
    <cellStyle name="Normal 8 2 8 2 3 4 2 2" xfId="33529" xr:uid="{00000000-0005-0000-0000-0000807E0000}"/>
    <cellStyle name="Normal 8 2 8 2 3 4 3" xfId="24439" xr:uid="{00000000-0005-0000-0000-0000817E0000}"/>
    <cellStyle name="Normal 8 2 8 2 3 5" xfId="10813" xr:uid="{00000000-0005-0000-0000-0000827E0000}"/>
    <cellStyle name="Normal 8 2 8 2 3 5 2" xfId="28995" xr:uid="{00000000-0005-0000-0000-0000837E0000}"/>
    <cellStyle name="Normal 8 2 8 2 3 6" xfId="19904" xr:uid="{00000000-0005-0000-0000-0000847E0000}"/>
    <cellStyle name="Normal 8 2 8 2 4" xfId="1609" xr:uid="{00000000-0005-0000-0000-0000857E0000}"/>
    <cellStyle name="Normal 8 2 8 2 4 2" xfId="4609" xr:uid="{00000000-0005-0000-0000-0000867E0000}"/>
    <cellStyle name="Normal 8 2 8 2 4 2 2" xfId="9165" xr:uid="{00000000-0005-0000-0000-0000877E0000}"/>
    <cellStyle name="Normal 8 2 8 2 4 2 2 2" xfId="18261" xr:uid="{00000000-0005-0000-0000-0000887E0000}"/>
    <cellStyle name="Normal 8 2 8 2 4 2 2 2 2" xfId="36443" xr:uid="{00000000-0005-0000-0000-0000897E0000}"/>
    <cellStyle name="Normal 8 2 8 2 4 2 2 3" xfId="27353" xr:uid="{00000000-0005-0000-0000-00008A7E0000}"/>
    <cellStyle name="Normal 8 2 8 2 4 2 3" xfId="13721" xr:uid="{00000000-0005-0000-0000-00008B7E0000}"/>
    <cellStyle name="Normal 8 2 8 2 4 2 3 2" xfId="31903" xr:uid="{00000000-0005-0000-0000-00008C7E0000}"/>
    <cellStyle name="Normal 8 2 8 2 4 2 4" xfId="22813" xr:uid="{00000000-0005-0000-0000-00008D7E0000}"/>
    <cellStyle name="Normal 8 2 8 2 4 3" xfId="6248" xr:uid="{00000000-0005-0000-0000-00008E7E0000}"/>
    <cellStyle name="Normal 8 2 8 2 4 3 2" xfId="15348" xr:uid="{00000000-0005-0000-0000-00008F7E0000}"/>
    <cellStyle name="Normal 8 2 8 2 4 3 2 2" xfId="33530" xr:uid="{00000000-0005-0000-0000-0000907E0000}"/>
    <cellStyle name="Normal 8 2 8 2 4 3 3" xfId="24440" xr:uid="{00000000-0005-0000-0000-0000917E0000}"/>
    <cellStyle name="Normal 8 2 8 2 4 4" xfId="10814" xr:uid="{00000000-0005-0000-0000-0000927E0000}"/>
    <cellStyle name="Normal 8 2 8 2 4 4 2" xfId="28996" xr:uid="{00000000-0005-0000-0000-0000937E0000}"/>
    <cellStyle name="Normal 8 2 8 2 4 5" xfId="19905" xr:uid="{00000000-0005-0000-0000-0000947E0000}"/>
    <cellStyle name="Normal 8 2 8 2 5" xfId="2983" xr:uid="{00000000-0005-0000-0000-0000957E0000}"/>
    <cellStyle name="Normal 8 2 8 2 5 2" xfId="7563" xr:uid="{00000000-0005-0000-0000-0000967E0000}"/>
    <cellStyle name="Normal 8 2 8 2 5 2 2" xfId="16663" xr:uid="{00000000-0005-0000-0000-0000977E0000}"/>
    <cellStyle name="Normal 8 2 8 2 5 2 2 2" xfId="34845" xr:uid="{00000000-0005-0000-0000-0000987E0000}"/>
    <cellStyle name="Normal 8 2 8 2 5 2 3" xfId="25755" xr:uid="{00000000-0005-0000-0000-0000997E0000}"/>
    <cellStyle name="Normal 8 2 8 2 5 3" xfId="12127" xr:uid="{00000000-0005-0000-0000-00009A7E0000}"/>
    <cellStyle name="Normal 8 2 8 2 5 3 2" xfId="30309" xr:uid="{00000000-0005-0000-0000-00009B7E0000}"/>
    <cellStyle name="Normal 8 2 8 2 5 4" xfId="21219" xr:uid="{00000000-0005-0000-0000-00009C7E0000}"/>
    <cellStyle name="Normal 8 2 8 2 6" xfId="4605" xr:uid="{00000000-0005-0000-0000-00009D7E0000}"/>
    <cellStyle name="Normal 8 2 8 2 6 2" xfId="9161" xr:uid="{00000000-0005-0000-0000-00009E7E0000}"/>
    <cellStyle name="Normal 8 2 8 2 6 2 2" xfId="18257" xr:uid="{00000000-0005-0000-0000-00009F7E0000}"/>
    <cellStyle name="Normal 8 2 8 2 6 2 2 2" xfId="36439" xr:uid="{00000000-0005-0000-0000-0000A07E0000}"/>
    <cellStyle name="Normal 8 2 8 2 6 2 3" xfId="27349" xr:uid="{00000000-0005-0000-0000-0000A17E0000}"/>
    <cellStyle name="Normal 8 2 8 2 6 3" xfId="13717" xr:uid="{00000000-0005-0000-0000-0000A27E0000}"/>
    <cellStyle name="Normal 8 2 8 2 6 3 2" xfId="31899" xr:uid="{00000000-0005-0000-0000-0000A37E0000}"/>
    <cellStyle name="Normal 8 2 8 2 6 4" xfId="22809" xr:uid="{00000000-0005-0000-0000-0000A47E0000}"/>
    <cellStyle name="Normal 8 2 8 2 7" xfId="6244" xr:uid="{00000000-0005-0000-0000-0000A57E0000}"/>
    <cellStyle name="Normal 8 2 8 2 7 2" xfId="15344" xr:uid="{00000000-0005-0000-0000-0000A67E0000}"/>
    <cellStyle name="Normal 8 2 8 2 7 2 2" xfId="33526" xr:uid="{00000000-0005-0000-0000-0000A77E0000}"/>
    <cellStyle name="Normal 8 2 8 2 7 3" xfId="24436" xr:uid="{00000000-0005-0000-0000-0000A87E0000}"/>
    <cellStyle name="Normal 8 2 8 2 8" xfId="10810" xr:uid="{00000000-0005-0000-0000-0000A97E0000}"/>
    <cellStyle name="Normal 8 2 8 2 8 2" xfId="28992" xr:uid="{00000000-0005-0000-0000-0000AA7E0000}"/>
    <cellStyle name="Normal 8 2 8 2 9" xfId="19901" xr:uid="{00000000-0005-0000-0000-0000AB7E0000}"/>
    <cellStyle name="Normal 8 2 8 3" xfId="1610" xr:uid="{00000000-0005-0000-0000-0000AC7E0000}"/>
    <cellStyle name="Normal 8 2 8 3 2" xfId="1611" xr:uid="{00000000-0005-0000-0000-0000AD7E0000}"/>
    <cellStyle name="Normal 8 2 8 3 2 2" xfId="2984" xr:uid="{00000000-0005-0000-0000-0000AE7E0000}"/>
    <cellStyle name="Normal 8 2 8 3 2 2 2" xfId="7564" xr:uid="{00000000-0005-0000-0000-0000AF7E0000}"/>
    <cellStyle name="Normal 8 2 8 3 2 2 2 2" xfId="16664" xr:uid="{00000000-0005-0000-0000-0000B07E0000}"/>
    <cellStyle name="Normal 8 2 8 3 2 2 2 2 2" xfId="34846" xr:uid="{00000000-0005-0000-0000-0000B17E0000}"/>
    <cellStyle name="Normal 8 2 8 3 2 2 2 3" xfId="25756" xr:uid="{00000000-0005-0000-0000-0000B27E0000}"/>
    <cellStyle name="Normal 8 2 8 3 2 2 3" xfId="12128" xr:uid="{00000000-0005-0000-0000-0000B37E0000}"/>
    <cellStyle name="Normal 8 2 8 3 2 2 3 2" xfId="30310" xr:uid="{00000000-0005-0000-0000-0000B47E0000}"/>
    <cellStyle name="Normal 8 2 8 3 2 2 4" xfId="21220" xr:uid="{00000000-0005-0000-0000-0000B57E0000}"/>
    <cellStyle name="Normal 8 2 8 3 2 3" xfId="4611" xr:uid="{00000000-0005-0000-0000-0000B67E0000}"/>
    <cellStyle name="Normal 8 2 8 3 2 3 2" xfId="9167" xr:uid="{00000000-0005-0000-0000-0000B77E0000}"/>
    <cellStyle name="Normal 8 2 8 3 2 3 2 2" xfId="18263" xr:uid="{00000000-0005-0000-0000-0000B87E0000}"/>
    <cellStyle name="Normal 8 2 8 3 2 3 2 2 2" xfId="36445" xr:uid="{00000000-0005-0000-0000-0000B97E0000}"/>
    <cellStyle name="Normal 8 2 8 3 2 3 2 3" xfId="27355" xr:uid="{00000000-0005-0000-0000-0000BA7E0000}"/>
    <cellStyle name="Normal 8 2 8 3 2 3 3" xfId="13723" xr:uid="{00000000-0005-0000-0000-0000BB7E0000}"/>
    <cellStyle name="Normal 8 2 8 3 2 3 3 2" xfId="31905" xr:uid="{00000000-0005-0000-0000-0000BC7E0000}"/>
    <cellStyle name="Normal 8 2 8 3 2 3 4" xfId="22815" xr:uid="{00000000-0005-0000-0000-0000BD7E0000}"/>
    <cellStyle name="Normal 8 2 8 3 2 4" xfId="6250" xr:uid="{00000000-0005-0000-0000-0000BE7E0000}"/>
    <cellStyle name="Normal 8 2 8 3 2 4 2" xfId="15350" xr:uid="{00000000-0005-0000-0000-0000BF7E0000}"/>
    <cellStyle name="Normal 8 2 8 3 2 4 2 2" xfId="33532" xr:uid="{00000000-0005-0000-0000-0000C07E0000}"/>
    <cellStyle name="Normal 8 2 8 3 2 4 3" xfId="24442" xr:uid="{00000000-0005-0000-0000-0000C17E0000}"/>
    <cellStyle name="Normal 8 2 8 3 2 5" xfId="10816" xr:uid="{00000000-0005-0000-0000-0000C27E0000}"/>
    <cellStyle name="Normal 8 2 8 3 2 5 2" xfId="28998" xr:uid="{00000000-0005-0000-0000-0000C37E0000}"/>
    <cellStyle name="Normal 8 2 8 3 2 6" xfId="19907" xr:uid="{00000000-0005-0000-0000-0000C47E0000}"/>
    <cellStyle name="Normal 8 2 8 3 3" xfId="2985" xr:uid="{00000000-0005-0000-0000-0000C57E0000}"/>
    <cellStyle name="Normal 8 2 8 3 3 2" xfId="7565" xr:uid="{00000000-0005-0000-0000-0000C67E0000}"/>
    <cellStyle name="Normal 8 2 8 3 3 2 2" xfId="16665" xr:uid="{00000000-0005-0000-0000-0000C77E0000}"/>
    <cellStyle name="Normal 8 2 8 3 3 2 2 2" xfId="34847" xr:uid="{00000000-0005-0000-0000-0000C87E0000}"/>
    <cellStyle name="Normal 8 2 8 3 3 2 3" xfId="25757" xr:uid="{00000000-0005-0000-0000-0000C97E0000}"/>
    <cellStyle name="Normal 8 2 8 3 3 3" xfId="12129" xr:uid="{00000000-0005-0000-0000-0000CA7E0000}"/>
    <cellStyle name="Normal 8 2 8 3 3 3 2" xfId="30311" xr:uid="{00000000-0005-0000-0000-0000CB7E0000}"/>
    <cellStyle name="Normal 8 2 8 3 3 4" xfId="21221" xr:uid="{00000000-0005-0000-0000-0000CC7E0000}"/>
    <cellStyle name="Normal 8 2 8 3 4" xfId="4610" xr:uid="{00000000-0005-0000-0000-0000CD7E0000}"/>
    <cellStyle name="Normal 8 2 8 3 4 2" xfId="9166" xr:uid="{00000000-0005-0000-0000-0000CE7E0000}"/>
    <cellStyle name="Normal 8 2 8 3 4 2 2" xfId="18262" xr:uid="{00000000-0005-0000-0000-0000CF7E0000}"/>
    <cellStyle name="Normal 8 2 8 3 4 2 2 2" xfId="36444" xr:uid="{00000000-0005-0000-0000-0000D07E0000}"/>
    <cellStyle name="Normal 8 2 8 3 4 2 3" xfId="27354" xr:uid="{00000000-0005-0000-0000-0000D17E0000}"/>
    <cellStyle name="Normal 8 2 8 3 4 3" xfId="13722" xr:uid="{00000000-0005-0000-0000-0000D27E0000}"/>
    <cellStyle name="Normal 8 2 8 3 4 3 2" xfId="31904" xr:uid="{00000000-0005-0000-0000-0000D37E0000}"/>
    <cellStyle name="Normal 8 2 8 3 4 4" xfId="22814" xr:uid="{00000000-0005-0000-0000-0000D47E0000}"/>
    <cellStyle name="Normal 8 2 8 3 5" xfId="6249" xr:uid="{00000000-0005-0000-0000-0000D57E0000}"/>
    <cellStyle name="Normal 8 2 8 3 5 2" xfId="15349" xr:uid="{00000000-0005-0000-0000-0000D67E0000}"/>
    <cellStyle name="Normal 8 2 8 3 5 2 2" xfId="33531" xr:uid="{00000000-0005-0000-0000-0000D77E0000}"/>
    <cellStyle name="Normal 8 2 8 3 5 3" xfId="24441" xr:uid="{00000000-0005-0000-0000-0000D87E0000}"/>
    <cellStyle name="Normal 8 2 8 3 6" xfId="10815" xr:uid="{00000000-0005-0000-0000-0000D97E0000}"/>
    <cellStyle name="Normal 8 2 8 3 6 2" xfId="28997" xr:uid="{00000000-0005-0000-0000-0000DA7E0000}"/>
    <cellStyle name="Normal 8 2 8 3 7" xfId="19906" xr:uid="{00000000-0005-0000-0000-0000DB7E0000}"/>
    <cellStyle name="Normal 8 2 8 4" xfId="1612" xr:uid="{00000000-0005-0000-0000-0000DC7E0000}"/>
    <cellStyle name="Normal 8 2 8 4 2" xfId="2986" xr:uid="{00000000-0005-0000-0000-0000DD7E0000}"/>
    <cellStyle name="Normal 8 2 8 4 2 2" xfId="7566" xr:uid="{00000000-0005-0000-0000-0000DE7E0000}"/>
    <cellStyle name="Normal 8 2 8 4 2 2 2" xfId="16666" xr:uid="{00000000-0005-0000-0000-0000DF7E0000}"/>
    <cellStyle name="Normal 8 2 8 4 2 2 2 2" xfId="34848" xr:uid="{00000000-0005-0000-0000-0000E07E0000}"/>
    <cellStyle name="Normal 8 2 8 4 2 2 3" xfId="25758" xr:uid="{00000000-0005-0000-0000-0000E17E0000}"/>
    <cellStyle name="Normal 8 2 8 4 2 3" xfId="12130" xr:uid="{00000000-0005-0000-0000-0000E27E0000}"/>
    <cellStyle name="Normal 8 2 8 4 2 3 2" xfId="30312" xr:uid="{00000000-0005-0000-0000-0000E37E0000}"/>
    <cellStyle name="Normal 8 2 8 4 2 4" xfId="21222" xr:uid="{00000000-0005-0000-0000-0000E47E0000}"/>
    <cellStyle name="Normal 8 2 8 4 3" xfId="4612" xr:uid="{00000000-0005-0000-0000-0000E57E0000}"/>
    <cellStyle name="Normal 8 2 8 4 3 2" xfId="9168" xr:uid="{00000000-0005-0000-0000-0000E67E0000}"/>
    <cellStyle name="Normal 8 2 8 4 3 2 2" xfId="18264" xr:uid="{00000000-0005-0000-0000-0000E77E0000}"/>
    <cellStyle name="Normal 8 2 8 4 3 2 2 2" xfId="36446" xr:uid="{00000000-0005-0000-0000-0000E87E0000}"/>
    <cellStyle name="Normal 8 2 8 4 3 2 3" xfId="27356" xr:uid="{00000000-0005-0000-0000-0000E97E0000}"/>
    <cellStyle name="Normal 8 2 8 4 3 3" xfId="13724" xr:uid="{00000000-0005-0000-0000-0000EA7E0000}"/>
    <cellStyle name="Normal 8 2 8 4 3 3 2" xfId="31906" xr:uid="{00000000-0005-0000-0000-0000EB7E0000}"/>
    <cellStyle name="Normal 8 2 8 4 3 4" xfId="22816" xr:uid="{00000000-0005-0000-0000-0000EC7E0000}"/>
    <cellStyle name="Normal 8 2 8 4 4" xfId="6251" xr:uid="{00000000-0005-0000-0000-0000ED7E0000}"/>
    <cellStyle name="Normal 8 2 8 4 4 2" xfId="15351" xr:uid="{00000000-0005-0000-0000-0000EE7E0000}"/>
    <cellStyle name="Normal 8 2 8 4 4 2 2" xfId="33533" xr:uid="{00000000-0005-0000-0000-0000EF7E0000}"/>
    <cellStyle name="Normal 8 2 8 4 4 3" xfId="24443" xr:uid="{00000000-0005-0000-0000-0000F07E0000}"/>
    <cellStyle name="Normal 8 2 8 4 5" xfId="10817" xr:uid="{00000000-0005-0000-0000-0000F17E0000}"/>
    <cellStyle name="Normal 8 2 8 4 5 2" xfId="28999" xr:uid="{00000000-0005-0000-0000-0000F27E0000}"/>
    <cellStyle name="Normal 8 2 8 4 6" xfId="19908" xr:uid="{00000000-0005-0000-0000-0000F37E0000}"/>
    <cellStyle name="Normal 8 2 8 5" xfId="1613" xr:uid="{00000000-0005-0000-0000-0000F47E0000}"/>
    <cellStyle name="Normal 8 2 8 5 2" xfId="2987" xr:uid="{00000000-0005-0000-0000-0000F57E0000}"/>
    <cellStyle name="Normal 8 2 8 5 2 2" xfId="7567" xr:uid="{00000000-0005-0000-0000-0000F67E0000}"/>
    <cellStyle name="Normal 8 2 8 5 2 2 2" xfId="16667" xr:uid="{00000000-0005-0000-0000-0000F77E0000}"/>
    <cellStyle name="Normal 8 2 8 5 2 2 2 2" xfId="34849" xr:uid="{00000000-0005-0000-0000-0000F87E0000}"/>
    <cellStyle name="Normal 8 2 8 5 2 2 3" xfId="25759" xr:uid="{00000000-0005-0000-0000-0000F97E0000}"/>
    <cellStyle name="Normal 8 2 8 5 2 3" xfId="12131" xr:uid="{00000000-0005-0000-0000-0000FA7E0000}"/>
    <cellStyle name="Normal 8 2 8 5 2 3 2" xfId="30313" xr:uid="{00000000-0005-0000-0000-0000FB7E0000}"/>
    <cellStyle name="Normal 8 2 8 5 2 4" xfId="21223" xr:uid="{00000000-0005-0000-0000-0000FC7E0000}"/>
    <cellStyle name="Normal 8 2 8 5 3" xfId="4613" xr:uid="{00000000-0005-0000-0000-0000FD7E0000}"/>
    <cellStyle name="Normal 8 2 8 5 3 2" xfId="9169" xr:uid="{00000000-0005-0000-0000-0000FE7E0000}"/>
    <cellStyle name="Normal 8 2 8 5 3 2 2" xfId="18265" xr:uid="{00000000-0005-0000-0000-0000FF7E0000}"/>
    <cellStyle name="Normal 8 2 8 5 3 2 2 2" xfId="36447" xr:uid="{00000000-0005-0000-0000-0000007F0000}"/>
    <cellStyle name="Normal 8 2 8 5 3 2 3" xfId="27357" xr:uid="{00000000-0005-0000-0000-0000017F0000}"/>
    <cellStyle name="Normal 8 2 8 5 3 3" xfId="13725" xr:uid="{00000000-0005-0000-0000-0000027F0000}"/>
    <cellStyle name="Normal 8 2 8 5 3 3 2" xfId="31907" xr:uid="{00000000-0005-0000-0000-0000037F0000}"/>
    <cellStyle name="Normal 8 2 8 5 3 4" xfId="22817" xr:uid="{00000000-0005-0000-0000-0000047F0000}"/>
    <cellStyle name="Normal 8 2 8 5 4" xfId="6252" xr:uid="{00000000-0005-0000-0000-0000057F0000}"/>
    <cellStyle name="Normal 8 2 8 5 4 2" xfId="15352" xr:uid="{00000000-0005-0000-0000-0000067F0000}"/>
    <cellStyle name="Normal 8 2 8 5 4 2 2" xfId="33534" xr:uid="{00000000-0005-0000-0000-0000077F0000}"/>
    <cellStyle name="Normal 8 2 8 5 4 3" xfId="24444" xr:uid="{00000000-0005-0000-0000-0000087F0000}"/>
    <cellStyle name="Normal 8 2 8 5 5" xfId="10818" xr:uid="{00000000-0005-0000-0000-0000097F0000}"/>
    <cellStyle name="Normal 8 2 8 5 5 2" xfId="29000" xr:uid="{00000000-0005-0000-0000-00000A7F0000}"/>
    <cellStyle name="Normal 8 2 8 5 6" xfId="19909" xr:uid="{00000000-0005-0000-0000-00000B7F0000}"/>
    <cellStyle name="Normal 8 2 8 6" xfId="1614" xr:uid="{00000000-0005-0000-0000-00000C7F0000}"/>
    <cellStyle name="Normal 8 2 8 6 2" xfId="4614" xr:uid="{00000000-0005-0000-0000-00000D7F0000}"/>
    <cellStyle name="Normal 8 2 8 6 2 2" xfId="9170" xr:uid="{00000000-0005-0000-0000-00000E7F0000}"/>
    <cellStyle name="Normal 8 2 8 6 2 2 2" xfId="18266" xr:uid="{00000000-0005-0000-0000-00000F7F0000}"/>
    <cellStyle name="Normal 8 2 8 6 2 2 2 2" xfId="36448" xr:uid="{00000000-0005-0000-0000-0000107F0000}"/>
    <cellStyle name="Normal 8 2 8 6 2 2 3" xfId="27358" xr:uid="{00000000-0005-0000-0000-0000117F0000}"/>
    <cellStyle name="Normal 8 2 8 6 2 3" xfId="13726" xr:uid="{00000000-0005-0000-0000-0000127F0000}"/>
    <cellStyle name="Normal 8 2 8 6 2 3 2" xfId="31908" xr:uid="{00000000-0005-0000-0000-0000137F0000}"/>
    <cellStyle name="Normal 8 2 8 6 2 4" xfId="22818" xr:uid="{00000000-0005-0000-0000-0000147F0000}"/>
    <cellStyle name="Normal 8 2 8 6 3" xfId="6253" xr:uid="{00000000-0005-0000-0000-0000157F0000}"/>
    <cellStyle name="Normal 8 2 8 6 3 2" xfId="15353" xr:uid="{00000000-0005-0000-0000-0000167F0000}"/>
    <cellStyle name="Normal 8 2 8 6 3 2 2" xfId="33535" xr:uid="{00000000-0005-0000-0000-0000177F0000}"/>
    <cellStyle name="Normal 8 2 8 6 3 3" xfId="24445" xr:uid="{00000000-0005-0000-0000-0000187F0000}"/>
    <cellStyle name="Normal 8 2 8 6 4" xfId="10819" xr:uid="{00000000-0005-0000-0000-0000197F0000}"/>
    <cellStyle name="Normal 8 2 8 6 4 2" xfId="29001" xr:uid="{00000000-0005-0000-0000-00001A7F0000}"/>
    <cellStyle name="Normal 8 2 8 6 5" xfId="19910" xr:uid="{00000000-0005-0000-0000-00001B7F0000}"/>
    <cellStyle name="Normal 8 2 8 7" xfId="1615" xr:uid="{00000000-0005-0000-0000-00001C7F0000}"/>
    <cellStyle name="Normal 8 2 8 7 2" xfId="4615" xr:uid="{00000000-0005-0000-0000-00001D7F0000}"/>
    <cellStyle name="Normal 8 2 8 7 2 2" xfId="9171" xr:uid="{00000000-0005-0000-0000-00001E7F0000}"/>
    <cellStyle name="Normal 8 2 8 7 2 2 2" xfId="18267" xr:uid="{00000000-0005-0000-0000-00001F7F0000}"/>
    <cellStyle name="Normal 8 2 8 7 2 2 2 2" xfId="36449" xr:uid="{00000000-0005-0000-0000-0000207F0000}"/>
    <cellStyle name="Normal 8 2 8 7 2 2 3" xfId="27359" xr:uid="{00000000-0005-0000-0000-0000217F0000}"/>
    <cellStyle name="Normal 8 2 8 7 2 3" xfId="13727" xr:uid="{00000000-0005-0000-0000-0000227F0000}"/>
    <cellStyle name="Normal 8 2 8 7 2 3 2" xfId="31909" xr:uid="{00000000-0005-0000-0000-0000237F0000}"/>
    <cellStyle name="Normal 8 2 8 7 2 4" xfId="22819" xr:uid="{00000000-0005-0000-0000-0000247F0000}"/>
    <cellStyle name="Normal 8 2 8 7 3" xfId="6254" xr:uid="{00000000-0005-0000-0000-0000257F0000}"/>
    <cellStyle name="Normal 8 2 8 7 3 2" xfId="15354" xr:uid="{00000000-0005-0000-0000-0000267F0000}"/>
    <cellStyle name="Normal 8 2 8 7 3 2 2" xfId="33536" xr:uid="{00000000-0005-0000-0000-0000277F0000}"/>
    <cellStyle name="Normal 8 2 8 7 3 3" xfId="24446" xr:uid="{00000000-0005-0000-0000-0000287F0000}"/>
    <cellStyle name="Normal 8 2 8 7 4" xfId="10820" xr:uid="{00000000-0005-0000-0000-0000297F0000}"/>
    <cellStyle name="Normal 8 2 8 7 4 2" xfId="29002" xr:uid="{00000000-0005-0000-0000-00002A7F0000}"/>
    <cellStyle name="Normal 8 2 8 7 5" xfId="19911" xr:uid="{00000000-0005-0000-0000-00002B7F0000}"/>
    <cellStyle name="Normal 8 2 8 8" xfId="2988" xr:uid="{00000000-0005-0000-0000-00002C7F0000}"/>
    <cellStyle name="Normal 8 2 8 8 2" xfId="7568" xr:uid="{00000000-0005-0000-0000-00002D7F0000}"/>
    <cellStyle name="Normal 8 2 8 8 2 2" xfId="16668" xr:uid="{00000000-0005-0000-0000-00002E7F0000}"/>
    <cellStyle name="Normal 8 2 8 8 2 2 2" xfId="34850" xr:uid="{00000000-0005-0000-0000-00002F7F0000}"/>
    <cellStyle name="Normal 8 2 8 8 2 3" xfId="25760" xr:uid="{00000000-0005-0000-0000-0000307F0000}"/>
    <cellStyle name="Normal 8 2 8 8 3" xfId="12132" xr:uid="{00000000-0005-0000-0000-0000317F0000}"/>
    <cellStyle name="Normal 8 2 8 8 3 2" xfId="30314" xr:uid="{00000000-0005-0000-0000-0000327F0000}"/>
    <cellStyle name="Normal 8 2 8 8 4" xfId="21224" xr:uid="{00000000-0005-0000-0000-0000337F0000}"/>
    <cellStyle name="Normal 8 2 8 9" xfId="4604" xr:uid="{00000000-0005-0000-0000-0000347F0000}"/>
    <cellStyle name="Normal 8 2 8 9 2" xfId="9160" xr:uid="{00000000-0005-0000-0000-0000357F0000}"/>
    <cellStyle name="Normal 8 2 8 9 2 2" xfId="18256" xr:uid="{00000000-0005-0000-0000-0000367F0000}"/>
    <cellStyle name="Normal 8 2 8 9 2 2 2" xfId="36438" xr:uid="{00000000-0005-0000-0000-0000377F0000}"/>
    <cellStyle name="Normal 8 2 8 9 2 3" xfId="27348" xr:uid="{00000000-0005-0000-0000-0000387F0000}"/>
    <cellStyle name="Normal 8 2 8 9 3" xfId="13716" xr:uid="{00000000-0005-0000-0000-0000397F0000}"/>
    <cellStyle name="Normal 8 2 8 9 3 2" xfId="31898" xr:uid="{00000000-0005-0000-0000-00003A7F0000}"/>
    <cellStyle name="Normal 8 2 8 9 4" xfId="22808" xr:uid="{00000000-0005-0000-0000-00003B7F0000}"/>
    <cellStyle name="Normal 8 2 9" xfId="1616" xr:uid="{00000000-0005-0000-0000-00003C7F0000}"/>
    <cellStyle name="Normal 8 2 9 2" xfId="1617" xr:uid="{00000000-0005-0000-0000-00003D7F0000}"/>
    <cellStyle name="Normal 8 2 9 2 2" xfId="1618" xr:uid="{00000000-0005-0000-0000-00003E7F0000}"/>
    <cellStyle name="Normal 8 2 9 2 2 2" xfId="2989" xr:uid="{00000000-0005-0000-0000-00003F7F0000}"/>
    <cellStyle name="Normal 8 2 9 2 2 2 2" xfId="7569" xr:uid="{00000000-0005-0000-0000-0000407F0000}"/>
    <cellStyle name="Normal 8 2 9 2 2 2 2 2" xfId="16669" xr:uid="{00000000-0005-0000-0000-0000417F0000}"/>
    <cellStyle name="Normal 8 2 9 2 2 2 2 2 2" xfId="34851" xr:uid="{00000000-0005-0000-0000-0000427F0000}"/>
    <cellStyle name="Normal 8 2 9 2 2 2 2 3" xfId="25761" xr:uid="{00000000-0005-0000-0000-0000437F0000}"/>
    <cellStyle name="Normal 8 2 9 2 2 2 3" xfId="12133" xr:uid="{00000000-0005-0000-0000-0000447F0000}"/>
    <cellStyle name="Normal 8 2 9 2 2 2 3 2" xfId="30315" xr:uid="{00000000-0005-0000-0000-0000457F0000}"/>
    <cellStyle name="Normal 8 2 9 2 2 2 4" xfId="21225" xr:uid="{00000000-0005-0000-0000-0000467F0000}"/>
    <cellStyle name="Normal 8 2 9 2 2 3" xfId="4618" xr:uid="{00000000-0005-0000-0000-0000477F0000}"/>
    <cellStyle name="Normal 8 2 9 2 2 3 2" xfId="9174" xr:uid="{00000000-0005-0000-0000-0000487F0000}"/>
    <cellStyle name="Normal 8 2 9 2 2 3 2 2" xfId="18270" xr:uid="{00000000-0005-0000-0000-0000497F0000}"/>
    <cellStyle name="Normal 8 2 9 2 2 3 2 2 2" xfId="36452" xr:uid="{00000000-0005-0000-0000-00004A7F0000}"/>
    <cellStyle name="Normal 8 2 9 2 2 3 2 3" xfId="27362" xr:uid="{00000000-0005-0000-0000-00004B7F0000}"/>
    <cellStyle name="Normal 8 2 9 2 2 3 3" xfId="13730" xr:uid="{00000000-0005-0000-0000-00004C7F0000}"/>
    <cellStyle name="Normal 8 2 9 2 2 3 3 2" xfId="31912" xr:uid="{00000000-0005-0000-0000-00004D7F0000}"/>
    <cellStyle name="Normal 8 2 9 2 2 3 4" xfId="22822" xr:uid="{00000000-0005-0000-0000-00004E7F0000}"/>
    <cellStyle name="Normal 8 2 9 2 2 4" xfId="6257" xr:uid="{00000000-0005-0000-0000-00004F7F0000}"/>
    <cellStyle name="Normal 8 2 9 2 2 4 2" xfId="15357" xr:uid="{00000000-0005-0000-0000-0000507F0000}"/>
    <cellStyle name="Normal 8 2 9 2 2 4 2 2" xfId="33539" xr:uid="{00000000-0005-0000-0000-0000517F0000}"/>
    <cellStyle name="Normal 8 2 9 2 2 4 3" xfId="24449" xr:uid="{00000000-0005-0000-0000-0000527F0000}"/>
    <cellStyle name="Normal 8 2 9 2 2 5" xfId="10823" xr:uid="{00000000-0005-0000-0000-0000537F0000}"/>
    <cellStyle name="Normal 8 2 9 2 2 5 2" xfId="29005" xr:uid="{00000000-0005-0000-0000-0000547F0000}"/>
    <cellStyle name="Normal 8 2 9 2 2 6" xfId="19914" xr:uid="{00000000-0005-0000-0000-0000557F0000}"/>
    <cellStyle name="Normal 8 2 9 2 3" xfId="2990" xr:uid="{00000000-0005-0000-0000-0000567F0000}"/>
    <cellStyle name="Normal 8 2 9 2 3 2" xfId="7570" xr:uid="{00000000-0005-0000-0000-0000577F0000}"/>
    <cellStyle name="Normal 8 2 9 2 3 2 2" xfId="16670" xr:uid="{00000000-0005-0000-0000-0000587F0000}"/>
    <cellStyle name="Normal 8 2 9 2 3 2 2 2" xfId="34852" xr:uid="{00000000-0005-0000-0000-0000597F0000}"/>
    <cellStyle name="Normal 8 2 9 2 3 2 3" xfId="25762" xr:uid="{00000000-0005-0000-0000-00005A7F0000}"/>
    <cellStyle name="Normal 8 2 9 2 3 3" xfId="12134" xr:uid="{00000000-0005-0000-0000-00005B7F0000}"/>
    <cellStyle name="Normal 8 2 9 2 3 3 2" xfId="30316" xr:uid="{00000000-0005-0000-0000-00005C7F0000}"/>
    <cellStyle name="Normal 8 2 9 2 3 4" xfId="21226" xr:uid="{00000000-0005-0000-0000-00005D7F0000}"/>
    <cellStyle name="Normal 8 2 9 2 4" xfId="4617" xr:uid="{00000000-0005-0000-0000-00005E7F0000}"/>
    <cellStyle name="Normal 8 2 9 2 4 2" xfId="9173" xr:uid="{00000000-0005-0000-0000-00005F7F0000}"/>
    <cellStyle name="Normal 8 2 9 2 4 2 2" xfId="18269" xr:uid="{00000000-0005-0000-0000-0000607F0000}"/>
    <cellStyle name="Normal 8 2 9 2 4 2 2 2" xfId="36451" xr:uid="{00000000-0005-0000-0000-0000617F0000}"/>
    <cellStyle name="Normal 8 2 9 2 4 2 3" xfId="27361" xr:uid="{00000000-0005-0000-0000-0000627F0000}"/>
    <cellStyle name="Normal 8 2 9 2 4 3" xfId="13729" xr:uid="{00000000-0005-0000-0000-0000637F0000}"/>
    <cellStyle name="Normal 8 2 9 2 4 3 2" xfId="31911" xr:uid="{00000000-0005-0000-0000-0000647F0000}"/>
    <cellStyle name="Normal 8 2 9 2 4 4" xfId="22821" xr:uid="{00000000-0005-0000-0000-0000657F0000}"/>
    <cellStyle name="Normal 8 2 9 2 5" xfId="6256" xr:uid="{00000000-0005-0000-0000-0000667F0000}"/>
    <cellStyle name="Normal 8 2 9 2 5 2" xfId="15356" xr:uid="{00000000-0005-0000-0000-0000677F0000}"/>
    <cellStyle name="Normal 8 2 9 2 5 2 2" xfId="33538" xr:uid="{00000000-0005-0000-0000-0000687F0000}"/>
    <cellStyle name="Normal 8 2 9 2 5 3" xfId="24448" xr:uid="{00000000-0005-0000-0000-0000697F0000}"/>
    <cellStyle name="Normal 8 2 9 2 6" xfId="10822" xr:uid="{00000000-0005-0000-0000-00006A7F0000}"/>
    <cellStyle name="Normal 8 2 9 2 6 2" xfId="29004" xr:uid="{00000000-0005-0000-0000-00006B7F0000}"/>
    <cellStyle name="Normal 8 2 9 2 7" xfId="19913" xr:uid="{00000000-0005-0000-0000-00006C7F0000}"/>
    <cellStyle name="Normal 8 2 9 3" xfId="1619" xr:uid="{00000000-0005-0000-0000-00006D7F0000}"/>
    <cellStyle name="Normal 8 2 9 3 2" xfId="2991" xr:uid="{00000000-0005-0000-0000-00006E7F0000}"/>
    <cellStyle name="Normal 8 2 9 3 2 2" xfId="7571" xr:uid="{00000000-0005-0000-0000-00006F7F0000}"/>
    <cellStyle name="Normal 8 2 9 3 2 2 2" xfId="16671" xr:uid="{00000000-0005-0000-0000-0000707F0000}"/>
    <cellStyle name="Normal 8 2 9 3 2 2 2 2" xfId="34853" xr:uid="{00000000-0005-0000-0000-0000717F0000}"/>
    <cellStyle name="Normal 8 2 9 3 2 2 3" xfId="25763" xr:uid="{00000000-0005-0000-0000-0000727F0000}"/>
    <cellStyle name="Normal 8 2 9 3 2 3" xfId="12135" xr:uid="{00000000-0005-0000-0000-0000737F0000}"/>
    <cellStyle name="Normal 8 2 9 3 2 3 2" xfId="30317" xr:uid="{00000000-0005-0000-0000-0000747F0000}"/>
    <cellStyle name="Normal 8 2 9 3 2 4" xfId="21227" xr:uid="{00000000-0005-0000-0000-0000757F0000}"/>
    <cellStyle name="Normal 8 2 9 3 3" xfId="4619" xr:uid="{00000000-0005-0000-0000-0000767F0000}"/>
    <cellStyle name="Normal 8 2 9 3 3 2" xfId="9175" xr:uid="{00000000-0005-0000-0000-0000777F0000}"/>
    <cellStyle name="Normal 8 2 9 3 3 2 2" xfId="18271" xr:uid="{00000000-0005-0000-0000-0000787F0000}"/>
    <cellStyle name="Normal 8 2 9 3 3 2 2 2" xfId="36453" xr:uid="{00000000-0005-0000-0000-0000797F0000}"/>
    <cellStyle name="Normal 8 2 9 3 3 2 3" xfId="27363" xr:uid="{00000000-0005-0000-0000-00007A7F0000}"/>
    <cellStyle name="Normal 8 2 9 3 3 3" xfId="13731" xr:uid="{00000000-0005-0000-0000-00007B7F0000}"/>
    <cellStyle name="Normal 8 2 9 3 3 3 2" xfId="31913" xr:uid="{00000000-0005-0000-0000-00007C7F0000}"/>
    <cellStyle name="Normal 8 2 9 3 3 4" xfId="22823" xr:uid="{00000000-0005-0000-0000-00007D7F0000}"/>
    <cellStyle name="Normal 8 2 9 3 4" xfId="6258" xr:uid="{00000000-0005-0000-0000-00007E7F0000}"/>
    <cellStyle name="Normal 8 2 9 3 4 2" xfId="15358" xr:uid="{00000000-0005-0000-0000-00007F7F0000}"/>
    <cellStyle name="Normal 8 2 9 3 4 2 2" xfId="33540" xr:uid="{00000000-0005-0000-0000-0000807F0000}"/>
    <cellStyle name="Normal 8 2 9 3 4 3" xfId="24450" xr:uid="{00000000-0005-0000-0000-0000817F0000}"/>
    <cellStyle name="Normal 8 2 9 3 5" xfId="10824" xr:uid="{00000000-0005-0000-0000-0000827F0000}"/>
    <cellStyle name="Normal 8 2 9 3 5 2" xfId="29006" xr:uid="{00000000-0005-0000-0000-0000837F0000}"/>
    <cellStyle name="Normal 8 2 9 3 6" xfId="19915" xr:uid="{00000000-0005-0000-0000-0000847F0000}"/>
    <cellStyle name="Normal 8 2 9 4" xfId="1620" xr:uid="{00000000-0005-0000-0000-0000857F0000}"/>
    <cellStyle name="Normal 8 2 9 4 2" xfId="4620" xr:uid="{00000000-0005-0000-0000-0000867F0000}"/>
    <cellStyle name="Normal 8 2 9 4 2 2" xfId="9176" xr:uid="{00000000-0005-0000-0000-0000877F0000}"/>
    <cellStyle name="Normal 8 2 9 4 2 2 2" xfId="18272" xr:uid="{00000000-0005-0000-0000-0000887F0000}"/>
    <cellStyle name="Normal 8 2 9 4 2 2 2 2" xfId="36454" xr:uid="{00000000-0005-0000-0000-0000897F0000}"/>
    <cellStyle name="Normal 8 2 9 4 2 2 3" xfId="27364" xr:uid="{00000000-0005-0000-0000-00008A7F0000}"/>
    <cellStyle name="Normal 8 2 9 4 2 3" xfId="13732" xr:uid="{00000000-0005-0000-0000-00008B7F0000}"/>
    <cellStyle name="Normal 8 2 9 4 2 3 2" xfId="31914" xr:uid="{00000000-0005-0000-0000-00008C7F0000}"/>
    <cellStyle name="Normal 8 2 9 4 2 4" xfId="22824" xr:uid="{00000000-0005-0000-0000-00008D7F0000}"/>
    <cellStyle name="Normal 8 2 9 4 3" xfId="6259" xr:uid="{00000000-0005-0000-0000-00008E7F0000}"/>
    <cellStyle name="Normal 8 2 9 4 3 2" xfId="15359" xr:uid="{00000000-0005-0000-0000-00008F7F0000}"/>
    <cellStyle name="Normal 8 2 9 4 3 2 2" xfId="33541" xr:uid="{00000000-0005-0000-0000-0000907F0000}"/>
    <cellStyle name="Normal 8 2 9 4 3 3" xfId="24451" xr:uid="{00000000-0005-0000-0000-0000917F0000}"/>
    <cellStyle name="Normal 8 2 9 4 4" xfId="10825" xr:uid="{00000000-0005-0000-0000-0000927F0000}"/>
    <cellStyle name="Normal 8 2 9 4 4 2" xfId="29007" xr:uid="{00000000-0005-0000-0000-0000937F0000}"/>
    <cellStyle name="Normal 8 2 9 4 5" xfId="19916" xr:uid="{00000000-0005-0000-0000-0000947F0000}"/>
    <cellStyle name="Normal 8 2 9 5" xfId="2992" xr:uid="{00000000-0005-0000-0000-0000957F0000}"/>
    <cellStyle name="Normal 8 2 9 5 2" xfId="7572" xr:uid="{00000000-0005-0000-0000-0000967F0000}"/>
    <cellStyle name="Normal 8 2 9 5 2 2" xfId="16672" xr:uid="{00000000-0005-0000-0000-0000977F0000}"/>
    <cellStyle name="Normal 8 2 9 5 2 2 2" xfId="34854" xr:uid="{00000000-0005-0000-0000-0000987F0000}"/>
    <cellStyle name="Normal 8 2 9 5 2 3" xfId="25764" xr:uid="{00000000-0005-0000-0000-0000997F0000}"/>
    <cellStyle name="Normal 8 2 9 5 3" xfId="12136" xr:uid="{00000000-0005-0000-0000-00009A7F0000}"/>
    <cellStyle name="Normal 8 2 9 5 3 2" xfId="30318" xr:uid="{00000000-0005-0000-0000-00009B7F0000}"/>
    <cellStyle name="Normal 8 2 9 5 4" xfId="21228" xr:uid="{00000000-0005-0000-0000-00009C7F0000}"/>
    <cellStyle name="Normal 8 2 9 6" xfId="4616" xr:uid="{00000000-0005-0000-0000-00009D7F0000}"/>
    <cellStyle name="Normal 8 2 9 6 2" xfId="9172" xr:uid="{00000000-0005-0000-0000-00009E7F0000}"/>
    <cellStyle name="Normal 8 2 9 6 2 2" xfId="18268" xr:uid="{00000000-0005-0000-0000-00009F7F0000}"/>
    <cellStyle name="Normal 8 2 9 6 2 2 2" xfId="36450" xr:uid="{00000000-0005-0000-0000-0000A07F0000}"/>
    <cellStyle name="Normal 8 2 9 6 2 3" xfId="27360" xr:uid="{00000000-0005-0000-0000-0000A17F0000}"/>
    <cellStyle name="Normal 8 2 9 6 3" xfId="13728" xr:uid="{00000000-0005-0000-0000-0000A27F0000}"/>
    <cellStyle name="Normal 8 2 9 6 3 2" xfId="31910" xr:uid="{00000000-0005-0000-0000-0000A37F0000}"/>
    <cellStyle name="Normal 8 2 9 6 4" xfId="22820" xr:uid="{00000000-0005-0000-0000-0000A47F0000}"/>
    <cellStyle name="Normal 8 2 9 7" xfId="6255" xr:uid="{00000000-0005-0000-0000-0000A57F0000}"/>
    <cellStyle name="Normal 8 2 9 7 2" xfId="15355" xr:uid="{00000000-0005-0000-0000-0000A67F0000}"/>
    <cellStyle name="Normal 8 2 9 7 2 2" xfId="33537" xr:uid="{00000000-0005-0000-0000-0000A77F0000}"/>
    <cellStyle name="Normal 8 2 9 7 3" xfId="24447" xr:uid="{00000000-0005-0000-0000-0000A87F0000}"/>
    <cellStyle name="Normal 8 2 9 8" xfId="10821" xr:uid="{00000000-0005-0000-0000-0000A97F0000}"/>
    <cellStyle name="Normal 8 2 9 8 2" xfId="29003" xr:uid="{00000000-0005-0000-0000-0000AA7F0000}"/>
    <cellStyle name="Normal 8 2 9 9" xfId="19912" xr:uid="{00000000-0005-0000-0000-0000AB7F0000}"/>
    <cellStyle name="Normal 8 3" xfId="110" xr:uid="{00000000-0005-0000-0000-0000AC7F0000}"/>
    <cellStyle name="Normal 8 3 10" xfId="9421" xr:uid="{00000000-0005-0000-0000-0000AD7F0000}"/>
    <cellStyle name="Normal 8 3 10 2" xfId="27603" xr:uid="{00000000-0005-0000-0000-0000AE7F0000}"/>
    <cellStyle name="Normal 8 3 11" xfId="18512" xr:uid="{00000000-0005-0000-0000-0000AF7F0000}"/>
    <cellStyle name="Normal 8 3 2" xfId="1621" xr:uid="{00000000-0005-0000-0000-0000B07F0000}"/>
    <cellStyle name="Normal 8 3 2 10" xfId="19917" xr:uid="{00000000-0005-0000-0000-0000B17F0000}"/>
    <cellStyle name="Normal 8 3 2 2" xfId="1622" xr:uid="{00000000-0005-0000-0000-0000B27F0000}"/>
    <cellStyle name="Normal 8 3 2 2 2" xfId="1623" xr:uid="{00000000-0005-0000-0000-0000B37F0000}"/>
    <cellStyle name="Normal 8 3 2 2 2 2" xfId="1624" xr:uid="{00000000-0005-0000-0000-0000B47F0000}"/>
    <cellStyle name="Normal 8 3 2 2 2 2 2" xfId="2993" xr:uid="{00000000-0005-0000-0000-0000B57F0000}"/>
    <cellStyle name="Normal 8 3 2 2 2 2 2 2" xfId="7573" xr:uid="{00000000-0005-0000-0000-0000B67F0000}"/>
    <cellStyle name="Normal 8 3 2 2 2 2 2 2 2" xfId="16673" xr:uid="{00000000-0005-0000-0000-0000B77F0000}"/>
    <cellStyle name="Normal 8 3 2 2 2 2 2 2 2 2" xfId="34855" xr:uid="{00000000-0005-0000-0000-0000B87F0000}"/>
    <cellStyle name="Normal 8 3 2 2 2 2 2 2 3" xfId="25765" xr:uid="{00000000-0005-0000-0000-0000B97F0000}"/>
    <cellStyle name="Normal 8 3 2 2 2 2 2 3" xfId="12137" xr:uid="{00000000-0005-0000-0000-0000BA7F0000}"/>
    <cellStyle name="Normal 8 3 2 2 2 2 2 3 2" xfId="30319" xr:uid="{00000000-0005-0000-0000-0000BB7F0000}"/>
    <cellStyle name="Normal 8 3 2 2 2 2 2 4" xfId="21229" xr:uid="{00000000-0005-0000-0000-0000BC7F0000}"/>
    <cellStyle name="Normal 8 3 2 2 2 2 3" xfId="4624" xr:uid="{00000000-0005-0000-0000-0000BD7F0000}"/>
    <cellStyle name="Normal 8 3 2 2 2 2 3 2" xfId="9180" xr:uid="{00000000-0005-0000-0000-0000BE7F0000}"/>
    <cellStyle name="Normal 8 3 2 2 2 2 3 2 2" xfId="18276" xr:uid="{00000000-0005-0000-0000-0000BF7F0000}"/>
    <cellStyle name="Normal 8 3 2 2 2 2 3 2 2 2" xfId="36458" xr:uid="{00000000-0005-0000-0000-0000C07F0000}"/>
    <cellStyle name="Normal 8 3 2 2 2 2 3 2 3" xfId="27368" xr:uid="{00000000-0005-0000-0000-0000C17F0000}"/>
    <cellStyle name="Normal 8 3 2 2 2 2 3 3" xfId="13736" xr:uid="{00000000-0005-0000-0000-0000C27F0000}"/>
    <cellStyle name="Normal 8 3 2 2 2 2 3 3 2" xfId="31918" xr:uid="{00000000-0005-0000-0000-0000C37F0000}"/>
    <cellStyle name="Normal 8 3 2 2 2 2 3 4" xfId="22828" xr:uid="{00000000-0005-0000-0000-0000C47F0000}"/>
    <cellStyle name="Normal 8 3 2 2 2 2 4" xfId="6263" xr:uid="{00000000-0005-0000-0000-0000C57F0000}"/>
    <cellStyle name="Normal 8 3 2 2 2 2 4 2" xfId="15363" xr:uid="{00000000-0005-0000-0000-0000C67F0000}"/>
    <cellStyle name="Normal 8 3 2 2 2 2 4 2 2" xfId="33545" xr:uid="{00000000-0005-0000-0000-0000C77F0000}"/>
    <cellStyle name="Normal 8 3 2 2 2 2 4 3" xfId="24455" xr:uid="{00000000-0005-0000-0000-0000C87F0000}"/>
    <cellStyle name="Normal 8 3 2 2 2 2 5" xfId="10829" xr:uid="{00000000-0005-0000-0000-0000C97F0000}"/>
    <cellStyle name="Normal 8 3 2 2 2 2 5 2" xfId="29011" xr:uid="{00000000-0005-0000-0000-0000CA7F0000}"/>
    <cellStyle name="Normal 8 3 2 2 2 2 6" xfId="19920" xr:uid="{00000000-0005-0000-0000-0000CB7F0000}"/>
    <cellStyle name="Normal 8 3 2 2 2 3" xfId="2994" xr:uid="{00000000-0005-0000-0000-0000CC7F0000}"/>
    <cellStyle name="Normal 8 3 2 2 2 3 2" xfId="7574" xr:uid="{00000000-0005-0000-0000-0000CD7F0000}"/>
    <cellStyle name="Normal 8 3 2 2 2 3 2 2" xfId="16674" xr:uid="{00000000-0005-0000-0000-0000CE7F0000}"/>
    <cellStyle name="Normal 8 3 2 2 2 3 2 2 2" xfId="34856" xr:uid="{00000000-0005-0000-0000-0000CF7F0000}"/>
    <cellStyle name="Normal 8 3 2 2 2 3 2 3" xfId="25766" xr:uid="{00000000-0005-0000-0000-0000D07F0000}"/>
    <cellStyle name="Normal 8 3 2 2 2 3 3" xfId="12138" xr:uid="{00000000-0005-0000-0000-0000D17F0000}"/>
    <cellStyle name="Normal 8 3 2 2 2 3 3 2" xfId="30320" xr:uid="{00000000-0005-0000-0000-0000D27F0000}"/>
    <cellStyle name="Normal 8 3 2 2 2 3 4" xfId="21230" xr:uid="{00000000-0005-0000-0000-0000D37F0000}"/>
    <cellStyle name="Normal 8 3 2 2 2 4" xfId="4623" xr:uid="{00000000-0005-0000-0000-0000D47F0000}"/>
    <cellStyle name="Normal 8 3 2 2 2 4 2" xfId="9179" xr:uid="{00000000-0005-0000-0000-0000D57F0000}"/>
    <cellStyle name="Normal 8 3 2 2 2 4 2 2" xfId="18275" xr:uid="{00000000-0005-0000-0000-0000D67F0000}"/>
    <cellStyle name="Normal 8 3 2 2 2 4 2 2 2" xfId="36457" xr:uid="{00000000-0005-0000-0000-0000D77F0000}"/>
    <cellStyle name="Normal 8 3 2 2 2 4 2 3" xfId="27367" xr:uid="{00000000-0005-0000-0000-0000D87F0000}"/>
    <cellStyle name="Normal 8 3 2 2 2 4 3" xfId="13735" xr:uid="{00000000-0005-0000-0000-0000D97F0000}"/>
    <cellStyle name="Normal 8 3 2 2 2 4 3 2" xfId="31917" xr:uid="{00000000-0005-0000-0000-0000DA7F0000}"/>
    <cellStyle name="Normal 8 3 2 2 2 4 4" xfId="22827" xr:uid="{00000000-0005-0000-0000-0000DB7F0000}"/>
    <cellStyle name="Normal 8 3 2 2 2 5" xfId="6262" xr:uid="{00000000-0005-0000-0000-0000DC7F0000}"/>
    <cellStyle name="Normal 8 3 2 2 2 5 2" xfId="15362" xr:uid="{00000000-0005-0000-0000-0000DD7F0000}"/>
    <cellStyle name="Normal 8 3 2 2 2 5 2 2" xfId="33544" xr:uid="{00000000-0005-0000-0000-0000DE7F0000}"/>
    <cellStyle name="Normal 8 3 2 2 2 5 3" xfId="24454" xr:uid="{00000000-0005-0000-0000-0000DF7F0000}"/>
    <cellStyle name="Normal 8 3 2 2 2 6" xfId="10828" xr:uid="{00000000-0005-0000-0000-0000E07F0000}"/>
    <cellStyle name="Normal 8 3 2 2 2 6 2" xfId="29010" xr:uid="{00000000-0005-0000-0000-0000E17F0000}"/>
    <cellStyle name="Normal 8 3 2 2 2 7" xfId="19919" xr:uid="{00000000-0005-0000-0000-0000E27F0000}"/>
    <cellStyle name="Normal 8 3 2 2 3" xfId="1625" xr:uid="{00000000-0005-0000-0000-0000E37F0000}"/>
    <cellStyle name="Normal 8 3 2 2 3 2" xfId="2995" xr:uid="{00000000-0005-0000-0000-0000E47F0000}"/>
    <cellStyle name="Normal 8 3 2 2 3 2 2" xfId="7575" xr:uid="{00000000-0005-0000-0000-0000E57F0000}"/>
    <cellStyle name="Normal 8 3 2 2 3 2 2 2" xfId="16675" xr:uid="{00000000-0005-0000-0000-0000E67F0000}"/>
    <cellStyle name="Normal 8 3 2 2 3 2 2 2 2" xfId="34857" xr:uid="{00000000-0005-0000-0000-0000E77F0000}"/>
    <cellStyle name="Normal 8 3 2 2 3 2 2 3" xfId="25767" xr:uid="{00000000-0005-0000-0000-0000E87F0000}"/>
    <cellStyle name="Normal 8 3 2 2 3 2 3" xfId="12139" xr:uid="{00000000-0005-0000-0000-0000E97F0000}"/>
    <cellStyle name="Normal 8 3 2 2 3 2 3 2" xfId="30321" xr:uid="{00000000-0005-0000-0000-0000EA7F0000}"/>
    <cellStyle name="Normal 8 3 2 2 3 2 4" xfId="21231" xr:uid="{00000000-0005-0000-0000-0000EB7F0000}"/>
    <cellStyle name="Normal 8 3 2 2 3 3" xfId="4625" xr:uid="{00000000-0005-0000-0000-0000EC7F0000}"/>
    <cellStyle name="Normal 8 3 2 2 3 3 2" xfId="9181" xr:uid="{00000000-0005-0000-0000-0000ED7F0000}"/>
    <cellStyle name="Normal 8 3 2 2 3 3 2 2" xfId="18277" xr:uid="{00000000-0005-0000-0000-0000EE7F0000}"/>
    <cellStyle name="Normal 8 3 2 2 3 3 2 2 2" xfId="36459" xr:uid="{00000000-0005-0000-0000-0000EF7F0000}"/>
    <cellStyle name="Normal 8 3 2 2 3 3 2 3" xfId="27369" xr:uid="{00000000-0005-0000-0000-0000F07F0000}"/>
    <cellStyle name="Normal 8 3 2 2 3 3 3" xfId="13737" xr:uid="{00000000-0005-0000-0000-0000F17F0000}"/>
    <cellStyle name="Normal 8 3 2 2 3 3 3 2" xfId="31919" xr:uid="{00000000-0005-0000-0000-0000F27F0000}"/>
    <cellStyle name="Normal 8 3 2 2 3 3 4" xfId="22829" xr:uid="{00000000-0005-0000-0000-0000F37F0000}"/>
    <cellStyle name="Normal 8 3 2 2 3 4" xfId="6264" xr:uid="{00000000-0005-0000-0000-0000F47F0000}"/>
    <cellStyle name="Normal 8 3 2 2 3 4 2" xfId="15364" xr:uid="{00000000-0005-0000-0000-0000F57F0000}"/>
    <cellStyle name="Normal 8 3 2 2 3 4 2 2" xfId="33546" xr:uid="{00000000-0005-0000-0000-0000F67F0000}"/>
    <cellStyle name="Normal 8 3 2 2 3 4 3" xfId="24456" xr:uid="{00000000-0005-0000-0000-0000F77F0000}"/>
    <cellStyle name="Normal 8 3 2 2 3 5" xfId="10830" xr:uid="{00000000-0005-0000-0000-0000F87F0000}"/>
    <cellStyle name="Normal 8 3 2 2 3 5 2" xfId="29012" xr:uid="{00000000-0005-0000-0000-0000F97F0000}"/>
    <cellStyle name="Normal 8 3 2 2 3 6" xfId="19921" xr:uid="{00000000-0005-0000-0000-0000FA7F0000}"/>
    <cellStyle name="Normal 8 3 2 2 4" xfId="1626" xr:uid="{00000000-0005-0000-0000-0000FB7F0000}"/>
    <cellStyle name="Normal 8 3 2 2 4 2" xfId="4626" xr:uid="{00000000-0005-0000-0000-0000FC7F0000}"/>
    <cellStyle name="Normal 8 3 2 2 4 2 2" xfId="9182" xr:uid="{00000000-0005-0000-0000-0000FD7F0000}"/>
    <cellStyle name="Normal 8 3 2 2 4 2 2 2" xfId="18278" xr:uid="{00000000-0005-0000-0000-0000FE7F0000}"/>
    <cellStyle name="Normal 8 3 2 2 4 2 2 2 2" xfId="36460" xr:uid="{00000000-0005-0000-0000-0000FF7F0000}"/>
    <cellStyle name="Normal 8 3 2 2 4 2 2 3" xfId="27370" xr:uid="{00000000-0005-0000-0000-000000800000}"/>
    <cellStyle name="Normal 8 3 2 2 4 2 3" xfId="13738" xr:uid="{00000000-0005-0000-0000-000001800000}"/>
    <cellStyle name="Normal 8 3 2 2 4 2 3 2" xfId="31920" xr:uid="{00000000-0005-0000-0000-000002800000}"/>
    <cellStyle name="Normal 8 3 2 2 4 2 4" xfId="22830" xr:uid="{00000000-0005-0000-0000-000003800000}"/>
    <cellStyle name="Normal 8 3 2 2 4 3" xfId="6265" xr:uid="{00000000-0005-0000-0000-000004800000}"/>
    <cellStyle name="Normal 8 3 2 2 4 3 2" xfId="15365" xr:uid="{00000000-0005-0000-0000-000005800000}"/>
    <cellStyle name="Normal 8 3 2 2 4 3 2 2" xfId="33547" xr:uid="{00000000-0005-0000-0000-000006800000}"/>
    <cellStyle name="Normal 8 3 2 2 4 3 3" xfId="24457" xr:uid="{00000000-0005-0000-0000-000007800000}"/>
    <cellStyle name="Normal 8 3 2 2 4 4" xfId="10831" xr:uid="{00000000-0005-0000-0000-000008800000}"/>
    <cellStyle name="Normal 8 3 2 2 4 4 2" xfId="29013" xr:uid="{00000000-0005-0000-0000-000009800000}"/>
    <cellStyle name="Normal 8 3 2 2 4 5" xfId="19922" xr:uid="{00000000-0005-0000-0000-00000A800000}"/>
    <cellStyle name="Normal 8 3 2 2 5" xfId="2996" xr:uid="{00000000-0005-0000-0000-00000B800000}"/>
    <cellStyle name="Normal 8 3 2 2 5 2" xfId="7576" xr:uid="{00000000-0005-0000-0000-00000C800000}"/>
    <cellStyle name="Normal 8 3 2 2 5 2 2" xfId="16676" xr:uid="{00000000-0005-0000-0000-00000D800000}"/>
    <cellStyle name="Normal 8 3 2 2 5 2 2 2" xfId="34858" xr:uid="{00000000-0005-0000-0000-00000E800000}"/>
    <cellStyle name="Normal 8 3 2 2 5 2 3" xfId="25768" xr:uid="{00000000-0005-0000-0000-00000F800000}"/>
    <cellStyle name="Normal 8 3 2 2 5 3" xfId="12140" xr:uid="{00000000-0005-0000-0000-000010800000}"/>
    <cellStyle name="Normal 8 3 2 2 5 3 2" xfId="30322" xr:uid="{00000000-0005-0000-0000-000011800000}"/>
    <cellStyle name="Normal 8 3 2 2 5 4" xfId="21232" xr:uid="{00000000-0005-0000-0000-000012800000}"/>
    <cellStyle name="Normal 8 3 2 2 6" xfId="4622" xr:uid="{00000000-0005-0000-0000-000013800000}"/>
    <cellStyle name="Normal 8 3 2 2 6 2" xfId="9178" xr:uid="{00000000-0005-0000-0000-000014800000}"/>
    <cellStyle name="Normal 8 3 2 2 6 2 2" xfId="18274" xr:uid="{00000000-0005-0000-0000-000015800000}"/>
    <cellStyle name="Normal 8 3 2 2 6 2 2 2" xfId="36456" xr:uid="{00000000-0005-0000-0000-000016800000}"/>
    <cellStyle name="Normal 8 3 2 2 6 2 3" xfId="27366" xr:uid="{00000000-0005-0000-0000-000017800000}"/>
    <cellStyle name="Normal 8 3 2 2 6 3" xfId="13734" xr:uid="{00000000-0005-0000-0000-000018800000}"/>
    <cellStyle name="Normal 8 3 2 2 6 3 2" xfId="31916" xr:uid="{00000000-0005-0000-0000-000019800000}"/>
    <cellStyle name="Normal 8 3 2 2 6 4" xfId="22826" xr:uid="{00000000-0005-0000-0000-00001A800000}"/>
    <cellStyle name="Normal 8 3 2 2 7" xfId="6261" xr:uid="{00000000-0005-0000-0000-00001B800000}"/>
    <cellStyle name="Normal 8 3 2 2 7 2" xfId="15361" xr:uid="{00000000-0005-0000-0000-00001C800000}"/>
    <cellStyle name="Normal 8 3 2 2 7 2 2" xfId="33543" xr:uid="{00000000-0005-0000-0000-00001D800000}"/>
    <cellStyle name="Normal 8 3 2 2 7 3" xfId="24453" xr:uid="{00000000-0005-0000-0000-00001E800000}"/>
    <cellStyle name="Normal 8 3 2 2 8" xfId="10827" xr:uid="{00000000-0005-0000-0000-00001F800000}"/>
    <cellStyle name="Normal 8 3 2 2 8 2" xfId="29009" xr:uid="{00000000-0005-0000-0000-000020800000}"/>
    <cellStyle name="Normal 8 3 2 2 9" xfId="19918" xr:uid="{00000000-0005-0000-0000-000021800000}"/>
    <cellStyle name="Normal 8 3 2 3" xfId="1627" xr:uid="{00000000-0005-0000-0000-000022800000}"/>
    <cellStyle name="Normal 8 3 2 3 2" xfId="1628" xr:uid="{00000000-0005-0000-0000-000023800000}"/>
    <cellStyle name="Normal 8 3 2 3 2 2" xfId="2997" xr:uid="{00000000-0005-0000-0000-000024800000}"/>
    <cellStyle name="Normal 8 3 2 3 2 2 2" xfId="7577" xr:uid="{00000000-0005-0000-0000-000025800000}"/>
    <cellStyle name="Normal 8 3 2 3 2 2 2 2" xfId="16677" xr:uid="{00000000-0005-0000-0000-000026800000}"/>
    <cellStyle name="Normal 8 3 2 3 2 2 2 2 2" xfId="34859" xr:uid="{00000000-0005-0000-0000-000027800000}"/>
    <cellStyle name="Normal 8 3 2 3 2 2 2 3" xfId="25769" xr:uid="{00000000-0005-0000-0000-000028800000}"/>
    <cellStyle name="Normal 8 3 2 3 2 2 3" xfId="12141" xr:uid="{00000000-0005-0000-0000-000029800000}"/>
    <cellStyle name="Normal 8 3 2 3 2 2 3 2" xfId="30323" xr:uid="{00000000-0005-0000-0000-00002A800000}"/>
    <cellStyle name="Normal 8 3 2 3 2 2 4" xfId="21233" xr:uid="{00000000-0005-0000-0000-00002B800000}"/>
    <cellStyle name="Normal 8 3 2 3 2 3" xfId="4628" xr:uid="{00000000-0005-0000-0000-00002C800000}"/>
    <cellStyle name="Normal 8 3 2 3 2 3 2" xfId="9184" xr:uid="{00000000-0005-0000-0000-00002D800000}"/>
    <cellStyle name="Normal 8 3 2 3 2 3 2 2" xfId="18280" xr:uid="{00000000-0005-0000-0000-00002E800000}"/>
    <cellStyle name="Normal 8 3 2 3 2 3 2 2 2" xfId="36462" xr:uid="{00000000-0005-0000-0000-00002F800000}"/>
    <cellStyle name="Normal 8 3 2 3 2 3 2 3" xfId="27372" xr:uid="{00000000-0005-0000-0000-000030800000}"/>
    <cellStyle name="Normal 8 3 2 3 2 3 3" xfId="13740" xr:uid="{00000000-0005-0000-0000-000031800000}"/>
    <cellStyle name="Normal 8 3 2 3 2 3 3 2" xfId="31922" xr:uid="{00000000-0005-0000-0000-000032800000}"/>
    <cellStyle name="Normal 8 3 2 3 2 3 4" xfId="22832" xr:uid="{00000000-0005-0000-0000-000033800000}"/>
    <cellStyle name="Normal 8 3 2 3 2 4" xfId="6267" xr:uid="{00000000-0005-0000-0000-000034800000}"/>
    <cellStyle name="Normal 8 3 2 3 2 4 2" xfId="15367" xr:uid="{00000000-0005-0000-0000-000035800000}"/>
    <cellStyle name="Normal 8 3 2 3 2 4 2 2" xfId="33549" xr:uid="{00000000-0005-0000-0000-000036800000}"/>
    <cellStyle name="Normal 8 3 2 3 2 4 3" xfId="24459" xr:uid="{00000000-0005-0000-0000-000037800000}"/>
    <cellStyle name="Normal 8 3 2 3 2 5" xfId="10833" xr:uid="{00000000-0005-0000-0000-000038800000}"/>
    <cellStyle name="Normal 8 3 2 3 2 5 2" xfId="29015" xr:uid="{00000000-0005-0000-0000-000039800000}"/>
    <cellStyle name="Normal 8 3 2 3 2 6" xfId="19924" xr:uid="{00000000-0005-0000-0000-00003A800000}"/>
    <cellStyle name="Normal 8 3 2 3 3" xfId="2998" xr:uid="{00000000-0005-0000-0000-00003B800000}"/>
    <cellStyle name="Normal 8 3 2 3 3 2" xfId="7578" xr:uid="{00000000-0005-0000-0000-00003C800000}"/>
    <cellStyle name="Normal 8 3 2 3 3 2 2" xfId="16678" xr:uid="{00000000-0005-0000-0000-00003D800000}"/>
    <cellStyle name="Normal 8 3 2 3 3 2 2 2" xfId="34860" xr:uid="{00000000-0005-0000-0000-00003E800000}"/>
    <cellStyle name="Normal 8 3 2 3 3 2 3" xfId="25770" xr:uid="{00000000-0005-0000-0000-00003F800000}"/>
    <cellStyle name="Normal 8 3 2 3 3 3" xfId="12142" xr:uid="{00000000-0005-0000-0000-000040800000}"/>
    <cellStyle name="Normal 8 3 2 3 3 3 2" xfId="30324" xr:uid="{00000000-0005-0000-0000-000041800000}"/>
    <cellStyle name="Normal 8 3 2 3 3 4" xfId="21234" xr:uid="{00000000-0005-0000-0000-000042800000}"/>
    <cellStyle name="Normal 8 3 2 3 4" xfId="4627" xr:uid="{00000000-0005-0000-0000-000043800000}"/>
    <cellStyle name="Normal 8 3 2 3 4 2" xfId="9183" xr:uid="{00000000-0005-0000-0000-000044800000}"/>
    <cellStyle name="Normal 8 3 2 3 4 2 2" xfId="18279" xr:uid="{00000000-0005-0000-0000-000045800000}"/>
    <cellStyle name="Normal 8 3 2 3 4 2 2 2" xfId="36461" xr:uid="{00000000-0005-0000-0000-000046800000}"/>
    <cellStyle name="Normal 8 3 2 3 4 2 3" xfId="27371" xr:uid="{00000000-0005-0000-0000-000047800000}"/>
    <cellStyle name="Normal 8 3 2 3 4 3" xfId="13739" xr:uid="{00000000-0005-0000-0000-000048800000}"/>
    <cellStyle name="Normal 8 3 2 3 4 3 2" xfId="31921" xr:uid="{00000000-0005-0000-0000-000049800000}"/>
    <cellStyle name="Normal 8 3 2 3 4 4" xfId="22831" xr:uid="{00000000-0005-0000-0000-00004A800000}"/>
    <cellStyle name="Normal 8 3 2 3 5" xfId="6266" xr:uid="{00000000-0005-0000-0000-00004B800000}"/>
    <cellStyle name="Normal 8 3 2 3 5 2" xfId="15366" xr:uid="{00000000-0005-0000-0000-00004C800000}"/>
    <cellStyle name="Normal 8 3 2 3 5 2 2" xfId="33548" xr:uid="{00000000-0005-0000-0000-00004D800000}"/>
    <cellStyle name="Normal 8 3 2 3 5 3" xfId="24458" xr:uid="{00000000-0005-0000-0000-00004E800000}"/>
    <cellStyle name="Normal 8 3 2 3 6" xfId="10832" xr:uid="{00000000-0005-0000-0000-00004F800000}"/>
    <cellStyle name="Normal 8 3 2 3 6 2" xfId="29014" xr:uid="{00000000-0005-0000-0000-000050800000}"/>
    <cellStyle name="Normal 8 3 2 3 7" xfId="19923" xr:uid="{00000000-0005-0000-0000-000051800000}"/>
    <cellStyle name="Normal 8 3 2 4" xfId="1629" xr:uid="{00000000-0005-0000-0000-000052800000}"/>
    <cellStyle name="Normal 8 3 2 4 2" xfId="2999" xr:uid="{00000000-0005-0000-0000-000053800000}"/>
    <cellStyle name="Normal 8 3 2 4 2 2" xfId="7579" xr:uid="{00000000-0005-0000-0000-000054800000}"/>
    <cellStyle name="Normal 8 3 2 4 2 2 2" xfId="16679" xr:uid="{00000000-0005-0000-0000-000055800000}"/>
    <cellStyle name="Normal 8 3 2 4 2 2 2 2" xfId="34861" xr:uid="{00000000-0005-0000-0000-000056800000}"/>
    <cellStyle name="Normal 8 3 2 4 2 2 3" xfId="25771" xr:uid="{00000000-0005-0000-0000-000057800000}"/>
    <cellStyle name="Normal 8 3 2 4 2 3" xfId="12143" xr:uid="{00000000-0005-0000-0000-000058800000}"/>
    <cellStyle name="Normal 8 3 2 4 2 3 2" xfId="30325" xr:uid="{00000000-0005-0000-0000-000059800000}"/>
    <cellStyle name="Normal 8 3 2 4 2 4" xfId="21235" xr:uid="{00000000-0005-0000-0000-00005A800000}"/>
    <cellStyle name="Normal 8 3 2 4 3" xfId="4629" xr:uid="{00000000-0005-0000-0000-00005B800000}"/>
    <cellStyle name="Normal 8 3 2 4 3 2" xfId="9185" xr:uid="{00000000-0005-0000-0000-00005C800000}"/>
    <cellStyle name="Normal 8 3 2 4 3 2 2" xfId="18281" xr:uid="{00000000-0005-0000-0000-00005D800000}"/>
    <cellStyle name="Normal 8 3 2 4 3 2 2 2" xfId="36463" xr:uid="{00000000-0005-0000-0000-00005E800000}"/>
    <cellStyle name="Normal 8 3 2 4 3 2 3" xfId="27373" xr:uid="{00000000-0005-0000-0000-00005F800000}"/>
    <cellStyle name="Normal 8 3 2 4 3 3" xfId="13741" xr:uid="{00000000-0005-0000-0000-000060800000}"/>
    <cellStyle name="Normal 8 3 2 4 3 3 2" xfId="31923" xr:uid="{00000000-0005-0000-0000-000061800000}"/>
    <cellStyle name="Normal 8 3 2 4 3 4" xfId="22833" xr:uid="{00000000-0005-0000-0000-000062800000}"/>
    <cellStyle name="Normal 8 3 2 4 4" xfId="6268" xr:uid="{00000000-0005-0000-0000-000063800000}"/>
    <cellStyle name="Normal 8 3 2 4 4 2" xfId="15368" xr:uid="{00000000-0005-0000-0000-000064800000}"/>
    <cellStyle name="Normal 8 3 2 4 4 2 2" xfId="33550" xr:uid="{00000000-0005-0000-0000-000065800000}"/>
    <cellStyle name="Normal 8 3 2 4 4 3" xfId="24460" xr:uid="{00000000-0005-0000-0000-000066800000}"/>
    <cellStyle name="Normal 8 3 2 4 5" xfId="10834" xr:uid="{00000000-0005-0000-0000-000067800000}"/>
    <cellStyle name="Normal 8 3 2 4 5 2" xfId="29016" xr:uid="{00000000-0005-0000-0000-000068800000}"/>
    <cellStyle name="Normal 8 3 2 4 6" xfId="19925" xr:uid="{00000000-0005-0000-0000-000069800000}"/>
    <cellStyle name="Normal 8 3 2 5" xfId="1630" xr:uid="{00000000-0005-0000-0000-00006A800000}"/>
    <cellStyle name="Normal 8 3 2 5 2" xfId="4630" xr:uid="{00000000-0005-0000-0000-00006B800000}"/>
    <cellStyle name="Normal 8 3 2 5 2 2" xfId="9186" xr:uid="{00000000-0005-0000-0000-00006C800000}"/>
    <cellStyle name="Normal 8 3 2 5 2 2 2" xfId="18282" xr:uid="{00000000-0005-0000-0000-00006D800000}"/>
    <cellStyle name="Normal 8 3 2 5 2 2 2 2" xfId="36464" xr:uid="{00000000-0005-0000-0000-00006E800000}"/>
    <cellStyle name="Normal 8 3 2 5 2 2 3" xfId="27374" xr:uid="{00000000-0005-0000-0000-00006F800000}"/>
    <cellStyle name="Normal 8 3 2 5 2 3" xfId="13742" xr:uid="{00000000-0005-0000-0000-000070800000}"/>
    <cellStyle name="Normal 8 3 2 5 2 3 2" xfId="31924" xr:uid="{00000000-0005-0000-0000-000071800000}"/>
    <cellStyle name="Normal 8 3 2 5 2 4" xfId="22834" xr:uid="{00000000-0005-0000-0000-000072800000}"/>
    <cellStyle name="Normal 8 3 2 5 3" xfId="6269" xr:uid="{00000000-0005-0000-0000-000073800000}"/>
    <cellStyle name="Normal 8 3 2 5 3 2" xfId="15369" xr:uid="{00000000-0005-0000-0000-000074800000}"/>
    <cellStyle name="Normal 8 3 2 5 3 2 2" xfId="33551" xr:uid="{00000000-0005-0000-0000-000075800000}"/>
    <cellStyle name="Normal 8 3 2 5 3 3" xfId="24461" xr:uid="{00000000-0005-0000-0000-000076800000}"/>
    <cellStyle name="Normal 8 3 2 5 4" xfId="10835" xr:uid="{00000000-0005-0000-0000-000077800000}"/>
    <cellStyle name="Normal 8 3 2 5 4 2" xfId="29017" xr:uid="{00000000-0005-0000-0000-000078800000}"/>
    <cellStyle name="Normal 8 3 2 5 5" xfId="19926" xr:uid="{00000000-0005-0000-0000-000079800000}"/>
    <cellStyle name="Normal 8 3 2 6" xfId="3000" xr:uid="{00000000-0005-0000-0000-00007A800000}"/>
    <cellStyle name="Normal 8 3 2 6 2" xfId="7580" xr:uid="{00000000-0005-0000-0000-00007B800000}"/>
    <cellStyle name="Normal 8 3 2 6 2 2" xfId="16680" xr:uid="{00000000-0005-0000-0000-00007C800000}"/>
    <cellStyle name="Normal 8 3 2 6 2 2 2" xfId="34862" xr:uid="{00000000-0005-0000-0000-00007D800000}"/>
    <cellStyle name="Normal 8 3 2 6 2 3" xfId="25772" xr:uid="{00000000-0005-0000-0000-00007E800000}"/>
    <cellStyle name="Normal 8 3 2 6 3" xfId="12144" xr:uid="{00000000-0005-0000-0000-00007F800000}"/>
    <cellStyle name="Normal 8 3 2 6 3 2" xfId="30326" xr:uid="{00000000-0005-0000-0000-000080800000}"/>
    <cellStyle name="Normal 8 3 2 6 4" xfId="21236" xr:uid="{00000000-0005-0000-0000-000081800000}"/>
    <cellStyle name="Normal 8 3 2 7" xfId="4621" xr:uid="{00000000-0005-0000-0000-000082800000}"/>
    <cellStyle name="Normal 8 3 2 7 2" xfId="9177" xr:uid="{00000000-0005-0000-0000-000083800000}"/>
    <cellStyle name="Normal 8 3 2 7 2 2" xfId="18273" xr:uid="{00000000-0005-0000-0000-000084800000}"/>
    <cellStyle name="Normal 8 3 2 7 2 2 2" xfId="36455" xr:uid="{00000000-0005-0000-0000-000085800000}"/>
    <cellStyle name="Normal 8 3 2 7 2 3" xfId="27365" xr:uid="{00000000-0005-0000-0000-000086800000}"/>
    <cellStyle name="Normal 8 3 2 7 3" xfId="13733" xr:uid="{00000000-0005-0000-0000-000087800000}"/>
    <cellStyle name="Normal 8 3 2 7 3 2" xfId="31915" xr:uid="{00000000-0005-0000-0000-000088800000}"/>
    <cellStyle name="Normal 8 3 2 7 4" xfId="22825" xr:uid="{00000000-0005-0000-0000-000089800000}"/>
    <cellStyle name="Normal 8 3 2 8" xfId="6260" xr:uid="{00000000-0005-0000-0000-00008A800000}"/>
    <cellStyle name="Normal 8 3 2 8 2" xfId="15360" xr:uid="{00000000-0005-0000-0000-00008B800000}"/>
    <cellStyle name="Normal 8 3 2 8 2 2" xfId="33542" xr:uid="{00000000-0005-0000-0000-00008C800000}"/>
    <cellStyle name="Normal 8 3 2 8 3" xfId="24452" xr:uid="{00000000-0005-0000-0000-00008D800000}"/>
    <cellStyle name="Normal 8 3 2 9" xfId="10826" xr:uid="{00000000-0005-0000-0000-00008E800000}"/>
    <cellStyle name="Normal 8 3 2 9 2" xfId="29008" xr:uid="{00000000-0005-0000-0000-00008F800000}"/>
    <cellStyle name="Normal 8 3 3" xfId="1631" xr:uid="{00000000-0005-0000-0000-000090800000}"/>
    <cellStyle name="Normal 8 3 3 2" xfId="1632" xr:uid="{00000000-0005-0000-0000-000091800000}"/>
    <cellStyle name="Normal 8 3 3 2 2" xfId="1633" xr:uid="{00000000-0005-0000-0000-000092800000}"/>
    <cellStyle name="Normal 8 3 3 2 2 2" xfId="3001" xr:uid="{00000000-0005-0000-0000-000093800000}"/>
    <cellStyle name="Normal 8 3 3 2 2 2 2" xfId="7581" xr:uid="{00000000-0005-0000-0000-000094800000}"/>
    <cellStyle name="Normal 8 3 3 2 2 2 2 2" xfId="16681" xr:uid="{00000000-0005-0000-0000-000095800000}"/>
    <cellStyle name="Normal 8 3 3 2 2 2 2 2 2" xfId="34863" xr:uid="{00000000-0005-0000-0000-000096800000}"/>
    <cellStyle name="Normal 8 3 3 2 2 2 2 3" xfId="25773" xr:uid="{00000000-0005-0000-0000-000097800000}"/>
    <cellStyle name="Normal 8 3 3 2 2 2 3" xfId="12145" xr:uid="{00000000-0005-0000-0000-000098800000}"/>
    <cellStyle name="Normal 8 3 3 2 2 2 3 2" xfId="30327" xr:uid="{00000000-0005-0000-0000-000099800000}"/>
    <cellStyle name="Normal 8 3 3 2 2 2 4" xfId="21237" xr:uid="{00000000-0005-0000-0000-00009A800000}"/>
    <cellStyle name="Normal 8 3 3 2 2 3" xfId="4633" xr:uid="{00000000-0005-0000-0000-00009B800000}"/>
    <cellStyle name="Normal 8 3 3 2 2 3 2" xfId="9189" xr:uid="{00000000-0005-0000-0000-00009C800000}"/>
    <cellStyle name="Normal 8 3 3 2 2 3 2 2" xfId="18285" xr:uid="{00000000-0005-0000-0000-00009D800000}"/>
    <cellStyle name="Normal 8 3 3 2 2 3 2 2 2" xfId="36467" xr:uid="{00000000-0005-0000-0000-00009E800000}"/>
    <cellStyle name="Normal 8 3 3 2 2 3 2 3" xfId="27377" xr:uid="{00000000-0005-0000-0000-00009F800000}"/>
    <cellStyle name="Normal 8 3 3 2 2 3 3" xfId="13745" xr:uid="{00000000-0005-0000-0000-0000A0800000}"/>
    <cellStyle name="Normal 8 3 3 2 2 3 3 2" xfId="31927" xr:uid="{00000000-0005-0000-0000-0000A1800000}"/>
    <cellStyle name="Normal 8 3 3 2 2 3 4" xfId="22837" xr:uid="{00000000-0005-0000-0000-0000A2800000}"/>
    <cellStyle name="Normal 8 3 3 2 2 4" xfId="6272" xr:uid="{00000000-0005-0000-0000-0000A3800000}"/>
    <cellStyle name="Normal 8 3 3 2 2 4 2" xfId="15372" xr:uid="{00000000-0005-0000-0000-0000A4800000}"/>
    <cellStyle name="Normal 8 3 3 2 2 4 2 2" xfId="33554" xr:uid="{00000000-0005-0000-0000-0000A5800000}"/>
    <cellStyle name="Normal 8 3 3 2 2 4 3" xfId="24464" xr:uid="{00000000-0005-0000-0000-0000A6800000}"/>
    <cellStyle name="Normal 8 3 3 2 2 5" xfId="10838" xr:uid="{00000000-0005-0000-0000-0000A7800000}"/>
    <cellStyle name="Normal 8 3 3 2 2 5 2" xfId="29020" xr:uid="{00000000-0005-0000-0000-0000A8800000}"/>
    <cellStyle name="Normal 8 3 3 2 2 6" xfId="19929" xr:uid="{00000000-0005-0000-0000-0000A9800000}"/>
    <cellStyle name="Normal 8 3 3 2 3" xfId="3002" xr:uid="{00000000-0005-0000-0000-0000AA800000}"/>
    <cellStyle name="Normal 8 3 3 2 3 2" xfId="7582" xr:uid="{00000000-0005-0000-0000-0000AB800000}"/>
    <cellStyle name="Normal 8 3 3 2 3 2 2" xfId="16682" xr:uid="{00000000-0005-0000-0000-0000AC800000}"/>
    <cellStyle name="Normal 8 3 3 2 3 2 2 2" xfId="34864" xr:uid="{00000000-0005-0000-0000-0000AD800000}"/>
    <cellStyle name="Normal 8 3 3 2 3 2 3" xfId="25774" xr:uid="{00000000-0005-0000-0000-0000AE800000}"/>
    <cellStyle name="Normal 8 3 3 2 3 3" xfId="12146" xr:uid="{00000000-0005-0000-0000-0000AF800000}"/>
    <cellStyle name="Normal 8 3 3 2 3 3 2" xfId="30328" xr:uid="{00000000-0005-0000-0000-0000B0800000}"/>
    <cellStyle name="Normal 8 3 3 2 3 4" xfId="21238" xr:uid="{00000000-0005-0000-0000-0000B1800000}"/>
    <cellStyle name="Normal 8 3 3 2 4" xfId="4632" xr:uid="{00000000-0005-0000-0000-0000B2800000}"/>
    <cellStyle name="Normal 8 3 3 2 4 2" xfId="9188" xr:uid="{00000000-0005-0000-0000-0000B3800000}"/>
    <cellStyle name="Normal 8 3 3 2 4 2 2" xfId="18284" xr:uid="{00000000-0005-0000-0000-0000B4800000}"/>
    <cellStyle name="Normal 8 3 3 2 4 2 2 2" xfId="36466" xr:uid="{00000000-0005-0000-0000-0000B5800000}"/>
    <cellStyle name="Normal 8 3 3 2 4 2 3" xfId="27376" xr:uid="{00000000-0005-0000-0000-0000B6800000}"/>
    <cellStyle name="Normal 8 3 3 2 4 3" xfId="13744" xr:uid="{00000000-0005-0000-0000-0000B7800000}"/>
    <cellStyle name="Normal 8 3 3 2 4 3 2" xfId="31926" xr:uid="{00000000-0005-0000-0000-0000B8800000}"/>
    <cellStyle name="Normal 8 3 3 2 4 4" xfId="22836" xr:uid="{00000000-0005-0000-0000-0000B9800000}"/>
    <cellStyle name="Normal 8 3 3 2 5" xfId="6271" xr:uid="{00000000-0005-0000-0000-0000BA800000}"/>
    <cellStyle name="Normal 8 3 3 2 5 2" xfId="15371" xr:uid="{00000000-0005-0000-0000-0000BB800000}"/>
    <cellStyle name="Normal 8 3 3 2 5 2 2" xfId="33553" xr:uid="{00000000-0005-0000-0000-0000BC800000}"/>
    <cellStyle name="Normal 8 3 3 2 5 3" xfId="24463" xr:uid="{00000000-0005-0000-0000-0000BD800000}"/>
    <cellStyle name="Normal 8 3 3 2 6" xfId="10837" xr:uid="{00000000-0005-0000-0000-0000BE800000}"/>
    <cellStyle name="Normal 8 3 3 2 6 2" xfId="29019" xr:uid="{00000000-0005-0000-0000-0000BF800000}"/>
    <cellStyle name="Normal 8 3 3 2 7" xfId="19928" xr:uid="{00000000-0005-0000-0000-0000C0800000}"/>
    <cellStyle name="Normal 8 3 3 3" xfId="1634" xr:uid="{00000000-0005-0000-0000-0000C1800000}"/>
    <cellStyle name="Normal 8 3 3 3 2" xfId="3003" xr:uid="{00000000-0005-0000-0000-0000C2800000}"/>
    <cellStyle name="Normal 8 3 3 3 2 2" xfId="7583" xr:uid="{00000000-0005-0000-0000-0000C3800000}"/>
    <cellStyle name="Normal 8 3 3 3 2 2 2" xfId="16683" xr:uid="{00000000-0005-0000-0000-0000C4800000}"/>
    <cellStyle name="Normal 8 3 3 3 2 2 2 2" xfId="34865" xr:uid="{00000000-0005-0000-0000-0000C5800000}"/>
    <cellStyle name="Normal 8 3 3 3 2 2 3" xfId="25775" xr:uid="{00000000-0005-0000-0000-0000C6800000}"/>
    <cellStyle name="Normal 8 3 3 3 2 3" xfId="12147" xr:uid="{00000000-0005-0000-0000-0000C7800000}"/>
    <cellStyle name="Normal 8 3 3 3 2 3 2" xfId="30329" xr:uid="{00000000-0005-0000-0000-0000C8800000}"/>
    <cellStyle name="Normal 8 3 3 3 2 4" xfId="21239" xr:uid="{00000000-0005-0000-0000-0000C9800000}"/>
    <cellStyle name="Normal 8 3 3 3 3" xfId="4634" xr:uid="{00000000-0005-0000-0000-0000CA800000}"/>
    <cellStyle name="Normal 8 3 3 3 3 2" xfId="9190" xr:uid="{00000000-0005-0000-0000-0000CB800000}"/>
    <cellStyle name="Normal 8 3 3 3 3 2 2" xfId="18286" xr:uid="{00000000-0005-0000-0000-0000CC800000}"/>
    <cellStyle name="Normal 8 3 3 3 3 2 2 2" xfId="36468" xr:uid="{00000000-0005-0000-0000-0000CD800000}"/>
    <cellStyle name="Normal 8 3 3 3 3 2 3" xfId="27378" xr:uid="{00000000-0005-0000-0000-0000CE800000}"/>
    <cellStyle name="Normal 8 3 3 3 3 3" xfId="13746" xr:uid="{00000000-0005-0000-0000-0000CF800000}"/>
    <cellStyle name="Normal 8 3 3 3 3 3 2" xfId="31928" xr:uid="{00000000-0005-0000-0000-0000D0800000}"/>
    <cellStyle name="Normal 8 3 3 3 3 4" xfId="22838" xr:uid="{00000000-0005-0000-0000-0000D1800000}"/>
    <cellStyle name="Normal 8 3 3 3 4" xfId="6273" xr:uid="{00000000-0005-0000-0000-0000D2800000}"/>
    <cellStyle name="Normal 8 3 3 3 4 2" xfId="15373" xr:uid="{00000000-0005-0000-0000-0000D3800000}"/>
    <cellStyle name="Normal 8 3 3 3 4 2 2" xfId="33555" xr:uid="{00000000-0005-0000-0000-0000D4800000}"/>
    <cellStyle name="Normal 8 3 3 3 4 3" xfId="24465" xr:uid="{00000000-0005-0000-0000-0000D5800000}"/>
    <cellStyle name="Normal 8 3 3 3 5" xfId="10839" xr:uid="{00000000-0005-0000-0000-0000D6800000}"/>
    <cellStyle name="Normal 8 3 3 3 5 2" xfId="29021" xr:uid="{00000000-0005-0000-0000-0000D7800000}"/>
    <cellStyle name="Normal 8 3 3 3 6" xfId="19930" xr:uid="{00000000-0005-0000-0000-0000D8800000}"/>
    <cellStyle name="Normal 8 3 3 4" xfId="1635" xr:uid="{00000000-0005-0000-0000-0000D9800000}"/>
    <cellStyle name="Normal 8 3 3 4 2" xfId="4635" xr:uid="{00000000-0005-0000-0000-0000DA800000}"/>
    <cellStyle name="Normal 8 3 3 4 2 2" xfId="9191" xr:uid="{00000000-0005-0000-0000-0000DB800000}"/>
    <cellStyle name="Normal 8 3 3 4 2 2 2" xfId="18287" xr:uid="{00000000-0005-0000-0000-0000DC800000}"/>
    <cellStyle name="Normal 8 3 3 4 2 2 2 2" xfId="36469" xr:uid="{00000000-0005-0000-0000-0000DD800000}"/>
    <cellStyle name="Normal 8 3 3 4 2 2 3" xfId="27379" xr:uid="{00000000-0005-0000-0000-0000DE800000}"/>
    <cellStyle name="Normal 8 3 3 4 2 3" xfId="13747" xr:uid="{00000000-0005-0000-0000-0000DF800000}"/>
    <cellStyle name="Normal 8 3 3 4 2 3 2" xfId="31929" xr:uid="{00000000-0005-0000-0000-0000E0800000}"/>
    <cellStyle name="Normal 8 3 3 4 2 4" xfId="22839" xr:uid="{00000000-0005-0000-0000-0000E1800000}"/>
    <cellStyle name="Normal 8 3 3 4 3" xfId="6274" xr:uid="{00000000-0005-0000-0000-0000E2800000}"/>
    <cellStyle name="Normal 8 3 3 4 3 2" xfId="15374" xr:uid="{00000000-0005-0000-0000-0000E3800000}"/>
    <cellStyle name="Normal 8 3 3 4 3 2 2" xfId="33556" xr:uid="{00000000-0005-0000-0000-0000E4800000}"/>
    <cellStyle name="Normal 8 3 3 4 3 3" xfId="24466" xr:uid="{00000000-0005-0000-0000-0000E5800000}"/>
    <cellStyle name="Normal 8 3 3 4 4" xfId="10840" xr:uid="{00000000-0005-0000-0000-0000E6800000}"/>
    <cellStyle name="Normal 8 3 3 4 4 2" xfId="29022" xr:uid="{00000000-0005-0000-0000-0000E7800000}"/>
    <cellStyle name="Normal 8 3 3 4 5" xfId="19931" xr:uid="{00000000-0005-0000-0000-0000E8800000}"/>
    <cellStyle name="Normal 8 3 3 5" xfId="3004" xr:uid="{00000000-0005-0000-0000-0000E9800000}"/>
    <cellStyle name="Normal 8 3 3 5 2" xfId="7584" xr:uid="{00000000-0005-0000-0000-0000EA800000}"/>
    <cellStyle name="Normal 8 3 3 5 2 2" xfId="16684" xr:uid="{00000000-0005-0000-0000-0000EB800000}"/>
    <cellStyle name="Normal 8 3 3 5 2 2 2" xfId="34866" xr:uid="{00000000-0005-0000-0000-0000EC800000}"/>
    <cellStyle name="Normal 8 3 3 5 2 3" xfId="25776" xr:uid="{00000000-0005-0000-0000-0000ED800000}"/>
    <cellStyle name="Normal 8 3 3 5 3" xfId="12148" xr:uid="{00000000-0005-0000-0000-0000EE800000}"/>
    <cellStyle name="Normal 8 3 3 5 3 2" xfId="30330" xr:uid="{00000000-0005-0000-0000-0000EF800000}"/>
    <cellStyle name="Normal 8 3 3 5 4" xfId="21240" xr:uid="{00000000-0005-0000-0000-0000F0800000}"/>
    <cellStyle name="Normal 8 3 3 6" xfId="4631" xr:uid="{00000000-0005-0000-0000-0000F1800000}"/>
    <cellStyle name="Normal 8 3 3 6 2" xfId="9187" xr:uid="{00000000-0005-0000-0000-0000F2800000}"/>
    <cellStyle name="Normal 8 3 3 6 2 2" xfId="18283" xr:uid="{00000000-0005-0000-0000-0000F3800000}"/>
    <cellStyle name="Normal 8 3 3 6 2 2 2" xfId="36465" xr:uid="{00000000-0005-0000-0000-0000F4800000}"/>
    <cellStyle name="Normal 8 3 3 6 2 3" xfId="27375" xr:uid="{00000000-0005-0000-0000-0000F5800000}"/>
    <cellStyle name="Normal 8 3 3 6 3" xfId="13743" xr:uid="{00000000-0005-0000-0000-0000F6800000}"/>
    <cellStyle name="Normal 8 3 3 6 3 2" xfId="31925" xr:uid="{00000000-0005-0000-0000-0000F7800000}"/>
    <cellStyle name="Normal 8 3 3 6 4" xfId="22835" xr:uid="{00000000-0005-0000-0000-0000F8800000}"/>
    <cellStyle name="Normal 8 3 3 7" xfId="6270" xr:uid="{00000000-0005-0000-0000-0000F9800000}"/>
    <cellStyle name="Normal 8 3 3 7 2" xfId="15370" xr:uid="{00000000-0005-0000-0000-0000FA800000}"/>
    <cellStyle name="Normal 8 3 3 7 2 2" xfId="33552" xr:uid="{00000000-0005-0000-0000-0000FB800000}"/>
    <cellStyle name="Normal 8 3 3 7 3" xfId="24462" xr:uid="{00000000-0005-0000-0000-0000FC800000}"/>
    <cellStyle name="Normal 8 3 3 8" xfId="10836" xr:uid="{00000000-0005-0000-0000-0000FD800000}"/>
    <cellStyle name="Normal 8 3 3 8 2" xfId="29018" xr:uid="{00000000-0005-0000-0000-0000FE800000}"/>
    <cellStyle name="Normal 8 3 3 9" xfId="19927" xr:uid="{00000000-0005-0000-0000-0000FF800000}"/>
    <cellStyle name="Normal 8 3 4" xfId="1636" xr:uid="{00000000-0005-0000-0000-000000810000}"/>
    <cellStyle name="Normal 8 3 4 2" xfId="1637" xr:uid="{00000000-0005-0000-0000-000001810000}"/>
    <cellStyle name="Normal 8 3 4 2 2" xfId="3005" xr:uid="{00000000-0005-0000-0000-000002810000}"/>
    <cellStyle name="Normal 8 3 4 2 2 2" xfId="7585" xr:uid="{00000000-0005-0000-0000-000003810000}"/>
    <cellStyle name="Normal 8 3 4 2 2 2 2" xfId="16685" xr:uid="{00000000-0005-0000-0000-000004810000}"/>
    <cellStyle name="Normal 8 3 4 2 2 2 2 2" xfId="34867" xr:uid="{00000000-0005-0000-0000-000005810000}"/>
    <cellStyle name="Normal 8 3 4 2 2 2 3" xfId="25777" xr:uid="{00000000-0005-0000-0000-000006810000}"/>
    <cellStyle name="Normal 8 3 4 2 2 3" xfId="12149" xr:uid="{00000000-0005-0000-0000-000007810000}"/>
    <cellStyle name="Normal 8 3 4 2 2 3 2" xfId="30331" xr:uid="{00000000-0005-0000-0000-000008810000}"/>
    <cellStyle name="Normal 8 3 4 2 2 4" xfId="21241" xr:uid="{00000000-0005-0000-0000-000009810000}"/>
    <cellStyle name="Normal 8 3 4 2 3" xfId="4637" xr:uid="{00000000-0005-0000-0000-00000A810000}"/>
    <cellStyle name="Normal 8 3 4 2 3 2" xfId="9193" xr:uid="{00000000-0005-0000-0000-00000B810000}"/>
    <cellStyle name="Normal 8 3 4 2 3 2 2" xfId="18289" xr:uid="{00000000-0005-0000-0000-00000C810000}"/>
    <cellStyle name="Normal 8 3 4 2 3 2 2 2" xfId="36471" xr:uid="{00000000-0005-0000-0000-00000D810000}"/>
    <cellStyle name="Normal 8 3 4 2 3 2 3" xfId="27381" xr:uid="{00000000-0005-0000-0000-00000E810000}"/>
    <cellStyle name="Normal 8 3 4 2 3 3" xfId="13749" xr:uid="{00000000-0005-0000-0000-00000F810000}"/>
    <cellStyle name="Normal 8 3 4 2 3 3 2" xfId="31931" xr:uid="{00000000-0005-0000-0000-000010810000}"/>
    <cellStyle name="Normal 8 3 4 2 3 4" xfId="22841" xr:uid="{00000000-0005-0000-0000-000011810000}"/>
    <cellStyle name="Normal 8 3 4 2 4" xfId="6276" xr:uid="{00000000-0005-0000-0000-000012810000}"/>
    <cellStyle name="Normal 8 3 4 2 4 2" xfId="15376" xr:uid="{00000000-0005-0000-0000-000013810000}"/>
    <cellStyle name="Normal 8 3 4 2 4 2 2" xfId="33558" xr:uid="{00000000-0005-0000-0000-000014810000}"/>
    <cellStyle name="Normal 8 3 4 2 4 3" xfId="24468" xr:uid="{00000000-0005-0000-0000-000015810000}"/>
    <cellStyle name="Normal 8 3 4 2 5" xfId="10842" xr:uid="{00000000-0005-0000-0000-000016810000}"/>
    <cellStyle name="Normal 8 3 4 2 5 2" xfId="29024" xr:uid="{00000000-0005-0000-0000-000017810000}"/>
    <cellStyle name="Normal 8 3 4 2 6" xfId="19933" xr:uid="{00000000-0005-0000-0000-000018810000}"/>
    <cellStyle name="Normal 8 3 4 3" xfId="3006" xr:uid="{00000000-0005-0000-0000-000019810000}"/>
    <cellStyle name="Normal 8 3 4 3 2" xfId="7586" xr:uid="{00000000-0005-0000-0000-00001A810000}"/>
    <cellStyle name="Normal 8 3 4 3 2 2" xfId="16686" xr:uid="{00000000-0005-0000-0000-00001B810000}"/>
    <cellStyle name="Normal 8 3 4 3 2 2 2" xfId="34868" xr:uid="{00000000-0005-0000-0000-00001C810000}"/>
    <cellStyle name="Normal 8 3 4 3 2 3" xfId="25778" xr:uid="{00000000-0005-0000-0000-00001D810000}"/>
    <cellStyle name="Normal 8 3 4 3 3" xfId="12150" xr:uid="{00000000-0005-0000-0000-00001E810000}"/>
    <cellStyle name="Normal 8 3 4 3 3 2" xfId="30332" xr:uid="{00000000-0005-0000-0000-00001F810000}"/>
    <cellStyle name="Normal 8 3 4 3 4" xfId="21242" xr:uid="{00000000-0005-0000-0000-000020810000}"/>
    <cellStyle name="Normal 8 3 4 4" xfId="4636" xr:uid="{00000000-0005-0000-0000-000021810000}"/>
    <cellStyle name="Normal 8 3 4 4 2" xfId="9192" xr:uid="{00000000-0005-0000-0000-000022810000}"/>
    <cellStyle name="Normal 8 3 4 4 2 2" xfId="18288" xr:uid="{00000000-0005-0000-0000-000023810000}"/>
    <cellStyle name="Normal 8 3 4 4 2 2 2" xfId="36470" xr:uid="{00000000-0005-0000-0000-000024810000}"/>
    <cellStyle name="Normal 8 3 4 4 2 3" xfId="27380" xr:uid="{00000000-0005-0000-0000-000025810000}"/>
    <cellStyle name="Normal 8 3 4 4 3" xfId="13748" xr:uid="{00000000-0005-0000-0000-000026810000}"/>
    <cellStyle name="Normal 8 3 4 4 3 2" xfId="31930" xr:uid="{00000000-0005-0000-0000-000027810000}"/>
    <cellStyle name="Normal 8 3 4 4 4" xfId="22840" xr:uid="{00000000-0005-0000-0000-000028810000}"/>
    <cellStyle name="Normal 8 3 4 5" xfId="6275" xr:uid="{00000000-0005-0000-0000-000029810000}"/>
    <cellStyle name="Normal 8 3 4 5 2" xfId="15375" xr:uid="{00000000-0005-0000-0000-00002A810000}"/>
    <cellStyle name="Normal 8 3 4 5 2 2" xfId="33557" xr:uid="{00000000-0005-0000-0000-00002B810000}"/>
    <cellStyle name="Normal 8 3 4 5 3" xfId="24467" xr:uid="{00000000-0005-0000-0000-00002C810000}"/>
    <cellStyle name="Normal 8 3 4 6" xfId="10841" xr:uid="{00000000-0005-0000-0000-00002D810000}"/>
    <cellStyle name="Normal 8 3 4 6 2" xfId="29023" xr:uid="{00000000-0005-0000-0000-00002E810000}"/>
    <cellStyle name="Normal 8 3 4 7" xfId="19932" xr:uid="{00000000-0005-0000-0000-00002F810000}"/>
    <cellStyle name="Normal 8 3 5" xfId="1638" xr:uid="{00000000-0005-0000-0000-000030810000}"/>
    <cellStyle name="Normal 8 3 5 2" xfId="3007" xr:uid="{00000000-0005-0000-0000-000031810000}"/>
    <cellStyle name="Normal 8 3 5 2 2" xfId="7587" xr:uid="{00000000-0005-0000-0000-000032810000}"/>
    <cellStyle name="Normal 8 3 5 2 2 2" xfId="16687" xr:uid="{00000000-0005-0000-0000-000033810000}"/>
    <cellStyle name="Normal 8 3 5 2 2 2 2" xfId="34869" xr:uid="{00000000-0005-0000-0000-000034810000}"/>
    <cellStyle name="Normal 8 3 5 2 2 3" xfId="25779" xr:uid="{00000000-0005-0000-0000-000035810000}"/>
    <cellStyle name="Normal 8 3 5 2 3" xfId="12151" xr:uid="{00000000-0005-0000-0000-000036810000}"/>
    <cellStyle name="Normal 8 3 5 2 3 2" xfId="30333" xr:uid="{00000000-0005-0000-0000-000037810000}"/>
    <cellStyle name="Normal 8 3 5 2 4" xfId="21243" xr:uid="{00000000-0005-0000-0000-000038810000}"/>
    <cellStyle name="Normal 8 3 5 3" xfId="4638" xr:uid="{00000000-0005-0000-0000-000039810000}"/>
    <cellStyle name="Normal 8 3 5 3 2" xfId="9194" xr:uid="{00000000-0005-0000-0000-00003A810000}"/>
    <cellStyle name="Normal 8 3 5 3 2 2" xfId="18290" xr:uid="{00000000-0005-0000-0000-00003B810000}"/>
    <cellStyle name="Normal 8 3 5 3 2 2 2" xfId="36472" xr:uid="{00000000-0005-0000-0000-00003C810000}"/>
    <cellStyle name="Normal 8 3 5 3 2 3" xfId="27382" xr:uid="{00000000-0005-0000-0000-00003D810000}"/>
    <cellStyle name="Normal 8 3 5 3 3" xfId="13750" xr:uid="{00000000-0005-0000-0000-00003E810000}"/>
    <cellStyle name="Normal 8 3 5 3 3 2" xfId="31932" xr:uid="{00000000-0005-0000-0000-00003F810000}"/>
    <cellStyle name="Normal 8 3 5 3 4" xfId="22842" xr:uid="{00000000-0005-0000-0000-000040810000}"/>
    <cellStyle name="Normal 8 3 5 4" xfId="6277" xr:uid="{00000000-0005-0000-0000-000041810000}"/>
    <cellStyle name="Normal 8 3 5 4 2" xfId="15377" xr:uid="{00000000-0005-0000-0000-000042810000}"/>
    <cellStyle name="Normal 8 3 5 4 2 2" xfId="33559" xr:uid="{00000000-0005-0000-0000-000043810000}"/>
    <cellStyle name="Normal 8 3 5 4 3" xfId="24469" xr:uid="{00000000-0005-0000-0000-000044810000}"/>
    <cellStyle name="Normal 8 3 5 5" xfId="10843" xr:uid="{00000000-0005-0000-0000-000045810000}"/>
    <cellStyle name="Normal 8 3 5 5 2" xfId="29025" xr:uid="{00000000-0005-0000-0000-000046810000}"/>
    <cellStyle name="Normal 8 3 5 6" xfId="19934" xr:uid="{00000000-0005-0000-0000-000047810000}"/>
    <cellStyle name="Normal 8 3 6" xfId="1639" xr:uid="{00000000-0005-0000-0000-000048810000}"/>
    <cellStyle name="Normal 8 3 6 2" xfId="4639" xr:uid="{00000000-0005-0000-0000-000049810000}"/>
    <cellStyle name="Normal 8 3 6 2 2" xfId="9195" xr:uid="{00000000-0005-0000-0000-00004A810000}"/>
    <cellStyle name="Normal 8 3 6 2 2 2" xfId="18291" xr:uid="{00000000-0005-0000-0000-00004B810000}"/>
    <cellStyle name="Normal 8 3 6 2 2 2 2" xfId="36473" xr:uid="{00000000-0005-0000-0000-00004C810000}"/>
    <cellStyle name="Normal 8 3 6 2 2 3" xfId="27383" xr:uid="{00000000-0005-0000-0000-00004D810000}"/>
    <cellStyle name="Normal 8 3 6 2 3" xfId="13751" xr:uid="{00000000-0005-0000-0000-00004E810000}"/>
    <cellStyle name="Normal 8 3 6 2 3 2" xfId="31933" xr:uid="{00000000-0005-0000-0000-00004F810000}"/>
    <cellStyle name="Normal 8 3 6 2 4" xfId="22843" xr:uid="{00000000-0005-0000-0000-000050810000}"/>
    <cellStyle name="Normal 8 3 6 3" xfId="6278" xr:uid="{00000000-0005-0000-0000-000051810000}"/>
    <cellStyle name="Normal 8 3 6 3 2" xfId="15378" xr:uid="{00000000-0005-0000-0000-000052810000}"/>
    <cellStyle name="Normal 8 3 6 3 2 2" xfId="33560" xr:uid="{00000000-0005-0000-0000-000053810000}"/>
    <cellStyle name="Normal 8 3 6 3 3" xfId="24470" xr:uid="{00000000-0005-0000-0000-000054810000}"/>
    <cellStyle name="Normal 8 3 6 4" xfId="10844" xr:uid="{00000000-0005-0000-0000-000055810000}"/>
    <cellStyle name="Normal 8 3 6 4 2" xfId="29026" xr:uid="{00000000-0005-0000-0000-000056810000}"/>
    <cellStyle name="Normal 8 3 6 5" xfId="19935" xr:uid="{00000000-0005-0000-0000-000057810000}"/>
    <cellStyle name="Normal 8 3 7" xfId="3008" xr:uid="{00000000-0005-0000-0000-000058810000}"/>
    <cellStyle name="Normal 8 3 7 2" xfId="7588" xr:uid="{00000000-0005-0000-0000-000059810000}"/>
    <cellStyle name="Normal 8 3 7 2 2" xfId="16688" xr:uid="{00000000-0005-0000-0000-00005A810000}"/>
    <cellStyle name="Normal 8 3 7 2 2 2" xfId="34870" xr:uid="{00000000-0005-0000-0000-00005B810000}"/>
    <cellStyle name="Normal 8 3 7 2 3" xfId="25780" xr:uid="{00000000-0005-0000-0000-00005C810000}"/>
    <cellStyle name="Normal 8 3 7 3" xfId="12152" xr:uid="{00000000-0005-0000-0000-00005D810000}"/>
    <cellStyle name="Normal 8 3 7 3 2" xfId="30334" xr:uid="{00000000-0005-0000-0000-00005E810000}"/>
    <cellStyle name="Normal 8 3 7 4" xfId="21244" xr:uid="{00000000-0005-0000-0000-00005F810000}"/>
    <cellStyle name="Normal 8 3 8" xfId="3206" xr:uid="{00000000-0005-0000-0000-000060810000}"/>
    <cellStyle name="Normal 8 3 8 2" xfId="7766" xr:uid="{00000000-0005-0000-0000-000061810000}"/>
    <cellStyle name="Normal 8 3 8 2 2" xfId="16862" xr:uid="{00000000-0005-0000-0000-000062810000}"/>
    <cellStyle name="Normal 8 3 8 2 2 2" xfId="35044" xr:uid="{00000000-0005-0000-0000-000063810000}"/>
    <cellStyle name="Normal 8 3 8 2 3" xfId="25954" xr:uid="{00000000-0005-0000-0000-000064810000}"/>
    <cellStyle name="Normal 8 3 8 3" xfId="12322" xr:uid="{00000000-0005-0000-0000-000065810000}"/>
    <cellStyle name="Normal 8 3 8 3 2" xfId="30504" xr:uid="{00000000-0005-0000-0000-000066810000}"/>
    <cellStyle name="Normal 8 3 8 4" xfId="21414" xr:uid="{00000000-0005-0000-0000-000067810000}"/>
    <cellStyle name="Normal 8 3 9" xfId="4855" xr:uid="{00000000-0005-0000-0000-000068810000}"/>
    <cellStyle name="Normal 8 3 9 2" xfId="13955" xr:uid="{00000000-0005-0000-0000-000069810000}"/>
    <cellStyle name="Normal 8 3 9 2 2" xfId="32137" xr:uid="{00000000-0005-0000-0000-00006A810000}"/>
    <cellStyle name="Normal 8 3 9 3" xfId="23047" xr:uid="{00000000-0005-0000-0000-00006B810000}"/>
    <cellStyle name="Normal 8 4" xfId="1640" xr:uid="{00000000-0005-0000-0000-00006C810000}"/>
    <cellStyle name="Normal 8 4 10" xfId="19936" xr:uid="{00000000-0005-0000-0000-00006D810000}"/>
    <cellStyle name="Normal 8 4 2" xfId="1641" xr:uid="{00000000-0005-0000-0000-00006E810000}"/>
    <cellStyle name="Normal 8 4 2 2" xfId="1642" xr:uid="{00000000-0005-0000-0000-00006F810000}"/>
    <cellStyle name="Normal 8 4 2 2 2" xfId="1643" xr:uid="{00000000-0005-0000-0000-000070810000}"/>
    <cellStyle name="Normal 8 4 2 2 2 2" xfId="3009" xr:uid="{00000000-0005-0000-0000-000071810000}"/>
    <cellStyle name="Normal 8 4 2 2 2 2 2" xfId="7589" xr:uid="{00000000-0005-0000-0000-000072810000}"/>
    <cellStyle name="Normal 8 4 2 2 2 2 2 2" xfId="16689" xr:uid="{00000000-0005-0000-0000-000073810000}"/>
    <cellStyle name="Normal 8 4 2 2 2 2 2 2 2" xfId="34871" xr:uid="{00000000-0005-0000-0000-000074810000}"/>
    <cellStyle name="Normal 8 4 2 2 2 2 2 3" xfId="25781" xr:uid="{00000000-0005-0000-0000-000075810000}"/>
    <cellStyle name="Normal 8 4 2 2 2 2 3" xfId="12153" xr:uid="{00000000-0005-0000-0000-000076810000}"/>
    <cellStyle name="Normal 8 4 2 2 2 2 3 2" xfId="30335" xr:uid="{00000000-0005-0000-0000-000077810000}"/>
    <cellStyle name="Normal 8 4 2 2 2 2 4" xfId="21245" xr:uid="{00000000-0005-0000-0000-000078810000}"/>
    <cellStyle name="Normal 8 4 2 2 2 3" xfId="4643" xr:uid="{00000000-0005-0000-0000-000079810000}"/>
    <cellStyle name="Normal 8 4 2 2 2 3 2" xfId="9199" xr:uid="{00000000-0005-0000-0000-00007A810000}"/>
    <cellStyle name="Normal 8 4 2 2 2 3 2 2" xfId="18295" xr:uid="{00000000-0005-0000-0000-00007B810000}"/>
    <cellStyle name="Normal 8 4 2 2 2 3 2 2 2" xfId="36477" xr:uid="{00000000-0005-0000-0000-00007C810000}"/>
    <cellStyle name="Normal 8 4 2 2 2 3 2 3" xfId="27387" xr:uid="{00000000-0005-0000-0000-00007D810000}"/>
    <cellStyle name="Normal 8 4 2 2 2 3 3" xfId="13755" xr:uid="{00000000-0005-0000-0000-00007E810000}"/>
    <cellStyle name="Normal 8 4 2 2 2 3 3 2" xfId="31937" xr:uid="{00000000-0005-0000-0000-00007F810000}"/>
    <cellStyle name="Normal 8 4 2 2 2 3 4" xfId="22847" xr:uid="{00000000-0005-0000-0000-000080810000}"/>
    <cellStyle name="Normal 8 4 2 2 2 4" xfId="6282" xr:uid="{00000000-0005-0000-0000-000081810000}"/>
    <cellStyle name="Normal 8 4 2 2 2 4 2" xfId="15382" xr:uid="{00000000-0005-0000-0000-000082810000}"/>
    <cellStyle name="Normal 8 4 2 2 2 4 2 2" xfId="33564" xr:uid="{00000000-0005-0000-0000-000083810000}"/>
    <cellStyle name="Normal 8 4 2 2 2 4 3" xfId="24474" xr:uid="{00000000-0005-0000-0000-000084810000}"/>
    <cellStyle name="Normal 8 4 2 2 2 5" xfId="10848" xr:uid="{00000000-0005-0000-0000-000085810000}"/>
    <cellStyle name="Normal 8 4 2 2 2 5 2" xfId="29030" xr:uid="{00000000-0005-0000-0000-000086810000}"/>
    <cellStyle name="Normal 8 4 2 2 2 6" xfId="19939" xr:uid="{00000000-0005-0000-0000-000087810000}"/>
    <cellStyle name="Normal 8 4 2 2 3" xfId="3010" xr:uid="{00000000-0005-0000-0000-000088810000}"/>
    <cellStyle name="Normal 8 4 2 2 3 2" xfId="7590" xr:uid="{00000000-0005-0000-0000-000089810000}"/>
    <cellStyle name="Normal 8 4 2 2 3 2 2" xfId="16690" xr:uid="{00000000-0005-0000-0000-00008A810000}"/>
    <cellStyle name="Normal 8 4 2 2 3 2 2 2" xfId="34872" xr:uid="{00000000-0005-0000-0000-00008B810000}"/>
    <cellStyle name="Normal 8 4 2 2 3 2 3" xfId="25782" xr:uid="{00000000-0005-0000-0000-00008C810000}"/>
    <cellStyle name="Normal 8 4 2 2 3 3" xfId="12154" xr:uid="{00000000-0005-0000-0000-00008D810000}"/>
    <cellStyle name="Normal 8 4 2 2 3 3 2" xfId="30336" xr:uid="{00000000-0005-0000-0000-00008E810000}"/>
    <cellStyle name="Normal 8 4 2 2 3 4" xfId="21246" xr:uid="{00000000-0005-0000-0000-00008F810000}"/>
    <cellStyle name="Normal 8 4 2 2 4" xfId="4642" xr:uid="{00000000-0005-0000-0000-000090810000}"/>
    <cellStyle name="Normal 8 4 2 2 4 2" xfId="9198" xr:uid="{00000000-0005-0000-0000-000091810000}"/>
    <cellStyle name="Normal 8 4 2 2 4 2 2" xfId="18294" xr:uid="{00000000-0005-0000-0000-000092810000}"/>
    <cellStyle name="Normal 8 4 2 2 4 2 2 2" xfId="36476" xr:uid="{00000000-0005-0000-0000-000093810000}"/>
    <cellStyle name="Normal 8 4 2 2 4 2 3" xfId="27386" xr:uid="{00000000-0005-0000-0000-000094810000}"/>
    <cellStyle name="Normal 8 4 2 2 4 3" xfId="13754" xr:uid="{00000000-0005-0000-0000-000095810000}"/>
    <cellStyle name="Normal 8 4 2 2 4 3 2" xfId="31936" xr:uid="{00000000-0005-0000-0000-000096810000}"/>
    <cellStyle name="Normal 8 4 2 2 4 4" xfId="22846" xr:uid="{00000000-0005-0000-0000-000097810000}"/>
    <cellStyle name="Normal 8 4 2 2 5" xfId="6281" xr:uid="{00000000-0005-0000-0000-000098810000}"/>
    <cellStyle name="Normal 8 4 2 2 5 2" xfId="15381" xr:uid="{00000000-0005-0000-0000-000099810000}"/>
    <cellStyle name="Normal 8 4 2 2 5 2 2" xfId="33563" xr:uid="{00000000-0005-0000-0000-00009A810000}"/>
    <cellStyle name="Normal 8 4 2 2 5 3" xfId="24473" xr:uid="{00000000-0005-0000-0000-00009B810000}"/>
    <cellStyle name="Normal 8 4 2 2 6" xfId="10847" xr:uid="{00000000-0005-0000-0000-00009C810000}"/>
    <cellStyle name="Normal 8 4 2 2 6 2" xfId="29029" xr:uid="{00000000-0005-0000-0000-00009D810000}"/>
    <cellStyle name="Normal 8 4 2 2 7" xfId="19938" xr:uid="{00000000-0005-0000-0000-00009E810000}"/>
    <cellStyle name="Normal 8 4 2 3" xfId="1644" xr:uid="{00000000-0005-0000-0000-00009F810000}"/>
    <cellStyle name="Normal 8 4 2 3 2" xfId="3011" xr:uid="{00000000-0005-0000-0000-0000A0810000}"/>
    <cellStyle name="Normal 8 4 2 3 2 2" xfId="7591" xr:uid="{00000000-0005-0000-0000-0000A1810000}"/>
    <cellStyle name="Normal 8 4 2 3 2 2 2" xfId="16691" xr:uid="{00000000-0005-0000-0000-0000A2810000}"/>
    <cellStyle name="Normal 8 4 2 3 2 2 2 2" xfId="34873" xr:uid="{00000000-0005-0000-0000-0000A3810000}"/>
    <cellStyle name="Normal 8 4 2 3 2 2 3" xfId="25783" xr:uid="{00000000-0005-0000-0000-0000A4810000}"/>
    <cellStyle name="Normal 8 4 2 3 2 3" xfId="12155" xr:uid="{00000000-0005-0000-0000-0000A5810000}"/>
    <cellStyle name="Normal 8 4 2 3 2 3 2" xfId="30337" xr:uid="{00000000-0005-0000-0000-0000A6810000}"/>
    <cellStyle name="Normal 8 4 2 3 2 4" xfId="21247" xr:uid="{00000000-0005-0000-0000-0000A7810000}"/>
    <cellStyle name="Normal 8 4 2 3 3" xfId="4644" xr:uid="{00000000-0005-0000-0000-0000A8810000}"/>
    <cellStyle name="Normal 8 4 2 3 3 2" xfId="9200" xr:uid="{00000000-0005-0000-0000-0000A9810000}"/>
    <cellStyle name="Normal 8 4 2 3 3 2 2" xfId="18296" xr:uid="{00000000-0005-0000-0000-0000AA810000}"/>
    <cellStyle name="Normal 8 4 2 3 3 2 2 2" xfId="36478" xr:uid="{00000000-0005-0000-0000-0000AB810000}"/>
    <cellStyle name="Normal 8 4 2 3 3 2 3" xfId="27388" xr:uid="{00000000-0005-0000-0000-0000AC810000}"/>
    <cellStyle name="Normal 8 4 2 3 3 3" xfId="13756" xr:uid="{00000000-0005-0000-0000-0000AD810000}"/>
    <cellStyle name="Normal 8 4 2 3 3 3 2" xfId="31938" xr:uid="{00000000-0005-0000-0000-0000AE810000}"/>
    <cellStyle name="Normal 8 4 2 3 3 4" xfId="22848" xr:uid="{00000000-0005-0000-0000-0000AF810000}"/>
    <cellStyle name="Normal 8 4 2 3 4" xfId="6283" xr:uid="{00000000-0005-0000-0000-0000B0810000}"/>
    <cellStyle name="Normal 8 4 2 3 4 2" xfId="15383" xr:uid="{00000000-0005-0000-0000-0000B1810000}"/>
    <cellStyle name="Normal 8 4 2 3 4 2 2" xfId="33565" xr:uid="{00000000-0005-0000-0000-0000B2810000}"/>
    <cellStyle name="Normal 8 4 2 3 4 3" xfId="24475" xr:uid="{00000000-0005-0000-0000-0000B3810000}"/>
    <cellStyle name="Normal 8 4 2 3 5" xfId="10849" xr:uid="{00000000-0005-0000-0000-0000B4810000}"/>
    <cellStyle name="Normal 8 4 2 3 5 2" xfId="29031" xr:uid="{00000000-0005-0000-0000-0000B5810000}"/>
    <cellStyle name="Normal 8 4 2 3 6" xfId="19940" xr:uid="{00000000-0005-0000-0000-0000B6810000}"/>
    <cellStyle name="Normal 8 4 2 4" xfId="1645" xr:uid="{00000000-0005-0000-0000-0000B7810000}"/>
    <cellStyle name="Normal 8 4 2 4 2" xfId="4645" xr:uid="{00000000-0005-0000-0000-0000B8810000}"/>
    <cellStyle name="Normal 8 4 2 4 2 2" xfId="9201" xr:uid="{00000000-0005-0000-0000-0000B9810000}"/>
    <cellStyle name="Normal 8 4 2 4 2 2 2" xfId="18297" xr:uid="{00000000-0005-0000-0000-0000BA810000}"/>
    <cellStyle name="Normal 8 4 2 4 2 2 2 2" xfId="36479" xr:uid="{00000000-0005-0000-0000-0000BB810000}"/>
    <cellStyle name="Normal 8 4 2 4 2 2 3" xfId="27389" xr:uid="{00000000-0005-0000-0000-0000BC810000}"/>
    <cellStyle name="Normal 8 4 2 4 2 3" xfId="13757" xr:uid="{00000000-0005-0000-0000-0000BD810000}"/>
    <cellStyle name="Normal 8 4 2 4 2 3 2" xfId="31939" xr:uid="{00000000-0005-0000-0000-0000BE810000}"/>
    <cellStyle name="Normal 8 4 2 4 2 4" xfId="22849" xr:uid="{00000000-0005-0000-0000-0000BF810000}"/>
    <cellStyle name="Normal 8 4 2 4 3" xfId="6284" xr:uid="{00000000-0005-0000-0000-0000C0810000}"/>
    <cellStyle name="Normal 8 4 2 4 3 2" xfId="15384" xr:uid="{00000000-0005-0000-0000-0000C1810000}"/>
    <cellStyle name="Normal 8 4 2 4 3 2 2" xfId="33566" xr:uid="{00000000-0005-0000-0000-0000C2810000}"/>
    <cellStyle name="Normal 8 4 2 4 3 3" xfId="24476" xr:uid="{00000000-0005-0000-0000-0000C3810000}"/>
    <cellStyle name="Normal 8 4 2 4 4" xfId="10850" xr:uid="{00000000-0005-0000-0000-0000C4810000}"/>
    <cellStyle name="Normal 8 4 2 4 4 2" xfId="29032" xr:uid="{00000000-0005-0000-0000-0000C5810000}"/>
    <cellStyle name="Normal 8 4 2 4 5" xfId="19941" xr:uid="{00000000-0005-0000-0000-0000C6810000}"/>
    <cellStyle name="Normal 8 4 2 5" xfId="3012" xr:uid="{00000000-0005-0000-0000-0000C7810000}"/>
    <cellStyle name="Normal 8 4 2 5 2" xfId="7592" xr:uid="{00000000-0005-0000-0000-0000C8810000}"/>
    <cellStyle name="Normal 8 4 2 5 2 2" xfId="16692" xr:uid="{00000000-0005-0000-0000-0000C9810000}"/>
    <cellStyle name="Normal 8 4 2 5 2 2 2" xfId="34874" xr:uid="{00000000-0005-0000-0000-0000CA810000}"/>
    <cellStyle name="Normal 8 4 2 5 2 3" xfId="25784" xr:uid="{00000000-0005-0000-0000-0000CB810000}"/>
    <cellStyle name="Normal 8 4 2 5 3" xfId="12156" xr:uid="{00000000-0005-0000-0000-0000CC810000}"/>
    <cellStyle name="Normal 8 4 2 5 3 2" xfId="30338" xr:uid="{00000000-0005-0000-0000-0000CD810000}"/>
    <cellStyle name="Normal 8 4 2 5 4" xfId="21248" xr:uid="{00000000-0005-0000-0000-0000CE810000}"/>
    <cellStyle name="Normal 8 4 2 6" xfId="4641" xr:uid="{00000000-0005-0000-0000-0000CF810000}"/>
    <cellStyle name="Normal 8 4 2 6 2" xfId="9197" xr:uid="{00000000-0005-0000-0000-0000D0810000}"/>
    <cellStyle name="Normal 8 4 2 6 2 2" xfId="18293" xr:uid="{00000000-0005-0000-0000-0000D1810000}"/>
    <cellStyle name="Normal 8 4 2 6 2 2 2" xfId="36475" xr:uid="{00000000-0005-0000-0000-0000D2810000}"/>
    <cellStyle name="Normal 8 4 2 6 2 3" xfId="27385" xr:uid="{00000000-0005-0000-0000-0000D3810000}"/>
    <cellStyle name="Normal 8 4 2 6 3" xfId="13753" xr:uid="{00000000-0005-0000-0000-0000D4810000}"/>
    <cellStyle name="Normal 8 4 2 6 3 2" xfId="31935" xr:uid="{00000000-0005-0000-0000-0000D5810000}"/>
    <cellStyle name="Normal 8 4 2 6 4" xfId="22845" xr:uid="{00000000-0005-0000-0000-0000D6810000}"/>
    <cellStyle name="Normal 8 4 2 7" xfId="6280" xr:uid="{00000000-0005-0000-0000-0000D7810000}"/>
    <cellStyle name="Normal 8 4 2 7 2" xfId="15380" xr:uid="{00000000-0005-0000-0000-0000D8810000}"/>
    <cellStyle name="Normal 8 4 2 7 2 2" xfId="33562" xr:uid="{00000000-0005-0000-0000-0000D9810000}"/>
    <cellStyle name="Normal 8 4 2 7 3" xfId="24472" xr:uid="{00000000-0005-0000-0000-0000DA810000}"/>
    <cellStyle name="Normal 8 4 2 8" xfId="10846" xr:uid="{00000000-0005-0000-0000-0000DB810000}"/>
    <cellStyle name="Normal 8 4 2 8 2" xfId="29028" xr:uid="{00000000-0005-0000-0000-0000DC810000}"/>
    <cellStyle name="Normal 8 4 2 9" xfId="19937" xr:uid="{00000000-0005-0000-0000-0000DD810000}"/>
    <cellStyle name="Normal 8 4 3" xfId="1646" xr:uid="{00000000-0005-0000-0000-0000DE810000}"/>
    <cellStyle name="Normal 8 4 3 2" xfId="1647" xr:uid="{00000000-0005-0000-0000-0000DF810000}"/>
    <cellStyle name="Normal 8 4 3 2 2" xfId="3013" xr:uid="{00000000-0005-0000-0000-0000E0810000}"/>
    <cellStyle name="Normal 8 4 3 2 2 2" xfId="7593" xr:uid="{00000000-0005-0000-0000-0000E1810000}"/>
    <cellStyle name="Normal 8 4 3 2 2 2 2" xfId="16693" xr:uid="{00000000-0005-0000-0000-0000E2810000}"/>
    <cellStyle name="Normal 8 4 3 2 2 2 2 2" xfId="34875" xr:uid="{00000000-0005-0000-0000-0000E3810000}"/>
    <cellStyle name="Normal 8 4 3 2 2 2 3" xfId="25785" xr:uid="{00000000-0005-0000-0000-0000E4810000}"/>
    <cellStyle name="Normal 8 4 3 2 2 3" xfId="12157" xr:uid="{00000000-0005-0000-0000-0000E5810000}"/>
    <cellStyle name="Normal 8 4 3 2 2 3 2" xfId="30339" xr:uid="{00000000-0005-0000-0000-0000E6810000}"/>
    <cellStyle name="Normal 8 4 3 2 2 4" xfId="21249" xr:uid="{00000000-0005-0000-0000-0000E7810000}"/>
    <cellStyle name="Normal 8 4 3 2 3" xfId="4647" xr:uid="{00000000-0005-0000-0000-0000E8810000}"/>
    <cellStyle name="Normal 8 4 3 2 3 2" xfId="9203" xr:uid="{00000000-0005-0000-0000-0000E9810000}"/>
    <cellStyle name="Normal 8 4 3 2 3 2 2" xfId="18299" xr:uid="{00000000-0005-0000-0000-0000EA810000}"/>
    <cellStyle name="Normal 8 4 3 2 3 2 2 2" xfId="36481" xr:uid="{00000000-0005-0000-0000-0000EB810000}"/>
    <cellStyle name="Normal 8 4 3 2 3 2 3" xfId="27391" xr:uid="{00000000-0005-0000-0000-0000EC810000}"/>
    <cellStyle name="Normal 8 4 3 2 3 3" xfId="13759" xr:uid="{00000000-0005-0000-0000-0000ED810000}"/>
    <cellStyle name="Normal 8 4 3 2 3 3 2" xfId="31941" xr:uid="{00000000-0005-0000-0000-0000EE810000}"/>
    <cellStyle name="Normal 8 4 3 2 3 4" xfId="22851" xr:uid="{00000000-0005-0000-0000-0000EF810000}"/>
    <cellStyle name="Normal 8 4 3 2 4" xfId="6286" xr:uid="{00000000-0005-0000-0000-0000F0810000}"/>
    <cellStyle name="Normal 8 4 3 2 4 2" xfId="15386" xr:uid="{00000000-0005-0000-0000-0000F1810000}"/>
    <cellStyle name="Normal 8 4 3 2 4 2 2" xfId="33568" xr:uid="{00000000-0005-0000-0000-0000F2810000}"/>
    <cellStyle name="Normal 8 4 3 2 4 3" xfId="24478" xr:uid="{00000000-0005-0000-0000-0000F3810000}"/>
    <cellStyle name="Normal 8 4 3 2 5" xfId="10852" xr:uid="{00000000-0005-0000-0000-0000F4810000}"/>
    <cellStyle name="Normal 8 4 3 2 5 2" xfId="29034" xr:uid="{00000000-0005-0000-0000-0000F5810000}"/>
    <cellStyle name="Normal 8 4 3 2 6" xfId="19943" xr:uid="{00000000-0005-0000-0000-0000F6810000}"/>
    <cellStyle name="Normal 8 4 3 3" xfId="3014" xr:uid="{00000000-0005-0000-0000-0000F7810000}"/>
    <cellStyle name="Normal 8 4 3 3 2" xfId="7594" xr:uid="{00000000-0005-0000-0000-0000F8810000}"/>
    <cellStyle name="Normal 8 4 3 3 2 2" xfId="16694" xr:uid="{00000000-0005-0000-0000-0000F9810000}"/>
    <cellStyle name="Normal 8 4 3 3 2 2 2" xfId="34876" xr:uid="{00000000-0005-0000-0000-0000FA810000}"/>
    <cellStyle name="Normal 8 4 3 3 2 3" xfId="25786" xr:uid="{00000000-0005-0000-0000-0000FB810000}"/>
    <cellStyle name="Normal 8 4 3 3 3" xfId="12158" xr:uid="{00000000-0005-0000-0000-0000FC810000}"/>
    <cellStyle name="Normal 8 4 3 3 3 2" xfId="30340" xr:uid="{00000000-0005-0000-0000-0000FD810000}"/>
    <cellStyle name="Normal 8 4 3 3 4" xfId="21250" xr:uid="{00000000-0005-0000-0000-0000FE810000}"/>
    <cellStyle name="Normal 8 4 3 4" xfId="4646" xr:uid="{00000000-0005-0000-0000-0000FF810000}"/>
    <cellStyle name="Normal 8 4 3 4 2" xfId="9202" xr:uid="{00000000-0005-0000-0000-000000820000}"/>
    <cellStyle name="Normal 8 4 3 4 2 2" xfId="18298" xr:uid="{00000000-0005-0000-0000-000001820000}"/>
    <cellStyle name="Normal 8 4 3 4 2 2 2" xfId="36480" xr:uid="{00000000-0005-0000-0000-000002820000}"/>
    <cellStyle name="Normal 8 4 3 4 2 3" xfId="27390" xr:uid="{00000000-0005-0000-0000-000003820000}"/>
    <cellStyle name="Normal 8 4 3 4 3" xfId="13758" xr:uid="{00000000-0005-0000-0000-000004820000}"/>
    <cellStyle name="Normal 8 4 3 4 3 2" xfId="31940" xr:uid="{00000000-0005-0000-0000-000005820000}"/>
    <cellStyle name="Normal 8 4 3 4 4" xfId="22850" xr:uid="{00000000-0005-0000-0000-000006820000}"/>
    <cellStyle name="Normal 8 4 3 5" xfId="6285" xr:uid="{00000000-0005-0000-0000-000007820000}"/>
    <cellStyle name="Normal 8 4 3 5 2" xfId="15385" xr:uid="{00000000-0005-0000-0000-000008820000}"/>
    <cellStyle name="Normal 8 4 3 5 2 2" xfId="33567" xr:uid="{00000000-0005-0000-0000-000009820000}"/>
    <cellStyle name="Normal 8 4 3 5 3" xfId="24477" xr:uid="{00000000-0005-0000-0000-00000A820000}"/>
    <cellStyle name="Normal 8 4 3 6" xfId="10851" xr:uid="{00000000-0005-0000-0000-00000B820000}"/>
    <cellStyle name="Normal 8 4 3 6 2" xfId="29033" xr:uid="{00000000-0005-0000-0000-00000C820000}"/>
    <cellStyle name="Normal 8 4 3 7" xfId="19942" xr:uid="{00000000-0005-0000-0000-00000D820000}"/>
    <cellStyle name="Normal 8 4 4" xfId="1648" xr:uid="{00000000-0005-0000-0000-00000E820000}"/>
    <cellStyle name="Normal 8 4 4 2" xfId="3015" xr:uid="{00000000-0005-0000-0000-00000F820000}"/>
    <cellStyle name="Normal 8 4 4 2 2" xfId="7595" xr:uid="{00000000-0005-0000-0000-000010820000}"/>
    <cellStyle name="Normal 8 4 4 2 2 2" xfId="16695" xr:uid="{00000000-0005-0000-0000-000011820000}"/>
    <cellStyle name="Normal 8 4 4 2 2 2 2" xfId="34877" xr:uid="{00000000-0005-0000-0000-000012820000}"/>
    <cellStyle name="Normal 8 4 4 2 2 3" xfId="25787" xr:uid="{00000000-0005-0000-0000-000013820000}"/>
    <cellStyle name="Normal 8 4 4 2 3" xfId="12159" xr:uid="{00000000-0005-0000-0000-000014820000}"/>
    <cellStyle name="Normal 8 4 4 2 3 2" xfId="30341" xr:uid="{00000000-0005-0000-0000-000015820000}"/>
    <cellStyle name="Normal 8 4 4 2 4" xfId="21251" xr:uid="{00000000-0005-0000-0000-000016820000}"/>
    <cellStyle name="Normal 8 4 4 3" xfId="4648" xr:uid="{00000000-0005-0000-0000-000017820000}"/>
    <cellStyle name="Normal 8 4 4 3 2" xfId="9204" xr:uid="{00000000-0005-0000-0000-000018820000}"/>
    <cellStyle name="Normal 8 4 4 3 2 2" xfId="18300" xr:uid="{00000000-0005-0000-0000-000019820000}"/>
    <cellStyle name="Normal 8 4 4 3 2 2 2" xfId="36482" xr:uid="{00000000-0005-0000-0000-00001A820000}"/>
    <cellStyle name="Normal 8 4 4 3 2 3" xfId="27392" xr:uid="{00000000-0005-0000-0000-00001B820000}"/>
    <cellStyle name="Normal 8 4 4 3 3" xfId="13760" xr:uid="{00000000-0005-0000-0000-00001C820000}"/>
    <cellStyle name="Normal 8 4 4 3 3 2" xfId="31942" xr:uid="{00000000-0005-0000-0000-00001D820000}"/>
    <cellStyle name="Normal 8 4 4 3 4" xfId="22852" xr:uid="{00000000-0005-0000-0000-00001E820000}"/>
    <cellStyle name="Normal 8 4 4 4" xfId="6287" xr:uid="{00000000-0005-0000-0000-00001F820000}"/>
    <cellStyle name="Normal 8 4 4 4 2" xfId="15387" xr:uid="{00000000-0005-0000-0000-000020820000}"/>
    <cellStyle name="Normal 8 4 4 4 2 2" xfId="33569" xr:uid="{00000000-0005-0000-0000-000021820000}"/>
    <cellStyle name="Normal 8 4 4 4 3" xfId="24479" xr:uid="{00000000-0005-0000-0000-000022820000}"/>
    <cellStyle name="Normal 8 4 4 5" xfId="10853" xr:uid="{00000000-0005-0000-0000-000023820000}"/>
    <cellStyle name="Normal 8 4 4 5 2" xfId="29035" xr:uid="{00000000-0005-0000-0000-000024820000}"/>
    <cellStyle name="Normal 8 4 4 6" xfId="19944" xr:uid="{00000000-0005-0000-0000-000025820000}"/>
    <cellStyle name="Normal 8 4 5" xfId="1649" xr:uid="{00000000-0005-0000-0000-000026820000}"/>
    <cellStyle name="Normal 8 4 5 2" xfId="4649" xr:uid="{00000000-0005-0000-0000-000027820000}"/>
    <cellStyle name="Normal 8 4 5 2 2" xfId="9205" xr:uid="{00000000-0005-0000-0000-000028820000}"/>
    <cellStyle name="Normal 8 4 5 2 2 2" xfId="18301" xr:uid="{00000000-0005-0000-0000-000029820000}"/>
    <cellStyle name="Normal 8 4 5 2 2 2 2" xfId="36483" xr:uid="{00000000-0005-0000-0000-00002A820000}"/>
    <cellStyle name="Normal 8 4 5 2 2 3" xfId="27393" xr:uid="{00000000-0005-0000-0000-00002B820000}"/>
    <cellStyle name="Normal 8 4 5 2 3" xfId="13761" xr:uid="{00000000-0005-0000-0000-00002C820000}"/>
    <cellStyle name="Normal 8 4 5 2 3 2" xfId="31943" xr:uid="{00000000-0005-0000-0000-00002D820000}"/>
    <cellStyle name="Normal 8 4 5 2 4" xfId="22853" xr:uid="{00000000-0005-0000-0000-00002E820000}"/>
    <cellStyle name="Normal 8 4 5 3" xfId="6288" xr:uid="{00000000-0005-0000-0000-00002F820000}"/>
    <cellStyle name="Normal 8 4 5 3 2" xfId="15388" xr:uid="{00000000-0005-0000-0000-000030820000}"/>
    <cellStyle name="Normal 8 4 5 3 2 2" xfId="33570" xr:uid="{00000000-0005-0000-0000-000031820000}"/>
    <cellStyle name="Normal 8 4 5 3 3" xfId="24480" xr:uid="{00000000-0005-0000-0000-000032820000}"/>
    <cellStyle name="Normal 8 4 5 4" xfId="10854" xr:uid="{00000000-0005-0000-0000-000033820000}"/>
    <cellStyle name="Normal 8 4 5 4 2" xfId="29036" xr:uid="{00000000-0005-0000-0000-000034820000}"/>
    <cellStyle name="Normal 8 4 5 5" xfId="19945" xr:uid="{00000000-0005-0000-0000-000035820000}"/>
    <cellStyle name="Normal 8 4 6" xfId="3016" xr:uid="{00000000-0005-0000-0000-000036820000}"/>
    <cellStyle name="Normal 8 4 6 2" xfId="7596" xr:uid="{00000000-0005-0000-0000-000037820000}"/>
    <cellStyle name="Normal 8 4 6 2 2" xfId="16696" xr:uid="{00000000-0005-0000-0000-000038820000}"/>
    <cellStyle name="Normal 8 4 6 2 2 2" xfId="34878" xr:uid="{00000000-0005-0000-0000-000039820000}"/>
    <cellStyle name="Normal 8 4 6 2 3" xfId="25788" xr:uid="{00000000-0005-0000-0000-00003A820000}"/>
    <cellStyle name="Normal 8 4 6 3" xfId="12160" xr:uid="{00000000-0005-0000-0000-00003B820000}"/>
    <cellStyle name="Normal 8 4 6 3 2" xfId="30342" xr:uid="{00000000-0005-0000-0000-00003C820000}"/>
    <cellStyle name="Normal 8 4 6 4" xfId="21252" xr:uid="{00000000-0005-0000-0000-00003D820000}"/>
    <cellStyle name="Normal 8 4 7" xfId="4640" xr:uid="{00000000-0005-0000-0000-00003E820000}"/>
    <cellStyle name="Normal 8 4 7 2" xfId="9196" xr:uid="{00000000-0005-0000-0000-00003F820000}"/>
    <cellStyle name="Normal 8 4 7 2 2" xfId="18292" xr:uid="{00000000-0005-0000-0000-000040820000}"/>
    <cellStyle name="Normal 8 4 7 2 2 2" xfId="36474" xr:uid="{00000000-0005-0000-0000-000041820000}"/>
    <cellStyle name="Normal 8 4 7 2 3" xfId="27384" xr:uid="{00000000-0005-0000-0000-000042820000}"/>
    <cellStyle name="Normal 8 4 7 3" xfId="13752" xr:uid="{00000000-0005-0000-0000-000043820000}"/>
    <cellStyle name="Normal 8 4 7 3 2" xfId="31934" xr:uid="{00000000-0005-0000-0000-000044820000}"/>
    <cellStyle name="Normal 8 4 7 4" xfId="22844" xr:uid="{00000000-0005-0000-0000-000045820000}"/>
    <cellStyle name="Normal 8 4 8" xfId="6279" xr:uid="{00000000-0005-0000-0000-000046820000}"/>
    <cellStyle name="Normal 8 4 8 2" xfId="15379" xr:uid="{00000000-0005-0000-0000-000047820000}"/>
    <cellStyle name="Normal 8 4 8 2 2" xfId="33561" xr:uid="{00000000-0005-0000-0000-000048820000}"/>
    <cellStyle name="Normal 8 4 8 3" xfId="24471" xr:uid="{00000000-0005-0000-0000-000049820000}"/>
    <cellStyle name="Normal 8 4 9" xfId="10845" xr:uid="{00000000-0005-0000-0000-00004A820000}"/>
    <cellStyle name="Normal 8 4 9 2" xfId="29027" xr:uid="{00000000-0005-0000-0000-00004B820000}"/>
    <cellStyle name="Normal 8 5" xfId="1650" xr:uid="{00000000-0005-0000-0000-00004C820000}"/>
    <cellStyle name="Normal 8 5 2" xfId="1651" xr:uid="{00000000-0005-0000-0000-00004D820000}"/>
    <cellStyle name="Normal 8 5 2 2" xfId="1652" xr:uid="{00000000-0005-0000-0000-00004E820000}"/>
    <cellStyle name="Normal 8 5 2 2 2" xfId="3017" xr:uid="{00000000-0005-0000-0000-00004F820000}"/>
    <cellStyle name="Normal 8 5 2 2 2 2" xfId="7597" xr:uid="{00000000-0005-0000-0000-000050820000}"/>
    <cellStyle name="Normal 8 5 2 2 2 2 2" xfId="16697" xr:uid="{00000000-0005-0000-0000-000051820000}"/>
    <cellStyle name="Normal 8 5 2 2 2 2 2 2" xfId="34879" xr:uid="{00000000-0005-0000-0000-000052820000}"/>
    <cellStyle name="Normal 8 5 2 2 2 2 3" xfId="25789" xr:uid="{00000000-0005-0000-0000-000053820000}"/>
    <cellStyle name="Normal 8 5 2 2 2 3" xfId="12161" xr:uid="{00000000-0005-0000-0000-000054820000}"/>
    <cellStyle name="Normal 8 5 2 2 2 3 2" xfId="30343" xr:uid="{00000000-0005-0000-0000-000055820000}"/>
    <cellStyle name="Normal 8 5 2 2 2 4" xfId="21253" xr:uid="{00000000-0005-0000-0000-000056820000}"/>
    <cellStyle name="Normal 8 5 2 2 3" xfId="4652" xr:uid="{00000000-0005-0000-0000-000057820000}"/>
    <cellStyle name="Normal 8 5 2 2 3 2" xfId="9208" xr:uid="{00000000-0005-0000-0000-000058820000}"/>
    <cellStyle name="Normal 8 5 2 2 3 2 2" xfId="18304" xr:uid="{00000000-0005-0000-0000-000059820000}"/>
    <cellStyle name="Normal 8 5 2 2 3 2 2 2" xfId="36486" xr:uid="{00000000-0005-0000-0000-00005A820000}"/>
    <cellStyle name="Normal 8 5 2 2 3 2 3" xfId="27396" xr:uid="{00000000-0005-0000-0000-00005B820000}"/>
    <cellStyle name="Normal 8 5 2 2 3 3" xfId="13764" xr:uid="{00000000-0005-0000-0000-00005C820000}"/>
    <cellStyle name="Normal 8 5 2 2 3 3 2" xfId="31946" xr:uid="{00000000-0005-0000-0000-00005D820000}"/>
    <cellStyle name="Normal 8 5 2 2 3 4" xfId="22856" xr:uid="{00000000-0005-0000-0000-00005E820000}"/>
    <cellStyle name="Normal 8 5 2 2 4" xfId="6291" xr:uid="{00000000-0005-0000-0000-00005F820000}"/>
    <cellStyle name="Normal 8 5 2 2 4 2" xfId="15391" xr:uid="{00000000-0005-0000-0000-000060820000}"/>
    <cellStyle name="Normal 8 5 2 2 4 2 2" xfId="33573" xr:uid="{00000000-0005-0000-0000-000061820000}"/>
    <cellStyle name="Normal 8 5 2 2 4 3" xfId="24483" xr:uid="{00000000-0005-0000-0000-000062820000}"/>
    <cellStyle name="Normal 8 5 2 2 5" xfId="10857" xr:uid="{00000000-0005-0000-0000-000063820000}"/>
    <cellStyle name="Normal 8 5 2 2 5 2" xfId="29039" xr:uid="{00000000-0005-0000-0000-000064820000}"/>
    <cellStyle name="Normal 8 5 2 2 6" xfId="19948" xr:uid="{00000000-0005-0000-0000-000065820000}"/>
    <cellStyle name="Normal 8 5 2 3" xfId="3018" xr:uid="{00000000-0005-0000-0000-000066820000}"/>
    <cellStyle name="Normal 8 5 2 3 2" xfId="7598" xr:uid="{00000000-0005-0000-0000-000067820000}"/>
    <cellStyle name="Normal 8 5 2 3 2 2" xfId="16698" xr:uid="{00000000-0005-0000-0000-000068820000}"/>
    <cellStyle name="Normal 8 5 2 3 2 2 2" xfId="34880" xr:uid="{00000000-0005-0000-0000-000069820000}"/>
    <cellStyle name="Normal 8 5 2 3 2 3" xfId="25790" xr:uid="{00000000-0005-0000-0000-00006A820000}"/>
    <cellStyle name="Normal 8 5 2 3 3" xfId="12162" xr:uid="{00000000-0005-0000-0000-00006B820000}"/>
    <cellStyle name="Normal 8 5 2 3 3 2" xfId="30344" xr:uid="{00000000-0005-0000-0000-00006C820000}"/>
    <cellStyle name="Normal 8 5 2 3 4" xfId="21254" xr:uid="{00000000-0005-0000-0000-00006D820000}"/>
    <cellStyle name="Normal 8 5 2 4" xfId="4651" xr:uid="{00000000-0005-0000-0000-00006E820000}"/>
    <cellStyle name="Normal 8 5 2 4 2" xfId="9207" xr:uid="{00000000-0005-0000-0000-00006F820000}"/>
    <cellStyle name="Normal 8 5 2 4 2 2" xfId="18303" xr:uid="{00000000-0005-0000-0000-000070820000}"/>
    <cellStyle name="Normal 8 5 2 4 2 2 2" xfId="36485" xr:uid="{00000000-0005-0000-0000-000071820000}"/>
    <cellStyle name="Normal 8 5 2 4 2 3" xfId="27395" xr:uid="{00000000-0005-0000-0000-000072820000}"/>
    <cellStyle name="Normal 8 5 2 4 3" xfId="13763" xr:uid="{00000000-0005-0000-0000-000073820000}"/>
    <cellStyle name="Normal 8 5 2 4 3 2" xfId="31945" xr:uid="{00000000-0005-0000-0000-000074820000}"/>
    <cellStyle name="Normal 8 5 2 4 4" xfId="22855" xr:uid="{00000000-0005-0000-0000-000075820000}"/>
    <cellStyle name="Normal 8 5 2 5" xfId="6290" xr:uid="{00000000-0005-0000-0000-000076820000}"/>
    <cellStyle name="Normal 8 5 2 5 2" xfId="15390" xr:uid="{00000000-0005-0000-0000-000077820000}"/>
    <cellStyle name="Normal 8 5 2 5 2 2" xfId="33572" xr:uid="{00000000-0005-0000-0000-000078820000}"/>
    <cellStyle name="Normal 8 5 2 5 3" xfId="24482" xr:uid="{00000000-0005-0000-0000-000079820000}"/>
    <cellStyle name="Normal 8 5 2 6" xfId="10856" xr:uid="{00000000-0005-0000-0000-00007A820000}"/>
    <cellStyle name="Normal 8 5 2 6 2" xfId="29038" xr:uid="{00000000-0005-0000-0000-00007B820000}"/>
    <cellStyle name="Normal 8 5 2 7" xfId="19947" xr:uid="{00000000-0005-0000-0000-00007C820000}"/>
    <cellStyle name="Normal 8 5 3" xfId="1653" xr:uid="{00000000-0005-0000-0000-00007D820000}"/>
    <cellStyle name="Normal 8 5 3 2" xfId="3019" xr:uid="{00000000-0005-0000-0000-00007E820000}"/>
    <cellStyle name="Normal 8 5 3 2 2" xfId="7599" xr:uid="{00000000-0005-0000-0000-00007F820000}"/>
    <cellStyle name="Normal 8 5 3 2 2 2" xfId="16699" xr:uid="{00000000-0005-0000-0000-000080820000}"/>
    <cellStyle name="Normal 8 5 3 2 2 2 2" xfId="34881" xr:uid="{00000000-0005-0000-0000-000081820000}"/>
    <cellStyle name="Normal 8 5 3 2 2 3" xfId="25791" xr:uid="{00000000-0005-0000-0000-000082820000}"/>
    <cellStyle name="Normal 8 5 3 2 3" xfId="12163" xr:uid="{00000000-0005-0000-0000-000083820000}"/>
    <cellStyle name="Normal 8 5 3 2 3 2" xfId="30345" xr:uid="{00000000-0005-0000-0000-000084820000}"/>
    <cellStyle name="Normal 8 5 3 2 4" xfId="21255" xr:uid="{00000000-0005-0000-0000-000085820000}"/>
    <cellStyle name="Normal 8 5 3 3" xfId="4653" xr:uid="{00000000-0005-0000-0000-000086820000}"/>
    <cellStyle name="Normal 8 5 3 3 2" xfId="9209" xr:uid="{00000000-0005-0000-0000-000087820000}"/>
    <cellStyle name="Normal 8 5 3 3 2 2" xfId="18305" xr:uid="{00000000-0005-0000-0000-000088820000}"/>
    <cellStyle name="Normal 8 5 3 3 2 2 2" xfId="36487" xr:uid="{00000000-0005-0000-0000-000089820000}"/>
    <cellStyle name="Normal 8 5 3 3 2 3" xfId="27397" xr:uid="{00000000-0005-0000-0000-00008A820000}"/>
    <cellStyle name="Normal 8 5 3 3 3" xfId="13765" xr:uid="{00000000-0005-0000-0000-00008B820000}"/>
    <cellStyle name="Normal 8 5 3 3 3 2" xfId="31947" xr:uid="{00000000-0005-0000-0000-00008C820000}"/>
    <cellStyle name="Normal 8 5 3 3 4" xfId="22857" xr:uid="{00000000-0005-0000-0000-00008D820000}"/>
    <cellStyle name="Normal 8 5 3 4" xfId="6292" xr:uid="{00000000-0005-0000-0000-00008E820000}"/>
    <cellStyle name="Normal 8 5 3 4 2" xfId="15392" xr:uid="{00000000-0005-0000-0000-00008F820000}"/>
    <cellStyle name="Normal 8 5 3 4 2 2" xfId="33574" xr:uid="{00000000-0005-0000-0000-000090820000}"/>
    <cellStyle name="Normal 8 5 3 4 3" xfId="24484" xr:uid="{00000000-0005-0000-0000-000091820000}"/>
    <cellStyle name="Normal 8 5 3 5" xfId="10858" xr:uid="{00000000-0005-0000-0000-000092820000}"/>
    <cellStyle name="Normal 8 5 3 5 2" xfId="29040" xr:uid="{00000000-0005-0000-0000-000093820000}"/>
    <cellStyle name="Normal 8 5 3 6" xfId="19949" xr:uid="{00000000-0005-0000-0000-000094820000}"/>
    <cellStyle name="Normal 8 5 4" xfId="1654" xr:uid="{00000000-0005-0000-0000-000095820000}"/>
    <cellStyle name="Normal 8 5 4 2" xfId="4654" xr:uid="{00000000-0005-0000-0000-000096820000}"/>
    <cellStyle name="Normal 8 5 4 2 2" xfId="9210" xr:uid="{00000000-0005-0000-0000-000097820000}"/>
    <cellStyle name="Normal 8 5 4 2 2 2" xfId="18306" xr:uid="{00000000-0005-0000-0000-000098820000}"/>
    <cellStyle name="Normal 8 5 4 2 2 2 2" xfId="36488" xr:uid="{00000000-0005-0000-0000-000099820000}"/>
    <cellStyle name="Normal 8 5 4 2 2 3" xfId="27398" xr:uid="{00000000-0005-0000-0000-00009A820000}"/>
    <cellStyle name="Normal 8 5 4 2 3" xfId="13766" xr:uid="{00000000-0005-0000-0000-00009B820000}"/>
    <cellStyle name="Normal 8 5 4 2 3 2" xfId="31948" xr:uid="{00000000-0005-0000-0000-00009C820000}"/>
    <cellStyle name="Normal 8 5 4 2 4" xfId="22858" xr:uid="{00000000-0005-0000-0000-00009D820000}"/>
    <cellStyle name="Normal 8 5 4 3" xfId="6293" xr:uid="{00000000-0005-0000-0000-00009E820000}"/>
    <cellStyle name="Normal 8 5 4 3 2" xfId="15393" xr:uid="{00000000-0005-0000-0000-00009F820000}"/>
    <cellStyle name="Normal 8 5 4 3 2 2" xfId="33575" xr:uid="{00000000-0005-0000-0000-0000A0820000}"/>
    <cellStyle name="Normal 8 5 4 3 3" xfId="24485" xr:uid="{00000000-0005-0000-0000-0000A1820000}"/>
    <cellStyle name="Normal 8 5 4 4" xfId="10859" xr:uid="{00000000-0005-0000-0000-0000A2820000}"/>
    <cellStyle name="Normal 8 5 4 4 2" xfId="29041" xr:uid="{00000000-0005-0000-0000-0000A3820000}"/>
    <cellStyle name="Normal 8 5 4 5" xfId="19950" xr:uid="{00000000-0005-0000-0000-0000A4820000}"/>
    <cellStyle name="Normal 8 5 5" xfId="3020" xr:uid="{00000000-0005-0000-0000-0000A5820000}"/>
    <cellStyle name="Normal 8 5 5 2" xfId="7600" xr:uid="{00000000-0005-0000-0000-0000A6820000}"/>
    <cellStyle name="Normal 8 5 5 2 2" xfId="16700" xr:uid="{00000000-0005-0000-0000-0000A7820000}"/>
    <cellStyle name="Normal 8 5 5 2 2 2" xfId="34882" xr:uid="{00000000-0005-0000-0000-0000A8820000}"/>
    <cellStyle name="Normal 8 5 5 2 3" xfId="25792" xr:uid="{00000000-0005-0000-0000-0000A9820000}"/>
    <cellStyle name="Normal 8 5 5 3" xfId="12164" xr:uid="{00000000-0005-0000-0000-0000AA820000}"/>
    <cellStyle name="Normal 8 5 5 3 2" xfId="30346" xr:uid="{00000000-0005-0000-0000-0000AB820000}"/>
    <cellStyle name="Normal 8 5 5 4" xfId="21256" xr:uid="{00000000-0005-0000-0000-0000AC820000}"/>
    <cellStyle name="Normal 8 5 6" xfId="4650" xr:uid="{00000000-0005-0000-0000-0000AD820000}"/>
    <cellStyle name="Normal 8 5 6 2" xfId="9206" xr:uid="{00000000-0005-0000-0000-0000AE820000}"/>
    <cellStyle name="Normal 8 5 6 2 2" xfId="18302" xr:uid="{00000000-0005-0000-0000-0000AF820000}"/>
    <cellStyle name="Normal 8 5 6 2 2 2" xfId="36484" xr:uid="{00000000-0005-0000-0000-0000B0820000}"/>
    <cellStyle name="Normal 8 5 6 2 3" xfId="27394" xr:uid="{00000000-0005-0000-0000-0000B1820000}"/>
    <cellStyle name="Normal 8 5 6 3" xfId="13762" xr:uid="{00000000-0005-0000-0000-0000B2820000}"/>
    <cellStyle name="Normal 8 5 6 3 2" xfId="31944" xr:uid="{00000000-0005-0000-0000-0000B3820000}"/>
    <cellStyle name="Normal 8 5 6 4" xfId="22854" xr:uid="{00000000-0005-0000-0000-0000B4820000}"/>
    <cellStyle name="Normal 8 5 7" xfId="6289" xr:uid="{00000000-0005-0000-0000-0000B5820000}"/>
    <cellStyle name="Normal 8 5 7 2" xfId="15389" xr:uid="{00000000-0005-0000-0000-0000B6820000}"/>
    <cellStyle name="Normal 8 5 7 2 2" xfId="33571" xr:uid="{00000000-0005-0000-0000-0000B7820000}"/>
    <cellStyle name="Normal 8 5 7 3" xfId="24481" xr:uid="{00000000-0005-0000-0000-0000B8820000}"/>
    <cellStyle name="Normal 8 5 8" xfId="10855" xr:uid="{00000000-0005-0000-0000-0000B9820000}"/>
    <cellStyle name="Normal 8 5 8 2" xfId="29037" xr:uid="{00000000-0005-0000-0000-0000BA820000}"/>
    <cellStyle name="Normal 8 5 9" xfId="19946" xr:uid="{00000000-0005-0000-0000-0000BB820000}"/>
    <cellStyle name="Normal 8 6" xfId="1655" xr:uid="{00000000-0005-0000-0000-0000BC820000}"/>
    <cellStyle name="Normal 8 6 2" xfId="1656" xr:uid="{00000000-0005-0000-0000-0000BD820000}"/>
    <cellStyle name="Normal 8 6 2 2" xfId="3021" xr:uid="{00000000-0005-0000-0000-0000BE820000}"/>
    <cellStyle name="Normal 8 6 2 2 2" xfId="7601" xr:uid="{00000000-0005-0000-0000-0000BF820000}"/>
    <cellStyle name="Normal 8 6 2 2 2 2" xfId="16701" xr:uid="{00000000-0005-0000-0000-0000C0820000}"/>
    <cellStyle name="Normal 8 6 2 2 2 2 2" xfId="34883" xr:uid="{00000000-0005-0000-0000-0000C1820000}"/>
    <cellStyle name="Normal 8 6 2 2 2 3" xfId="25793" xr:uid="{00000000-0005-0000-0000-0000C2820000}"/>
    <cellStyle name="Normal 8 6 2 2 3" xfId="12165" xr:uid="{00000000-0005-0000-0000-0000C3820000}"/>
    <cellStyle name="Normal 8 6 2 2 3 2" xfId="30347" xr:uid="{00000000-0005-0000-0000-0000C4820000}"/>
    <cellStyle name="Normal 8 6 2 2 4" xfId="21257" xr:uid="{00000000-0005-0000-0000-0000C5820000}"/>
    <cellStyle name="Normal 8 6 2 3" xfId="4656" xr:uid="{00000000-0005-0000-0000-0000C6820000}"/>
    <cellStyle name="Normal 8 6 2 3 2" xfId="9212" xr:uid="{00000000-0005-0000-0000-0000C7820000}"/>
    <cellStyle name="Normal 8 6 2 3 2 2" xfId="18308" xr:uid="{00000000-0005-0000-0000-0000C8820000}"/>
    <cellStyle name="Normal 8 6 2 3 2 2 2" xfId="36490" xr:uid="{00000000-0005-0000-0000-0000C9820000}"/>
    <cellStyle name="Normal 8 6 2 3 2 3" xfId="27400" xr:uid="{00000000-0005-0000-0000-0000CA820000}"/>
    <cellStyle name="Normal 8 6 2 3 3" xfId="13768" xr:uid="{00000000-0005-0000-0000-0000CB820000}"/>
    <cellStyle name="Normal 8 6 2 3 3 2" xfId="31950" xr:uid="{00000000-0005-0000-0000-0000CC820000}"/>
    <cellStyle name="Normal 8 6 2 3 4" xfId="22860" xr:uid="{00000000-0005-0000-0000-0000CD820000}"/>
    <cellStyle name="Normal 8 6 2 4" xfId="6295" xr:uid="{00000000-0005-0000-0000-0000CE820000}"/>
    <cellStyle name="Normal 8 6 2 4 2" xfId="15395" xr:uid="{00000000-0005-0000-0000-0000CF820000}"/>
    <cellStyle name="Normal 8 6 2 4 2 2" xfId="33577" xr:uid="{00000000-0005-0000-0000-0000D0820000}"/>
    <cellStyle name="Normal 8 6 2 4 3" xfId="24487" xr:uid="{00000000-0005-0000-0000-0000D1820000}"/>
    <cellStyle name="Normal 8 6 2 5" xfId="10861" xr:uid="{00000000-0005-0000-0000-0000D2820000}"/>
    <cellStyle name="Normal 8 6 2 5 2" xfId="29043" xr:uid="{00000000-0005-0000-0000-0000D3820000}"/>
    <cellStyle name="Normal 8 6 2 6" xfId="19952" xr:uid="{00000000-0005-0000-0000-0000D4820000}"/>
    <cellStyle name="Normal 8 6 3" xfId="3022" xr:uid="{00000000-0005-0000-0000-0000D5820000}"/>
    <cellStyle name="Normal 8 6 3 2" xfId="7602" xr:uid="{00000000-0005-0000-0000-0000D6820000}"/>
    <cellStyle name="Normal 8 6 3 2 2" xfId="16702" xr:uid="{00000000-0005-0000-0000-0000D7820000}"/>
    <cellStyle name="Normal 8 6 3 2 2 2" xfId="34884" xr:uid="{00000000-0005-0000-0000-0000D8820000}"/>
    <cellStyle name="Normal 8 6 3 2 3" xfId="25794" xr:uid="{00000000-0005-0000-0000-0000D9820000}"/>
    <cellStyle name="Normal 8 6 3 3" xfId="12166" xr:uid="{00000000-0005-0000-0000-0000DA820000}"/>
    <cellStyle name="Normal 8 6 3 3 2" xfId="30348" xr:uid="{00000000-0005-0000-0000-0000DB820000}"/>
    <cellStyle name="Normal 8 6 3 4" xfId="21258" xr:uid="{00000000-0005-0000-0000-0000DC820000}"/>
    <cellStyle name="Normal 8 6 4" xfId="4655" xr:uid="{00000000-0005-0000-0000-0000DD820000}"/>
    <cellStyle name="Normal 8 6 4 2" xfId="9211" xr:uid="{00000000-0005-0000-0000-0000DE820000}"/>
    <cellStyle name="Normal 8 6 4 2 2" xfId="18307" xr:uid="{00000000-0005-0000-0000-0000DF820000}"/>
    <cellStyle name="Normal 8 6 4 2 2 2" xfId="36489" xr:uid="{00000000-0005-0000-0000-0000E0820000}"/>
    <cellStyle name="Normal 8 6 4 2 3" xfId="27399" xr:uid="{00000000-0005-0000-0000-0000E1820000}"/>
    <cellStyle name="Normal 8 6 4 3" xfId="13767" xr:uid="{00000000-0005-0000-0000-0000E2820000}"/>
    <cellStyle name="Normal 8 6 4 3 2" xfId="31949" xr:uid="{00000000-0005-0000-0000-0000E3820000}"/>
    <cellStyle name="Normal 8 6 4 4" xfId="22859" xr:uid="{00000000-0005-0000-0000-0000E4820000}"/>
    <cellStyle name="Normal 8 6 5" xfId="6294" xr:uid="{00000000-0005-0000-0000-0000E5820000}"/>
    <cellStyle name="Normal 8 6 5 2" xfId="15394" xr:uid="{00000000-0005-0000-0000-0000E6820000}"/>
    <cellStyle name="Normal 8 6 5 2 2" xfId="33576" xr:uid="{00000000-0005-0000-0000-0000E7820000}"/>
    <cellStyle name="Normal 8 6 5 3" xfId="24486" xr:uid="{00000000-0005-0000-0000-0000E8820000}"/>
    <cellStyle name="Normal 8 6 6" xfId="10860" xr:uid="{00000000-0005-0000-0000-0000E9820000}"/>
    <cellStyle name="Normal 8 6 6 2" xfId="29042" xr:uid="{00000000-0005-0000-0000-0000EA820000}"/>
    <cellStyle name="Normal 8 6 7" xfId="19951" xr:uid="{00000000-0005-0000-0000-0000EB820000}"/>
    <cellStyle name="Normal 8 7" xfId="1657" xr:uid="{00000000-0005-0000-0000-0000EC820000}"/>
    <cellStyle name="Normal 8 7 2" xfId="3023" xr:uid="{00000000-0005-0000-0000-0000ED820000}"/>
    <cellStyle name="Normal 8 7 2 2" xfId="7603" xr:uid="{00000000-0005-0000-0000-0000EE820000}"/>
    <cellStyle name="Normal 8 7 2 2 2" xfId="16703" xr:uid="{00000000-0005-0000-0000-0000EF820000}"/>
    <cellStyle name="Normal 8 7 2 2 2 2" xfId="34885" xr:uid="{00000000-0005-0000-0000-0000F0820000}"/>
    <cellStyle name="Normal 8 7 2 2 3" xfId="25795" xr:uid="{00000000-0005-0000-0000-0000F1820000}"/>
    <cellStyle name="Normal 8 7 2 3" xfId="12167" xr:uid="{00000000-0005-0000-0000-0000F2820000}"/>
    <cellStyle name="Normal 8 7 2 3 2" xfId="30349" xr:uid="{00000000-0005-0000-0000-0000F3820000}"/>
    <cellStyle name="Normal 8 7 2 4" xfId="21259" xr:uid="{00000000-0005-0000-0000-0000F4820000}"/>
    <cellStyle name="Normal 8 7 3" xfId="4657" xr:uid="{00000000-0005-0000-0000-0000F5820000}"/>
    <cellStyle name="Normal 8 7 3 2" xfId="9213" xr:uid="{00000000-0005-0000-0000-0000F6820000}"/>
    <cellStyle name="Normal 8 7 3 2 2" xfId="18309" xr:uid="{00000000-0005-0000-0000-0000F7820000}"/>
    <cellStyle name="Normal 8 7 3 2 2 2" xfId="36491" xr:uid="{00000000-0005-0000-0000-0000F8820000}"/>
    <cellStyle name="Normal 8 7 3 2 3" xfId="27401" xr:uid="{00000000-0005-0000-0000-0000F9820000}"/>
    <cellStyle name="Normal 8 7 3 3" xfId="13769" xr:uid="{00000000-0005-0000-0000-0000FA820000}"/>
    <cellStyle name="Normal 8 7 3 3 2" xfId="31951" xr:uid="{00000000-0005-0000-0000-0000FB820000}"/>
    <cellStyle name="Normal 8 7 3 4" xfId="22861" xr:uid="{00000000-0005-0000-0000-0000FC820000}"/>
    <cellStyle name="Normal 8 7 4" xfId="6296" xr:uid="{00000000-0005-0000-0000-0000FD820000}"/>
    <cellStyle name="Normal 8 7 4 2" xfId="15396" xr:uid="{00000000-0005-0000-0000-0000FE820000}"/>
    <cellStyle name="Normal 8 7 4 2 2" xfId="33578" xr:uid="{00000000-0005-0000-0000-0000FF820000}"/>
    <cellStyle name="Normal 8 7 4 3" xfId="24488" xr:uid="{00000000-0005-0000-0000-000000830000}"/>
    <cellStyle name="Normal 8 7 5" xfId="10862" xr:uid="{00000000-0005-0000-0000-000001830000}"/>
    <cellStyle name="Normal 8 7 5 2" xfId="29044" xr:uid="{00000000-0005-0000-0000-000002830000}"/>
    <cellStyle name="Normal 8 7 6" xfId="19953" xr:uid="{00000000-0005-0000-0000-000003830000}"/>
    <cellStyle name="Normal 8 8" xfId="1658" xr:uid="{00000000-0005-0000-0000-000004830000}"/>
    <cellStyle name="Normal 8 8 2" xfId="4658" xr:uid="{00000000-0005-0000-0000-000005830000}"/>
    <cellStyle name="Normal 8 8 2 2" xfId="9214" xr:uid="{00000000-0005-0000-0000-000006830000}"/>
    <cellStyle name="Normal 8 8 2 2 2" xfId="18310" xr:uid="{00000000-0005-0000-0000-000007830000}"/>
    <cellStyle name="Normal 8 8 2 2 2 2" xfId="36492" xr:uid="{00000000-0005-0000-0000-000008830000}"/>
    <cellStyle name="Normal 8 8 2 2 3" xfId="27402" xr:uid="{00000000-0005-0000-0000-000009830000}"/>
    <cellStyle name="Normal 8 8 2 3" xfId="13770" xr:uid="{00000000-0005-0000-0000-00000A830000}"/>
    <cellStyle name="Normal 8 8 2 3 2" xfId="31952" xr:uid="{00000000-0005-0000-0000-00000B830000}"/>
    <cellStyle name="Normal 8 8 2 4" xfId="22862" xr:uid="{00000000-0005-0000-0000-00000C830000}"/>
    <cellStyle name="Normal 8 8 3" xfId="6297" xr:uid="{00000000-0005-0000-0000-00000D830000}"/>
    <cellStyle name="Normal 8 8 3 2" xfId="15397" xr:uid="{00000000-0005-0000-0000-00000E830000}"/>
    <cellStyle name="Normal 8 8 3 2 2" xfId="33579" xr:uid="{00000000-0005-0000-0000-00000F830000}"/>
    <cellStyle name="Normal 8 8 3 3" xfId="24489" xr:uid="{00000000-0005-0000-0000-000010830000}"/>
    <cellStyle name="Normal 8 8 4" xfId="10863" xr:uid="{00000000-0005-0000-0000-000011830000}"/>
    <cellStyle name="Normal 8 8 4 2" xfId="29045" xr:uid="{00000000-0005-0000-0000-000012830000}"/>
    <cellStyle name="Normal 8 8 5" xfId="19954" xr:uid="{00000000-0005-0000-0000-000013830000}"/>
    <cellStyle name="Normal 8 9" xfId="3024" xr:uid="{00000000-0005-0000-0000-000014830000}"/>
    <cellStyle name="Normal 8 9 2" xfId="7604" xr:uid="{00000000-0005-0000-0000-000015830000}"/>
    <cellStyle name="Normal 8 9 2 2" xfId="16704" xr:uid="{00000000-0005-0000-0000-000016830000}"/>
    <cellStyle name="Normal 8 9 2 2 2" xfId="34886" xr:uid="{00000000-0005-0000-0000-000017830000}"/>
    <cellStyle name="Normal 8 9 2 3" xfId="25796" xr:uid="{00000000-0005-0000-0000-000018830000}"/>
    <cellStyle name="Normal 8 9 3" xfId="12168" xr:uid="{00000000-0005-0000-0000-000019830000}"/>
    <cellStyle name="Normal 8 9 3 2" xfId="30350" xr:uid="{00000000-0005-0000-0000-00001A830000}"/>
    <cellStyle name="Normal 8 9 4" xfId="21260" xr:uid="{00000000-0005-0000-0000-00001B830000}"/>
    <cellStyle name="Normal 9" xfId="31" xr:uid="{00000000-0005-0000-0000-00001C830000}"/>
    <cellStyle name="Normal 9 2" xfId="111" xr:uid="{00000000-0005-0000-0000-00001D830000}"/>
    <cellStyle name="Normal_Libro1" xfId="4807" xr:uid="{00000000-0005-0000-0000-00001E830000}"/>
    <cellStyle name="Normal_Margen Operativo TMV y TEQ San Lorenzo - version 8 - ppto TMV045" xfId="4809" xr:uid="{00000000-0005-0000-0000-00001F830000}"/>
    <cellStyle name="Normal_Matriz de Costos de Equipos - RANSA" xfId="4808" xr:uid="{00000000-0005-0000-0000-000020830000}"/>
    <cellStyle name="Normal_Sheet1" xfId="193" xr:uid="{00000000-0005-0000-0000-000021830000}"/>
    <cellStyle name="Normal_Sheet1 3 2" xfId="9371" xr:uid="{00000000-0005-0000-0000-000022830000}"/>
    <cellStyle name="Nota" xfId="1659" xr:uid="{00000000-0005-0000-0000-000023830000}"/>
    <cellStyle name="Nota 2" xfId="3025" xr:uid="{00000000-0005-0000-0000-000024830000}"/>
    <cellStyle name="Nota 2 2" xfId="7605" xr:uid="{00000000-0005-0000-0000-000025830000}"/>
    <cellStyle name="Nota 2 2 2" xfId="16705" xr:uid="{00000000-0005-0000-0000-000026830000}"/>
    <cellStyle name="Nota 2 2 2 2" xfId="34887" xr:uid="{00000000-0005-0000-0000-000027830000}"/>
    <cellStyle name="Nota 2 2 2 3" xfId="36658" xr:uid="{00000000-0005-0000-0000-000028830000}"/>
    <cellStyle name="Nota 2 2 3" xfId="25797" xr:uid="{00000000-0005-0000-0000-000029830000}"/>
    <cellStyle name="Nota 2 3" xfId="9364" xr:uid="{00000000-0005-0000-0000-00002A830000}"/>
    <cellStyle name="Nota 2 3 2" xfId="18457" xr:uid="{00000000-0005-0000-0000-00002B830000}"/>
    <cellStyle name="Nota 2 3 2 2" xfId="36639" xr:uid="{00000000-0005-0000-0000-00002C830000}"/>
    <cellStyle name="Nota 2 3 2 3" xfId="36667" xr:uid="{00000000-0005-0000-0000-00002D830000}"/>
    <cellStyle name="Nota 2 3 3" xfId="27549" xr:uid="{00000000-0005-0000-0000-00002E830000}"/>
    <cellStyle name="Nota 2 4" xfId="9360" xr:uid="{00000000-0005-0000-0000-00002F830000}"/>
    <cellStyle name="Nota 2 4 2" xfId="18453" xr:uid="{00000000-0005-0000-0000-000030830000}"/>
    <cellStyle name="Nota 2 4 2 2" xfId="36635" xr:uid="{00000000-0005-0000-0000-000031830000}"/>
    <cellStyle name="Nota 2 4 2 3" xfId="36664" xr:uid="{00000000-0005-0000-0000-000032830000}"/>
    <cellStyle name="Nota 2 4 3" xfId="27545" xr:uid="{00000000-0005-0000-0000-000033830000}"/>
    <cellStyle name="Nota 2 4 4" xfId="36649" xr:uid="{00000000-0005-0000-0000-000034830000}"/>
    <cellStyle name="Nota 3" xfId="4659" xr:uid="{00000000-0005-0000-0000-000035830000}"/>
    <cellStyle name="Nota 3 2" xfId="9215" xr:uid="{00000000-0005-0000-0000-000036830000}"/>
    <cellStyle name="Nota 3 2 2" xfId="18311" xr:uid="{00000000-0005-0000-0000-000037830000}"/>
    <cellStyle name="Nota 3 2 2 2" xfId="36493" xr:uid="{00000000-0005-0000-0000-000038830000}"/>
    <cellStyle name="Nota 3 2 2 3" xfId="36660" xr:uid="{00000000-0005-0000-0000-000039830000}"/>
    <cellStyle name="Nota 3 2 3" xfId="27403" xr:uid="{00000000-0005-0000-0000-00003A830000}"/>
    <cellStyle name="Nota 3 3" xfId="9368" xr:uid="{00000000-0005-0000-0000-00003B830000}"/>
    <cellStyle name="Nota 3 3 2" xfId="18461" xr:uid="{00000000-0005-0000-0000-00003C830000}"/>
    <cellStyle name="Nota 3 3 2 2" xfId="36643" xr:uid="{00000000-0005-0000-0000-00003D830000}"/>
    <cellStyle name="Nota 3 3 2 3" xfId="36671" xr:uid="{00000000-0005-0000-0000-00003E830000}"/>
    <cellStyle name="Nota 3 3 3" xfId="27553" xr:uid="{00000000-0005-0000-0000-00003F830000}"/>
    <cellStyle name="Nota 3 3 4" xfId="36653" xr:uid="{00000000-0005-0000-0000-000040830000}"/>
    <cellStyle name="Percent 2" xfId="57" xr:uid="{00000000-0005-0000-0000-000041830000}"/>
    <cellStyle name="Percent-0.0%" xfId="1660" xr:uid="{00000000-0005-0000-0000-000042830000}"/>
    <cellStyle name="Percent-no dec" xfId="1661" xr:uid="{00000000-0005-0000-0000-000043830000}"/>
    <cellStyle name="Porcentaje" xfId="11" builtinId="5"/>
    <cellStyle name="Porcentaje 2" xfId="197" xr:uid="{00000000-0005-0000-0000-000045830000}"/>
    <cellStyle name="Porcentaje 2 2" xfId="1662" xr:uid="{00000000-0005-0000-0000-000046830000}"/>
    <cellStyle name="Porcentaje 2 2 2" xfId="9374" xr:uid="{00000000-0005-0000-0000-000047830000}"/>
    <cellStyle name="Porcentaje 2 2 2 2" xfId="18465" xr:uid="{00000000-0005-0000-0000-000048830000}"/>
    <cellStyle name="Porcentaje 2 2 2 2 2" xfId="36647" xr:uid="{00000000-0005-0000-0000-000049830000}"/>
    <cellStyle name="Porcentaje 2 2 2 3" xfId="27556" xr:uid="{00000000-0005-0000-0000-00004A830000}"/>
    <cellStyle name="Porcentaje 3" xfId="1663" xr:uid="{00000000-0005-0000-0000-00004B830000}"/>
    <cellStyle name="Porcentaje 3 10" xfId="36683" xr:uid="{00000000-0005-0000-0000-00004C830000}"/>
    <cellStyle name="Porcentaje 3 2" xfId="1664" xr:uid="{00000000-0005-0000-0000-00004D830000}"/>
    <cellStyle name="Porcentaje 3 2 2" xfId="1665" xr:uid="{00000000-0005-0000-0000-00004E830000}"/>
    <cellStyle name="Porcentaje 3 2 2 2" xfId="3026" xr:uid="{00000000-0005-0000-0000-00004F830000}"/>
    <cellStyle name="Porcentaje 3 2 2 2 2" xfId="7606" xr:uid="{00000000-0005-0000-0000-000050830000}"/>
    <cellStyle name="Porcentaje 3 2 2 2 2 2" xfId="16706" xr:uid="{00000000-0005-0000-0000-000051830000}"/>
    <cellStyle name="Porcentaje 3 2 2 2 2 2 2" xfId="34888" xr:uid="{00000000-0005-0000-0000-000052830000}"/>
    <cellStyle name="Porcentaje 3 2 2 2 2 3" xfId="25798" xr:uid="{00000000-0005-0000-0000-000053830000}"/>
    <cellStyle name="Porcentaje 3 2 2 2 3" xfId="12169" xr:uid="{00000000-0005-0000-0000-000054830000}"/>
    <cellStyle name="Porcentaje 3 2 2 2 3 2" xfId="30351" xr:uid="{00000000-0005-0000-0000-000055830000}"/>
    <cellStyle name="Porcentaje 3 2 2 2 4" xfId="21261" xr:uid="{00000000-0005-0000-0000-000056830000}"/>
    <cellStyle name="Porcentaje 3 2 2 3" xfId="4662" xr:uid="{00000000-0005-0000-0000-000057830000}"/>
    <cellStyle name="Porcentaje 3 2 2 3 2" xfId="9218" xr:uid="{00000000-0005-0000-0000-000058830000}"/>
    <cellStyle name="Porcentaje 3 2 2 3 2 2" xfId="18314" xr:uid="{00000000-0005-0000-0000-000059830000}"/>
    <cellStyle name="Porcentaje 3 2 2 3 2 2 2" xfId="36496" xr:uid="{00000000-0005-0000-0000-00005A830000}"/>
    <cellStyle name="Porcentaje 3 2 2 3 2 3" xfId="27406" xr:uid="{00000000-0005-0000-0000-00005B830000}"/>
    <cellStyle name="Porcentaje 3 2 2 3 3" xfId="13773" xr:uid="{00000000-0005-0000-0000-00005C830000}"/>
    <cellStyle name="Porcentaje 3 2 2 3 3 2" xfId="31955" xr:uid="{00000000-0005-0000-0000-00005D830000}"/>
    <cellStyle name="Porcentaje 3 2 2 3 4" xfId="22865" xr:uid="{00000000-0005-0000-0000-00005E830000}"/>
    <cellStyle name="Porcentaje 3 2 2 4" xfId="6300" xr:uid="{00000000-0005-0000-0000-00005F830000}"/>
    <cellStyle name="Porcentaje 3 2 2 4 2" xfId="15400" xr:uid="{00000000-0005-0000-0000-000060830000}"/>
    <cellStyle name="Porcentaje 3 2 2 4 2 2" xfId="33582" xr:uid="{00000000-0005-0000-0000-000061830000}"/>
    <cellStyle name="Porcentaje 3 2 2 4 3" xfId="24492" xr:uid="{00000000-0005-0000-0000-000062830000}"/>
    <cellStyle name="Porcentaje 3 2 2 5" xfId="10866" xr:uid="{00000000-0005-0000-0000-000063830000}"/>
    <cellStyle name="Porcentaje 3 2 2 5 2" xfId="29048" xr:uid="{00000000-0005-0000-0000-000064830000}"/>
    <cellStyle name="Porcentaje 3 2 2 6" xfId="19957" xr:uid="{00000000-0005-0000-0000-000065830000}"/>
    <cellStyle name="Porcentaje 3 2 3" xfId="3027" xr:uid="{00000000-0005-0000-0000-000066830000}"/>
    <cellStyle name="Porcentaje 3 2 3 2" xfId="7607" xr:uid="{00000000-0005-0000-0000-000067830000}"/>
    <cellStyle name="Porcentaje 3 2 3 2 2" xfId="16707" xr:uid="{00000000-0005-0000-0000-000068830000}"/>
    <cellStyle name="Porcentaje 3 2 3 2 2 2" xfId="34889" xr:uid="{00000000-0005-0000-0000-000069830000}"/>
    <cellStyle name="Porcentaje 3 2 3 2 3" xfId="25799" xr:uid="{00000000-0005-0000-0000-00006A830000}"/>
    <cellStyle name="Porcentaje 3 2 3 3" xfId="12170" xr:uid="{00000000-0005-0000-0000-00006B830000}"/>
    <cellStyle name="Porcentaje 3 2 3 3 2" xfId="30352" xr:uid="{00000000-0005-0000-0000-00006C830000}"/>
    <cellStyle name="Porcentaje 3 2 3 4" xfId="21262" xr:uid="{00000000-0005-0000-0000-00006D830000}"/>
    <cellStyle name="Porcentaje 3 2 4" xfId="4661" xr:uid="{00000000-0005-0000-0000-00006E830000}"/>
    <cellStyle name="Porcentaje 3 2 4 2" xfId="9217" xr:uid="{00000000-0005-0000-0000-00006F830000}"/>
    <cellStyle name="Porcentaje 3 2 4 2 2" xfId="18313" xr:uid="{00000000-0005-0000-0000-000070830000}"/>
    <cellStyle name="Porcentaje 3 2 4 2 2 2" xfId="36495" xr:uid="{00000000-0005-0000-0000-000071830000}"/>
    <cellStyle name="Porcentaje 3 2 4 2 3" xfId="27405" xr:uid="{00000000-0005-0000-0000-000072830000}"/>
    <cellStyle name="Porcentaje 3 2 4 3" xfId="13772" xr:uid="{00000000-0005-0000-0000-000073830000}"/>
    <cellStyle name="Porcentaje 3 2 4 3 2" xfId="31954" xr:uid="{00000000-0005-0000-0000-000074830000}"/>
    <cellStyle name="Porcentaje 3 2 4 4" xfId="22864" xr:uid="{00000000-0005-0000-0000-000075830000}"/>
    <cellStyle name="Porcentaje 3 2 5" xfId="6299" xr:uid="{00000000-0005-0000-0000-000076830000}"/>
    <cellStyle name="Porcentaje 3 2 5 2" xfId="15399" xr:uid="{00000000-0005-0000-0000-000077830000}"/>
    <cellStyle name="Porcentaje 3 2 5 2 2" xfId="33581" xr:uid="{00000000-0005-0000-0000-000078830000}"/>
    <cellStyle name="Porcentaje 3 2 5 3" xfId="24491" xr:uid="{00000000-0005-0000-0000-000079830000}"/>
    <cellStyle name="Porcentaje 3 2 6" xfId="10865" xr:uid="{00000000-0005-0000-0000-00007A830000}"/>
    <cellStyle name="Porcentaje 3 2 6 2" xfId="29047" xr:uid="{00000000-0005-0000-0000-00007B830000}"/>
    <cellStyle name="Porcentaje 3 2 7" xfId="19956" xr:uid="{00000000-0005-0000-0000-00007C830000}"/>
    <cellStyle name="Porcentaje 3 3" xfId="1666" xr:uid="{00000000-0005-0000-0000-00007D830000}"/>
    <cellStyle name="Porcentaje 3 3 2" xfId="3028" xr:uid="{00000000-0005-0000-0000-00007E830000}"/>
    <cellStyle name="Porcentaje 3 3 2 2" xfId="7608" xr:uid="{00000000-0005-0000-0000-00007F830000}"/>
    <cellStyle name="Porcentaje 3 3 2 2 2" xfId="16708" xr:uid="{00000000-0005-0000-0000-000080830000}"/>
    <cellStyle name="Porcentaje 3 3 2 2 2 2" xfId="34890" xr:uid="{00000000-0005-0000-0000-000081830000}"/>
    <cellStyle name="Porcentaje 3 3 2 2 3" xfId="25800" xr:uid="{00000000-0005-0000-0000-000082830000}"/>
    <cellStyle name="Porcentaje 3 3 2 3" xfId="12171" xr:uid="{00000000-0005-0000-0000-000083830000}"/>
    <cellStyle name="Porcentaje 3 3 2 3 2" xfId="30353" xr:uid="{00000000-0005-0000-0000-000084830000}"/>
    <cellStyle name="Porcentaje 3 3 2 4" xfId="21263" xr:uid="{00000000-0005-0000-0000-000085830000}"/>
    <cellStyle name="Porcentaje 3 3 3" xfId="4663" xr:uid="{00000000-0005-0000-0000-000086830000}"/>
    <cellStyle name="Porcentaje 3 3 3 2" xfId="9219" xr:uid="{00000000-0005-0000-0000-000087830000}"/>
    <cellStyle name="Porcentaje 3 3 3 2 2" xfId="18315" xr:uid="{00000000-0005-0000-0000-000088830000}"/>
    <cellStyle name="Porcentaje 3 3 3 2 2 2" xfId="36497" xr:uid="{00000000-0005-0000-0000-000089830000}"/>
    <cellStyle name="Porcentaje 3 3 3 2 3" xfId="27407" xr:uid="{00000000-0005-0000-0000-00008A830000}"/>
    <cellStyle name="Porcentaje 3 3 3 3" xfId="13774" xr:uid="{00000000-0005-0000-0000-00008B830000}"/>
    <cellStyle name="Porcentaje 3 3 3 3 2" xfId="31956" xr:uid="{00000000-0005-0000-0000-00008C830000}"/>
    <cellStyle name="Porcentaje 3 3 3 4" xfId="22866" xr:uid="{00000000-0005-0000-0000-00008D830000}"/>
    <cellStyle name="Porcentaje 3 3 4" xfId="6301" xr:uid="{00000000-0005-0000-0000-00008E830000}"/>
    <cellStyle name="Porcentaje 3 3 4 2" xfId="15401" xr:uid="{00000000-0005-0000-0000-00008F830000}"/>
    <cellStyle name="Porcentaje 3 3 4 2 2" xfId="33583" xr:uid="{00000000-0005-0000-0000-000090830000}"/>
    <cellStyle name="Porcentaje 3 3 4 3" xfId="24493" xr:uid="{00000000-0005-0000-0000-000091830000}"/>
    <cellStyle name="Porcentaje 3 3 5" xfId="10867" xr:uid="{00000000-0005-0000-0000-000092830000}"/>
    <cellStyle name="Porcentaje 3 3 5 2" xfId="29049" xr:uid="{00000000-0005-0000-0000-000093830000}"/>
    <cellStyle name="Porcentaje 3 3 6" xfId="19958" xr:uid="{00000000-0005-0000-0000-000094830000}"/>
    <cellStyle name="Porcentaje 3 4" xfId="3029" xr:uid="{00000000-0005-0000-0000-000095830000}"/>
    <cellStyle name="Porcentaje 3 4 2" xfId="7609" xr:uid="{00000000-0005-0000-0000-000096830000}"/>
    <cellStyle name="Porcentaje 3 4 2 2" xfId="16709" xr:uid="{00000000-0005-0000-0000-000097830000}"/>
    <cellStyle name="Porcentaje 3 4 2 2 2" xfId="34891" xr:uid="{00000000-0005-0000-0000-000098830000}"/>
    <cellStyle name="Porcentaje 3 4 2 3" xfId="25801" xr:uid="{00000000-0005-0000-0000-000099830000}"/>
    <cellStyle name="Porcentaje 3 4 3" xfId="12172" xr:uid="{00000000-0005-0000-0000-00009A830000}"/>
    <cellStyle name="Porcentaje 3 4 3 2" xfId="30354" xr:uid="{00000000-0005-0000-0000-00009B830000}"/>
    <cellStyle name="Porcentaje 3 4 4" xfId="21264" xr:uid="{00000000-0005-0000-0000-00009C830000}"/>
    <cellStyle name="Porcentaje 3 5" xfId="3030" xr:uid="{00000000-0005-0000-0000-00009D830000}"/>
    <cellStyle name="Porcentaje 3 6" xfId="4660" xr:uid="{00000000-0005-0000-0000-00009E830000}"/>
    <cellStyle name="Porcentaje 3 6 2" xfId="9216" xr:uid="{00000000-0005-0000-0000-00009F830000}"/>
    <cellStyle name="Porcentaje 3 6 2 2" xfId="18312" xr:uid="{00000000-0005-0000-0000-0000A0830000}"/>
    <cellStyle name="Porcentaje 3 6 2 2 2" xfId="36494" xr:uid="{00000000-0005-0000-0000-0000A1830000}"/>
    <cellStyle name="Porcentaje 3 6 2 3" xfId="27404" xr:uid="{00000000-0005-0000-0000-0000A2830000}"/>
    <cellStyle name="Porcentaje 3 6 3" xfId="13771" xr:uid="{00000000-0005-0000-0000-0000A3830000}"/>
    <cellStyle name="Porcentaje 3 6 3 2" xfId="31953" xr:uid="{00000000-0005-0000-0000-0000A4830000}"/>
    <cellStyle name="Porcentaje 3 6 4" xfId="22863" xr:uid="{00000000-0005-0000-0000-0000A5830000}"/>
    <cellStyle name="Porcentaje 3 7" xfId="6298" xr:uid="{00000000-0005-0000-0000-0000A6830000}"/>
    <cellStyle name="Porcentaje 3 7 2" xfId="15398" xr:uid="{00000000-0005-0000-0000-0000A7830000}"/>
    <cellStyle name="Porcentaje 3 7 2 2" xfId="33580" xr:uid="{00000000-0005-0000-0000-0000A8830000}"/>
    <cellStyle name="Porcentaje 3 7 3" xfId="24490" xr:uid="{00000000-0005-0000-0000-0000A9830000}"/>
    <cellStyle name="Porcentaje 3 8" xfId="10864" xr:uid="{00000000-0005-0000-0000-0000AA830000}"/>
    <cellStyle name="Porcentaje 3 8 2" xfId="29046" xr:uid="{00000000-0005-0000-0000-0000AB830000}"/>
    <cellStyle name="Porcentaje 3 9" xfId="19955" xr:uid="{00000000-0005-0000-0000-0000AC830000}"/>
    <cellStyle name="Porcentaje 4" xfId="1667" xr:uid="{00000000-0005-0000-0000-0000AD830000}"/>
    <cellStyle name="Porcentaje 4 2" xfId="3031" xr:uid="{00000000-0005-0000-0000-0000AE830000}"/>
    <cellStyle name="Porcentaje 4 3" xfId="4664" xr:uid="{00000000-0005-0000-0000-0000AF830000}"/>
    <cellStyle name="Porcentaje 4 3 2" xfId="9220" xr:uid="{00000000-0005-0000-0000-0000B0830000}"/>
    <cellStyle name="Porcentaje 4 3 2 2" xfId="18316" xr:uid="{00000000-0005-0000-0000-0000B1830000}"/>
    <cellStyle name="Porcentaje 4 3 2 2 2" xfId="36498" xr:uid="{00000000-0005-0000-0000-0000B2830000}"/>
    <cellStyle name="Porcentaje 4 3 2 3" xfId="27408" xr:uid="{00000000-0005-0000-0000-0000B3830000}"/>
    <cellStyle name="Porcentaje 4 3 3" xfId="13775" xr:uid="{00000000-0005-0000-0000-0000B4830000}"/>
    <cellStyle name="Porcentaje 4 3 3 2" xfId="31957" xr:uid="{00000000-0005-0000-0000-0000B5830000}"/>
    <cellStyle name="Porcentaje 4 3 4" xfId="22867" xr:uid="{00000000-0005-0000-0000-0000B6830000}"/>
    <cellStyle name="Porcentaje 4 4" xfId="6302" xr:uid="{00000000-0005-0000-0000-0000B7830000}"/>
    <cellStyle name="Porcentaje 4 4 2" xfId="15402" xr:uid="{00000000-0005-0000-0000-0000B8830000}"/>
    <cellStyle name="Porcentaje 4 4 2 2" xfId="33584" xr:uid="{00000000-0005-0000-0000-0000B9830000}"/>
    <cellStyle name="Porcentaje 4 4 3" xfId="24494" xr:uid="{00000000-0005-0000-0000-0000BA830000}"/>
    <cellStyle name="Porcentaje 4 5" xfId="10868" xr:uid="{00000000-0005-0000-0000-0000BB830000}"/>
    <cellStyle name="Porcentaje 4 5 2" xfId="29050" xr:uid="{00000000-0005-0000-0000-0000BC830000}"/>
    <cellStyle name="Porcentaje 4 6" xfId="19959" xr:uid="{00000000-0005-0000-0000-0000BD830000}"/>
    <cellStyle name="Porcentaje 5" xfId="1668" xr:uid="{00000000-0005-0000-0000-0000BE830000}"/>
    <cellStyle name="Porcentaje 5 2" xfId="4665" xr:uid="{00000000-0005-0000-0000-0000BF830000}"/>
    <cellStyle name="Porcentaje 5 2 2" xfId="9221" xr:uid="{00000000-0005-0000-0000-0000C0830000}"/>
    <cellStyle name="Porcentaje 5 2 2 2" xfId="18317" xr:uid="{00000000-0005-0000-0000-0000C1830000}"/>
    <cellStyle name="Porcentaje 5 2 2 2 2" xfId="36499" xr:uid="{00000000-0005-0000-0000-0000C2830000}"/>
    <cellStyle name="Porcentaje 5 2 2 3" xfId="27409" xr:uid="{00000000-0005-0000-0000-0000C3830000}"/>
    <cellStyle name="Porcentaje 5 2 3" xfId="13776" xr:uid="{00000000-0005-0000-0000-0000C4830000}"/>
    <cellStyle name="Porcentaje 5 2 3 2" xfId="31958" xr:uid="{00000000-0005-0000-0000-0000C5830000}"/>
    <cellStyle name="Porcentaje 5 2 4" xfId="22868" xr:uid="{00000000-0005-0000-0000-0000C6830000}"/>
    <cellStyle name="Porcentaje 5 3" xfId="6303" xr:uid="{00000000-0005-0000-0000-0000C7830000}"/>
    <cellStyle name="Porcentaje 5 3 2" xfId="15403" xr:uid="{00000000-0005-0000-0000-0000C8830000}"/>
    <cellStyle name="Porcentaje 5 3 2 2" xfId="33585" xr:uid="{00000000-0005-0000-0000-0000C9830000}"/>
    <cellStyle name="Porcentaje 5 3 3" xfId="24495" xr:uid="{00000000-0005-0000-0000-0000CA830000}"/>
    <cellStyle name="Porcentaje 5 4" xfId="10869" xr:uid="{00000000-0005-0000-0000-0000CB830000}"/>
    <cellStyle name="Porcentaje 5 4 2" xfId="29051" xr:uid="{00000000-0005-0000-0000-0000CC830000}"/>
    <cellStyle name="Porcentaje 5 5" xfId="19960" xr:uid="{00000000-0005-0000-0000-0000CD830000}"/>
    <cellStyle name="Porcentaje 6" xfId="3032" xr:uid="{00000000-0005-0000-0000-0000CE830000}"/>
    <cellStyle name="Porcentaje 6 2" xfId="7611" xr:uid="{00000000-0005-0000-0000-0000CF830000}"/>
    <cellStyle name="Porcentaje 6 2 2" xfId="16711" xr:uid="{00000000-0005-0000-0000-0000D0830000}"/>
    <cellStyle name="Porcentaje 6 2 2 2" xfId="34893" xr:uid="{00000000-0005-0000-0000-0000D1830000}"/>
    <cellStyle name="Porcentaje 6 2 3" xfId="25803" xr:uid="{00000000-0005-0000-0000-0000D2830000}"/>
    <cellStyle name="Porcentaje 6 3" xfId="12173" xr:uid="{00000000-0005-0000-0000-0000D3830000}"/>
    <cellStyle name="Porcentaje 6 3 2" xfId="30355" xr:uid="{00000000-0005-0000-0000-0000D4830000}"/>
    <cellStyle name="Porcentaje 6 4" xfId="21265" xr:uid="{00000000-0005-0000-0000-0000D5830000}"/>
    <cellStyle name="Porcentaje 7" xfId="3033" xr:uid="{00000000-0005-0000-0000-0000D6830000}"/>
    <cellStyle name="Porcentaje 8" xfId="3148" xr:uid="{00000000-0005-0000-0000-0000D7830000}"/>
    <cellStyle name="Porcentaje 8 2" xfId="7709" xr:uid="{00000000-0005-0000-0000-0000D8830000}"/>
    <cellStyle name="Porcentaje 9" xfId="4798" xr:uid="{00000000-0005-0000-0000-0000D9830000}"/>
    <cellStyle name="Porcentaje 9 2" xfId="9354" xr:uid="{00000000-0005-0000-0000-0000DA830000}"/>
    <cellStyle name="Porcentaje 9 2 2" xfId="18450" xr:uid="{00000000-0005-0000-0000-0000DB830000}"/>
    <cellStyle name="Porcentaje 9 2 2 2" xfId="36632" xr:uid="{00000000-0005-0000-0000-0000DC830000}"/>
    <cellStyle name="Porcentaje 9 2 3" xfId="27542" xr:uid="{00000000-0005-0000-0000-0000DD830000}"/>
    <cellStyle name="Porcentaje 9 3" xfId="13908" xr:uid="{00000000-0005-0000-0000-0000DE830000}"/>
    <cellStyle name="Porcentaje 9 3 2" xfId="32090" xr:uid="{00000000-0005-0000-0000-0000DF830000}"/>
    <cellStyle name="Porcentaje 9 4" xfId="23000" xr:uid="{00000000-0005-0000-0000-0000E0830000}"/>
    <cellStyle name="Porcentual 10" xfId="155" xr:uid="{00000000-0005-0000-0000-0000E1830000}"/>
    <cellStyle name="Porcentual 10 10" xfId="18535" xr:uid="{00000000-0005-0000-0000-0000E2830000}"/>
    <cellStyle name="Porcentual 10 2" xfId="1669" xr:uid="{00000000-0005-0000-0000-0000E3830000}"/>
    <cellStyle name="Porcentual 10 2 2" xfId="1670" xr:uid="{00000000-0005-0000-0000-0000E4830000}"/>
    <cellStyle name="Porcentual 10 2 2 2" xfId="1671" xr:uid="{00000000-0005-0000-0000-0000E5830000}"/>
    <cellStyle name="Porcentual 10 2 2 2 2" xfId="3034" xr:uid="{00000000-0005-0000-0000-0000E6830000}"/>
    <cellStyle name="Porcentual 10 2 2 2 2 2" xfId="7612" xr:uid="{00000000-0005-0000-0000-0000E7830000}"/>
    <cellStyle name="Porcentual 10 2 2 2 2 2 2" xfId="16712" xr:uid="{00000000-0005-0000-0000-0000E8830000}"/>
    <cellStyle name="Porcentual 10 2 2 2 2 2 2 2" xfId="34894" xr:uid="{00000000-0005-0000-0000-0000E9830000}"/>
    <cellStyle name="Porcentual 10 2 2 2 2 2 3" xfId="25804" xr:uid="{00000000-0005-0000-0000-0000EA830000}"/>
    <cellStyle name="Porcentual 10 2 2 2 2 3" xfId="12174" xr:uid="{00000000-0005-0000-0000-0000EB830000}"/>
    <cellStyle name="Porcentual 10 2 2 2 2 3 2" xfId="30356" xr:uid="{00000000-0005-0000-0000-0000EC830000}"/>
    <cellStyle name="Porcentual 10 2 2 2 2 4" xfId="21266" xr:uid="{00000000-0005-0000-0000-0000ED830000}"/>
    <cellStyle name="Porcentual 10 2 2 2 3" xfId="4668" xr:uid="{00000000-0005-0000-0000-0000EE830000}"/>
    <cellStyle name="Porcentual 10 2 2 2 3 2" xfId="9224" xr:uid="{00000000-0005-0000-0000-0000EF830000}"/>
    <cellStyle name="Porcentual 10 2 2 2 3 2 2" xfId="18320" xr:uid="{00000000-0005-0000-0000-0000F0830000}"/>
    <cellStyle name="Porcentual 10 2 2 2 3 2 2 2" xfId="36502" xr:uid="{00000000-0005-0000-0000-0000F1830000}"/>
    <cellStyle name="Porcentual 10 2 2 2 3 2 3" xfId="27412" xr:uid="{00000000-0005-0000-0000-0000F2830000}"/>
    <cellStyle name="Porcentual 10 2 2 2 3 3" xfId="13779" xr:uid="{00000000-0005-0000-0000-0000F3830000}"/>
    <cellStyle name="Porcentual 10 2 2 2 3 3 2" xfId="31961" xr:uid="{00000000-0005-0000-0000-0000F4830000}"/>
    <cellStyle name="Porcentual 10 2 2 2 3 4" xfId="22871" xr:uid="{00000000-0005-0000-0000-0000F5830000}"/>
    <cellStyle name="Porcentual 10 2 2 2 4" xfId="6306" xr:uid="{00000000-0005-0000-0000-0000F6830000}"/>
    <cellStyle name="Porcentual 10 2 2 2 4 2" xfId="15406" xr:uid="{00000000-0005-0000-0000-0000F7830000}"/>
    <cellStyle name="Porcentual 10 2 2 2 4 2 2" xfId="33588" xr:uid="{00000000-0005-0000-0000-0000F8830000}"/>
    <cellStyle name="Porcentual 10 2 2 2 4 3" xfId="24498" xr:uid="{00000000-0005-0000-0000-0000F9830000}"/>
    <cellStyle name="Porcentual 10 2 2 2 5" xfId="10872" xr:uid="{00000000-0005-0000-0000-0000FA830000}"/>
    <cellStyle name="Porcentual 10 2 2 2 5 2" xfId="29054" xr:uid="{00000000-0005-0000-0000-0000FB830000}"/>
    <cellStyle name="Porcentual 10 2 2 2 6" xfId="19963" xr:uid="{00000000-0005-0000-0000-0000FC830000}"/>
    <cellStyle name="Porcentual 10 2 2 3" xfId="3035" xr:uid="{00000000-0005-0000-0000-0000FD830000}"/>
    <cellStyle name="Porcentual 10 2 2 3 2" xfId="7613" xr:uid="{00000000-0005-0000-0000-0000FE830000}"/>
    <cellStyle name="Porcentual 10 2 2 3 2 2" xfId="16713" xr:uid="{00000000-0005-0000-0000-0000FF830000}"/>
    <cellStyle name="Porcentual 10 2 2 3 2 2 2" xfId="34895" xr:uid="{00000000-0005-0000-0000-000000840000}"/>
    <cellStyle name="Porcentual 10 2 2 3 2 3" xfId="25805" xr:uid="{00000000-0005-0000-0000-000001840000}"/>
    <cellStyle name="Porcentual 10 2 2 3 3" xfId="12175" xr:uid="{00000000-0005-0000-0000-000002840000}"/>
    <cellStyle name="Porcentual 10 2 2 3 3 2" xfId="30357" xr:uid="{00000000-0005-0000-0000-000003840000}"/>
    <cellStyle name="Porcentual 10 2 2 3 4" xfId="21267" xr:uid="{00000000-0005-0000-0000-000004840000}"/>
    <cellStyle name="Porcentual 10 2 2 4" xfId="4667" xr:uid="{00000000-0005-0000-0000-000005840000}"/>
    <cellStyle name="Porcentual 10 2 2 4 2" xfId="9223" xr:uid="{00000000-0005-0000-0000-000006840000}"/>
    <cellStyle name="Porcentual 10 2 2 4 2 2" xfId="18319" xr:uid="{00000000-0005-0000-0000-000007840000}"/>
    <cellStyle name="Porcentual 10 2 2 4 2 2 2" xfId="36501" xr:uid="{00000000-0005-0000-0000-000008840000}"/>
    <cellStyle name="Porcentual 10 2 2 4 2 3" xfId="27411" xr:uid="{00000000-0005-0000-0000-000009840000}"/>
    <cellStyle name="Porcentual 10 2 2 4 3" xfId="13778" xr:uid="{00000000-0005-0000-0000-00000A840000}"/>
    <cellStyle name="Porcentual 10 2 2 4 3 2" xfId="31960" xr:uid="{00000000-0005-0000-0000-00000B840000}"/>
    <cellStyle name="Porcentual 10 2 2 4 4" xfId="22870" xr:uid="{00000000-0005-0000-0000-00000C840000}"/>
    <cellStyle name="Porcentual 10 2 2 5" xfId="6305" xr:uid="{00000000-0005-0000-0000-00000D840000}"/>
    <cellStyle name="Porcentual 10 2 2 5 2" xfId="15405" xr:uid="{00000000-0005-0000-0000-00000E840000}"/>
    <cellStyle name="Porcentual 10 2 2 5 2 2" xfId="33587" xr:uid="{00000000-0005-0000-0000-00000F840000}"/>
    <cellStyle name="Porcentual 10 2 2 5 3" xfId="24497" xr:uid="{00000000-0005-0000-0000-000010840000}"/>
    <cellStyle name="Porcentual 10 2 2 6" xfId="10871" xr:uid="{00000000-0005-0000-0000-000011840000}"/>
    <cellStyle name="Porcentual 10 2 2 6 2" xfId="29053" xr:uid="{00000000-0005-0000-0000-000012840000}"/>
    <cellStyle name="Porcentual 10 2 2 7" xfId="19962" xr:uid="{00000000-0005-0000-0000-000013840000}"/>
    <cellStyle name="Porcentual 10 2 3" xfId="1672" xr:uid="{00000000-0005-0000-0000-000014840000}"/>
    <cellStyle name="Porcentual 10 2 3 2" xfId="3036" xr:uid="{00000000-0005-0000-0000-000015840000}"/>
    <cellStyle name="Porcentual 10 2 3 2 2" xfId="7614" xr:uid="{00000000-0005-0000-0000-000016840000}"/>
    <cellStyle name="Porcentual 10 2 3 2 2 2" xfId="16714" xr:uid="{00000000-0005-0000-0000-000017840000}"/>
    <cellStyle name="Porcentual 10 2 3 2 2 2 2" xfId="34896" xr:uid="{00000000-0005-0000-0000-000018840000}"/>
    <cellStyle name="Porcentual 10 2 3 2 2 3" xfId="25806" xr:uid="{00000000-0005-0000-0000-000019840000}"/>
    <cellStyle name="Porcentual 10 2 3 2 3" xfId="12176" xr:uid="{00000000-0005-0000-0000-00001A840000}"/>
    <cellStyle name="Porcentual 10 2 3 2 3 2" xfId="30358" xr:uid="{00000000-0005-0000-0000-00001B840000}"/>
    <cellStyle name="Porcentual 10 2 3 2 4" xfId="21268" xr:uid="{00000000-0005-0000-0000-00001C840000}"/>
    <cellStyle name="Porcentual 10 2 3 3" xfId="4669" xr:uid="{00000000-0005-0000-0000-00001D840000}"/>
    <cellStyle name="Porcentual 10 2 3 3 2" xfId="9225" xr:uid="{00000000-0005-0000-0000-00001E840000}"/>
    <cellStyle name="Porcentual 10 2 3 3 2 2" xfId="18321" xr:uid="{00000000-0005-0000-0000-00001F840000}"/>
    <cellStyle name="Porcentual 10 2 3 3 2 2 2" xfId="36503" xr:uid="{00000000-0005-0000-0000-000020840000}"/>
    <cellStyle name="Porcentual 10 2 3 3 2 3" xfId="27413" xr:uid="{00000000-0005-0000-0000-000021840000}"/>
    <cellStyle name="Porcentual 10 2 3 3 3" xfId="13780" xr:uid="{00000000-0005-0000-0000-000022840000}"/>
    <cellStyle name="Porcentual 10 2 3 3 3 2" xfId="31962" xr:uid="{00000000-0005-0000-0000-000023840000}"/>
    <cellStyle name="Porcentual 10 2 3 3 4" xfId="22872" xr:uid="{00000000-0005-0000-0000-000024840000}"/>
    <cellStyle name="Porcentual 10 2 3 4" xfId="6307" xr:uid="{00000000-0005-0000-0000-000025840000}"/>
    <cellStyle name="Porcentual 10 2 3 4 2" xfId="15407" xr:uid="{00000000-0005-0000-0000-000026840000}"/>
    <cellStyle name="Porcentual 10 2 3 4 2 2" xfId="33589" xr:uid="{00000000-0005-0000-0000-000027840000}"/>
    <cellStyle name="Porcentual 10 2 3 4 3" xfId="24499" xr:uid="{00000000-0005-0000-0000-000028840000}"/>
    <cellStyle name="Porcentual 10 2 3 5" xfId="10873" xr:uid="{00000000-0005-0000-0000-000029840000}"/>
    <cellStyle name="Porcentual 10 2 3 5 2" xfId="29055" xr:uid="{00000000-0005-0000-0000-00002A840000}"/>
    <cellStyle name="Porcentual 10 2 3 6" xfId="19964" xr:uid="{00000000-0005-0000-0000-00002B840000}"/>
    <cellStyle name="Porcentual 10 2 4" xfId="1673" xr:uid="{00000000-0005-0000-0000-00002C840000}"/>
    <cellStyle name="Porcentual 10 2 4 2" xfId="4670" xr:uid="{00000000-0005-0000-0000-00002D840000}"/>
    <cellStyle name="Porcentual 10 2 4 2 2" xfId="9226" xr:uid="{00000000-0005-0000-0000-00002E840000}"/>
    <cellStyle name="Porcentual 10 2 4 2 2 2" xfId="18322" xr:uid="{00000000-0005-0000-0000-00002F840000}"/>
    <cellStyle name="Porcentual 10 2 4 2 2 2 2" xfId="36504" xr:uid="{00000000-0005-0000-0000-000030840000}"/>
    <cellStyle name="Porcentual 10 2 4 2 2 3" xfId="27414" xr:uid="{00000000-0005-0000-0000-000031840000}"/>
    <cellStyle name="Porcentual 10 2 4 2 3" xfId="13781" xr:uid="{00000000-0005-0000-0000-000032840000}"/>
    <cellStyle name="Porcentual 10 2 4 2 3 2" xfId="31963" xr:uid="{00000000-0005-0000-0000-000033840000}"/>
    <cellStyle name="Porcentual 10 2 4 2 4" xfId="22873" xr:uid="{00000000-0005-0000-0000-000034840000}"/>
    <cellStyle name="Porcentual 10 2 4 3" xfId="6308" xr:uid="{00000000-0005-0000-0000-000035840000}"/>
    <cellStyle name="Porcentual 10 2 4 3 2" xfId="15408" xr:uid="{00000000-0005-0000-0000-000036840000}"/>
    <cellStyle name="Porcentual 10 2 4 3 2 2" xfId="33590" xr:uid="{00000000-0005-0000-0000-000037840000}"/>
    <cellStyle name="Porcentual 10 2 4 3 3" xfId="24500" xr:uid="{00000000-0005-0000-0000-000038840000}"/>
    <cellStyle name="Porcentual 10 2 4 4" xfId="10874" xr:uid="{00000000-0005-0000-0000-000039840000}"/>
    <cellStyle name="Porcentual 10 2 4 4 2" xfId="29056" xr:uid="{00000000-0005-0000-0000-00003A840000}"/>
    <cellStyle name="Porcentual 10 2 4 5" xfId="19965" xr:uid="{00000000-0005-0000-0000-00003B840000}"/>
    <cellStyle name="Porcentual 10 2 5" xfId="3037" xr:uid="{00000000-0005-0000-0000-00003C840000}"/>
    <cellStyle name="Porcentual 10 2 6" xfId="4666" xr:uid="{00000000-0005-0000-0000-00003D840000}"/>
    <cellStyle name="Porcentual 10 2 6 2" xfId="9222" xr:uid="{00000000-0005-0000-0000-00003E840000}"/>
    <cellStyle name="Porcentual 10 2 6 2 2" xfId="18318" xr:uid="{00000000-0005-0000-0000-00003F840000}"/>
    <cellStyle name="Porcentual 10 2 6 2 2 2" xfId="36500" xr:uid="{00000000-0005-0000-0000-000040840000}"/>
    <cellStyle name="Porcentual 10 2 6 2 3" xfId="27410" xr:uid="{00000000-0005-0000-0000-000041840000}"/>
    <cellStyle name="Porcentual 10 2 6 3" xfId="13777" xr:uid="{00000000-0005-0000-0000-000042840000}"/>
    <cellStyle name="Porcentual 10 2 6 3 2" xfId="31959" xr:uid="{00000000-0005-0000-0000-000043840000}"/>
    <cellStyle name="Porcentual 10 2 6 4" xfId="22869" xr:uid="{00000000-0005-0000-0000-000044840000}"/>
    <cellStyle name="Porcentual 10 2 7" xfId="6304" xr:uid="{00000000-0005-0000-0000-000045840000}"/>
    <cellStyle name="Porcentual 10 2 7 2" xfId="15404" xr:uid="{00000000-0005-0000-0000-000046840000}"/>
    <cellStyle name="Porcentual 10 2 7 2 2" xfId="33586" xr:uid="{00000000-0005-0000-0000-000047840000}"/>
    <cellStyle name="Porcentual 10 2 7 3" xfId="24496" xr:uid="{00000000-0005-0000-0000-000048840000}"/>
    <cellStyle name="Porcentual 10 2 8" xfId="10870" xr:uid="{00000000-0005-0000-0000-000049840000}"/>
    <cellStyle name="Porcentual 10 2 8 2" xfId="29052" xr:uid="{00000000-0005-0000-0000-00004A840000}"/>
    <cellStyle name="Porcentual 10 2 9" xfId="19961" xr:uid="{00000000-0005-0000-0000-00004B840000}"/>
    <cellStyle name="Porcentual 10 3" xfId="1674" xr:uid="{00000000-0005-0000-0000-00004C840000}"/>
    <cellStyle name="Porcentual 10 3 2" xfId="1675" xr:uid="{00000000-0005-0000-0000-00004D840000}"/>
    <cellStyle name="Porcentual 10 3 2 2" xfId="3038" xr:uid="{00000000-0005-0000-0000-00004E840000}"/>
    <cellStyle name="Porcentual 10 3 2 2 2" xfId="7615" xr:uid="{00000000-0005-0000-0000-00004F840000}"/>
    <cellStyle name="Porcentual 10 3 2 2 2 2" xfId="16715" xr:uid="{00000000-0005-0000-0000-000050840000}"/>
    <cellStyle name="Porcentual 10 3 2 2 2 2 2" xfId="34897" xr:uid="{00000000-0005-0000-0000-000051840000}"/>
    <cellStyle name="Porcentual 10 3 2 2 2 3" xfId="25807" xr:uid="{00000000-0005-0000-0000-000052840000}"/>
    <cellStyle name="Porcentual 10 3 2 2 3" xfId="12177" xr:uid="{00000000-0005-0000-0000-000053840000}"/>
    <cellStyle name="Porcentual 10 3 2 2 3 2" xfId="30359" xr:uid="{00000000-0005-0000-0000-000054840000}"/>
    <cellStyle name="Porcentual 10 3 2 2 4" xfId="21269" xr:uid="{00000000-0005-0000-0000-000055840000}"/>
    <cellStyle name="Porcentual 10 3 2 3" xfId="4672" xr:uid="{00000000-0005-0000-0000-000056840000}"/>
    <cellStyle name="Porcentual 10 3 2 3 2" xfId="9228" xr:uid="{00000000-0005-0000-0000-000057840000}"/>
    <cellStyle name="Porcentual 10 3 2 3 2 2" xfId="18324" xr:uid="{00000000-0005-0000-0000-000058840000}"/>
    <cellStyle name="Porcentual 10 3 2 3 2 2 2" xfId="36506" xr:uid="{00000000-0005-0000-0000-000059840000}"/>
    <cellStyle name="Porcentual 10 3 2 3 2 3" xfId="27416" xr:uid="{00000000-0005-0000-0000-00005A840000}"/>
    <cellStyle name="Porcentual 10 3 2 3 3" xfId="13783" xr:uid="{00000000-0005-0000-0000-00005B840000}"/>
    <cellStyle name="Porcentual 10 3 2 3 3 2" xfId="31965" xr:uid="{00000000-0005-0000-0000-00005C840000}"/>
    <cellStyle name="Porcentual 10 3 2 3 4" xfId="22875" xr:uid="{00000000-0005-0000-0000-00005D840000}"/>
    <cellStyle name="Porcentual 10 3 2 4" xfId="6310" xr:uid="{00000000-0005-0000-0000-00005E840000}"/>
    <cellStyle name="Porcentual 10 3 2 4 2" xfId="15410" xr:uid="{00000000-0005-0000-0000-00005F840000}"/>
    <cellStyle name="Porcentual 10 3 2 4 2 2" xfId="33592" xr:uid="{00000000-0005-0000-0000-000060840000}"/>
    <cellStyle name="Porcentual 10 3 2 4 3" xfId="24502" xr:uid="{00000000-0005-0000-0000-000061840000}"/>
    <cellStyle name="Porcentual 10 3 2 5" xfId="10876" xr:uid="{00000000-0005-0000-0000-000062840000}"/>
    <cellStyle name="Porcentual 10 3 2 5 2" xfId="29058" xr:uid="{00000000-0005-0000-0000-000063840000}"/>
    <cellStyle name="Porcentual 10 3 2 6" xfId="19967" xr:uid="{00000000-0005-0000-0000-000064840000}"/>
    <cellStyle name="Porcentual 10 3 3" xfId="3039" xr:uid="{00000000-0005-0000-0000-000065840000}"/>
    <cellStyle name="Porcentual 10 3 3 2" xfId="7616" xr:uid="{00000000-0005-0000-0000-000066840000}"/>
    <cellStyle name="Porcentual 10 3 3 2 2" xfId="16716" xr:uid="{00000000-0005-0000-0000-000067840000}"/>
    <cellStyle name="Porcentual 10 3 3 2 2 2" xfId="34898" xr:uid="{00000000-0005-0000-0000-000068840000}"/>
    <cellStyle name="Porcentual 10 3 3 2 3" xfId="25808" xr:uid="{00000000-0005-0000-0000-000069840000}"/>
    <cellStyle name="Porcentual 10 3 3 3" xfId="12178" xr:uid="{00000000-0005-0000-0000-00006A840000}"/>
    <cellStyle name="Porcentual 10 3 3 3 2" xfId="30360" xr:uid="{00000000-0005-0000-0000-00006B840000}"/>
    <cellStyle name="Porcentual 10 3 3 4" xfId="21270" xr:uid="{00000000-0005-0000-0000-00006C840000}"/>
    <cellStyle name="Porcentual 10 3 4" xfId="4671" xr:uid="{00000000-0005-0000-0000-00006D840000}"/>
    <cellStyle name="Porcentual 10 3 4 2" xfId="9227" xr:uid="{00000000-0005-0000-0000-00006E840000}"/>
    <cellStyle name="Porcentual 10 3 4 2 2" xfId="18323" xr:uid="{00000000-0005-0000-0000-00006F840000}"/>
    <cellStyle name="Porcentual 10 3 4 2 2 2" xfId="36505" xr:uid="{00000000-0005-0000-0000-000070840000}"/>
    <cellStyle name="Porcentual 10 3 4 2 3" xfId="27415" xr:uid="{00000000-0005-0000-0000-000071840000}"/>
    <cellStyle name="Porcentual 10 3 4 3" xfId="13782" xr:uid="{00000000-0005-0000-0000-000072840000}"/>
    <cellStyle name="Porcentual 10 3 4 3 2" xfId="31964" xr:uid="{00000000-0005-0000-0000-000073840000}"/>
    <cellStyle name="Porcentual 10 3 4 4" xfId="22874" xr:uid="{00000000-0005-0000-0000-000074840000}"/>
    <cellStyle name="Porcentual 10 3 5" xfId="6309" xr:uid="{00000000-0005-0000-0000-000075840000}"/>
    <cellStyle name="Porcentual 10 3 5 2" xfId="15409" xr:uid="{00000000-0005-0000-0000-000076840000}"/>
    <cellStyle name="Porcentual 10 3 5 2 2" xfId="33591" xr:uid="{00000000-0005-0000-0000-000077840000}"/>
    <cellStyle name="Porcentual 10 3 5 3" xfId="24501" xr:uid="{00000000-0005-0000-0000-000078840000}"/>
    <cellStyle name="Porcentual 10 3 6" xfId="10875" xr:uid="{00000000-0005-0000-0000-000079840000}"/>
    <cellStyle name="Porcentual 10 3 6 2" xfId="29057" xr:uid="{00000000-0005-0000-0000-00007A840000}"/>
    <cellStyle name="Porcentual 10 3 7" xfId="19966" xr:uid="{00000000-0005-0000-0000-00007B840000}"/>
    <cellStyle name="Porcentual 10 4" xfId="1676" xr:uid="{00000000-0005-0000-0000-00007C840000}"/>
    <cellStyle name="Porcentual 10 4 2" xfId="3040" xr:uid="{00000000-0005-0000-0000-00007D840000}"/>
    <cellStyle name="Porcentual 10 4 2 2" xfId="7617" xr:uid="{00000000-0005-0000-0000-00007E840000}"/>
    <cellStyle name="Porcentual 10 4 2 2 2" xfId="16717" xr:uid="{00000000-0005-0000-0000-00007F840000}"/>
    <cellStyle name="Porcentual 10 4 2 2 2 2" xfId="34899" xr:uid="{00000000-0005-0000-0000-000080840000}"/>
    <cellStyle name="Porcentual 10 4 2 2 3" xfId="25809" xr:uid="{00000000-0005-0000-0000-000081840000}"/>
    <cellStyle name="Porcentual 10 4 2 3" xfId="12179" xr:uid="{00000000-0005-0000-0000-000082840000}"/>
    <cellStyle name="Porcentual 10 4 2 3 2" xfId="30361" xr:uid="{00000000-0005-0000-0000-000083840000}"/>
    <cellStyle name="Porcentual 10 4 2 4" xfId="21271" xr:uid="{00000000-0005-0000-0000-000084840000}"/>
    <cellStyle name="Porcentual 10 4 3" xfId="4673" xr:uid="{00000000-0005-0000-0000-000085840000}"/>
    <cellStyle name="Porcentual 10 4 3 2" xfId="9229" xr:uid="{00000000-0005-0000-0000-000086840000}"/>
    <cellStyle name="Porcentual 10 4 3 2 2" xfId="18325" xr:uid="{00000000-0005-0000-0000-000087840000}"/>
    <cellStyle name="Porcentual 10 4 3 2 2 2" xfId="36507" xr:uid="{00000000-0005-0000-0000-000088840000}"/>
    <cellStyle name="Porcentual 10 4 3 2 3" xfId="27417" xr:uid="{00000000-0005-0000-0000-000089840000}"/>
    <cellStyle name="Porcentual 10 4 3 3" xfId="13784" xr:uid="{00000000-0005-0000-0000-00008A840000}"/>
    <cellStyle name="Porcentual 10 4 3 3 2" xfId="31966" xr:uid="{00000000-0005-0000-0000-00008B840000}"/>
    <cellStyle name="Porcentual 10 4 3 4" xfId="22876" xr:uid="{00000000-0005-0000-0000-00008C840000}"/>
    <cellStyle name="Porcentual 10 4 4" xfId="6311" xr:uid="{00000000-0005-0000-0000-00008D840000}"/>
    <cellStyle name="Porcentual 10 4 4 2" xfId="15411" xr:uid="{00000000-0005-0000-0000-00008E840000}"/>
    <cellStyle name="Porcentual 10 4 4 2 2" xfId="33593" xr:uid="{00000000-0005-0000-0000-00008F840000}"/>
    <cellStyle name="Porcentual 10 4 4 3" xfId="24503" xr:uid="{00000000-0005-0000-0000-000090840000}"/>
    <cellStyle name="Porcentual 10 4 5" xfId="10877" xr:uid="{00000000-0005-0000-0000-000091840000}"/>
    <cellStyle name="Porcentual 10 4 5 2" xfId="29059" xr:uid="{00000000-0005-0000-0000-000092840000}"/>
    <cellStyle name="Porcentual 10 4 6" xfId="19968" xr:uid="{00000000-0005-0000-0000-000093840000}"/>
    <cellStyle name="Porcentual 10 5" xfId="1677" xr:uid="{00000000-0005-0000-0000-000094840000}"/>
    <cellStyle name="Porcentual 10 5 2" xfId="4674" xr:uid="{00000000-0005-0000-0000-000095840000}"/>
    <cellStyle name="Porcentual 10 5 2 2" xfId="9230" xr:uid="{00000000-0005-0000-0000-000096840000}"/>
    <cellStyle name="Porcentual 10 5 2 2 2" xfId="18326" xr:uid="{00000000-0005-0000-0000-000097840000}"/>
    <cellStyle name="Porcentual 10 5 2 2 2 2" xfId="36508" xr:uid="{00000000-0005-0000-0000-000098840000}"/>
    <cellStyle name="Porcentual 10 5 2 2 3" xfId="27418" xr:uid="{00000000-0005-0000-0000-000099840000}"/>
    <cellStyle name="Porcentual 10 5 2 3" xfId="13785" xr:uid="{00000000-0005-0000-0000-00009A840000}"/>
    <cellStyle name="Porcentual 10 5 2 3 2" xfId="31967" xr:uid="{00000000-0005-0000-0000-00009B840000}"/>
    <cellStyle name="Porcentual 10 5 2 4" xfId="22877" xr:uid="{00000000-0005-0000-0000-00009C840000}"/>
    <cellStyle name="Porcentual 10 5 3" xfId="6312" xr:uid="{00000000-0005-0000-0000-00009D840000}"/>
    <cellStyle name="Porcentual 10 5 3 2" xfId="15412" xr:uid="{00000000-0005-0000-0000-00009E840000}"/>
    <cellStyle name="Porcentual 10 5 3 2 2" xfId="33594" xr:uid="{00000000-0005-0000-0000-00009F840000}"/>
    <cellStyle name="Porcentual 10 5 3 3" xfId="24504" xr:uid="{00000000-0005-0000-0000-0000A0840000}"/>
    <cellStyle name="Porcentual 10 5 4" xfId="10878" xr:uid="{00000000-0005-0000-0000-0000A1840000}"/>
    <cellStyle name="Porcentual 10 5 4 2" xfId="29060" xr:uid="{00000000-0005-0000-0000-0000A2840000}"/>
    <cellStyle name="Porcentual 10 5 5" xfId="19969" xr:uid="{00000000-0005-0000-0000-0000A3840000}"/>
    <cellStyle name="Porcentual 10 6" xfId="3041" xr:uid="{00000000-0005-0000-0000-0000A4840000}"/>
    <cellStyle name="Porcentual 10 6 2" xfId="7618" xr:uid="{00000000-0005-0000-0000-0000A5840000}"/>
    <cellStyle name="Porcentual 10 6 2 2" xfId="16718" xr:uid="{00000000-0005-0000-0000-0000A6840000}"/>
    <cellStyle name="Porcentual 10 6 2 2 2" xfId="34900" xr:uid="{00000000-0005-0000-0000-0000A7840000}"/>
    <cellStyle name="Porcentual 10 6 2 3" xfId="25810" xr:uid="{00000000-0005-0000-0000-0000A8840000}"/>
    <cellStyle name="Porcentual 10 6 3" xfId="12180" xr:uid="{00000000-0005-0000-0000-0000A9840000}"/>
    <cellStyle name="Porcentual 10 6 3 2" xfId="30362" xr:uid="{00000000-0005-0000-0000-0000AA840000}"/>
    <cellStyle name="Porcentual 10 6 4" xfId="21272" xr:uid="{00000000-0005-0000-0000-0000AB840000}"/>
    <cellStyle name="Porcentual 10 7" xfId="3231" xr:uid="{00000000-0005-0000-0000-0000AC840000}"/>
    <cellStyle name="Porcentual 10 7 2" xfId="7791" xr:uid="{00000000-0005-0000-0000-0000AD840000}"/>
    <cellStyle name="Porcentual 10 7 2 2" xfId="16887" xr:uid="{00000000-0005-0000-0000-0000AE840000}"/>
    <cellStyle name="Porcentual 10 7 2 2 2" xfId="35069" xr:uid="{00000000-0005-0000-0000-0000AF840000}"/>
    <cellStyle name="Porcentual 10 7 2 3" xfId="25979" xr:uid="{00000000-0005-0000-0000-0000B0840000}"/>
    <cellStyle name="Porcentual 10 7 3" xfId="12347" xr:uid="{00000000-0005-0000-0000-0000B1840000}"/>
    <cellStyle name="Porcentual 10 7 3 2" xfId="30529" xr:uid="{00000000-0005-0000-0000-0000B2840000}"/>
    <cellStyle name="Porcentual 10 7 4" xfId="21439" xr:uid="{00000000-0005-0000-0000-0000B3840000}"/>
    <cellStyle name="Porcentual 10 8" xfId="4878" xr:uid="{00000000-0005-0000-0000-0000B4840000}"/>
    <cellStyle name="Porcentual 10 8 2" xfId="13978" xr:uid="{00000000-0005-0000-0000-0000B5840000}"/>
    <cellStyle name="Porcentual 10 8 2 2" xfId="32160" xr:uid="{00000000-0005-0000-0000-0000B6840000}"/>
    <cellStyle name="Porcentual 10 8 3" xfId="23070" xr:uid="{00000000-0005-0000-0000-0000B7840000}"/>
    <cellStyle name="Porcentual 10 9" xfId="9444" xr:uid="{00000000-0005-0000-0000-0000B8840000}"/>
    <cellStyle name="Porcentual 10 9 2" xfId="27626" xr:uid="{00000000-0005-0000-0000-0000B9840000}"/>
    <cellStyle name="Porcentual 11" xfId="1678" xr:uid="{00000000-0005-0000-0000-0000BA840000}"/>
    <cellStyle name="Porcentual 11 2" xfId="1679" xr:uid="{00000000-0005-0000-0000-0000BB840000}"/>
    <cellStyle name="Porcentual 11 2 2" xfId="4676" xr:uid="{00000000-0005-0000-0000-0000BC840000}"/>
    <cellStyle name="Porcentual 11 2 2 2" xfId="9232" xr:uid="{00000000-0005-0000-0000-0000BD840000}"/>
    <cellStyle name="Porcentual 11 2 2 2 2" xfId="18328" xr:uid="{00000000-0005-0000-0000-0000BE840000}"/>
    <cellStyle name="Porcentual 11 2 2 2 2 2" xfId="36510" xr:uid="{00000000-0005-0000-0000-0000BF840000}"/>
    <cellStyle name="Porcentual 11 2 2 2 3" xfId="27420" xr:uid="{00000000-0005-0000-0000-0000C0840000}"/>
    <cellStyle name="Porcentual 11 2 2 3" xfId="13787" xr:uid="{00000000-0005-0000-0000-0000C1840000}"/>
    <cellStyle name="Porcentual 11 2 2 3 2" xfId="31969" xr:uid="{00000000-0005-0000-0000-0000C2840000}"/>
    <cellStyle name="Porcentual 11 2 2 4" xfId="22879" xr:uid="{00000000-0005-0000-0000-0000C3840000}"/>
    <cellStyle name="Porcentual 11 2 3" xfId="6314" xr:uid="{00000000-0005-0000-0000-0000C4840000}"/>
    <cellStyle name="Porcentual 11 2 3 2" xfId="15414" xr:uid="{00000000-0005-0000-0000-0000C5840000}"/>
    <cellStyle name="Porcentual 11 2 3 2 2" xfId="33596" xr:uid="{00000000-0005-0000-0000-0000C6840000}"/>
    <cellStyle name="Porcentual 11 2 3 3" xfId="24506" xr:uid="{00000000-0005-0000-0000-0000C7840000}"/>
    <cellStyle name="Porcentual 11 2 4" xfId="10880" xr:uid="{00000000-0005-0000-0000-0000C8840000}"/>
    <cellStyle name="Porcentual 11 2 4 2" xfId="29062" xr:uid="{00000000-0005-0000-0000-0000C9840000}"/>
    <cellStyle name="Porcentual 11 2 5" xfId="19971" xr:uid="{00000000-0005-0000-0000-0000CA840000}"/>
    <cellStyle name="Porcentual 11 3" xfId="3042" xr:uid="{00000000-0005-0000-0000-0000CB840000}"/>
    <cellStyle name="Porcentual 11 3 2" xfId="7619" xr:uid="{00000000-0005-0000-0000-0000CC840000}"/>
    <cellStyle name="Porcentual 11 3 2 2" xfId="16719" xr:uid="{00000000-0005-0000-0000-0000CD840000}"/>
    <cellStyle name="Porcentual 11 3 2 2 2" xfId="34901" xr:uid="{00000000-0005-0000-0000-0000CE840000}"/>
    <cellStyle name="Porcentual 11 3 2 3" xfId="25811" xr:uid="{00000000-0005-0000-0000-0000CF840000}"/>
    <cellStyle name="Porcentual 11 3 3" xfId="12181" xr:uid="{00000000-0005-0000-0000-0000D0840000}"/>
    <cellStyle name="Porcentual 11 3 3 2" xfId="30363" xr:uid="{00000000-0005-0000-0000-0000D1840000}"/>
    <cellStyle name="Porcentual 11 3 4" xfId="21273" xr:uid="{00000000-0005-0000-0000-0000D2840000}"/>
    <cellStyle name="Porcentual 11 4" xfId="4675" xr:uid="{00000000-0005-0000-0000-0000D3840000}"/>
    <cellStyle name="Porcentual 11 4 2" xfId="9231" xr:uid="{00000000-0005-0000-0000-0000D4840000}"/>
    <cellStyle name="Porcentual 11 4 2 2" xfId="18327" xr:uid="{00000000-0005-0000-0000-0000D5840000}"/>
    <cellStyle name="Porcentual 11 4 2 2 2" xfId="36509" xr:uid="{00000000-0005-0000-0000-0000D6840000}"/>
    <cellStyle name="Porcentual 11 4 2 3" xfId="27419" xr:uid="{00000000-0005-0000-0000-0000D7840000}"/>
    <cellStyle name="Porcentual 11 4 3" xfId="13786" xr:uid="{00000000-0005-0000-0000-0000D8840000}"/>
    <cellStyle name="Porcentual 11 4 3 2" xfId="31968" xr:uid="{00000000-0005-0000-0000-0000D9840000}"/>
    <cellStyle name="Porcentual 11 4 4" xfId="22878" xr:uid="{00000000-0005-0000-0000-0000DA840000}"/>
    <cellStyle name="Porcentual 11 5" xfId="6313" xr:uid="{00000000-0005-0000-0000-0000DB840000}"/>
    <cellStyle name="Porcentual 11 5 2" xfId="15413" xr:uid="{00000000-0005-0000-0000-0000DC840000}"/>
    <cellStyle name="Porcentual 11 5 2 2" xfId="33595" xr:uid="{00000000-0005-0000-0000-0000DD840000}"/>
    <cellStyle name="Porcentual 11 5 3" xfId="24505" xr:uid="{00000000-0005-0000-0000-0000DE840000}"/>
    <cellStyle name="Porcentual 11 6" xfId="10879" xr:uid="{00000000-0005-0000-0000-0000DF840000}"/>
    <cellStyle name="Porcentual 11 6 2" xfId="29061" xr:uid="{00000000-0005-0000-0000-0000E0840000}"/>
    <cellStyle name="Porcentual 11 7" xfId="19970" xr:uid="{00000000-0005-0000-0000-0000E1840000}"/>
    <cellStyle name="Porcentual 2" xfId="15" xr:uid="{00000000-0005-0000-0000-0000E2840000}"/>
    <cellStyle name="Porcentual 2 2" xfId="22" xr:uid="{00000000-0005-0000-0000-0000E3840000}"/>
    <cellStyle name="Porcentual 2 2 2" xfId="85" xr:uid="{00000000-0005-0000-0000-0000E4840000}"/>
    <cellStyle name="Porcentual 2 3" xfId="36" xr:uid="{00000000-0005-0000-0000-0000E5840000}"/>
    <cellStyle name="Porcentual 2 3 2" xfId="112" xr:uid="{00000000-0005-0000-0000-0000E6840000}"/>
    <cellStyle name="Porcentual 2 4" xfId="84" xr:uid="{00000000-0005-0000-0000-0000E7840000}"/>
    <cellStyle name="Porcentual 2 5" xfId="130" xr:uid="{00000000-0005-0000-0000-0000E8840000}"/>
    <cellStyle name="Porcentual 3" xfId="23" xr:uid="{00000000-0005-0000-0000-0000E9840000}"/>
    <cellStyle name="Porcentual 3 10" xfId="3165" xr:uid="{00000000-0005-0000-0000-0000EA840000}"/>
    <cellStyle name="Porcentual 3 10 2" xfId="7725" xr:uid="{00000000-0005-0000-0000-0000EB840000}"/>
    <cellStyle name="Porcentual 3 10 2 2" xfId="16821" xr:uid="{00000000-0005-0000-0000-0000EC840000}"/>
    <cellStyle name="Porcentual 3 10 2 2 2" xfId="35003" xr:uid="{00000000-0005-0000-0000-0000ED840000}"/>
    <cellStyle name="Porcentual 3 10 2 3" xfId="25913" xr:uid="{00000000-0005-0000-0000-0000EE840000}"/>
    <cellStyle name="Porcentual 3 10 3" xfId="12281" xr:uid="{00000000-0005-0000-0000-0000EF840000}"/>
    <cellStyle name="Porcentual 3 10 3 2" xfId="30463" xr:uid="{00000000-0005-0000-0000-0000F0840000}"/>
    <cellStyle name="Porcentual 3 10 4" xfId="21373" xr:uid="{00000000-0005-0000-0000-0000F1840000}"/>
    <cellStyle name="Porcentual 3 11" xfId="4819" xr:uid="{00000000-0005-0000-0000-0000F2840000}"/>
    <cellStyle name="Porcentual 3 11 2" xfId="13919" xr:uid="{00000000-0005-0000-0000-0000F3840000}"/>
    <cellStyle name="Porcentual 3 11 2 2" xfId="32101" xr:uid="{00000000-0005-0000-0000-0000F4840000}"/>
    <cellStyle name="Porcentual 3 11 3" xfId="23011" xr:uid="{00000000-0005-0000-0000-0000F5840000}"/>
    <cellStyle name="Porcentual 3 12" xfId="9385" xr:uid="{00000000-0005-0000-0000-0000F6840000}"/>
    <cellStyle name="Porcentual 3 12 2" xfId="27567" xr:uid="{00000000-0005-0000-0000-0000F7840000}"/>
    <cellStyle name="Porcentual 3 13" xfId="18476" xr:uid="{00000000-0005-0000-0000-0000F8840000}"/>
    <cellStyle name="Porcentual 3 2" xfId="46" xr:uid="{00000000-0005-0000-0000-0000F9840000}"/>
    <cellStyle name="Porcentual 3 2 10" xfId="4828" xr:uid="{00000000-0005-0000-0000-0000FA840000}"/>
    <cellStyle name="Porcentual 3 2 10 2" xfId="13928" xr:uid="{00000000-0005-0000-0000-0000FB840000}"/>
    <cellStyle name="Porcentual 3 2 10 2 2" xfId="32110" xr:uid="{00000000-0005-0000-0000-0000FC840000}"/>
    <cellStyle name="Porcentual 3 2 10 3" xfId="23020" xr:uid="{00000000-0005-0000-0000-0000FD840000}"/>
    <cellStyle name="Porcentual 3 2 11" xfId="9394" xr:uid="{00000000-0005-0000-0000-0000FE840000}"/>
    <cellStyle name="Porcentual 3 2 11 2" xfId="27576" xr:uid="{00000000-0005-0000-0000-0000FF840000}"/>
    <cellStyle name="Porcentual 3 2 12" xfId="18485" xr:uid="{00000000-0005-0000-0000-000000850000}"/>
    <cellStyle name="Porcentual 3 2 2" xfId="87" xr:uid="{00000000-0005-0000-0000-000001850000}"/>
    <cellStyle name="Porcentual 3 2 2 10" xfId="9412" xr:uid="{00000000-0005-0000-0000-000002850000}"/>
    <cellStyle name="Porcentual 3 2 2 10 2" xfId="27594" xr:uid="{00000000-0005-0000-0000-000003850000}"/>
    <cellStyle name="Porcentual 3 2 2 11" xfId="18503" xr:uid="{00000000-0005-0000-0000-000004850000}"/>
    <cellStyle name="Porcentual 3 2 2 2" xfId="1680" xr:uid="{00000000-0005-0000-0000-000005850000}"/>
    <cellStyle name="Porcentual 3 2 2 2 10" xfId="19972" xr:uid="{00000000-0005-0000-0000-000006850000}"/>
    <cellStyle name="Porcentual 3 2 2 2 2" xfId="1681" xr:uid="{00000000-0005-0000-0000-000007850000}"/>
    <cellStyle name="Porcentual 3 2 2 2 2 2" xfId="1682" xr:uid="{00000000-0005-0000-0000-000008850000}"/>
    <cellStyle name="Porcentual 3 2 2 2 2 2 2" xfId="1683" xr:uid="{00000000-0005-0000-0000-000009850000}"/>
    <cellStyle name="Porcentual 3 2 2 2 2 2 2 2" xfId="3043" xr:uid="{00000000-0005-0000-0000-00000A850000}"/>
    <cellStyle name="Porcentual 3 2 2 2 2 2 2 2 2" xfId="7620" xr:uid="{00000000-0005-0000-0000-00000B850000}"/>
    <cellStyle name="Porcentual 3 2 2 2 2 2 2 2 2 2" xfId="16720" xr:uid="{00000000-0005-0000-0000-00000C850000}"/>
    <cellStyle name="Porcentual 3 2 2 2 2 2 2 2 2 2 2" xfId="34902" xr:uid="{00000000-0005-0000-0000-00000D850000}"/>
    <cellStyle name="Porcentual 3 2 2 2 2 2 2 2 2 3" xfId="25812" xr:uid="{00000000-0005-0000-0000-00000E850000}"/>
    <cellStyle name="Porcentual 3 2 2 2 2 2 2 2 3" xfId="12182" xr:uid="{00000000-0005-0000-0000-00000F850000}"/>
    <cellStyle name="Porcentual 3 2 2 2 2 2 2 2 3 2" xfId="30364" xr:uid="{00000000-0005-0000-0000-000010850000}"/>
    <cellStyle name="Porcentual 3 2 2 2 2 2 2 2 4" xfId="21274" xr:uid="{00000000-0005-0000-0000-000011850000}"/>
    <cellStyle name="Porcentual 3 2 2 2 2 2 2 3" xfId="4680" xr:uid="{00000000-0005-0000-0000-000012850000}"/>
    <cellStyle name="Porcentual 3 2 2 2 2 2 2 3 2" xfId="9236" xr:uid="{00000000-0005-0000-0000-000013850000}"/>
    <cellStyle name="Porcentual 3 2 2 2 2 2 2 3 2 2" xfId="18332" xr:uid="{00000000-0005-0000-0000-000014850000}"/>
    <cellStyle name="Porcentual 3 2 2 2 2 2 2 3 2 2 2" xfId="36514" xr:uid="{00000000-0005-0000-0000-000015850000}"/>
    <cellStyle name="Porcentual 3 2 2 2 2 2 2 3 2 3" xfId="27424" xr:uid="{00000000-0005-0000-0000-000016850000}"/>
    <cellStyle name="Porcentual 3 2 2 2 2 2 2 3 3" xfId="13791" xr:uid="{00000000-0005-0000-0000-000017850000}"/>
    <cellStyle name="Porcentual 3 2 2 2 2 2 2 3 3 2" xfId="31973" xr:uid="{00000000-0005-0000-0000-000018850000}"/>
    <cellStyle name="Porcentual 3 2 2 2 2 2 2 3 4" xfId="22883" xr:uid="{00000000-0005-0000-0000-000019850000}"/>
    <cellStyle name="Porcentual 3 2 2 2 2 2 2 4" xfId="6318" xr:uid="{00000000-0005-0000-0000-00001A850000}"/>
    <cellStyle name="Porcentual 3 2 2 2 2 2 2 4 2" xfId="15418" xr:uid="{00000000-0005-0000-0000-00001B850000}"/>
    <cellStyle name="Porcentual 3 2 2 2 2 2 2 4 2 2" xfId="33600" xr:uid="{00000000-0005-0000-0000-00001C850000}"/>
    <cellStyle name="Porcentual 3 2 2 2 2 2 2 4 3" xfId="24510" xr:uid="{00000000-0005-0000-0000-00001D850000}"/>
    <cellStyle name="Porcentual 3 2 2 2 2 2 2 5" xfId="10884" xr:uid="{00000000-0005-0000-0000-00001E850000}"/>
    <cellStyle name="Porcentual 3 2 2 2 2 2 2 5 2" xfId="29066" xr:uid="{00000000-0005-0000-0000-00001F850000}"/>
    <cellStyle name="Porcentual 3 2 2 2 2 2 2 6" xfId="19975" xr:uid="{00000000-0005-0000-0000-000020850000}"/>
    <cellStyle name="Porcentual 3 2 2 2 2 2 3" xfId="3044" xr:uid="{00000000-0005-0000-0000-000021850000}"/>
    <cellStyle name="Porcentual 3 2 2 2 2 2 3 2" xfId="7621" xr:uid="{00000000-0005-0000-0000-000022850000}"/>
    <cellStyle name="Porcentual 3 2 2 2 2 2 3 2 2" xfId="16721" xr:uid="{00000000-0005-0000-0000-000023850000}"/>
    <cellStyle name="Porcentual 3 2 2 2 2 2 3 2 2 2" xfId="34903" xr:uid="{00000000-0005-0000-0000-000024850000}"/>
    <cellStyle name="Porcentual 3 2 2 2 2 2 3 2 3" xfId="25813" xr:uid="{00000000-0005-0000-0000-000025850000}"/>
    <cellStyle name="Porcentual 3 2 2 2 2 2 3 3" xfId="12183" xr:uid="{00000000-0005-0000-0000-000026850000}"/>
    <cellStyle name="Porcentual 3 2 2 2 2 2 3 3 2" xfId="30365" xr:uid="{00000000-0005-0000-0000-000027850000}"/>
    <cellStyle name="Porcentual 3 2 2 2 2 2 3 4" xfId="21275" xr:uid="{00000000-0005-0000-0000-000028850000}"/>
    <cellStyle name="Porcentual 3 2 2 2 2 2 4" xfId="4679" xr:uid="{00000000-0005-0000-0000-000029850000}"/>
    <cellStyle name="Porcentual 3 2 2 2 2 2 4 2" xfId="9235" xr:uid="{00000000-0005-0000-0000-00002A850000}"/>
    <cellStyle name="Porcentual 3 2 2 2 2 2 4 2 2" xfId="18331" xr:uid="{00000000-0005-0000-0000-00002B850000}"/>
    <cellStyle name="Porcentual 3 2 2 2 2 2 4 2 2 2" xfId="36513" xr:uid="{00000000-0005-0000-0000-00002C850000}"/>
    <cellStyle name="Porcentual 3 2 2 2 2 2 4 2 3" xfId="27423" xr:uid="{00000000-0005-0000-0000-00002D850000}"/>
    <cellStyle name="Porcentual 3 2 2 2 2 2 4 3" xfId="13790" xr:uid="{00000000-0005-0000-0000-00002E850000}"/>
    <cellStyle name="Porcentual 3 2 2 2 2 2 4 3 2" xfId="31972" xr:uid="{00000000-0005-0000-0000-00002F850000}"/>
    <cellStyle name="Porcentual 3 2 2 2 2 2 4 4" xfId="22882" xr:uid="{00000000-0005-0000-0000-000030850000}"/>
    <cellStyle name="Porcentual 3 2 2 2 2 2 5" xfId="6317" xr:uid="{00000000-0005-0000-0000-000031850000}"/>
    <cellStyle name="Porcentual 3 2 2 2 2 2 5 2" xfId="15417" xr:uid="{00000000-0005-0000-0000-000032850000}"/>
    <cellStyle name="Porcentual 3 2 2 2 2 2 5 2 2" xfId="33599" xr:uid="{00000000-0005-0000-0000-000033850000}"/>
    <cellStyle name="Porcentual 3 2 2 2 2 2 5 3" xfId="24509" xr:uid="{00000000-0005-0000-0000-000034850000}"/>
    <cellStyle name="Porcentual 3 2 2 2 2 2 6" xfId="10883" xr:uid="{00000000-0005-0000-0000-000035850000}"/>
    <cellStyle name="Porcentual 3 2 2 2 2 2 6 2" xfId="29065" xr:uid="{00000000-0005-0000-0000-000036850000}"/>
    <cellStyle name="Porcentual 3 2 2 2 2 2 7" xfId="19974" xr:uid="{00000000-0005-0000-0000-000037850000}"/>
    <cellStyle name="Porcentual 3 2 2 2 2 3" xfId="1684" xr:uid="{00000000-0005-0000-0000-000038850000}"/>
    <cellStyle name="Porcentual 3 2 2 2 2 3 2" xfId="3045" xr:uid="{00000000-0005-0000-0000-000039850000}"/>
    <cellStyle name="Porcentual 3 2 2 2 2 3 2 2" xfId="7622" xr:uid="{00000000-0005-0000-0000-00003A850000}"/>
    <cellStyle name="Porcentual 3 2 2 2 2 3 2 2 2" xfId="16722" xr:uid="{00000000-0005-0000-0000-00003B850000}"/>
    <cellStyle name="Porcentual 3 2 2 2 2 3 2 2 2 2" xfId="34904" xr:uid="{00000000-0005-0000-0000-00003C850000}"/>
    <cellStyle name="Porcentual 3 2 2 2 2 3 2 2 3" xfId="25814" xr:uid="{00000000-0005-0000-0000-00003D850000}"/>
    <cellStyle name="Porcentual 3 2 2 2 2 3 2 3" xfId="12184" xr:uid="{00000000-0005-0000-0000-00003E850000}"/>
    <cellStyle name="Porcentual 3 2 2 2 2 3 2 3 2" xfId="30366" xr:uid="{00000000-0005-0000-0000-00003F850000}"/>
    <cellStyle name="Porcentual 3 2 2 2 2 3 2 4" xfId="21276" xr:uid="{00000000-0005-0000-0000-000040850000}"/>
    <cellStyle name="Porcentual 3 2 2 2 2 3 3" xfId="4681" xr:uid="{00000000-0005-0000-0000-000041850000}"/>
    <cellStyle name="Porcentual 3 2 2 2 2 3 3 2" xfId="9237" xr:uid="{00000000-0005-0000-0000-000042850000}"/>
    <cellStyle name="Porcentual 3 2 2 2 2 3 3 2 2" xfId="18333" xr:uid="{00000000-0005-0000-0000-000043850000}"/>
    <cellStyle name="Porcentual 3 2 2 2 2 3 3 2 2 2" xfId="36515" xr:uid="{00000000-0005-0000-0000-000044850000}"/>
    <cellStyle name="Porcentual 3 2 2 2 2 3 3 2 3" xfId="27425" xr:uid="{00000000-0005-0000-0000-000045850000}"/>
    <cellStyle name="Porcentual 3 2 2 2 2 3 3 3" xfId="13792" xr:uid="{00000000-0005-0000-0000-000046850000}"/>
    <cellStyle name="Porcentual 3 2 2 2 2 3 3 3 2" xfId="31974" xr:uid="{00000000-0005-0000-0000-000047850000}"/>
    <cellStyle name="Porcentual 3 2 2 2 2 3 3 4" xfId="22884" xr:uid="{00000000-0005-0000-0000-000048850000}"/>
    <cellStyle name="Porcentual 3 2 2 2 2 3 4" xfId="6319" xr:uid="{00000000-0005-0000-0000-000049850000}"/>
    <cellStyle name="Porcentual 3 2 2 2 2 3 4 2" xfId="15419" xr:uid="{00000000-0005-0000-0000-00004A850000}"/>
    <cellStyle name="Porcentual 3 2 2 2 2 3 4 2 2" xfId="33601" xr:uid="{00000000-0005-0000-0000-00004B850000}"/>
    <cellStyle name="Porcentual 3 2 2 2 2 3 4 3" xfId="24511" xr:uid="{00000000-0005-0000-0000-00004C850000}"/>
    <cellStyle name="Porcentual 3 2 2 2 2 3 5" xfId="10885" xr:uid="{00000000-0005-0000-0000-00004D850000}"/>
    <cellStyle name="Porcentual 3 2 2 2 2 3 5 2" xfId="29067" xr:uid="{00000000-0005-0000-0000-00004E850000}"/>
    <cellStyle name="Porcentual 3 2 2 2 2 3 6" xfId="19976" xr:uid="{00000000-0005-0000-0000-00004F850000}"/>
    <cellStyle name="Porcentual 3 2 2 2 2 4" xfId="1685" xr:uid="{00000000-0005-0000-0000-000050850000}"/>
    <cellStyle name="Porcentual 3 2 2 2 2 4 2" xfId="4682" xr:uid="{00000000-0005-0000-0000-000051850000}"/>
    <cellStyle name="Porcentual 3 2 2 2 2 4 2 2" xfId="9238" xr:uid="{00000000-0005-0000-0000-000052850000}"/>
    <cellStyle name="Porcentual 3 2 2 2 2 4 2 2 2" xfId="18334" xr:uid="{00000000-0005-0000-0000-000053850000}"/>
    <cellStyle name="Porcentual 3 2 2 2 2 4 2 2 2 2" xfId="36516" xr:uid="{00000000-0005-0000-0000-000054850000}"/>
    <cellStyle name="Porcentual 3 2 2 2 2 4 2 2 3" xfId="27426" xr:uid="{00000000-0005-0000-0000-000055850000}"/>
    <cellStyle name="Porcentual 3 2 2 2 2 4 2 3" xfId="13793" xr:uid="{00000000-0005-0000-0000-000056850000}"/>
    <cellStyle name="Porcentual 3 2 2 2 2 4 2 3 2" xfId="31975" xr:uid="{00000000-0005-0000-0000-000057850000}"/>
    <cellStyle name="Porcentual 3 2 2 2 2 4 2 4" xfId="22885" xr:uid="{00000000-0005-0000-0000-000058850000}"/>
    <cellStyle name="Porcentual 3 2 2 2 2 4 3" xfId="6320" xr:uid="{00000000-0005-0000-0000-000059850000}"/>
    <cellStyle name="Porcentual 3 2 2 2 2 4 3 2" xfId="15420" xr:uid="{00000000-0005-0000-0000-00005A850000}"/>
    <cellStyle name="Porcentual 3 2 2 2 2 4 3 2 2" xfId="33602" xr:uid="{00000000-0005-0000-0000-00005B850000}"/>
    <cellStyle name="Porcentual 3 2 2 2 2 4 3 3" xfId="24512" xr:uid="{00000000-0005-0000-0000-00005C850000}"/>
    <cellStyle name="Porcentual 3 2 2 2 2 4 4" xfId="10886" xr:uid="{00000000-0005-0000-0000-00005D850000}"/>
    <cellStyle name="Porcentual 3 2 2 2 2 4 4 2" xfId="29068" xr:uid="{00000000-0005-0000-0000-00005E850000}"/>
    <cellStyle name="Porcentual 3 2 2 2 2 4 5" xfId="19977" xr:uid="{00000000-0005-0000-0000-00005F850000}"/>
    <cellStyle name="Porcentual 3 2 2 2 2 5" xfId="3046" xr:uid="{00000000-0005-0000-0000-000060850000}"/>
    <cellStyle name="Porcentual 3 2 2 2 2 6" xfId="4678" xr:uid="{00000000-0005-0000-0000-000061850000}"/>
    <cellStyle name="Porcentual 3 2 2 2 2 6 2" xfId="9234" xr:uid="{00000000-0005-0000-0000-000062850000}"/>
    <cellStyle name="Porcentual 3 2 2 2 2 6 2 2" xfId="18330" xr:uid="{00000000-0005-0000-0000-000063850000}"/>
    <cellStyle name="Porcentual 3 2 2 2 2 6 2 2 2" xfId="36512" xr:uid="{00000000-0005-0000-0000-000064850000}"/>
    <cellStyle name="Porcentual 3 2 2 2 2 6 2 3" xfId="27422" xr:uid="{00000000-0005-0000-0000-000065850000}"/>
    <cellStyle name="Porcentual 3 2 2 2 2 6 3" xfId="13789" xr:uid="{00000000-0005-0000-0000-000066850000}"/>
    <cellStyle name="Porcentual 3 2 2 2 2 6 3 2" xfId="31971" xr:uid="{00000000-0005-0000-0000-000067850000}"/>
    <cellStyle name="Porcentual 3 2 2 2 2 6 4" xfId="22881" xr:uid="{00000000-0005-0000-0000-000068850000}"/>
    <cellStyle name="Porcentual 3 2 2 2 2 7" xfId="6316" xr:uid="{00000000-0005-0000-0000-000069850000}"/>
    <cellStyle name="Porcentual 3 2 2 2 2 7 2" xfId="15416" xr:uid="{00000000-0005-0000-0000-00006A850000}"/>
    <cellStyle name="Porcentual 3 2 2 2 2 7 2 2" xfId="33598" xr:uid="{00000000-0005-0000-0000-00006B850000}"/>
    <cellStyle name="Porcentual 3 2 2 2 2 7 3" xfId="24508" xr:uid="{00000000-0005-0000-0000-00006C850000}"/>
    <cellStyle name="Porcentual 3 2 2 2 2 8" xfId="10882" xr:uid="{00000000-0005-0000-0000-00006D850000}"/>
    <cellStyle name="Porcentual 3 2 2 2 2 8 2" xfId="29064" xr:uid="{00000000-0005-0000-0000-00006E850000}"/>
    <cellStyle name="Porcentual 3 2 2 2 2 9" xfId="19973" xr:uid="{00000000-0005-0000-0000-00006F850000}"/>
    <cellStyle name="Porcentual 3 2 2 2 3" xfId="1686" xr:uid="{00000000-0005-0000-0000-000070850000}"/>
    <cellStyle name="Porcentual 3 2 2 2 3 2" xfId="1687" xr:uid="{00000000-0005-0000-0000-000071850000}"/>
    <cellStyle name="Porcentual 3 2 2 2 3 2 2" xfId="3047" xr:uid="{00000000-0005-0000-0000-000072850000}"/>
    <cellStyle name="Porcentual 3 2 2 2 3 2 2 2" xfId="7623" xr:uid="{00000000-0005-0000-0000-000073850000}"/>
    <cellStyle name="Porcentual 3 2 2 2 3 2 2 2 2" xfId="16723" xr:uid="{00000000-0005-0000-0000-000074850000}"/>
    <cellStyle name="Porcentual 3 2 2 2 3 2 2 2 2 2" xfId="34905" xr:uid="{00000000-0005-0000-0000-000075850000}"/>
    <cellStyle name="Porcentual 3 2 2 2 3 2 2 2 3" xfId="25815" xr:uid="{00000000-0005-0000-0000-000076850000}"/>
    <cellStyle name="Porcentual 3 2 2 2 3 2 2 3" xfId="12185" xr:uid="{00000000-0005-0000-0000-000077850000}"/>
    <cellStyle name="Porcentual 3 2 2 2 3 2 2 3 2" xfId="30367" xr:uid="{00000000-0005-0000-0000-000078850000}"/>
    <cellStyle name="Porcentual 3 2 2 2 3 2 2 4" xfId="21277" xr:uid="{00000000-0005-0000-0000-000079850000}"/>
    <cellStyle name="Porcentual 3 2 2 2 3 2 3" xfId="4684" xr:uid="{00000000-0005-0000-0000-00007A850000}"/>
    <cellStyle name="Porcentual 3 2 2 2 3 2 3 2" xfId="9240" xr:uid="{00000000-0005-0000-0000-00007B850000}"/>
    <cellStyle name="Porcentual 3 2 2 2 3 2 3 2 2" xfId="18336" xr:uid="{00000000-0005-0000-0000-00007C850000}"/>
    <cellStyle name="Porcentual 3 2 2 2 3 2 3 2 2 2" xfId="36518" xr:uid="{00000000-0005-0000-0000-00007D850000}"/>
    <cellStyle name="Porcentual 3 2 2 2 3 2 3 2 3" xfId="27428" xr:uid="{00000000-0005-0000-0000-00007E850000}"/>
    <cellStyle name="Porcentual 3 2 2 2 3 2 3 3" xfId="13795" xr:uid="{00000000-0005-0000-0000-00007F850000}"/>
    <cellStyle name="Porcentual 3 2 2 2 3 2 3 3 2" xfId="31977" xr:uid="{00000000-0005-0000-0000-000080850000}"/>
    <cellStyle name="Porcentual 3 2 2 2 3 2 3 4" xfId="22887" xr:uid="{00000000-0005-0000-0000-000081850000}"/>
    <cellStyle name="Porcentual 3 2 2 2 3 2 4" xfId="6322" xr:uid="{00000000-0005-0000-0000-000082850000}"/>
    <cellStyle name="Porcentual 3 2 2 2 3 2 4 2" xfId="15422" xr:uid="{00000000-0005-0000-0000-000083850000}"/>
    <cellStyle name="Porcentual 3 2 2 2 3 2 4 2 2" xfId="33604" xr:uid="{00000000-0005-0000-0000-000084850000}"/>
    <cellStyle name="Porcentual 3 2 2 2 3 2 4 3" xfId="24514" xr:uid="{00000000-0005-0000-0000-000085850000}"/>
    <cellStyle name="Porcentual 3 2 2 2 3 2 5" xfId="10888" xr:uid="{00000000-0005-0000-0000-000086850000}"/>
    <cellStyle name="Porcentual 3 2 2 2 3 2 5 2" xfId="29070" xr:uid="{00000000-0005-0000-0000-000087850000}"/>
    <cellStyle name="Porcentual 3 2 2 2 3 2 6" xfId="19979" xr:uid="{00000000-0005-0000-0000-000088850000}"/>
    <cellStyle name="Porcentual 3 2 2 2 3 3" xfId="3048" xr:uid="{00000000-0005-0000-0000-000089850000}"/>
    <cellStyle name="Porcentual 3 2 2 2 3 3 2" xfId="7624" xr:uid="{00000000-0005-0000-0000-00008A850000}"/>
    <cellStyle name="Porcentual 3 2 2 2 3 3 2 2" xfId="16724" xr:uid="{00000000-0005-0000-0000-00008B850000}"/>
    <cellStyle name="Porcentual 3 2 2 2 3 3 2 2 2" xfId="34906" xr:uid="{00000000-0005-0000-0000-00008C850000}"/>
    <cellStyle name="Porcentual 3 2 2 2 3 3 2 3" xfId="25816" xr:uid="{00000000-0005-0000-0000-00008D850000}"/>
    <cellStyle name="Porcentual 3 2 2 2 3 3 3" xfId="12186" xr:uid="{00000000-0005-0000-0000-00008E850000}"/>
    <cellStyle name="Porcentual 3 2 2 2 3 3 3 2" xfId="30368" xr:uid="{00000000-0005-0000-0000-00008F850000}"/>
    <cellStyle name="Porcentual 3 2 2 2 3 3 4" xfId="21278" xr:uid="{00000000-0005-0000-0000-000090850000}"/>
    <cellStyle name="Porcentual 3 2 2 2 3 4" xfId="4683" xr:uid="{00000000-0005-0000-0000-000091850000}"/>
    <cellStyle name="Porcentual 3 2 2 2 3 4 2" xfId="9239" xr:uid="{00000000-0005-0000-0000-000092850000}"/>
    <cellStyle name="Porcentual 3 2 2 2 3 4 2 2" xfId="18335" xr:uid="{00000000-0005-0000-0000-000093850000}"/>
    <cellStyle name="Porcentual 3 2 2 2 3 4 2 2 2" xfId="36517" xr:uid="{00000000-0005-0000-0000-000094850000}"/>
    <cellStyle name="Porcentual 3 2 2 2 3 4 2 3" xfId="27427" xr:uid="{00000000-0005-0000-0000-000095850000}"/>
    <cellStyle name="Porcentual 3 2 2 2 3 4 3" xfId="13794" xr:uid="{00000000-0005-0000-0000-000096850000}"/>
    <cellStyle name="Porcentual 3 2 2 2 3 4 3 2" xfId="31976" xr:uid="{00000000-0005-0000-0000-000097850000}"/>
    <cellStyle name="Porcentual 3 2 2 2 3 4 4" xfId="22886" xr:uid="{00000000-0005-0000-0000-000098850000}"/>
    <cellStyle name="Porcentual 3 2 2 2 3 5" xfId="6321" xr:uid="{00000000-0005-0000-0000-000099850000}"/>
    <cellStyle name="Porcentual 3 2 2 2 3 5 2" xfId="15421" xr:uid="{00000000-0005-0000-0000-00009A850000}"/>
    <cellStyle name="Porcentual 3 2 2 2 3 5 2 2" xfId="33603" xr:uid="{00000000-0005-0000-0000-00009B850000}"/>
    <cellStyle name="Porcentual 3 2 2 2 3 5 3" xfId="24513" xr:uid="{00000000-0005-0000-0000-00009C850000}"/>
    <cellStyle name="Porcentual 3 2 2 2 3 6" xfId="10887" xr:uid="{00000000-0005-0000-0000-00009D850000}"/>
    <cellStyle name="Porcentual 3 2 2 2 3 6 2" xfId="29069" xr:uid="{00000000-0005-0000-0000-00009E850000}"/>
    <cellStyle name="Porcentual 3 2 2 2 3 7" xfId="19978" xr:uid="{00000000-0005-0000-0000-00009F850000}"/>
    <cellStyle name="Porcentual 3 2 2 2 4" xfId="1688" xr:uid="{00000000-0005-0000-0000-0000A0850000}"/>
    <cellStyle name="Porcentual 3 2 2 2 4 2" xfId="3049" xr:uid="{00000000-0005-0000-0000-0000A1850000}"/>
    <cellStyle name="Porcentual 3 2 2 2 4 2 2" xfId="7625" xr:uid="{00000000-0005-0000-0000-0000A2850000}"/>
    <cellStyle name="Porcentual 3 2 2 2 4 2 2 2" xfId="16725" xr:uid="{00000000-0005-0000-0000-0000A3850000}"/>
    <cellStyle name="Porcentual 3 2 2 2 4 2 2 2 2" xfId="34907" xr:uid="{00000000-0005-0000-0000-0000A4850000}"/>
    <cellStyle name="Porcentual 3 2 2 2 4 2 2 3" xfId="25817" xr:uid="{00000000-0005-0000-0000-0000A5850000}"/>
    <cellStyle name="Porcentual 3 2 2 2 4 2 3" xfId="12187" xr:uid="{00000000-0005-0000-0000-0000A6850000}"/>
    <cellStyle name="Porcentual 3 2 2 2 4 2 3 2" xfId="30369" xr:uid="{00000000-0005-0000-0000-0000A7850000}"/>
    <cellStyle name="Porcentual 3 2 2 2 4 2 4" xfId="21279" xr:uid="{00000000-0005-0000-0000-0000A8850000}"/>
    <cellStyle name="Porcentual 3 2 2 2 4 3" xfId="4685" xr:uid="{00000000-0005-0000-0000-0000A9850000}"/>
    <cellStyle name="Porcentual 3 2 2 2 4 3 2" xfId="9241" xr:uid="{00000000-0005-0000-0000-0000AA850000}"/>
    <cellStyle name="Porcentual 3 2 2 2 4 3 2 2" xfId="18337" xr:uid="{00000000-0005-0000-0000-0000AB850000}"/>
    <cellStyle name="Porcentual 3 2 2 2 4 3 2 2 2" xfId="36519" xr:uid="{00000000-0005-0000-0000-0000AC850000}"/>
    <cellStyle name="Porcentual 3 2 2 2 4 3 2 3" xfId="27429" xr:uid="{00000000-0005-0000-0000-0000AD850000}"/>
    <cellStyle name="Porcentual 3 2 2 2 4 3 3" xfId="13796" xr:uid="{00000000-0005-0000-0000-0000AE850000}"/>
    <cellStyle name="Porcentual 3 2 2 2 4 3 3 2" xfId="31978" xr:uid="{00000000-0005-0000-0000-0000AF850000}"/>
    <cellStyle name="Porcentual 3 2 2 2 4 3 4" xfId="22888" xr:uid="{00000000-0005-0000-0000-0000B0850000}"/>
    <cellStyle name="Porcentual 3 2 2 2 4 4" xfId="6323" xr:uid="{00000000-0005-0000-0000-0000B1850000}"/>
    <cellStyle name="Porcentual 3 2 2 2 4 4 2" xfId="15423" xr:uid="{00000000-0005-0000-0000-0000B2850000}"/>
    <cellStyle name="Porcentual 3 2 2 2 4 4 2 2" xfId="33605" xr:uid="{00000000-0005-0000-0000-0000B3850000}"/>
    <cellStyle name="Porcentual 3 2 2 2 4 4 3" xfId="24515" xr:uid="{00000000-0005-0000-0000-0000B4850000}"/>
    <cellStyle name="Porcentual 3 2 2 2 4 5" xfId="10889" xr:uid="{00000000-0005-0000-0000-0000B5850000}"/>
    <cellStyle name="Porcentual 3 2 2 2 4 5 2" xfId="29071" xr:uid="{00000000-0005-0000-0000-0000B6850000}"/>
    <cellStyle name="Porcentual 3 2 2 2 4 6" xfId="19980" xr:uid="{00000000-0005-0000-0000-0000B7850000}"/>
    <cellStyle name="Porcentual 3 2 2 2 5" xfId="1689" xr:uid="{00000000-0005-0000-0000-0000B8850000}"/>
    <cellStyle name="Porcentual 3 2 2 2 5 2" xfId="4686" xr:uid="{00000000-0005-0000-0000-0000B9850000}"/>
    <cellStyle name="Porcentual 3 2 2 2 5 2 2" xfId="9242" xr:uid="{00000000-0005-0000-0000-0000BA850000}"/>
    <cellStyle name="Porcentual 3 2 2 2 5 2 2 2" xfId="18338" xr:uid="{00000000-0005-0000-0000-0000BB850000}"/>
    <cellStyle name="Porcentual 3 2 2 2 5 2 2 2 2" xfId="36520" xr:uid="{00000000-0005-0000-0000-0000BC850000}"/>
    <cellStyle name="Porcentual 3 2 2 2 5 2 2 3" xfId="27430" xr:uid="{00000000-0005-0000-0000-0000BD850000}"/>
    <cellStyle name="Porcentual 3 2 2 2 5 2 3" xfId="13797" xr:uid="{00000000-0005-0000-0000-0000BE850000}"/>
    <cellStyle name="Porcentual 3 2 2 2 5 2 3 2" xfId="31979" xr:uid="{00000000-0005-0000-0000-0000BF850000}"/>
    <cellStyle name="Porcentual 3 2 2 2 5 2 4" xfId="22889" xr:uid="{00000000-0005-0000-0000-0000C0850000}"/>
    <cellStyle name="Porcentual 3 2 2 2 5 3" xfId="6324" xr:uid="{00000000-0005-0000-0000-0000C1850000}"/>
    <cellStyle name="Porcentual 3 2 2 2 5 3 2" xfId="15424" xr:uid="{00000000-0005-0000-0000-0000C2850000}"/>
    <cellStyle name="Porcentual 3 2 2 2 5 3 2 2" xfId="33606" xr:uid="{00000000-0005-0000-0000-0000C3850000}"/>
    <cellStyle name="Porcentual 3 2 2 2 5 3 3" xfId="24516" xr:uid="{00000000-0005-0000-0000-0000C4850000}"/>
    <cellStyle name="Porcentual 3 2 2 2 5 4" xfId="10890" xr:uid="{00000000-0005-0000-0000-0000C5850000}"/>
    <cellStyle name="Porcentual 3 2 2 2 5 4 2" xfId="29072" xr:uid="{00000000-0005-0000-0000-0000C6850000}"/>
    <cellStyle name="Porcentual 3 2 2 2 5 5" xfId="19981" xr:uid="{00000000-0005-0000-0000-0000C7850000}"/>
    <cellStyle name="Porcentual 3 2 2 2 6" xfId="3050" xr:uid="{00000000-0005-0000-0000-0000C8850000}"/>
    <cellStyle name="Porcentual 3 2 2 2 6 2" xfId="7626" xr:uid="{00000000-0005-0000-0000-0000C9850000}"/>
    <cellStyle name="Porcentual 3 2 2 2 6 2 2" xfId="16726" xr:uid="{00000000-0005-0000-0000-0000CA850000}"/>
    <cellStyle name="Porcentual 3 2 2 2 6 2 2 2" xfId="34908" xr:uid="{00000000-0005-0000-0000-0000CB850000}"/>
    <cellStyle name="Porcentual 3 2 2 2 6 2 3" xfId="25818" xr:uid="{00000000-0005-0000-0000-0000CC850000}"/>
    <cellStyle name="Porcentual 3 2 2 2 6 3" xfId="12188" xr:uid="{00000000-0005-0000-0000-0000CD850000}"/>
    <cellStyle name="Porcentual 3 2 2 2 6 3 2" xfId="30370" xr:uid="{00000000-0005-0000-0000-0000CE850000}"/>
    <cellStyle name="Porcentual 3 2 2 2 6 4" xfId="21280" xr:uid="{00000000-0005-0000-0000-0000CF850000}"/>
    <cellStyle name="Porcentual 3 2 2 2 7" xfId="4677" xr:uid="{00000000-0005-0000-0000-0000D0850000}"/>
    <cellStyle name="Porcentual 3 2 2 2 7 2" xfId="9233" xr:uid="{00000000-0005-0000-0000-0000D1850000}"/>
    <cellStyle name="Porcentual 3 2 2 2 7 2 2" xfId="18329" xr:uid="{00000000-0005-0000-0000-0000D2850000}"/>
    <cellStyle name="Porcentual 3 2 2 2 7 2 2 2" xfId="36511" xr:uid="{00000000-0005-0000-0000-0000D3850000}"/>
    <cellStyle name="Porcentual 3 2 2 2 7 2 3" xfId="27421" xr:uid="{00000000-0005-0000-0000-0000D4850000}"/>
    <cellStyle name="Porcentual 3 2 2 2 7 3" xfId="13788" xr:uid="{00000000-0005-0000-0000-0000D5850000}"/>
    <cellStyle name="Porcentual 3 2 2 2 7 3 2" xfId="31970" xr:uid="{00000000-0005-0000-0000-0000D6850000}"/>
    <cellStyle name="Porcentual 3 2 2 2 7 4" xfId="22880" xr:uid="{00000000-0005-0000-0000-0000D7850000}"/>
    <cellStyle name="Porcentual 3 2 2 2 8" xfId="6315" xr:uid="{00000000-0005-0000-0000-0000D8850000}"/>
    <cellStyle name="Porcentual 3 2 2 2 8 2" xfId="15415" xr:uid="{00000000-0005-0000-0000-0000D9850000}"/>
    <cellStyle name="Porcentual 3 2 2 2 8 2 2" xfId="33597" xr:uid="{00000000-0005-0000-0000-0000DA850000}"/>
    <cellStyle name="Porcentual 3 2 2 2 8 3" xfId="24507" xr:uid="{00000000-0005-0000-0000-0000DB850000}"/>
    <cellStyle name="Porcentual 3 2 2 2 9" xfId="10881" xr:uid="{00000000-0005-0000-0000-0000DC850000}"/>
    <cellStyle name="Porcentual 3 2 2 2 9 2" xfId="29063" xr:uid="{00000000-0005-0000-0000-0000DD850000}"/>
    <cellStyle name="Porcentual 3 2 2 3" xfId="1690" xr:uid="{00000000-0005-0000-0000-0000DE850000}"/>
    <cellStyle name="Porcentual 3 2 2 3 2" xfId="1691" xr:uid="{00000000-0005-0000-0000-0000DF850000}"/>
    <cellStyle name="Porcentual 3 2 2 3 2 2" xfId="1692" xr:uid="{00000000-0005-0000-0000-0000E0850000}"/>
    <cellStyle name="Porcentual 3 2 2 3 2 2 2" xfId="3051" xr:uid="{00000000-0005-0000-0000-0000E1850000}"/>
    <cellStyle name="Porcentual 3 2 2 3 2 2 2 2" xfId="7627" xr:uid="{00000000-0005-0000-0000-0000E2850000}"/>
    <cellStyle name="Porcentual 3 2 2 3 2 2 2 2 2" xfId="16727" xr:uid="{00000000-0005-0000-0000-0000E3850000}"/>
    <cellStyle name="Porcentual 3 2 2 3 2 2 2 2 2 2" xfId="34909" xr:uid="{00000000-0005-0000-0000-0000E4850000}"/>
    <cellStyle name="Porcentual 3 2 2 3 2 2 2 2 3" xfId="25819" xr:uid="{00000000-0005-0000-0000-0000E5850000}"/>
    <cellStyle name="Porcentual 3 2 2 3 2 2 2 3" xfId="12189" xr:uid="{00000000-0005-0000-0000-0000E6850000}"/>
    <cellStyle name="Porcentual 3 2 2 3 2 2 2 3 2" xfId="30371" xr:uid="{00000000-0005-0000-0000-0000E7850000}"/>
    <cellStyle name="Porcentual 3 2 2 3 2 2 2 4" xfId="21281" xr:uid="{00000000-0005-0000-0000-0000E8850000}"/>
    <cellStyle name="Porcentual 3 2 2 3 2 2 3" xfId="4689" xr:uid="{00000000-0005-0000-0000-0000E9850000}"/>
    <cellStyle name="Porcentual 3 2 2 3 2 2 3 2" xfId="9245" xr:uid="{00000000-0005-0000-0000-0000EA850000}"/>
    <cellStyle name="Porcentual 3 2 2 3 2 2 3 2 2" xfId="18341" xr:uid="{00000000-0005-0000-0000-0000EB850000}"/>
    <cellStyle name="Porcentual 3 2 2 3 2 2 3 2 2 2" xfId="36523" xr:uid="{00000000-0005-0000-0000-0000EC850000}"/>
    <cellStyle name="Porcentual 3 2 2 3 2 2 3 2 3" xfId="27433" xr:uid="{00000000-0005-0000-0000-0000ED850000}"/>
    <cellStyle name="Porcentual 3 2 2 3 2 2 3 3" xfId="13800" xr:uid="{00000000-0005-0000-0000-0000EE850000}"/>
    <cellStyle name="Porcentual 3 2 2 3 2 2 3 3 2" xfId="31982" xr:uid="{00000000-0005-0000-0000-0000EF850000}"/>
    <cellStyle name="Porcentual 3 2 2 3 2 2 3 4" xfId="22892" xr:uid="{00000000-0005-0000-0000-0000F0850000}"/>
    <cellStyle name="Porcentual 3 2 2 3 2 2 4" xfId="6327" xr:uid="{00000000-0005-0000-0000-0000F1850000}"/>
    <cellStyle name="Porcentual 3 2 2 3 2 2 4 2" xfId="15427" xr:uid="{00000000-0005-0000-0000-0000F2850000}"/>
    <cellStyle name="Porcentual 3 2 2 3 2 2 4 2 2" xfId="33609" xr:uid="{00000000-0005-0000-0000-0000F3850000}"/>
    <cellStyle name="Porcentual 3 2 2 3 2 2 4 3" xfId="24519" xr:uid="{00000000-0005-0000-0000-0000F4850000}"/>
    <cellStyle name="Porcentual 3 2 2 3 2 2 5" xfId="10893" xr:uid="{00000000-0005-0000-0000-0000F5850000}"/>
    <cellStyle name="Porcentual 3 2 2 3 2 2 5 2" xfId="29075" xr:uid="{00000000-0005-0000-0000-0000F6850000}"/>
    <cellStyle name="Porcentual 3 2 2 3 2 2 6" xfId="19984" xr:uid="{00000000-0005-0000-0000-0000F7850000}"/>
    <cellStyle name="Porcentual 3 2 2 3 2 3" xfId="3052" xr:uid="{00000000-0005-0000-0000-0000F8850000}"/>
    <cellStyle name="Porcentual 3 2 2 3 2 3 2" xfId="7628" xr:uid="{00000000-0005-0000-0000-0000F9850000}"/>
    <cellStyle name="Porcentual 3 2 2 3 2 3 2 2" xfId="16728" xr:uid="{00000000-0005-0000-0000-0000FA850000}"/>
    <cellStyle name="Porcentual 3 2 2 3 2 3 2 2 2" xfId="34910" xr:uid="{00000000-0005-0000-0000-0000FB850000}"/>
    <cellStyle name="Porcentual 3 2 2 3 2 3 2 3" xfId="25820" xr:uid="{00000000-0005-0000-0000-0000FC850000}"/>
    <cellStyle name="Porcentual 3 2 2 3 2 3 3" xfId="12190" xr:uid="{00000000-0005-0000-0000-0000FD850000}"/>
    <cellStyle name="Porcentual 3 2 2 3 2 3 3 2" xfId="30372" xr:uid="{00000000-0005-0000-0000-0000FE850000}"/>
    <cellStyle name="Porcentual 3 2 2 3 2 3 4" xfId="21282" xr:uid="{00000000-0005-0000-0000-0000FF850000}"/>
    <cellStyle name="Porcentual 3 2 2 3 2 4" xfId="4688" xr:uid="{00000000-0005-0000-0000-000000860000}"/>
    <cellStyle name="Porcentual 3 2 2 3 2 4 2" xfId="9244" xr:uid="{00000000-0005-0000-0000-000001860000}"/>
    <cellStyle name="Porcentual 3 2 2 3 2 4 2 2" xfId="18340" xr:uid="{00000000-0005-0000-0000-000002860000}"/>
    <cellStyle name="Porcentual 3 2 2 3 2 4 2 2 2" xfId="36522" xr:uid="{00000000-0005-0000-0000-000003860000}"/>
    <cellStyle name="Porcentual 3 2 2 3 2 4 2 3" xfId="27432" xr:uid="{00000000-0005-0000-0000-000004860000}"/>
    <cellStyle name="Porcentual 3 2 2 3 2 4 3" xfId="13799" xr:uid="{00000000-0005-0000-0000-000005860000}"/>
    <cellStyle name="Porcentual 3 2 2 3 2 4 3 2" xfId="31981" xr:uid="{00000000-0005-0000-0000-000006860000}"/>
    <cellStyle name="Porcentual 3 2 2 3 2 4 4" xfId="22891" xr:uid="{00000000-0005-0000-0000-000007860000}"/>
    <cellStyle name="Porcentual 3 2 2 3 2 5" xfId="6326" xr:uid="{00000000-0005-0000-0000-000008860000}"/>
    <cellStyle name="Porcentual 3 2 2 3 2 5 2" xfId="15426" xr:uid="{00000000-0005-0000-0000-000009860000}"/>
    <cellStyle name="Porcentual 3 2 2 3 2 5 2 2" xfId="33608" xr:uid="{00000000-0005-0000-0000-00000A860000}"/>
    <cellStyle name="Porcentual 3 2 2 3 2 5 3" xfId="24518" xr:uid="{00000000-0005-0000-0000-00000B860000}"/>
    <cellStyle name="Porcentual 3 2 2 3 2 6" xfId="10892" xr:uid="{00000000-0005-0000-0000-00000C860000}"/>
    <cellStyle name="Porcentual 3 2 2 3 2 6 2" xfId="29074" xr:uid="{00000000-0005-0000-0000-00000D860000}"/>
    <cellStyle name="Porcentual 3 2 2 3 2 7" xfId="19983" xr:uid="{00000000-0005-0000-0000-00000E860000}"/>
    <cellStyle name="Porcentual 3 2 2 3 3" xfId="1693" xr:uid="{00000000-0005-0000-0000-00000F860000}"/>
    <cellStyle name="Porcentual 3 2 2 3 3 2" xfId="3053" xr:uid="{00000000-0005-0000-0000-000010860000}"/>
    <cellStyle name="Porcentual 3 2 2 3 3 2 2" xfId="7629" xr:uid="{00000000-0005-0000-0000-000011860000}"/>
    <cellStyle name="Porcentual 3 2 2 3 3 2 2 2" xfId="16729" xr:uid="{00000000-0005-0000-0000-000012860000}"/>
    <cellStyle name="Porcentual 3 2 2 3 3 2 2 2 2" xfId="34911" xr:uid="{00000000-0005-0000-0000-000013860000}"/>
    <cellStyle name="Porcentual 3 2 2 3 3 2 2 3" xfId="25821" xr:uid="{00000000-0005-0000-0000-000014860000}"/>
    <cellStyle name="Porcentual 3 2 2 3 3 2 3" xfId="12191" xr:uid="{00000000-0005-0000-0000-000015860000}"/>
    <cellStyle name="Porcentual 3 2 2 3 3 2 3 2" xfId="30373" xr:uid="{00000000-0005-0000-0000-000016860000}"/>
    <cellStyle name="Porcentual 3 2 2 3 3 2 4" xfId="21283" xr:uid="{00000000-0005-0000-0000-000017860000}"/>
    <cellStyle name="Porcentual 3 2 2 3 3 3" xfId="4690" xr:uid="{00000000-0005-0000-0000-000018860000}"/>
    <cellStyle name="Porcentual 3 2 2 3 3 3 2" xfId="9246" xr:uid="{00000000-0005-0000-0000-000019860000}"/>
    <cellStyle name="Porcentual 3 2 2 3 3 3 2 2" xfId="18342" xr:uid="{00000000-0005-0000-0000-00001A860000}"/>
    <cellStyle name="Porcentual 3 2 2 3 3 3 2 2 2" xfId="36524" xr:uid="{00000000-0005-0000-0000-00001B860000}"/>
    <cellStyle name="Porcentual 3 2 2 3 3 3 2 3" xfId="27434" xr:uid="{00000000-0005-0000-0000-00001C860000}"/>
    <cellStyle name="Porcentual 3 2 2 3 3 3 3" xfId="13801" xr:uid="{00000000-0005-0000-0000-00001D860000}"/>
    <cellStyle name="Porcentual 3 2 2 3 3 3 3 2" xfId="31983" xr:uid="{00000000-0005-0000-0000-00001E860000}"/>
    <cellStyle name="Porcentual 3 2 2 3 3 3 4" xfId="22893" xr:uid="{00000000-0005-0000-0000-00001F860000}"/>
    <cellStyle name="Porcentual 3 2 2 3 3 4" xfId="6328" xr:uid="{00000000-0005-0000-0000-000020860000}"/>
    <cellStyle name="Porcentual 3 2 2 3 3 4 2" xfId="15428" xr:uid="{00000000-0005-0000-0000-000021860000}"/>
    <cellStyle name="Porcentual 3 2 2 3 3 4 2 2" xfId="33610" xr:uid="{00000000-0005-0000-0000-000022860000}"/>
    <cellStyle name="Porcentual 3 2 2 3 3 4 3" xfId="24520" xr:uid="{00000000-0005-0000-0000-000023860000}"/>
    <cellStyle name="Porcentual 3 2 2 3 3 5" xfId="10894" xr:uid="{00000000-0005-0000-0000-000024860000}"/>
    <cellStyle name="Porcentual 3 2 2 3 3 5 2" xfId="29076" xr:uid="{00000000-0005-0000-0000-000025860000}"/>
    <cellStyle name="Porcentual 3 2 2 3 3 6" xfId="19985" xr:uid="{00000000-0005-0000-0000-000026860000}"/>
    <cellStyle name="Porcentual 3 2 2 3 4" xfId="1694" xr:uid="{00000000-0005-0000-0000-000027860000}"/>
    <cellStyle name="Porcentual 3 2 2 3 4 2" xfId="4691" xr:uid="{00000000-0005-0000-0000-000028860000}"/>
    <cellStyle name="Porcentual 3 2 2 3 4 2 2" xfId="9247" xr:uid="{00000000-0005-0000-0000-000029860000}"/>
    <cellStyle name="Porcentual 3 2 2 3 4 2 2 2" xfId="18343" xr:uid="{00000000-0005-0000-0000-00002A860000}"/>
    <cellStyle name="Porcentual 3 2 2 3 4 2 2 2 2" xfId="36525" xr:uid="{00000000-0005-0000-0000-00002B860000}"/>
    <cellStyle name="Porcentual 3 2 2 3 4 2 2 3" xfId="27435" xr:uid="{00000000-0005-0000-0000-00002C860000}"/>
    <cellStyle name="Porcentual 3 2 2 3 4 2 3" xfId="13802" xr:uid="{00000000-0005-0000-0000-00002D860000}"/>
    <cellStyle name="Porcentual 3 2 2 3 4 2 3 2" xfId="31984" xr:uid="{00000000-0005-0000-0000-00002E860000}"/>
    <cellStyle name="Porcentual 3 2 2 3 4 2 4" xfId="22894" xr:uid="{00000000-0005-0000-0000-00002F860000}"/>
    <cellStyle name="Porcentual 3 2 2 3 4 3" xfId="6329" xr:uid="{00000000-0005-0000-0000-000030860000}"/>
    <cellStyle name="Porcentual 3 2 2 3 4 3 2" xfId="15429" xr:uid="{00000000-0005-0000-0000-000031860000}"/>
    <cellStyle name="Porcentual 3 2 2 3 4 3 2 2" xfId="33611" xr:uid="{00000000-0005-0000-0000-000032860000}"/>
    <cellStyle name="Porcentual 3 2 2 3 4 3 3" xfId="24521" xr:uid="{00000000-0005-0000-0000-000033860000}"/>
    <cellStyle name="Porcentual 3 2 2 3 4 4" xfId="10895" xr:uid="{00000000-0005-0000-0000-000034860000}"/>
    <cellStyle name="Porcentual 3 2 2 3 4 4 2" xfId="29077" xr:uid="{00000000-0005-0000-0000-000035860000}"/>
    <cellStyle name="Porcentual 3 2 2 3 4 5" xfId="19986" xr:uid="{00000000-0005-0000-0000-000036860000}"/>
    <cellStyle name="Porcentual 3 2 2 3 5" xfId="3054" xr:uid="{00000000-0005-0000-0000-000037860000}"/>
    <cellStyle name="Porcentual 3 2 2 3 6" xfId="4687" xr:uid="{00000000-0005-0000-0000-000038860000}"/>
    <cellStyle name="Porcentual 3 2 2 3 6 2" xfId="9243" xr:uid="{00000000-0005-0000-0000-000039860000}"/>
    <cellStyle name="Porcentual 3 2 2 3 6 2 2" xfId="18339" xr:uid="{00000000-0005-0000-0000-00003A860000}"/>
    <cellStyle name="Porcentual 3 2 2 3 6 2 2 2" xfId="36521" xr:uid="{00000000-0005-0000-0000-00003B860000}"/>
    <cellStyle name="Porcentual 3 2 2 3 6 2 3" xfId="27431" xr:uid="{00000000-0005-0000-0000-00003C860000}"/>
    <cellStyle name="Porcentual 3 2 2 3 6 3" xfId="13798" xr:uid="{00000000-0005-0000-0000-00003D860000}"/>
    <cellStyle name="Porcentual 3 2 2 3 6 3 2" xfId="31980" xr:uid="{00000000-0005-0000-0000-00003E860000}"/>
    <cellStyle name="Porcentual 3 2 2 3 6 4" xfId="22890" xr:uid="{00000000-0005-0000-0000-00003F860000}"/>
    <cellStyle name="Porcentual 3 2 2 3 7" xfId="6325" xr:uid="{00000000-0005-0000-0000-000040860000}"/>
    <cellStyle name="Porcentual 3 2 2 3 7 2" xfId="15425" xr:uid="{00000000-0005-0000-0000-000041860000}"/>
    <cellStyle name="Porcentual 3 2 2 3 7 2 2" xfId="33607" xr:uid="{00000000-0005-0000-0000-000042860000}"/>
    <cellStyle name="Porcentual 3 2 2 3 7 3" xfId="24517" xr:uid="{00000000-0005-0000-0000-000043860000}"/>
    <cellStyle name="Porcentual 3 2 2 3 8" xfId="10891" xr:uid="{00000000-0005-0000-0000-000044860000}"/>
    <cellStyle name="Porcentual 3 2 2 3 8 2" xfId="29073" xr:uid="{00000000-0005-0000-0000-000045860000}"/>
    <cellStyle name="Porcentual 3 2 2 3 9" xfId="19982" xr:uid="{00000000-0005-0000-0000-000046860000}"/>
    <cellStyle name="Porcentual 3 2 2 4" xfId="1695" xr:uid="{00000000-0005-0000-0000-000047860000}"/>
    <cellStyle name="Porcentual 3 2 2 4 2" xfId="1696" xr:uid="{00000000-0005-0000-0000-000048860000}"/>
    <cellStyle name="Porcentual 3 2 2 4 2 2" xfId="3055" xr:uid="{00000000-0005-0000-0000-000049860000}"/>
    <cellStyle name="Porcentual 3 2 2 4 2 2 2" xfId="7630" xr:uid="{00000000-0005-0000-0000-00004A860000}"/>
    <cellStyle name="Porcentual 3 2 2 4 2 2 2 2" xfId="16730" xr:uid="{00000000-0005-0000-0000-00004B860000}"/>
    <cellStyle name="Porcentual 3 2 2 4 2 2 2 2 2" xfId="34912" xr:uid="{00000000-0005-0000-0000-00004C860000}"/>
    <cellStyle name="Porcentual 3 2 2 4 2 2 2 3" xfId="25822" xr:uid="{00000000-0005-0000-0000-00004D860000}"/>
    <cellStyle name="Porcentual 3 2 2 4 2 2 3" xfId="12192" xr:uid="{00000000-0005-0000-0000-00004E860000}"/>
    <cellStyle name="Porcentual 3 2 2 4 2 2 3 2" xfId="30374" xr:uid="{00000000-0005-0000-0000-00004F860000}"/>
    <cellStyle name="Porcentual 3 2 2 4 2 2 4" xfId="21284" xr:uid="{00000000-0005-0000-0000-000050860000}"/>
    <cellStyle name="Porcentual 3 2 2 4 2 3" xfId="4693" xr:uid="{00000000-0005-0000-0000-000051860000}"/>
    <cellStyle name="Porcentual 3 2 2 4 2 3 2" xfId="9249" xr:uid="{00000000-0005-0000-0000-000052860000}"/>
    <cellStyle name="Porcentual 3 2 2 4 2 3 2 2" xfId="18345" xr:uid="{00000000-0005-0000-0000-000053860000}"/>
    <cellStyle name="Porcentual 3 2 2 4 2 3 2 2 2" xfId="36527" xr:uid="{00000000-0005-0000-0000-000054860000}"/>
    <cellStyle name="Porcentual 3 2 2 4 2 3 2 3" xfId="27437" xr:uid="{00000000-0005-0000-0000-000055860000}"/>
    <cellStyle name="Porcentual 3 2 2 4 2 3 3" xfId="13804" xr:uid="{00000000-0005-0000-0000-000056860000}"/>
    <cellStyle name="Porcentual 3 2 2 4 2 3 3 2" xfId="31986" xr:uid="{00000000-0005-0000-0000-000057860000}"/>
    <cellStyle name="Porcentual 3 2 2 4 2 3 4" xfId="22896" xr:uid="{00000000-0005-0000-0000-000058860000}"/>
    <cellStyle name="Porcentual 3 2 2 4 2 4" xfId="6331" xr:uid="{00000000-0005-0000-0000-000059860000}"/>
    <cellStyle name="Porcentual 3 2 2 4 2 4 2" xfId="15431" xr:uid="{00000000-0005-0000-0000-00005A860000}"/>
    <cellStyle name="Porcentual 3 2 2 4 2 4 2 2" xfId="33613" xr:uid="{00000000-0005-0000-0000-00005B860000}"/>
    <cellStyle name="Porcentual 3 2 2 4 2 4 3" xfId="24523" xr:uid="{00000000-0005-0000-0000-00005C860000}"/>
    <cellStyle name="Porcentual 3 2 2 4 2 5" xfId="10897" xr:uid="{00000000-0005-0000-0000-00005D860000}"/>
    <cellStyle name="Porcentual 3 2 2 4 2 5 2" xfId="29079" xr:uid="{00000000-0005-0000-0000-00005E860000}"/>
    <cellStyle name="Porcentual 3 2 2 4 2 6" xfId="19988" xr:uid="{00000000-0005-0000-0000-00005F860000}"/>
    <cellStyle name="Porcentual 3 2 2 4 3" xfId="3056" xr:uid="{00000000-0005-0000-0000-000060860000}"/>
    <cellStyle name="Porcentual 3 2 2 4 3 2" xfId="7631" xr:uid="{00000000-0005-0000-0000-000061860000}"/>
    <cellStyle name="Porcentual 3 2 2 4 3 2 2" xfId="16731" xr:uid="{00000000-0005-0000-0000-000062860000}"/>
    <cellStyle name="Porcentual 3 2 2 4 3 2 2 2" xfId="34913" xr:uid="{00000000-0005-0000-0000-000063860000}"/>
    <cellStyle name="Porcentual 3 2 2 4 3 2 3" xfId="25823" xr:uid="{00000000-0005-0000-0000-000064860000}"/>
    <cellStyle name="Porcentual 3 2 2 4 3 3" xfId="12193" xr:uid="{00000000-0005-0000-0000-000065860000}"/>
    <cellStyle name="Porcentual 3 2 2 4 3 3 2" xfId="30375" xr:uid="{00000000-0005-0000-0000-000066860000}"/>
    <cellStyle name="Porcentual 3 2 2 4 3 4" xfId="21285" xr:uid="{00000000-0005-0000-0000-000067860000}"/>
    <cellStyle name="Porcentual 3 2 2 4 4" xfId="4692" xr:uid="{00000000-0005-0000-0000-000068860000}"/>
    <cellStyle name="Porcentual 3 2 2 4 4 2" xfId="9248" xr:uid="{00000000-0005-0000-0000-000069860000}"/>
    <cellStyle name="Porcentual 3 2 2 4 4 2 2" xfId="18344" xr:uid="{00000000-0005-0000-0000-00006A860000}"/>
    <cellStyle name="Porcentual 3 2 2 4 4 2 2 2" xfId="36526" xr:uid="{00000000-0005-0000-0000-00006B860000}"/>
    <cellStyle name="Porcentual 3 2 2 4 4 2 3" xfId="27436" xr:uid="{00000000-0005-0000-0000-00006C860000}"/>
    <cellStyle name="Porcentual 3 2 2 4 4 3" xfId="13803" xr:uid="{00000000-0005-0000-0000-00006D860000}"/>
    <cellStyle name="Porcentual 3 2 2 4 4 3 2" xfId="31985" xr:uid="{00000000-0005-0000-0000-00006E860000}"/>
    <cellStyle name="Porcentual 3 2 2 4 4 4" xfId="22895" xr:uid="{00000000-0005-0000-0000-00006F860000}"/>
    <cellStyle name="Porcentual 3 2 2 4 5" xfId="6330" xr:uid="{00000000-0005-0000-0000-000070860000}"/>
    <cellStyle name="Porcentual 3 2 2 4 5 2" xfId="15430" xr:uid="{00000000-0005-0000-0000-000071860000}"/>
    <cellStyle name="Porcentual 3 2 2 4 5 2 2" xfId="33612" xr:uid="{00000000-0005-0000-0000-000072860000}"/>
    <cellStyle name="Porcentual 3 2 2 4 5 3" xfId="24522" xr:uid="{00000000-0005-0000-0000-000073860000}"/>
    <cellStyle name="Porcentual 3 2 2 4 6" xfId="10896" xr:uid="{00000000-0005-0000-0000-000074860000}"/>
    <cellStyle name="Porcentual 3 2 2 4 6 2" xfId="29078" xr:uid="{00000000-0005-0000-0000-000075860000}"/>
    <cellStyle name="Porcentual 3 2 2 4 7" xfId="19987" xr:uid="{00000000-0005-0000-0000-000076860000}"/>
    <cellStyle name="Porcentual 3 2 2 5" xfId="1697" xr:uid="{00000000-0005-0000-0000-000077860000}"/>
    <cellStyle name="Porcentual 3 2 2 5 2" xfId="3057" xr:uid="{00000000-0005-0000-0000-000078860000}"/>
    <cellStyle name="Porcentual 3 2 2 5 2 2" xfId="7632" xr:uid="{00000000-0005-0000-0000-000079860000}"/>
    <cellStyle name="Porcentual 3 2 2 5 2 2 2" xfId="16732" xr:uid="{00000000-0005-0000-0000-00007A860000}"/>
    <cellStyle name="Porcentual 3 2 2 5 2 2 2 2" xfId="34914" xr:uid="{00000000-0005-0000-0000-00007B860000}"/>
    <cellStyle name="Porcentual 3 2 2 5 2 2 3" xfId="25824" xr:uid="{00000000-0005-0000-0000-00007C860000}"/>
    <cellStyle name="Porcentual 3 2 2 5 2 3" xfId="12194" xr:uid="{00000000-0005-0000-0000-00007D860000}"/>
    <cellStyle name="Porcentual 3 2 2 5 2 3 2" xfId="30376" xr:uid="{00000000-0005-0000-0000-00007E860000}"/>
    <cellStyle name="Porcentual 3 2 2 5 2 4" xfId="21286" xr:uid="{00000000-0005-0000-0000-00007F860000}"/>
    <cellStyle name="Porcentual 3 2 2 5 3" xfId="4694" xr:uid="{00000000-0005-0000-0000-000080860000}"/>
    <cellStyle name="Porcentual 3 2 2 5 3 2" xfId="9250" xr:uid="{00000000-0005-0000-0000-000081860000}"/>
    <cellStyle name="Porcentual 3 2 2 5 3 2 2" xfId="18346" xr:uid="{00000000-0005-0000-0000-000082860000}"/>
    <cellStyle name="Porcentual 3 2 2 5 3 2 2 2" xfId="36528" xr:uid="{00000000-0005-0000-0000-000083860000}"/>
    <cellStyle name="Porcentual 3 2 2 5 3 2 3" xfId="27438" xr:uid="{00000000-0005-0000-0000-000084860000}"/>
    <cellStyle name="Porcentual 3 2 2 5 3 3" xfId="13805" xr:uid="{00000000-0005-0000-0000-000085860000}"/>
    <cellStyle name="Porcentual 3 2 2 5 3 3 2" xfId="31987" xr:uid="{00000000-0005-0000-0000-000086860000}"/>
    <cellStyle name="Porcentual 3 2 2 5 3 4" xfId="22897" xr:uid="{00000000-0005-0000-0000-000087860000}"/>
    <cellStyle name="Porcentual 3 2 2 5 4" xfId="6332" xr:uid="{00000000-0005-0000-0000-000088860000}"/>
    <cellStyle name="Porcentual 3 2 2 5 4 2" xfId="15432" xr:uid="{00000000-0005-0000-0000-000089860000}"/>
    <cellStyle name="Porcentual 3 2 2 5 4 2 2" xfId="33614" xr:uid="{00000000-0005-0000-0000-00008A860000}"/>
    <cellStyle name="Porcentual 3 2 2 5 4 3" xfId="24524" xr:uid="{00000000-0005-0000-0000-00008B860000}"/>
    <cellStyle name="Porcentual 3 2 2 5 5" xfId="10898" xr:uid="{00000000-0005-0000-0000-00008C860000}"/>
    <cellStyle name="Porcentual 3 2 2 5 5 2" xfId="29080" xr:uid="{00000000-0005-0000-0000-00008D860000}"/>
    <cellStyle name="Porcentual 3 2 2 5 6" xfId="19989" xr:uid="{00000000-0005-0000-0000-00008E860000}"/>
    <cellStyle name="Porcentual 3 2 2 6" xfId="1698" xr:uid="{00000000-0005-0000-0000-00008F860000}"/>
    <cellStyle name="Porcentual 3 2 2 6 2" xfId="4695" xr:uid="{00000000-0005-0000-0000-000090860000}"/>
    <cellStyle name="Porcentual 3 2 2 6 2 2" xfId="9251" xr:uid="{00000000-0005-0000-0000-000091860000}"/>
    <cellStyle name="Porcentual 3 2 2 6 2 2 2" xfId="18347" xr:uid="{00000000-0005-0000-0000-000092860000}"/>
    <cellStyle name="Porcentual 3 2 2 6 2 2 2 2" xfId="36529" xr:uid="{00000000-0005-0000-0000-000093860000}"/>
    <cellStyle name="Porcentual 3 2 2 6 2 2 3" xfId="27439" xr:uid="{00000000-0005-0000-0000-000094860000}"/>
    <cellStyle name="Porcentual 3 2 2 6 2 3" xfId="13806" xr:uid="{00000000-0005-0000-0000-000095860000}"/>
    <cellStyle name="Porcentual 3 2 2 6 2 3 2" xfId="31988" xr:uid="{00000000-0005-0000-0000-000096860000}"/>
    <cellStyle name="Porcentual 3 2 2 6 2 4" xfId="22898" xr:uid="{00000000-0005-0000-0000-000097860000}"/>
    <cellStyle name="Porcentual 3 2 2 6 3" xfId="6333" xr:uid="{00000000-0005-0000-0000-000098860000}"/>
    <cellStyle name="Porcentual 3 2 2 6 3 2" xfId="15433" xr:uid="{00000000-0005-0000-0000-000099860000}"/>
    <cellStyle name="Porcentual 3 2 2 6 3 2 2" xfId="33615" xr:uid="{00000000-0005-0000-0000-00009A860000}"/>
    <cellStyle name="Porcentual 3 2 2 6 3 3" xfId="24525" xr:uid="{00000000-0005-0000-0000-00009B860000}"/>
    <cellStyle name="Porcentual 3 2 2 6 4" xfId="10899" xr:uid="{00000000-0005-0000-0000-00009C860000}"/>
    <cellStyle name="Porcentual 3 2 2 6 4 2" xfId="29081" xr:uid="{00000000-0005-0000-0000-00009D860000}"/>
    <cellStyle name="Porcentual 3 2 2 6 5" xfId="19990" xr:uid="{00000000-0005-0000-0000-00009E860000}"/>
    <cellStyle name="Porcentual 3 2 2 7" xfId="3058" xr:uid="{00000000-0005-0000-0000-00009F860000}"/>
    <cellStyle name="Porcentual 3 2 2 7 2" xfId="7633" xr:uid="{00000000-0005-0000-0000-0000A0860000}"/>
    <cellStyle name="Porcentual 3 2 2 7 2 2" xfId="16733" xr:uid="{00000000-0005-0000-0000-0000A1860000}"/>
    <cellStyle name="Porcentual 3 2 2 7 2 2 2" xfId="34915" xr:uid="{00000000-0005-0000-0000-0000A2860000}"/>
    <cellStyle name="Porcentual 3 2 2 7 2 3" xfId="25825" xr:uid="{00000000-0005-0000-0000-0000A3860000}"/>
    <cellStyle name="Porcentual 3 2 2 7 3" xfId="12195" xr:uid="{00000000-0005-0000-0000-0000A4860000}"/>
    <cellStyle name="Porcentual 3 2 2 7 3 2" xfId="30377" xr:uid="{00000000-0005-0000-0000-0000A5860000}"/>
    <cellStyle name="Porcentual 3 2 2 7 4" xfId="21287" xr:uid="{00000000-0005-0000-0000-0000A6860000}"/>
    <cellStyle name="Porcentual 3 2 2 8" xfId="3196" xr:uid="{00000000-0005-0000-0000-0000A7860000}"/>
    <cellStyle name="Porcentual 3 2 2 8 2" xfId="7756" xr:uid="{00000000-0005-0000-0000-0000A8860000}"/>
    <cellStyle name="Porcentual 3 2 2 8 2 2" xfId="16852" xr:uid="{00000000-0005-0000-0000-0000A9860000}"/>
    <cellStyle name="Porcentual 3 2 2 8 2 2 2" xfId="35034" xr:uid="{00000000-0005-0000-0000-0000AA860000}"/>
    <cellStyle name="Porcentual 3 2 2 8 2 3" xfId="25944" xr:uid="{00000000-0005-0000-0000-0000AB860000}"/>
    <cellStyle name="Porcentual 3 2 2 8 3" xfId="12312" xr:uid="{00000000-0005-0000-0000-0000AC860000}"/>
    <cellStyle name="Porcentual 3 2 2 8 3 2" xfId="30494" xr:uid="{00000000-0005-0000-0000-0000AD860000}"/>
    <cellStyle name="Porcentual 3 2 2 8 4" xfId="21404" xr:uid="{00000000-0005-0000-0000-0000AE860000}"/>
    <cellStyle name="Porcentual 3 2 2 9" xfId="4846" xr:uid="{00000000-0005-0000-0000-0000AF860000}"/>
    <cellStyle name="Porcentual 3 2 2 9 2" xfId="13946" xr:uid="{00000000-0005-0000-0000-0000B0860000}"/>
    <cellStyle name="Porcentual 3 2 2 9 2 2" xfId="32128" xr:uid="{00000000-0005-0000-0000-0000B1860000}"/>
    <cellStyle name="Porcentual 3 2 2 9 3" xfId="23038" xr:uid="{00000000-0005-0000-0000-0000B2860000}"/>
    <cellStyle name="Porcentual 3 2 3" xfId="1699" xr:uid="{00000000-0005-0000-0000-0000B3860000}"/>
    <cellStyle name="Porcentual 3 2 3 10" xfId="19991" xr:uid="{00000000-0005-0000-0000-0000B4860000}"/>
    <cellStyle name="Porcentual 3 2 3 2" xfId="1700" xr:uid="{00000000-0005-0000-0000-0000B5860000}"/>
    <cellStyle name="Porcentual 3 2 3 2 2" xfId="1701" xr:uid="{00000000-0005-0000-0000-0000B6860000}"/>
    <cellStyle name="Porcentual 3 2 3 2 2 2" xfId="1702" xr:uid="{00000000-0005-0000-0000-0000B7860000}"/>
    <cellStyle name="Porcentual 3 2 3 2 2 2 2" xfId="3059" xr:uid="{00000000-0005-0000-0000-0000B8860000}"/>
    <cellStyle name="Porcentual 3 2 3 2 2 2 2 2" xfId="7634" xr:uid="{00000000-0005-0000-0000-0000B9860000}"/>
    <cellStyle name="Porcentual 3 2 3 2 2 2 2 2 2" xfId="16734" xr:uid="{00000000-0005-0000-0000-0000BA860000}"/>
    <cellStyle name="Porcentual 3 2 3 2 2 2 2 2 2 2" xfId="34916" xr:uid="{00000000-0005-0000-0000-0000BB860000}"/>
    <cellStyle name="Porcentual 3 2 3 2 2 2 2 2 3" xfId="25826" xr:uid="{00000000-0005-0000-0000-0000BC860000}"/>
    <cellStyle name="Porcentual 3 2 3 2 2 2 2 3" xfId="12196" xr:uid="{00000000-0005-0000-0000-0000BD860000}"/>
    <cellStyle name="Porcentual 3 2 3 2 2 2 2 3 2" xfId="30378" xr:uid="{00000000-0005-0000-0000-0000BE860000}"/>
    <cellStyle name="Porcentual 3 2 3 2 2 2 2 4" xfId="21288" xr:uid="{00000000-0005-0000-0000-0000BF860000}"/>
    <cellStyle name="Porcentual 3 2 3 2 2 2 3" xfId="4699" xr:uid="{00000000-0005-0000-0000-0000C0860000}"/>
    <cellStyle name="Porcentual 3 2 3 2 2 2 3 2" xfId="9255" xr:uid="{00000000-0005-0000-0000-0000C1860000}"/>
    <cellStyle name="Porcentual 3 2 3 2 2 2 3 2 2" xfId="18351" xr:uid="{00000000-0005-0000-0000-0000C2860000}"/>
    <cellStyle name="Porcentual 3 2 3 2 2 2 3 2 2 2" xfId="36533" xr:uid="{00000000-0005-0000-0000-0000C3860000}"/>
    <cellStyle name="Porcentual 3 2 3 2 2 2 3 2 3" xfId="27443" xr:uid="{00000000-0005-0000-0000-0000C4860000}"/>
    <cellStyle name="Porcentual 3 2 3 2 2 2 3 3" xfId="13810" xr:uid="{00000000-0005-0000-0000-0000C5860000}"/>
    <cellStyle name="Porcentual 3 2 3 2 2 2 3 3 2" xfId="31992" xr:uid="{00000000-0005-0000-0000-0000C6860000}"/>
    <cellStyle name="Porcentual 3 2 3 2 2 2 3 4" xfId="22902" xr:uid="{00000000-0005-0000-0000-0000C7860000}"/>
    <cellStyle name="Porcentual 3 2 3 2 2 2 4" xfId="6337" xr:uid="{00000000-0005-0000-0000-0000C8860000}"/>
    <cellStyle name="Porcentual 3 2 3 2 2 2 4 2" xfId="15437" xr:uid="{00000000-0005-0000-0000-0000C9860000}"/>
    <cellStyle name="Porcentual 3 2 3 2 2 2 4 2 2" xfId="33619" xr:uid="{00000000-0005-0000-0000-0000CA860000}"/>
    <cellStyle name="Porcentual 3 2 3 2 2 2 4 3" xfId="24529" xr:uid="{00000000-0005-0000-0000-0000CB860000}"/>
    <cellStyle name="Porcentual 3 2 3 2 2 2 5" xfId="10903" xr:uid="{00000000-0005-0000-0000-0000CC860000}"/>
    <cellStyle name="Porcentual 3 2 3 2 2 2 5 2" xfId="29085" xr:uid="{00000000-0005-0000-0000-0000CD860000}"/>
    <cellStyle name="Porcentual 3 2 3 2 2 2 6" xfId="19994" xr:uid="{00000000-0005-0000-0000-0000CE860000}"/>
    <cellStyle name="Porcentual 3 2 3 2 2 3" xfId="3060" xr:uid="{00000000-0005-0000-0000-0000CF860000}"/>
    <cellStyle name="Porcentual 3 2 3 2 2 3 2" xfId="7635" xr:uid="{00000000-0005-0000-0000-0000D0860000}"/>
    <cellStyle name="Porcentual 3 2 3 2 2 3 2 2" xfId="16735" xr:uid="{00000000-0005-0000-0000-0000D1860000}"/>
    <cellStyle name="Porcentual 3 2 3 2 2 3 2 2 2" xfId="34917" xr:uid="{00000000-0005-0000-0000-0000D2860000}"/>
    <cellStyle name="Porcentual 3 2 3 2 2 3 2 3" xfId="25827" xr:uid="{00000000-0005-0000-0000-0000D3860000}"/>
    <cellStyle name="Porcentual 3 2 3 2 2 3 3" xfId="12197" xr:uid="{00000000-0005-0000-0000-0000D4860000}"/>
    <cellStyle name="Porcentual 3 2 3 2 2 3 3 2" xfId="30379" xr:uid="{00000000-0005-0000-0000-0000D5860000}"/>
    <cellStyle name="Porcentual 3 2 3 2 2 3 4" xfId="21289" xr:uid="{00000000-0005-0000-0000-0000D6860000}"/>
    <cellStyle name="Porcentual 3 2 3 2 2 4" xfId="4698" xr:uid="{00000000-0005-0000-0000-0000D7860000}"/>
    <cellStyle name="Porcentual 3 2 3 2 2 4 2" xfId="9254" xr:uid="{00000000-0005-0000-0000-0000D8860000}"/>
    <cellStyle name="Porcentual 3 2 3 2 2 4 2 2" xfId="18350" xr:uid="{00000000-0005-0000-0000-0000D9860000}"/>
    <cellStyle name="Porcentual 3 2 3 2 2 4 2 2 2" xfId="36532" xr:uid="{00000000-0005-0000-0000-0000DA860000}"/>
    <cellStyle name="Porcentual 3 2 3 2 2 4 2 3" xfId="27442" xr:uid="{00000000-0005-0000-0000-0000DB860000}"/>
    <cellStyle name="Porcentual 3 2 3 2 2 4 3" xfId="13809" xr:uid="{00000000-0005-0000-0000-0000DC860000}"/>
    <cellStyle name="Porcentual 3 2 3 2 2 4 3 2" xfId="31991" xr:uid="{00000000-0005-0000-0000-0000DD860000}"/>
    <cellStyle name="Porcentual 3 2 3 2 2 4 4" xfId="22901" xr:uid="{00000000-0005-0000-0000-0000DE860000}"/>
    <cellStyle name="Porcentual 3 2 3 2 2 5" xfId="6336" xr:uid="{00000000-0005-0000-0000-0000DF860000}"/>
    <cellStyle name="Porcentual 3 2 3 2 2 5 2" xfId="15436" xr:uid="{00000000-0005-0000-0000-0000E0860000}"/>
    <cellStyle name="Porcentual 3 2 3 2 2 5 2 2" xfId="33618" xr:uid="{00000000-0005-0000-0000-0000E1860000}"/>
    <cellStyle name="Porcentual 3 2 3 2 2 5 3" xfId="24528" xr:uid="{00000000-0005-0000-0000-0000E2860000}"/>
    <cellStyle name="Porcentual 3 2 3 2 2 6" xfId="10902" xr:uid="{00000000-0005-0000-0000-0000E3860000}"/>
    <cellStyle name="Porcentual 3 2 3 2 2 6 2" xfId="29084" xr:uid="{00000000-0005-0000-0000-0000E4860000}"/>
    <cellStyle name="Porcentual 3 2 3 2 2 7" xfId="19993" xr:uid="{00000000-0005-0000-0000-0000E5860000}"/>
    <cellStyle name="Porcentual 3 2 3 2 3" xfId="1703" xr:uid="{00000000-0005-0000-0000-0000E6860000}"/>
    <cellStyle name="Porcentual 3 2 3 2 3 2" xfId="3061" xr:uid="{00000000-0005-0000-0000-0000E7860000}"/>
    <cellStyle name="Porcentual 3 2 3 2 3 2 2" xfId="7636" xr:uid="{00000000-0005-0000-0000-0000E8860000}"/>
    <cellStyle name="Porcentual 3 2 3 2 3 2 2 2" xfId="16736" xr:uid="{00000000-0005-0000-0000-0000E9860000}"/>
    <cellStyle name="Porcentual 3 2 3 2 3 2 2 2 2" xfId="34918" xr:uid="{00000000-0005-0000-0000-0000EA860000}"/>
    <cellStyle name="Porcentual 3 2 3 2 3 2 2 3" xfId="25828" xr:uid="{00000000-0005-0000-0000-0000EB860000}"/>
    <cellStyle name="Porcentual 3 2 3 2 3 2 3" xfId="12198" xr:uid="{00000000-0005-0000-0000-0000EC860000}"/>
    <cellStyle name="Porcentual 3 2 3 2 3 2 3 2" xfId="30380" xr:uid="{00000000-0005-0000-0000-0000ED860000}"/>
    <cellStyle name="Porcentual 3 2 3 2 3 2 4" xfId="21290" xr:uid="{00000000-0005-0000-0000-0000EE860000}"/>
    <cellStyle name="Porcentual 3 2 3 2 3 3" xfId="4700" xr:uid="{00000000-0005-0000-0000-0000EF860000}"/>
    <cellStyle name="Porcentual 3 2 3 2 3 3 2" xfId="9256" xr:uid="{00000000-0005-0000-0000-0000F0860000}"/>
    <cellStyle name="Porcentual 3 2 3 2 3 3 2 2" xfId="18352" xr:uid="{00000000-0005-0000-0000-0000F1860000}"/>
    <cellStyle name="Porcentual 3 2 3 2 3 3 2 2 2" xfId="36534" xr:uid="{00000000-0005-0000-0000-0000F2860000}"/>
    <cellStyle name="Porcentual 3 2 3 2 3 3 2 3" xfId="27444" xr:uid="{00000000-0005-0000-0000-0000F3860000}"/>
    <cellStyle name="Porcentual 3 2 3 2 3 3 3" xfId="13811" xr:uid="{00000000-0005-0000-0000-0000F4860000}"/>
    <cellStyle name="Porcentual 3 2 3 2 3 3 3 2" xfId="31993" xr:uid="{00000000-0005-0000-0000-0000F5860000}"/>
    <cellStyle name="Porcentual 3 2 3 2 3 3 4" xfId="22903" xr:uid="{00000000-0005-0000-0000-0000F6860000}"/>
    <cellStyle name="Porcentual 3 2 3 2 3 4" xfId="6338" xr:uid="{00000000-0005-0000-0000-0000F7860000}"/>
    <cellStyle name="Porcentual 3 2 3 2 3 4 2" xfId="15438" xr:uid="{00000000-0005-0000-0000-0000F8860000}"/>
    <cellStyle name="Porcentual 3 2 3 2 3 4 2 2" xfId="33620" xr:uid="{00000000-0005-0000-0000-0000F9860000}"/>
    <cellStyle name="Porcentual 3 2 3 2 3 4 3" xfId="24530" xr:uid="{00000000-0005-0000-0000-0000FA860000}"/>
    <cellStyle name="Porcentual 3 2 3 2 3 5" xfId="10904" xr:uid="{00000000-0005-0000-0000-0000FB860000}"/>
    <cellStyle name="Porcentual 3 2 3 2 3 5 2" xfId="29086" xr:uid="{00000000-0005-0000-0000-0000FC860000}"/>
    <cellStyle name="Porcentual 3 2 3 2 3 6" xfId="19995" xr:uid="{00000000-0005-0000-0000-0000FD860000}"/>
    <cellStyle name="Porcentual 3 2 3 2 4" xfId="1704" xr:uid="{00000000-0005-0000-0000-0000FE860000}"/>
    <cellStyle name="Porcentual 3 2 3 2 4 2" xfId="4701" xr:uid="{00000000-0005-0000-0000-0000FF860000}"/>
    <cellStyle name="Porcentual 3 2 3 2 4 2 2" xfId="9257" xr:uid="{00000000-0005-0000-0000-000000870000}"/>
    <cellStyle name="Porcentual 3 2 3 2 4 2 2 2" xfId="18353" xr:uid="{00000000-0005-0000-0000-000001870000}"/>
    <cellStyle name="Porcentual 3 2 3 2 4 2 2 2 2" xfId="36535" xr:uid="{00000000-0005-0000-0000-000002870000}"/>
    <cellStyle name="Porcentual 3 2 3 2 4 2 2 3" xfId="27445" xr:uid="{00000000-0005-0000-0000-000003870000}"/>
    <cellStyle name="Porcentual 3 2 3 2 4 2 3" xfId="13812" xr:uid="{00000000-0005-0000-0000-000004870000}"/>
    <cellStyle name="Porcentual 3 2 3 2 4 2 3 2" xfId="31994" xr:uid="{00000000-0005-0000-0000-000005870000}"/>
    <cellStyle name="Porcentual 3 2 3 2 4 2 4" xfId="22904" xr:uid="{00000000-0005-0000-0000-000006870000}"/>
    <cellStyle name="Porcentual 3 2 3 2 4 3" xfId="6339" xr:uid="{00000000-0005-0000-0000-000007870000}"/>
    <cellStyle name="Porcentual 3 2 3 2 4 3 2" xfId="15439" xr:uid="{00000000-0005-0000-0000-000008870000}"/>
    <cellStyle name="Porcentual 3 2 3 2 4 3 2 2" xfId="33621" xr:uid="{00000000-0005-0000-0000-000009870000}"/>
    <cellStyle name="Porcentual 3 2 3 2 4 3 3" xfId="24531" xr:uid="{00000000-0005-0000-0000-00000A870000}"/>
    <cellStyle name="Porcentual 3 2 3 2 4 4" xfId="10905" xr:uid="{00000000-0005-0000-0000-00000B870000}"/>
    <cellStyle name="Porcentual 3 2 3 2 4 4 2" xfId="29087" xr:uid="{00000000-0005-0000-0000-00000C870000}"/>
    <cellStyle name="Porcentual 3 2 3 2 4 5" xfId="19996" xr:uid="{00000000-0005-0000-0000-00000D870000}"/>
    <cellStyle name="Porcentual 3 2 3 2 5" xfId="3062" xr:uid="{00000000-0005-0000-0000-00000E870000}"/>
    <cellStyle name="Porcentual 3 2 3 2 6" xfId="4697" xr:uid="{00000000-0005-0000-0000-00000F870000}"/>
    <cellStyle name="Porcentual 3 2 3 2 6 2" xfId="9253" xr:uid="{00000000-0005-0000-0000-000010870000}"/>
    <cellStyle name="Porcentual 3 2 3 2 6 2 2" xfId="18349" xr:uid="{00000000-0005-0000-0000-000011870000}"/>
    <cellStyle name="Porcentual 3 2 3 2 6 2 2 2" xfId="36531" xr:uid="{00000000-0005-0000-0000-000012870000}"/>
    <cellStyle name="Porcentual 3 2 3 2 6 2 3" xfId="27441" xr:uid="{00000000-0005-0000-0000-000013870000}"/>
    <cellStyle name="Porcentual 3 2 3 2 6 3" xfId="13808" xr:uid="{00000000-0005-0000-0000-000014870000}"/>
    <cellStyle name="Porcentual 3 2 3 2 6 3 2" xfId="31990" xr:uid="{00000000-0005-0000-0000-000015870000}"/>
    <cellStyle name="Porcentual 3 2 3 2 6 4" xfId="22900" xr:uid="{00000000-0005-0000-0000-000016870000}"/>
    <cellStyle name="Porcentual 3 2 3 2 7" xfId="6335" xr:uid="{00000000-0005-0000-0000-000017870000}"/>
    <cellStyle name="Porcentual 3 2 3 2 7 2" xfId="15435" xr:uid="{00000000-0005-0000-0000-000018870000}"/>
    <cellStyle name="Porcentual 3 2 3 2 7 2 2" xfId="33617" xr:uid="{00000000-0005-0000-0000-000019870000}"/>
    <cellStyle name="Porcentual 3 2 3 2 7 3" xfId="24527" xr:uid="{00000000-0005-0000-0000-00001A870000}"/>
    <cellStyle name="Porcentual 3 2 3 2 8" xfId="10901" xr:uid="{00000000-0005-0000-0000-00001B870000}"/>
    <cellStyle name="Porcentual 3 2 3 2 8 2" xfId="29083" xr:uid="{00000000-0005-0000-0000-00001C870000}"/>
    <cellStyle name="Porcentual 3 2 3 2 9" xfId="19992" xr:uid="{00000000-0005-0000-0000-00001D870000}"/>
    <cellStyle name="Porcentual 3 2 3 3" xfId="1705" xr:uid="{00000000-0005-0000-0000-00001E870000}"/>
    <cellStyle name="Porcentual 3 2 3 3 2" xfId="1706" xr:uid="{00000000-0005-0000-0000-00001F870000}"/>
    <cellStyle name="Porcentual 3 2 3 3 2 2" xfId="3063" xr:uid="{00000000-0005-0000-0000-000020870000}"/>
    <cellStyle name="Porcentual 3 2 3 3 2 2 2" xfId="7637" xr:uid="{00000000-0005-0000-0000-000021870000}"/>
    <cellStyle name="Porcentual 3 2 3 3 2 2 2 2" xfId="16737" xr:uid="{00000000-0005-0000-0000-000022870000}"/>
    <cellStyle name="Porcentual 3 2 3 3 2 2 2 2 2" xfId="34919" xr:uid="{00000000-0005-0000-0000-000023870000}"/>
    <cellStyle name="Porcentual 3 2 3 3 2 2 2 3" xfId="25829" xr:uid="{00000000-0005-0000-0000-000024870000}"/>
    <cellStyle name="Porcentual 3 2 3 3 2 2 3" xfId="12199" xr:uid="{00000000-0005-0000-0000-000025870000}"/>
    <cellStyle name="Porcentual 3 2 3 3 2 2 3 2" xfId="30381" xr:uid="{00000000-0005-0000-0000-000026870000}"/>
    <cellStyle name="Porcentual 3 2 3 3 2 2 4" xfId="21291" xr:uid="{00000000-0005-0000-0000-000027870000}"/>
    <cellStyle name="Porcentual 3 2 3 3 2 3" xfId="4703" xr:uid="{00000000-0005-0000-0000-000028870000}"/>
    <cellStyle name="Porcentual 3 2 3 3 2 3 2" xfId="9259" xr:uid="{00000000-0005-0000-0000-000029870000}"/>
    <cellStyle name="Porcentual 3 2 3 3 2 3 2 2" xfId="18355" xr:uid="{00000000-0005-0000-0000-00002A870000}"/>
    <cellStyle name="Porcentual 3 2 3 3 2 3 2 2 2" xfId="36537" xr:uid="{00000000-0005-0000-0000-00002B870000}"/>
    <cellStyle name="Porcentual 3 2 3 3 2 3 2 3" xfId="27447" xr:uid="{00000000-0005-0000-0000-00002C870000}"/>
    <cellStyle name="Porcentual 3 2 3 3 2 3 3" xfId="13814" xr:uid="{00000000-0005-0000-0000-00002D870000}"/>
    <cellStyle name="Porcentual 3 2 3 3 2 3 3 2" xfId="31996" xr:uid="{00000000-0005-0000-0000-00002E870000}"/>
    <cellStyle name="Porcentual 3 2 3 3 2 3 4" xfId="22906" xr:uid="{00000000-0005-0000-0000-00002F870000}"/>
    <cellStyle name="Porcentual 3 2 3 3 2 4" xfId="6341" xr:uid="{00000000-0005-0000-0000-000030870000}"/>
    <cellStyle name="Porcentual 3 2 3 3 2 4 2" xfId="15441" xr:uid="{00000000-0005-0000-0000-000031870000}"/>
    <cellStyle name="Porcentual 3 2 3 3 2 4 2 2" xfId="33623" xr:uid="{00000000-0005-0000-0000-000032870000}"/>
    <cellStyle name="Porcentual 3 2 3 3 2 4 3" xfId="24533" xr:uid="{00000000-0005-0000-0000-000033870000}"/>
    <cellStyle name="Porcentual 3 2 3 3 2 5" xfId="10907" xr:uid="{00000000-0005-0000-0000-000034870000}"/>
    <cellStyle name="Porcentual 3 2 3 3 2 5 2" xfId="29089" xr:uid="{00000000-0005-0000-0000-000035870000}"/>
    <cellStyle name="Porcentual 3 2 3 3 2 6" xfId="19998" xr:uid="{00000000-0005-0000-0000-000036870000}"/>
    <cellStyle name="Porcentual 3 2 3 3 3" xfId="3064" xr:uid="{00000000-0005-0000-0000-000037870000}"/>
    <cellStyle name="Porcentual 3 2 3 3 3 2" xfId="7638" xr:uid="{00000000-0005-0000-0000-000038870000}"/>
    <cellStyle name="Porcentual 3 2 3 3 3 2 2" xfId="16738" xr:uid="{00000000-0005-0000-0000-000039870000}"/>
    <cellStyle name="Porcentual 3 2 3 3 3 2 2 2" xfId="34920" xr:uid="{00000000-0005-0000-0000-00003A870000}"/>
    <cellStyle name="Porcentual 3 2 3 3 3 2 3" xfId="25830" xr:uid="{00000000-0005-0000-0000-00003B870000}"/>
    <cellStyle name="Porcentual 3 2 3 3 3 3" xfId="12200" xr:uid="{00000000-0005-0000-0000-00003C870000}"/>
    <cellStyle name="Porcentual 3 2 3 3 3 3 2" xfId="30382" xr:uid="{00000000-0005-0000-0000-00003D870000}"/>
    <cellStyle name="Porcentual 3 2 3 3 3 4" xfId="21292" xr:uid="{00000000-0005-0000-0000-00003E870000}"/>
    <cellStyle name="Porcentual 3 2 3 3 4" xfId="4702" xr:uid="{00000000-0005-0000-0000-00003F870000}"/>
    <cellStyle name="Porcentual 3 2 3 3 4 2" xfId="9258" xr:uid="{00000000-0005-0000-0000-000040870000}"/>
    <cellStyle name="Porcentual 3 2 3 3 4 2 2" xfId="18354" xr:uid="{00000000-0005-0000-0000-000041870000}"/>
    <cellStyle name="Porcentual 3 2 3 3 4 2 2 2" xfId="36536" xr:uid="{00000000-0005-0000-0000-000042870000}"/>
    <cellStyle name="Porcentual 3 2 3 3 4 2 3" xfId="27446" xr:uid="{00000000-0005-0000-0000-000043870000}"/>
    <cellStyle name="Porcentual 3 2 3 3 4 3" xfId="13813" xr:uid="{00000000-0005-0000-0000-000044870000}"/>
    <cellStyle name="Porcentual 3 2 3 3 4 3 2" xfId="31995" xr:uid="{00000000-0005-0000-0000-000045870000}"/>
    <cellStyle name="Porcentual 3 2 3 3 4 4" xfId="22905" xr:uid="{00000000-0005-0000-0000-000046870000}"/>
    <cellStyle name="Porcentual 3 2 3 3 5" xfId="6340" xr:uid="{00000000-0005-0000-0000-000047870000}"/>
    <cellStyle name="Porcentual 3 2 3 3 5 2" xfId="15440" xr:uid="{00000000-0005-0000-0000-000048870000}"/>
    <cellStyle name="Porcentual 3 2 3 3 5 2 2" xfId="33622" xr:uid="{00000000-0005-0000-0000-000049870000}"/>
    <cellStyle name="Porcentual 3 2 3 3 5 3" xfId="24532" xr:uid="{00000000-0005-0000-0000-00004A870000}"/>
    <cellStyle name="Porcentual 3 2 3 3 6" xfId="10906" xr:uid="{00000000-0005-0000-0000-00004B870000}"/>
    <cellStyle name="Porcentual 3 2 3 3 6 2" xfId="29088" xr:uid="{00000000-0005-0000-0000-00004C870000}"/>
    <cellStyle name="Porcentual 3 2 3 3 7" xfId="19997" xr:uid="{00000000-0005-0000-0000-00004D870000}"/>
    <cellStyle name="Porcentual 3 2 3 4" xfId="1707" xr:uid="{00000000-0005-0000-0000-00004E870000}"/>
    <cellStyle name="Porcentual 3 2 3 4 2" xfId="3065" xr:uid="{00000000-0005-0000-0000-00004F870000}"/>
    <cellStyle name="Porcentual 3 2 3 4 2 2" xfId="7639" xr:uid="{00000000-0005-0000-0000-000050870000}"/>
    <cellStyle name="Porcentual 3 2 3 4 2 2 2" xfId="16739" xr:uid="{00000000-0005-0000-0000-000051870000}"/>
    <cellStyle name="Porcentual 3 2 3 4 2 2 2 2" xfId="34921" xr:uid="{00000000-0005-0000-0000-000052870000}"/>
    <cellStyle name="Porcentual 3 2 3 4 2 2 3" xfId="25831" xr:uid="{00000000-0005-0000-0000-000053870000}"/>
    <cellStyle name="Porcentual 3 2 3 4 2 3" xfId="12201" xr:uid="{00000000-0005-0000-0000-000054870000}"/>
    <cellStyle name="Porcentual 3 2 3 4 2 3 2" xfId="30383" xr:uid="{00000000-0005-0000-0000-000055870000}"/>
    <cellStyle name="Porcentual 3 2 3 4 2 4" xfId="21293" xr:uid="{00000000-0005-0000-0000-000056870000}"/>
    <cellStyle name="Porcentual 3 2 3 4 3" xfId="4704" xr:uid="{00000000-0005-0000-0000-000057870000}"/>
    <cellStyle name="Porcentual 3 2 3 4 3 2" xfId="9260" xr:uid="{00000000-0005-0000-0000-000058870000}"/>
    <cellStyle name="Porcentual 3 2 3 4 3 2 2" xfId="18356" xr:uid="{00000000-0005-0000-0000-000059870000}"/>
    <cellStyle name="Porcentual 3 2 3 4 3 2 2 2" xfId="36538" xr:uid="{00000000-0005-0000-0000-00005A870000}"/>
    <cellStyle name="Porcentual 3 2 3 4 3 2 3" xfId="27448" xr:uid="{00000000-0005-0000-0000-00005B870000}"/>
    <cellStyle name="Porcentual 3 2 3 4 3 3" xfId="13815" xr:uid="{00000000-0005-0000-0000-00005C870000}"/>
    <cellStyle name="Porcentual 3 2 3 4 3 3 2" xfId="31997" xr:uid="{00000000-0005-0000-0000-00005D870000}"/>
    <cellStyle name="Porcentual 3 2 3 4 3 4" xfId="22907" xr:uid="{00000000-0005-0000-0000-00005E870000}"/>
    <cellStyle name="Porcentual 3 2 3 4 4" xfId="6342" xr:uid="{00000000-0005-0000-0000-00005F870000}"/>
    <cellStyle name="Porcentual 3 2 3 4 4 2" xfId="15442" xr:uid="{00000000-0005-0000-0000-000060870000}"/>
    <cellStyle name="Porcentual 3 2 3 4 4 2 2" xfId="33624" xr:uid="{00000000-0005-0000-0000-000061870000}"/>
    <cellStyle name="Porcentual 3 2 3 4 4 3" xfId="24534" xr:uid="{00000000-0005-0000-0000-000062870000}"/>
    <cellStyle name="Porcentual 3 2 3 4 5" xfId="10908" xr:uid="{00000000-0005-0000-0000-000063870000}"/>
    <cellStyle name="Porcentual 3 2 3 4 5 2" xfId="29090" xr:uid="{00000000-0005-0000-0000-000064870000}"/>
    <cellStyle name="Porcentual 3 2 3 4 6" xfId="19999" xr:uid="{00000000-0005-0000-0000-000065870000}"/>
    <cellStyle name="Porcentual 3 2 3 5" xfId="1708" xr:uid="{00000000-0005-0000-0000-000066870000}"/>
    <cellStyle name="Porcentual 3 2 3 5 2" xfId="4705" xr:uid="{00000000-0005-0000-0000-000067870000}"/>
    <cellStyle name="Porcentual 3 2 3 5 2 2" xfId="9261" xr:uid="{00000000-0005-0000-0000-000068870000}"/>
    <cellStyle name="Porcentual 3 2 3 5 2 2 2" xfId="18357" xr:uid="{00000000-0005-0000-0000-000069870000}"/>
    <cellStyle name="Porcentual 3 2 3 5 2 2 2 2" xfId="36539" xr:uid="{00000000-0005-0000-0000-00006A870000}"/>
    <cellStyle name="Porcentual 3 2 3 5 2 2 3" xfId="27449" xr:uid="{00000000-0005-0000-0000-00006B870000}"/>
    <cellStyle name="Porcentual 3 2 3 5 2 3" xfId="13816" xr:uid="{00000000-0005-0000-0000-00006C870000}"/>
    <cellStyle name="Porcentual 3 2 3 5 2 3 2" xfId="31998" xr:uid="{00000000-0005-0000-0000-00006D870000}"/>
    <cellStyle name="Porcentual 3 2 3 5 2 4" xfId="22908" xr:uid="{00000000-0005-0000-0000-00006E870000}"/>
    <cellStyle name="Porcentual 3 2 3 5 3" xfId="6343" xr:uid="{00000000-0005-0000-0000-00006F870000}"/>
    <cellStyle name="Porcentual 3 2 3 5 3 2" xfId="15443" xr:uid="{00000000-0005-0000-0000-000070870000}"/>
    <cellStyle name="Porcentual 3 2 3 5 3 2 2" xfId="33625" xr:uid="{00000000-0005-0000-0000-000071870000}"/>
    <cellStyle name="Porcentual 3 2 3 5 3 3" xfId="24535" xr:uid="{00000000-0005-0000-0000-000072870000}"/>
    <cellStyle name="Porcentual 3 2 3 5 4" xfId="10909" xr:uid="{00000000-0005-0000-0000-000073870000}"/>
    <cellStyle name="Porcentual 3 2 3 5 4 2" xfId="29091" xr:uid="{00000000-0005-0000-0000-000074870000}"/>
    <cellStyle name="Porcentual 3 2 3 5 5" xfId="20000" xr:uid="{00000000-0005-0000-0000-000075870000}"/>
    <cellStyle name="Porcentual 3 2 3 6" xfId="3066" xr:uid="{00000000-0005-0000-0000-000076870000}"/>
    <cellStyle name="Porcentual 3 2 3 6 2" xfId="7640" xr:uid="{00000000-0005-0000-0000-000077870000}"/>
    <cellStyle name="Porcentual 3 2 3 6 2 2" xfId="16740" xr:uid="{00000000-0005-0000-0000-000078870000}"/>
    <cellStyle name="Porcentual 3 2 3 6 2 2 2" xfId="34922" xr:uid="{00000000-0005-0000-0000-000079870000}"/>
    <cellStyle name="Porcentual 3 2 3 6 2 3" xfId="25832" xr:uid="{00000000-0005-0000-0000-00007A870000}"/>
    <cellStyle name="Porcentual 3 2 3 6 3" xfId="12202" xr:uid="{00000000-0005-0000-0000-00007B870000}"/>
    <cellStyle name="Porcentual 3 2 3 6 3 2" xfId="30384" xr:uid="{00000000-0005-0000-0000-00007C870000}"/>
    <cellStyle name="Porcentual 3 2 3 6 4" xfId="21294" xr:uid="{00000000-0005-0000-0000-00007D870000}"/>
    <cellStyle name="Porcentual 3 2 3 7" xfId="4696" xr:uid="{00000000-0005-0000-0000-00007E870000}"/>
    <cellStyle name="Porcentual 3 2 3 7 2" xfId="9252" xr:uid="{00000000-0005-0000-0000-00007F870000}"/>
    <cellStyle name="Porcentual 3 2 3 7 2 2" xfId="18348" xr:uid="{00000000-0005-0000-0000-000080870000}"/>
    <cellStyle name="Porcentual 3 2 3 7 2 2 2" xfId="36530" xr:uid="{00000000-0005-0000-0000-000081870000}"/>
    <cellStyle name="Porcentual 3 2 3 7 2 3" xfId="27440" xr:uid="{00000000-0005-0000-0000-000082870000}"/>
    <cellStyle name="Porcentual 3 2 3 7 3" xfId="13807" xr:uid="{00000000-0005-0000-0000-000083870000}"/>
    <cellStyle name="Porcentual 3 2 3 7 3 2" xfId="31989" xr:uid="{00000000-0005-0000-0000-000084870000}"/>
    <cellStyle name="Porcentual 3 2 3 7 4" xfId="22899" xr:uid="{00000000-0005-0000-0000-000085870000}"/>
    <cellStyle name="Porcentual 3 2 3 8" xfId="6334" xr:uid="{00000000-0005-0000-0000-000086870000}"/>
    <cellStyle name="Porcentual 3 2 3 8 2" xfId="15434" xr:uid="{00000000-0005-0000-0000-000087870000}"/>
    <cellStyle name="Porcentual 3 2 3 8 2 2" xfId="33616" xr:uid="{00000000-0005-0000-0000-000088870000}"/>
    <cellStyle name="Porcentual 3 2 3 8 3" xfId="24526" xr:uid="{00000000-0005-0000-0000-000089870000}"/>
    <cellStyle name="Porcentual 3 2 3 9" xfId="10900" xr:uid="{00000000-0005-0000-0000-00008A870000}"/>
    <cellStyle name="Porcentual 3 2 3 9 2" xfId="29082" xr:uid="{00000000-0005-0000-0000-00008B870000}"/>
    <cellStyle name="Porcentual 3 2 4" xfId="1709" xr:uid="{00000000-0005-0000-0000-00008C870000}"/>
    <cellStyle name="Porcentual 3 2 4 2" xfId="1710" xr:uid="{00000000-0005-0000-0000-00008D870000}"/>
    <cellStyle name="Porcentual 3 2 4 2 2" xfId="1711" xr:uid="{00000000-0005-0000-0000-00008E870000}"/>
    <cellStyle name="Porcentual 3 2 4 2 2 2" xfId="3067" xr:uid="{00000000-0005-0000-0000-00008F870000}"/>
    <cellStyle name="Porcentual 3 2 4 2 2 2 2" xfId="7641" xr:uid="{00000000-0005-0000-0000-000090870000}"/>
    <cellStyle name="Porcentual 3 2 4 2 2 2 2 2" xfId="16741" xr:uid="{00000000-0005-0000-0000-000091870000}"/>
    <cellStyle name="Porcentual 3 2 4 2 2 2 2 2 2" xfId="34923" xr:uid="{00000000-0005-0000-0000-000092870000}"/>
    <cellStyle name="Porcentual 3 2 4 2 2 2 2 3" xfId="25833" xr:uid="{00000000-0005-0000-0000-000093870000}"/>
    <cellStyle name="Porcentual 3 2 4 2 2 2 3" xfId="12203" xr:uid="{00000000-0005-0000-0000-000094870000}"/>
    <cellStyle name="Porcentual 3 2 4 2 2 2 3 2" xfId="30385" xr:uid="{00000000-0005-0000-0000-000095870000}"/>
    <cellStyle name="Porcentual 3 2 4 2 2 2 4" xfId="21295" xr:uid="{00000000-0005-0000-0000-000096870000}"/>
    <cellStyle name="Porcentual 3 2 4 2 2 3" xfId="4708" xr:uid="{00000000-0005-0000-0000-000097870000}"/>
    <cellStyle name="Porcentual 3 2 4 2 2 3 2" xfId="9264" xr:uid="{00000000-0005-0000-0000-000098870000}"/>
    <cellStyle name="Porcentual 3 2 4 2 2 3 2 2" xfId="18360" xr:uid="{00000000-0005-0000-0000-000099870000}"/>
    <cellStyle name="Porcentual 3 2 4 2 2 3 2 2 2" xfId="36542" xr:uid="{00000000-0005-0000-0000-00009A870000}"/>
    <cellStyle name="Porcentual 3 2 4 2 2 3 2 3" xfId="27452" xr:uid="{00000000-0005-0000-0000-00009B870000}"/>
    <cellStyle name="Porcentual 3 2 4 2 2 3 3" xfId="13819" xr:uid="{00000000-0005-0000-0000-00009C870000}"/>
    <cellStyle name="Porcentual 3 2 4 2 2 3 3 2" xfId="32001" xr:uid="{00000000-0005-0000-0000-00009D870000}"/>
    <cellStyle name="Porcentual 3 2 4 2 2 3 4" xfId="22911" xr:uid="{00000000-0005-0000-0000-00009E870000}"/>
    <cellStyle name="Porcentual 3 2 4 2 2 4" xfId="6346" xr:uid="{00000000-0005-0000-0000-00009F870000}"/>
    <cellStyle name="Porcentual 3 2 4 2 2 4 2" xfId="15446" xr:uid="{00000000-0005-0000-0000-0000A0870000}"/>
    <cellStyle name="Porcentual 3 2 4 2 2 4 2 2" xfId="33628" xr:uid="{00000000-0005-0000-0000-0000A1870000}"/>
    <cellStyle name="Porcentual 3 2 4 2 2 4 3" xfId="24538" xr:uid="{00000000-0005-0000-0000-0000A2870000}"/>
    <cellStyle name="Porcentual 3 2 4 2 2 5" xfId="10912" xr:uid="{00000000-0005-0000-0000-0000A3870000}"/>
    <cellStyle name="Porcentual 3 2 4 2 2 5 2" xfId="29094" xr:uid="{00000000-0005-0000-0000-0000A4870000}"/>
    <cellStyle name="Porcentual 3 2 4 2 2 6" xfId="20003" xr:uid="{00000000-0005-0000-0000-0000A5870000}"/>
    <cellStyle name="Porcentual 3 2 4 2 3" xfId="3068" xr:uid="{00000000-0005-0000-0000-0000A6870000}"/>
    <cellStyle name="Porcentual 3 2 4 2 3 2" xfId="7642" xr:uid="{00000000-0005-0000-0000-0000A7870000}"/>
    <cellStyle name="Porcentual 3 2 4 2 3 2 2" xfId="16742" xr:uid="{00000000-0005-0000-0000-0000A8870000}"/>
    <cellStyle name="Porcentual 3 2 4 2 3 2 2 2" xfId="34924" xr:uid="{00000000-0005-0000-0000-0000A9870000}"/>
    <cellStyle name="Porcentual 3 2 4 2 3 2 3" xfId="25834" xr:uid="{00000000-0005-0000-0000-0000AA870000}"/>
    <cellStyle name="Porcentual 3 2 4 2 3 3" xfId="12204" xr:uid="{00000000-0005-0000-0000-0000AB870000}"/>
    <cellStyle name="Porcentual 3 2 4 2 3 3 2" xfId="30386" xr:uid="{00000000-0005-0000-0000-0000AC870000}"/>
    <cellStyle name="Porcentual 3 2 4 2 3 4" xfId="21296" xr:uid="{00000000-0005-0000-0000-0000AD870000}"/>
    <cellStyle name="Porcentual 3 2 4 2 4" xfId="4707" xr:uid="{00000000-0005-0000-0000-0000AE870000}"/>
    <cellStyle name="Porcentual 3 2 4 2 4 2" xfId="9263" xr:uid="{00000000-0005-0000-0000-0000AF870000}"/>
    <cellStyle name="Porcentual 3 2 4 2 4 2 2" xfId="18359" xr:uid="{00000000-0005-0000-0000-0000B0870000}"/>
    <cellStyle name="Porcentual 3 2 4 2 4 2 2 2" xfId="36541" xr:uid="{00000000-0005-0000-0000-0000B1870000}"/>
    <cellStyle name="Porcentual 3 2 4 2 4 2 3" xfId="27451" xr:uid="{00000000-0005-0000-0000-0000B2870000}"/>
    <cellStyle name="Porcentual 3 2 4 2 4 3" xfId="13818" xr:uid="{00000000-0005-0000-0000-0000B3870000}"/>
    <cellStyle name="Porcentual 3 2 4 2 4 3 2" xfId="32000" xr:uid="{00000000-0005-0000-0000-0000B4870000}"/>
    <cellStyle name="Porcentual 3 2 4 2 4 4" xfId="22910" xr:uid="{00000000-0005-0000-0000-0000B5870000}"/>
    <cellStyle name="Porcentual 3 2 4 2 5" xfId="6345" xr:uid="{00000000-0005-0000-0000-0000B6870000}"/>
    <cellStyle name="Porcentual 3 2 4 2 5 2" xfId="15445" xr:uid="{00000000-0005-0000-0000-0000B7870000}"/>
    <cellStyle name="Porcentual 3 2 4 2 5 2 2" xfId="33627" xr:uid="{00000000-0005-0000-0000-0000B8870000}"/>
    <cellStyle name="Porcentual 3 2 4 2 5 3" xfId="24537" xr:uid="{00000000-0005-0000-0000-0000B9870000}"/>
    <cellStyle name="Porcentual 3 2 4 2 6" xfId="10911" xr:uid="{00000000-0005-0000-0000-0000BA870000}"/>
    <cellStyle name="Porcentual 3 2 4 2 6 2" xfId="29093" xr:uid="{00000000-0005-0000-0000-0000BB870000}"/>
    <cellStyle name="Porcentual 3 2 4 2 7" xfId="20002" xr:uid="{00000000-0005-0000-0000-0000BC870000}"/>
    <cellStyle name="Porcentual 3 2 4 3" xfId="1712" xr:uid="{00000000-0005-0000-0000-0000BD870000}"/>
    <cellStyle name="Porcentual 3 2 4 3 2" xfId="3069" xr:uid="{00000000-0005-0000-0000-0000BE870000}"/>
    <cellStyle name="Porcentual 3 2 4 3 2 2" xfId="7643" xr:uid="{00000000-0005-0000-0000-0000BF870000}"/>
    <cellStyle name="Porcentual 3 2 4 3 2 2 2" xfId="16743" xr:uid="{00000000-0005-0000-0000-0000C0870000}"/>
    <cellStyle name="Porcentual 3 2 4 3 2 2 2 2" xfId="34925" xr:uid="{00000000-0005-0000-0000-0000C1870000}"/>
    <cellStyle name="Porcentual 3 2 4 3 2 2 3" xfId="25835" xr:uid="{00000000-0005-0000-0000-0000C2870000}"/>
    <cellStyle name="Porcentual 3 2 4 3 2 3" xfId="12205" xr:uid="{00000000-0005-0000-0000-0000C3870000}"/>
    <cellStyle name="Porcentual 3 2 4 3 2 3 2" xfId="30387" xr:uid="{00000000-0005-0000-0000-0000C4870000}"/>
    <cellStyle name="Porcentual 3 2 4 3 2 4" xfId="21297" xr:uid="{00000000-0005-0000-0000-0000C5870000}"/>
    <cellStyle name="Porcentual 3 2 4 3 3" xfId="4709" xr:uid="{00000000-0005-0000-0000-0000C6870000}"/>
    <cellStyle name="Porcentual 3 2 4 3 3 2" xfId="9265" xr:uid="{00000000-0005-0000-0000-0000C7870000}"/>
    <cellStyle name="Porcentual 3 2 4 3 3 2 2" xfId="18361" xr:uid="{00000000-0005-0000-0000-0000C8870000}"/>
    <cellStyle name="Porcentual 3 2 4 3 3 2 2 2" xfId="36543" xr:uid="{00000000-0005-0000-0000-0000C9870000}"/>
    <cellStyle name="Porcentual 3 2 4 3 3 2 3" xfId="27453" xr:uid="{00000000-0005-0000-0000-0000CA870000}"/>
    <cellStyle name="Porcentual 3 2 4 3 3 3" xfId="13820" xr:uid="{00000000-0005-0000-0000-0000CB870000}"/>
    <cellStyle name="Porcentual 3 2 4 3 3 3 2" xfId="32002" xr:uid="{00000000-0005-0000-0000-0000CC870000}"/>
    <cellStyle name="Porcentual 3 2 4 3 3 4" xfId="22912" xr:uid="{00000000-0005-0000-0000-0000CD870000}"/>
    <cellStyle name="Porcentual 3 2 4 3 4" xfId="6347" xr:uid="{00000000-0005-0000-0000-0000CE870000}"/>
    <cellStyle name="Porcentual 3 2 4 3 4 2" xfId="15447" xr:uid="{00000000-0005-0000-0000-0000CF870000}"/>
    <cellStyle name="Porcentual 3 2 4 3 4 2 2" xfId="33629" xr:uid="{00000000-0005-0000-0000-0000D0870000}"/>
    <cellStyle name="Porcentual 3 2 4 3 4 3" xfId="24539" xr:uid="{00000000-0005-0000-0000-0000D1870000}"/>
    <cellStyle name="Porcentual 3 2 4 3 5" xfId="10913" xr:uid="{00000000-0005-0000-0000-0000D2870000}"/>
    <cellStyle name="Porcentual 3 2 4 3 5 2" xfId="29095" xr:uid="{00000000-0005-0000-0000-0000D3870000}"/>
    <cellStyle name="Porcentual 3 2 4 3 6" xfId="20004" xr:uid="{00000000-0005-0000-0000-0000D4870000}"/>
    <cellStyle name="Porcentual 3 2 4 4" xfId="1713" xr:uid="{00000000-0005-0000-0000-0000D5870000}"/>
    <cellStyle name="Porcentual 3 2 4 4 2" xfId="4710" xr:uid="{00000000-0005-0000-0000-0000D6870000}"/>
    <cellStyle name="Porcentual 3 2 4 4 2 2" xfId="9266" xr:uid="{00000000-0005-0000-0000-0000D7870000}"/>
    <cellStyle name="Porcentual 3 2 4 4 2 2 2" xfId="18362" xr:uid="{00000000-0005-0000-0000-0000D8870000}"/>
    <cellStyle name="Porcentual 3 2 4 4 2 2 2 2" xfId="36544" xr:uid="{00000000-0005-0000-0000-0000D9870000}"/>
    <cellStyle name="Porcentual 3 2 4 4 2 2 3" xfId="27454" xr:uid="{00000000-0005-0000-0000-0000DA870000}"/>
    <cellStyle name="Porcentual 3 2 4 4 2 3" xfId="13821" xr:uid="{00000000-0005-0000-0000-0000DB870000}"/>
    <cellStyle name="Porcentual 3 2 4 4 2 3 2" xfId="32003" xr:uid="{00000000-0005-0000-0000-0000DC870000}"/>
    <cellStyle name="Porcentual 3 2 4 4 2 4" xfId="22913" xr:uid="{00000000-0005-0000-0000-0000DD870000}"/>
    <cellStyle name="Porcentual 3 2 4 4 3" xfId="6348" xr:uid="{00000000-0005-0000-0000-0000DE870000}"/>
    <cellStyle name="Porcentual 3 2 4 4 3 2" xfId="15448" xr:uid="{00000000-0005-0000-0000-0000DF870000}"/>
    <cellStyle name="Porcentual 3 2 4 4 3 2 2" xfId="33630" xr:uid="{00000000-0005-0000-0000-0000E0870000}"/>
    <cellStyle name="Porcentual 3 2 4 4 3 3" xfId="24540" xr:uid="{00000000-0005-0000-0000-0000E1870000}"/>
    <cellStyle name="Porcentual 3 2 4 4 4" xfId="10914" xr:uid="{00000000-0005-0000-0000-0000E2870000}"/>
    <cellStyle name="Porcentual 3 2 4 4 4 2" xfId="29096" xr:uid="{00000000-0005-0000-0000-0000E3870000}"/>
    <cellStyle name="Porcentual 3 2 4 4 5" xfId="20005" xr:uid="{00000000-0005-0000-0000-0000E4870000}"/>
    <cellStyle name="Porcentual 3 2 4 5" xfId="3070" xr:uid="{00000000-0005-0000-0000-0000E5870000}"/>
    <cellStyle name="Porcentual 3 2 4 6" xfId="4706" xr:uid="{00000000-0005-0000-0000-0000E6870000}"/>
    <cellStyle name="Porcentual 3 2 4 6 2" xfId="9262" xr:uid="{00000000-0005-0000-0000-0000E7870000}"/>
    <cellStyle name="Porcentual 3 2 4 6 2 2" xfId="18358" xr:uid="{00000000-0005-0000-0000-0000E8870000}"/>
    <cellStyle name="Porcentual 3 2 4 6 2 2 2" xfId="36540" xr:uid="{00000000-0005-0000-0000-0000E9870000}"/>
    <cellStyle name="Porcentual 3 2 4 6 2 3" xfId="27450" xr:uid="{00000000-0005-0000-0000-0000EA870000}"/>
    <cellStyle name="Porcentual 3 2 4 6 3" xfId="13817" xr:uid="{00000000-0005-0000-0000-0000EB870000}"/>
    <cellStyle name="Porcentual 3 2 4 6 3 2" xfId="31999" xr:uid="{00000000-0005-0000-0000-0000EC870000}"/>
    <cellStyle name="Porcentual 3 2 4 6 4" xfId="22909" xr:uid="{00000000-0005-0000-0000-0000ED870000}"/>
    <cellStyle name="Porcentual 3 2 4 7" xfId="6344" xr:uid="{00000000-0005-0000-0000-0000EE870000}"/>
    <cellStyle name="Porcentual 3 2 4 7 2" xfId="15444" xr:uid="{00000000-0005-0000-0000-0000EF870000}"/>
    <cellStyle name="Porcentual 3 2 4 7 2 2" xfId="33626" xr:uid="{00000000-0005-0000-0000-0000F0870000}"/>
    <cellStyle name="Porcentual 3 2 4 7 3" xfId="24536" xr:uid="{00000000-0005-0000-0000-0000F1870000}"/>
    <cellStyle name="Porcentual 3 2 4 8" xfId="10910" xr:uid="{00000000-0005-0000-0000-0000F2870000}"/>
    <cellStyle name="Porcentual 3 2 4 8 2" xfId="29092" xr:uid="{00000000-0005-0000-0000-0000F3870000}"/>
    <cellStyle name="Porcentual 3 2 4 9" xfId="20001" xr:uid="{00000000-0005-0000-0000-0000F4870000}"/>
    <cellStyle name="Porcentual 3 2 5" xfId="1714" xr:uid="{00000000-0005-0000-0000-0000F5870000}"/>
    <cellStyle name="Porcentual 3 2 5 2" xfId="1715" xr:uid="{00000000-0005-0000-0000-0000F6870000}"/>
    <cellStyle name="Porcentual 3 2 5 2 2" xfId="3071" xr:uid="{00000000-0005-0000-0000-0000F7870000}"/>
    <cellStyle name="Porcentual 3 2 5 2 2 2" xfId="7644" xr:uid="{00000000-0005-0000-0000-0000F8870000}"/>
    <cellStyle name="Porcentual 3 2 5 2 2 2 2" xfId="16744" xr:uid="{00000000-0005-0000-0000-0000F9870000}"/>
    <cellStyle name="Porcentual 3 2 5 2 2 2 2 2" xfId="34926" xr:uid="{00000000-0005-0000-0000-0000FA870000}"/>
    <cellStyle name="Porcentual 3 2 5 2 2 2 3" xfId="25836" xr:uid="{00000000-0005-0000-0000-0000FB870000}"/>
    <cellStyle name="Porcentual 3 2 5 2 2 3" xfId="12206" xr:uid="{00000000-0005-0000-0000-0000FC870000}"/>
    <cellStyle name="Porcentual 3 2 5 2 2 3 2" xfId="30388" xr:uid="{00000000-0005-0000-0000-0000FD870000}"/>
    <cellStyle name="Porcentual 3 2 5 2 2 4" xfId="21298" xr:uid="{00000000-0005-0000-0000-0000FE870000}"/>
    <cellStyle name="Porcentual 3 2 5 2 3" xfId="4712" xr:uid="{00000000-0005-0000-0000-0000FF870000}"/>
    <cellStyle name="Porcentual 3 2 5 2 3 2" xfId="9268" xr:uid="{00000000-0005-0000-0000-000000880000}"/>
    <cellStyle name="Porcentual 3 2 5 2 3 2 2" xfId="18364" xr:uid="{00000000-0005-0000-0000-000001880000}"/>
    <cellStyle name="Porcentual 3 2 5 2 3 2 2 2" xfId="36546" xr:uid="{00000000-0005-0000-0000-000002880000}"/>
    <cellStyle name="Porcentual 3 2 5 2 3 2 3" xfId="27456" xr:uid="{00000000-0005-0000-0000-000003880000}"/>
    <cellStyle name="Porcentual 3 2 5 2 3 3" xfId="13823" xr:uid="{00000000-0005-0000-0000-000004880000}"/>
    <cellStyle name="Porcentual 3 2 5 2 3 3 2" xfId="32005" xr:uid="{00000000-0005-0000-0000-000005880000}"/>
    <cellStyle name="Porcentual 3 2 5 2 3 4" xfId="22915" xr:uid="{00000000-0005-0000-0000-000006880000}"/>
    <cellStyle name="Porcentual 3 2 5 2 4" xfId="6350" xr:uid="{00000000-0005-0000-0000-000007880000}"/>
    <cellStyle name="Porcentual 3 2 5 2 4 2" xfId="15450" xr:uid="{00000000-0005-0000-0000-000008880000}"/>
    <cellStyle name="Porcentual 3 2 5 2 4 2 2" xfId="33632" xr:uid="{00000000-0005-0000-0000-000009880000}"/>
    <cellStyle name="Porcentual 3 2 5 2 4 3" xfId="24542" xr:uid="{00000000-0005-0000-0000-00000A880000}"/>
    <cellStyle name="Porcentual 3 2 5 2 5" xfId="10916" xr:uid="{00000000-0005-0000-0000-00000B880000}"/>
    <cellStyle name="Porcentual 3 2 5 2 5 2" xfId="29098" xr:uid="{00000000-0005-0000-0000-00000C880000}"/>
    <cellStyle name="Porcentual 3 2 5 2 6" xfId="20007" xr:uid="{00000000-0005-0000-0000-00000D880000}"/>
    <cellStyle name="Porcentual 3 2 5 3" xfId="3072" xr:uid="{00000000-0005-0000-0000-00000E880000}"/>
    <cellStyle name="Porcentual 3 2 5 3 2" xfId="7645" xr:uid="{00000000-0005-0000-0000-00000F880000}"/>
    <cellStyle name="Porcentual 3 2 5 3 2 2" xfId="16745" xr:uid="{00000000-0005-0000-0000-000010880000}"/>
    <cellStyle name="Porcentual 3 2 5 3 2 2 2" xfId="34927" xr:uid="{00000000-0005-0000-0000-000011880000}"/>
    <cellStyle name="Porcentual 3 2 5 3 2 3" xfId="25837" xr:uid="{00000000-0005-0000-0000-000012880000}"/>
    <cellStyle name="Porcentual 3 2 5 3 3" xfId="12207" xr:uid="{00000000-0005-0000-0000-000013880000}"/>
    <cellStyle name="Porcentual 3 2 5 3 3 2" xfId="30389" xr:uid="{00000000-0005-0000-0000-000014880000}"/>
    <cellStyle name="Porcentual 3 2 5 3 4" xfId="21299" xr:uid="{00000000-0005-0000-0000-000015880000}"/>
    <cellStyle name="Porcentual 3 2 5 4" xfId="4711" xr:uid="{00000000-0005-0000-0000-000016880000}"/>
    <cellStyle name="Porcentual 3 2 5 4 2" xfId="9267" xr:uid="{00000000-0005-0000-0000-000017880000}"/>
    <cellStyle name="Porcentual 3 2 5 4 2 2" xfId="18363" xr:uid="{00000000-0005-0000-0000-000018880000}"/>
    <cellStyle name="Porcentual 3 2 5 4 2 2 2" xfId="36545" xr:uid="{00000000-0005-0000-0000-000019880000}"/>
    <cellStyle name="Porcentual 3 2 5 4 2 3" xfId="27455" xr:uid="{00000000-0005-0000-0000-00001A880000}"/>
    <cellStyle name="Porcentual 3 2 5 4 3" xfId="13822" xr:uid="{00000000-0005-0000-0000-00001B880000}"/>
    <cellStyle name="Porcentual 3 2 5 4 3 2" xfId="32004" xr:uid="{00000000-0005-0000-0000-00001C880000}"/>
    <cellStyle name="Porcentual 3 2 5 4 4" xfId="22914" xr:uid="{00000000-0005-0000-0000-00001D880000}"/>
    <cellStyle name="Porcentual 3 2 5 5" xfId="6349" xr:uid="{00000000-0005-0000-0000-00001E880000}"/>
    <cellStyle name="Porcentual 3 2 5 5 2" xfId="15449" xr:uid="{00000000-0005-0000-0000-00001F880000}"/>
    <cellStyle name="Porcentual 3 2 5 5 2 2" xfId="33631" xr:uid="{00000000-0005-0000-0000-000020880000}"/>
    <cellStyle name="Porcentual 3 2 5 5 3" xfId="24541" xr:uid="{00000000-0005-0000-0000-000021880000}"/>
    <cellStyle name="Porcentual 3 2 5 6" xfId="10915" xr:uid="{00000000-0005-0000-0000-000022880000}"/>
    <cellStyle name="Porcentual 3 2 5 6 2" xfId="29097" xr:uid="{00000000-0005-0000-0000-000023880000}"/>
    <cellStyle name="Porcentual 3 2 5 7" xfId="20006" xr:uid="{00000000-0005-0000-0000-000024880000}"/>
    <cellStyle name="Porcentual 3 2 6" xfId="1716" xr:uid="{00000000-0005-0000-0000-000025880000}"/>
    <cellStyle name="Porcentual 3 2 6 2" xfId="3073" xr:uid="{00000000-0005-0000-0000-000026880000}"/>
    <cellStyle name="Porcentual 3 2 6 2 2" xfId="7646" xr:uid="{00000000-0005-0000-0000-000027880000}"/>
    <cellStyle name="Porcentual 3 2 6 2 2 2" xfId="16746" xr:uid="{00000000-0005-0000-0000-000028880000}"/>
    <cellStyle name="Porcentual 3 2 6 2 2 2 2" xfId="34928" xr:uid="{00000000-0005-0000-0000-000029880000}"/>
    <cellStyle name="Porcentual 3 2 6 2 2 3" xfId="25838" xr:uid="{00000000-0005-0000-0000-00002A880000}"/>
    <cellStyle name="Porcentual 3 2 6 2 3" xfId="12208" xr:uid="{00000000-0005-0000-0000-00002B880000}"/>
    <cellStyle name="Porcentual 3 2 6 2 3 2" xfId="30390" xr:uid="{00000000-0005-0000-0000-00002C880000}"/>
    <cellStyle name="Porcentual 3 2 6 2 4" xfId="21300" xr:uid="{00000000-0005-0000-0000-00002D880000}"/>
    <cellStyle name="Porcentual 3 2 6 3" xfId="4713" xr:uid="{00000000-0005-0000-0000-00002E880000}"/>
    <cellStyle name="Porcentual 3 2 6 3 2" xfId="9269" xr:uid="{00000000-0005-0000-0000-00002F880000}"/>
    <cellStyle name="Porcentual 3 2 6 3 2 2" xfId="18365" xr:uid="{00000000-0005-0000-0000-000030880000}"/>
    <cellStyle name="Porcentual 3 2 6 3 2 2 2" xfId="36547" xr:uid="{00000000-0005-0000-0000-000031880000}"/>
    <cellStyle name="Porcentual 3 2 6 3 2 3" xfId="27457" xr:uid="{00000000-0005-0000-0000-000032880000}"/>
    <cellStyle name="Porcentual 3 2 6 3 3" xfId="13824" xr:uid="{00000000-0005-0000-0000-000033880000}"/>
    <cellStyle name="Porcentual 3 2 6 3 3 2" xfId="32006" xr:uid="{00000000-0005-0000-0000-000034880000}"/>
    <cellStyle name="Porcentual 3 2 6 3 4" xfId="22916" xr:uid="{00000000-0005-0000-0000-000035880000}"/>
    <cellStyle name="Porcentual 3 2 6 4" xfId="6351" xr:uid="{00000000-0005-0000-0000-000036880000}"/>
    <cellStyle name="Porcentual 3 2 6 4 2" xfId="15451" xr:uid="{00000000-0005-0000-0000-000037880000}"/>
    <cellStyle name="Porcentual 3 2 6 4 2 2" xfId="33633" xr:uid="{00000000-0005-0000-0000-000038880000}"/>
    <cellStyle name="Porcentual 3 2 6 4 3" xfId="24543" xr:uid="{00000000-0005-0000-0000-000039880000}"/>
    <cellStyle name="Porcentual 3 2 6 5" xfId="10917" xr:uid="{00000000-0005-0000-0000-00003A880000}"/>
    <cellStyle name="Porcentual 3 2 6 5 2" xfId="29099" xr:uid="{00000000-0005-0000-0000-00003B880000}"/>
    <cellStyle name="Porcentual 3 2 6 6" xfId="20008" xr:uid="{00000000-0005-0000-0000-00003C880000}"/>
    <cellStyle name="Porcentual 3 2 7" xfId="1717" xr:uid="{00000000-0005-0000-0000-00003D880000}"/>
    <cellStyle name="Porcentual 3 2 7 2" xfId="4714" xr:uid="{00000000-0005-0000-0000-00003E880000}"/>
    <cellStyle name="Porcentual 3 2 7 2 2" xfId="9270" xr:uid="{00000000-0005-0000-0000-00003F880000}"/>
    <cellStyle name="Porcentual 3 2 7 2 2 2" xfId="18366" xr:uid="{00000000-0005-0000-0000-000040880000}"/>
    <cellStyle name="Porcentual 3 2 7 2 2 2 2" xfId="36548" xr:uid="{00000000-0005-0000-0000-000041880000}"/>
    <cellStyle name="Porcentual 3 2 7 2 2 3" xfId="27458" xr:uid="{00000000-0005-0000-0000-000042880000}"/>
    <cellStyle name="Porcentual 3 2 7 2 3" xfId="13825" xr:uid="{00000000-0005-0000-0000-000043880000}"/>
    <cellStyle name="Porcentual 3 2 7 2 3 2" xfId="32007" xr:uid="{00000000-0005-0000-0000-000044880000}"/>
    <cellStyle name="Porcentual 3 2 7 2 4" xfId="22917" xr:uid="{00000000-0005-0000-0000-000045880000}"/>
    <cellStyle name="Porcentual 3 2 7 3" xfId="6352" xr:uid="{00000000-0005-0000-0000-000046880000}"/>
    <cellStyle name="Porcentual 3 2 7 3 2" xfId="15452" xr:uid="{00000000-0005-0000-0000-000047880000}"/>
    <cellStyle name="Porcentual 3 2 7 3 2 2" xfId="33634" xr:uid="{00000000-0005-0000-0000-000048880000}"/>
    <cellStyle name="Porcentual 3 2 7 3 3" xfId="24544" xr:uid="{00000000-0005-0000-0000-000049880000}"/>
    <cellStyle name="Porcentual 3 2 7 4" xfId="10918" xr:uid="{00000000-0005-0000-0000-00004A880000}"/>
    <cellStyle name="Porcentual 3 2 7 4 2" xfId="29100" xr:uid="{00000000-0005-0000-0000-00004B880000}"/>
    <cellStyle name="Porcentual 3 2 7 5" xfId="20009" xr:uid="{00000000-0005-0000-0000-00004C880000}"/>
    <cellStyle name="Porcentual 3 2 8" xfId="3074" xr:uid="{00000000-0005-0000-0000-00004D880000}"/>
    <cellStyle name="Porcentual 3 2 8 2" xfId="7647" xr:uid="{00000000-0005-0000-0000-00004E880000}"/>
    <cellStyle name="Porcentual 3 2 8 2 2" xfId="16747" xr:uid="{00000000-0005-0000-0000-00004F880000}"/>
    <cellStyle name="Porcentual 3 2 8 2 2 2" xfId="34929" xr:uid="{00000000-0005-0000-0000-000050880000}"/>
    <cellStyle name="Porcentual 3 2 8 2 3" xfId="25839" xr:uid="{00000000-0005-0000-0000-000051880000}"/>
    <cellStyle name="Porcentual 3 2 8 3" xfId="12209" xr:uid="{00000000-0005-0000-0000-000052880000}"/>
    <cellStyle name="Porcentual 3 2 8 3 2" xfId="30391" xr:uid="{00000000-0005-0000-0000-000053880000}"/>
    <cellStyle name="Porcentual 3 2 8 4" xfId="21301" xr:uid="{00000000-0005-0000-0000-000054880000}"/>
    <cellStyle name="Porcentual 3 2 9" xfId="3176" xr:uid="{00000000-0005-0000-0000-000055880000}"/>
    <cellStyle name="Porcentual 3 2 9 2" xfId="7736" xr:uid="{00000000-0005-0000-0000-000056880000}"/>
    <cellStyle name="Porcentual 3 2 9 2 2" xfId="16832" xr:uid="{00000000-0005-0000-0000-000057880000}"/>
    <cellStyle name="Porcentual 3 2 9 2 2 2" xfId="35014" xr:uid="{00000000-0005-0000-0000-000058880000}"/>
    <cellStyle name="Porcentual 3 2 9 2 3" xfId="25924" xr:uid="{00000000-0005-0000-0000-000059880000}"/>
    <cellStyle name="Porcentual 3 2 9 3" xfId="12292" xr:uid="{00000000-0005-0000-0000-00005A880000}"/>
    <cellStyle name="Porcentual 3 2 9 3 2" xfId="30474" xr:uid="{00000000-0005-0000-0000-00005B880000}"/>
    <cellStyle name="Porcentual 3 2 9 4" xfId="21384" xr:uid="{00000000-0005-0000-0000-00005C880000}"/>
    <cellStyle name="Porcentual 3 3" xfId="86" xr:uid="{00000000-0005-0000-0000-00005D880000}"/>
    <cellStyle name="Porcentual 3 3 10" xfId="9411" xr:uid="{00000000-0005-0000-0000-00005E880000}"/>
    <cellStyle name="Porcentual 3 3 10 2" xfId="27593" xr:uid="{00000000-0005-0000-0000-00005F880000}"/>
    <cellStyle name="Porcentual 3 3 11" xfId="18502" xr:uid="{00000000-0005-0000-0000-000060880000}"/>
    <cellStyle name="Porcentual 3 3 2" xfId="1718" xr:uid="{00000000-0005-0000-0000-000061880000}"/>
    <cellStyle name="Porcentual 3 3 2 10" xfId="20010" xr:uid="{00000000-0005-0000-0000-000062880000}"/>
    <cellStyle name="Porcentual 3 3 2 2" xfId="1719" xr:uid="{00000000-0005-0000-0000-000063880000}"/>
    <cellStyle name="Porcentual 3 3 2 2 2" xfId="1720" xr:uid="{00000000-0005-0000-0000-000064880000}"/>
    <cellStyle name="Porcentual 3 3 2 2 2 2" xfId="1721" xr:uid="{00000000-0005-0000-0000-000065880000}"/>
    <cellStyle name="Porcentual 3 3 2 2 2 2 2" xfId="3075" xr:uid="{00000000-0005-0000-0000-000066880000}"/>
    <cellStyle name="Porcentual 3 3 2 2 2 2 2 2" xfId="7648" xr:uid="{00000000-0005-0000-0000-000067880000}"/>
    <cellStyle name="Porcentual 3 3 2 2 2 2 2 2 2" xfId="16748" xr:uid="{00000000-0005-0000-0000-000068880000}"/>
    <cellStyle name="Porcentual 3 3 2 2 2 2 2 2 2 2" xfId="34930" xr:uid="{00000000-0005-0000-0000-000069880000}"/>
    <cellStyle name="Porcentual 3 3 2 2 2 2 2 2 3" xfId="25840" xr:uid="{00000000-0005-0000-0000-00006A880000}"/>
    <cellStyle name="Porcentual 3 3 2 2 2 2 2 3" xfId="12210" xr:uid="{00000000-0005-0000-0000-00006B880000}"/>
    <cellStyle name="Porcentual 3 3 2 2 2 2 2 3 2" xfId="30392" xr:uid="{00000000-0005-0000-0000-00006C880000}"/>
    <cellStyle name="Porcentual 3 3 2 2 2 2 2 4" xfId="21302" xr:uid="{00000000-0005-0000-0000-00006D880000}"/>
    <cellStyle name="Porcentual 3 3 2 2 2 2 3" xfId="4718" xr:uid="{00000000-0005-0000-0000-00006E880000}"/>
    <cellStyle name="Porcentual 3 3 2 2 2 2 3 2" xfId="9274" xr:uid="{00000000-0005-0000-0000-00006F880000}"/>
    <cellStyle name="Porcentual 3 3 2 2 2 2 3 2 2" xfId="18370" xr:uid="{00000000-0005-0000-0000-000070880000}"/>
    <cellStyle name="Porcentual 3 3 2 2 2 2 3 2 2 2" xfId="36552" xr:uid="{00000000-0005-0000-0000-000071880000}"/>
    <cellStyle name="Porcentual 3 3 2 2 2 2 3 2 3" xfId="27462" xr:uid="{00000000-0005-0000-0000-000072880000}"/>
    <cellStyle name="Porcentual 3 3 2 2 2 2 3 3" xfId="13829" xr:uid="{00000000-0005-0000-0000-000073880000}"/>
    <cellStyle name="Porcentual 3 3 2 2 2 2 3 3 2" xfId="32011" xr:uid="{00000000-0005-0000-0000-000074880000}"/>
    <cellStyle name="Porcentual 3 3 2 2 2 2 3 4" xfId="22921" xr:uid="{00000000-0005-0000-0000-000075880000}"/>
    <cellStyle name="Porcentual 3 3 2 2 2 2 4" xfId="6356" xr:uid="{00000000-0005-0000-0000-000076880000}"/>
    <cellStyle name="Porcentual 3 3 2 2 2 2 4 2" xfId="15456" xr:uid="{00000000-0005-0000-0000-000077880000}"/>
    <cellStyle name="Porcentual 3 3 2 2 2 2 4 2 2" xfId="33638" xr:uid="{00000000-0005-0000-0000-000078880000}"/>
    <cellStyle name="Porcentual 3 3 2 2 2 2 4 3" xfId="24548" xr:uid="{00000000-0005-0000-0000-000079880000}"/>
    <cellStyle name="Porcentual 3 3 2 2 2 2 5" xfId="10922" xr:uid="{00000000-0005-0000-0000-00007A880000}"/>
    <cellStyle name="Porcentual 3 3 2 2 2 2 5 2" xfId="29104" xr:uid="{00000000-0005-0000-0000-00007B880000}"/>
    <cellStyle name="Porcentual 3 3 2 2 2 2 6" xfId="20013" xr:uid="{00000000-0005-0000-0000-00007C880000}"/>
    <cellStyle name="Porcentual 3 3 2 2 2 3" xfId="3076" xr:uid="{00000000-0005-0000-0000-00007D880000}"/>
    <cellStyle name="Porcentual 3 3 2 2 2 3 2" xfId="7649" xr:uid="{00000000-0005-0000-0000-00007E880000}"/>
    <cellStyle name="Porcentual 3 3 2 2 2 3 2 2" xfId="16749" xr:uid="{00000000-0005-0000-0000-00007F880000}"/>
    <cellStyle name="Porcentual 3 3 2 2 2 3 2 2 2" xfId="34931" xr:uid="{00000000-0005-0000-0000-000080880000}"/>
    <cellStyle name="Porcentual 3 3 2 2 2 3 2 3" xfId="25841" xr:uid="{00000000-0005-0000-0000-000081880000}"/>
    <cellStyle name="Porcentual 3 3 2 2 2 3 3" xfId="12211" xr:uid="{00000000-0005-0000-0000-000082880000}"/>
    <cellStyle name="Porcentual 3 3 2 2 2 3 3 2" xfId="30393" xr:uid="{00000000-0005-0000-0000-000083880000}"/>
    <cellStyle name="Porcentual 3 3 2 2 2 3 4" xfId="21303" xr:uid="{00000000-0005-0000-0000-000084880000}"/>
    <cellStyle name="Porcentual 3 3 2 2 2 4" xfId="4717" xr:uid="{00000000-0005-0000-0000-000085880000}"/>
    <cellStyle name="Porcentual 3 3 2 2 2 4 2" xfId="9273" xr:uid="{00000000-0005-0000-0000-000086880000}"/>
    <cellStyle name="Porcentual 3 3 2 2 2 4 2 2" xfId="18369" xr:uid="{00000000-0005-0000-0000-000087880000}"/>
    <cellStyle name="Porcentual 3 3 2 2 2 4 2 2 2" xfId="36551" xr:uid="{00000000-0005-0000-0000-000088880000}"/>
    <cellStyle name="Porcentual 3 3 2 2 2 4 2 3" xfId="27461" xr:uid="{00000000-0005-0000-0000-000089880000}"/>
    <cellStyle name="Porcentual 3 3 2 2 2 4 3" xfId="13828" xr:uid="{00000000-0005-0000-0000-00008A880000}"/>
    <cellStyle name="Porcentual 3 3 2 2 2 4 3 2" xfId="32010" xr:uid="{00000000-0005-0000-0000-00008B880000}"/>
    <cellStyle name="Porcentual 3 3 2 2 2 4 4" xfId="22920" xr:uid="{00000000-0005-0000-0000-00008C880000}"/>
    <cellStyle name="Porcentual 3 3 2 2 2 5" xfId="6355" xr:uid="{00000000-0005-0000-0000-00008D880000}"/>
    <cellStyle name="Porcentual 3 3 2 2 2 5 2" xfId="15455" xr:uid="{00000000-0005-0000-0000-00008E880000}"/>
    <cellStyle name="Porcentual 3 3 2 2 2 5 2 2" xfId="33637" xr:uid="{00000000-0005-0000-0000-00008F880000}"/>
    <cellStyle name="Porcentual 3 3 2 2 2 5 3" xfId="24547" xr:uid="{00000000-0005-0000-0000-000090880000}"/>
    <cellStyle name="Porcentual 3 3 2 2 2 6" xfId="10921" xr:uid="{00000000-0005-0000-0000-000091880000}"/>
    <cellStyle name="Porcentual 3 3 2 2 2 6 2" xfId="29103" xr:uid="{00000000-0005-0000-0000-000092880000}"/>
    <cellStyle name="Porcentual 3 3 2 2 2 7" xfId="20012" xr:uid="{00000000-0005-0000-0000-000093880000}"/>
    <cellStyle name="Porcentual 3 3 2 2 3" xfId="1722" xr:uid="{00000000-0005-0000-0000-000094880000}"/>
    <cellStyle name="Porcentual 3 3 2 2 3 2" xfId="3077" xr:uid="{00000000-0005-0000-0000-000095880000}"/>
    <cellStyle name="Porcentual 3 3 2 2 3 2 2" xfId="7650" xr:uid="{00000000-0005-0000-0000-000096880000}"/>
    <cellStyle name="Porcentual 3 3 2 2 3 2 2 2" xfId="16750" xr:uid="{00000000-0005-0000-0000-000097880000}"/>
    <cellStyle name="Porcentual 3 3 2 2 3 2 2 2 2" xfId="34932" xr:uid="{00000000-0005-0000-0000-000098880000}"/>
    <cellStyle name="Porcentual 3 3 2 2 3 2 2 3" xfId="25842" xr:uid="{00000000-0005-0000-0000-000099880000}"/>
    <cellStyle name="Porcentual 3 3 2 2 3 2 3" xfId="12212" xr:uid="{00000000-0005-0000-0000-00009A880000}"/>
    <cellStyle name="Porcentual 3 3 2 2 3 2 3 2" xfId="30394" xr:uid="{00000000-0005-0000-0000-00009B880000}"/>
    <cellStyle name="Porcentual 3 3 2 2 3 2 4" xfId="21304" xr:uid="{00000000-0005-0000-0000-00009C880000}"/>
    <cellStyle name="Porcentual 3 3 2 2 3 3" xfId="4719" xr:uid="{00000000-0005-0000-0000-00009D880000}"/>
    <cellStyle name="Porcentual 3 3 2 2 3 3 2" xfId="9275" xr:uid="{00000000-0005-0000-0000-00009E880000}"/>
    <cellStyle name="Porcentual 3 3 2 2 3 3 2 2" xfId="18371" xr:uid="{00000000-0005-0000-0000-00009F880000}"/>
    <cellStyle name="Porcentual 3 3 2 2 3 3 2 2 2" xfId="36553" xr:uid="{00000000-0005-0000-0000-0000A0880000}"/>
    <cellStyle name="Porcentual 3 3 2 2 3 3 2 3" xfId="27463" xr:uid="{00000000-0005-0000-0000-0000A1880000}"/>
    <cellStyle name="Porcentual 3 3 2 2 3 3 3" xfId="13830" xr:uid="{00000000-0005-0000-0000-0000A2880000}"/>
    <cellStyle name="Porcentual 3 3 2 2 3 3 3 2" xfId="32012" xr:uid="{00000000-0005-0000-0000-0000A3880000}"/>
    <cellStyle name="Porcentual 3 3 2 2 3 3 4" xfId="22922" xr:uid="{00000000-0005-0000-0000-0000A4880000}"/>
    <cellStyle name="Porcentual 3 3 2 2 3 4" xfId="6357" xr:uid="{00000000-0005-0000-0000-0000A5880000}"/>
    <cellStyle name="Porcentual 3 3 2 2 3 4 2" xfId="15457" xr:uid="{00000000-0005-0000-0000-0000A6880000}"/>
    <cellStyle name="Porcentual 3 3 2 2 3 4 2 2" xfId="33639" xr:uid="{00000000-0005-0000-0000-0000A7880000}"/>
    <cellStyle name="Porcentual 3 3 2 2 3 4 3" xfId="24549" xr:uid="{00000000-0005-0000-0000-0000A8880000}"/>
    <cellStyle name="Porcentual 3 3 2 2 3 5" xfId="10923" xr:uid="{00000000-0005-0000-0000-0000A9880000}"/>
    <cellStyle name="Porcentual 3 3 2 2 3 5 2" xfId="29105" xr:uid="{00000000-0005-0000-0000-0000AA880000}"/>
    <cellStyle name="Porcentual 3 3 2 2 3 6" xfId="20014" xr:uid="{00000000-0005-0000-0000-0000AB880000}"/>
    <cellStyle name="Porcentual 3 3 2 2 4" xfId="1723" xr:uid="{00000000-0005-0000-0000-0000AC880000}"/>
    <cellStyle name="Porcentual 3 3 2 2 4 2" xfId="4720" xr:uid="{00000000-0005-0000-0000-0000AD880000}"/>
    <cellStyle name="Porcentual 3 3 2 2 4 2 2" xfId="9276" xr:uid="{00000000-0005-0000-0000-0000AE880000}"/>
    <cellStyle name="Porcentual 3 3 2 2 4 2 2 2" xfId="18372" xr:uid="{00000000-0005-0000-0000-0000AF880000}"/>
    <cellStyle name="Porcentual 3 3 2 2 4 2 2 2 2" xfId="36554" xr:uid="{00000000-0005-0000-0000-0000B0880000}"/>
    <cellStyle name="Porcentual 3 3 2 2 4 2 2 3" xfId="27464" xr:uid="{00000000-0005-0000-0000-0000B1880000}"/>
    <cellStyle name="Porcentual 3 3 2 2 4 2 3" xfId="13831" xr:uid="{00000000-0005-0000-0000-0000B2880000}"/>
    <cellStyle name="Porcentual 3 3 2 2 4 2 3 2" xfId="32013" xr:uid="{00000000-0005-0000-0000-0000B3880000}"/>
    <cellStyle name="Porcentual 3 3 2 2 4 2 4" xfId="22923" xr:uid="{00000000-0005-0000-0000-0000B4880000}"/>
    <cellStyle name="Porcentual 3 3 2 2 4 3" xfId="6358" xr:uid="{00000000-0005-0000-0000-0000B5880000}"/>
    <cellStyle name="Porcentual 3 3 2 2 4 3 2" xfId="15458" xr:uid="{00000000-0005-0000-0000-0000B6880000}"/>
    <cellStyle name="Porcentual 3 3 2 2 4 3 2 2" xfId="33640" xr:uid="{00000000-0005-0000-0000-0000B7880000}"/>
    <cellStyle name="Porcentual 3 3 2 2 4 3 3" xfId="24550" xr:uid="{00000000-0005-0000-0000-0000B8880000}"/>
    <cellStyle name="Porcentual 3 3 2 2 4 4" xfId="10924" xr:uid="{00000000-0005-0000-0000-0000B9880000}"/>
    <cellStyle name="Porcentual 3 3 2 2 4 4 2" xfId="29106" xr:uid="{00000000-0005-0000-0000-0000BA880000}"/>
    <cellStyle name="Porcentual 3 3 2 2 4 5" xfId="20015" xr:uid="{00000000-0005-0000-0000-0000BB880000}"/>
    <cellStyle name="Porcentual 3 3 2 2 5" xfId="3078" xr:uid="{00000000-0005-0000-0000-0000BC880000}"/>
    <cellStyle name="Porcentual 3 3 2 2 6" xfId="4716" xr:uid="{00000000-0005-0000-0000-0000BD880000}"/>
    <cellStyle name="Porcentual 3 3 2 2 6 2" xfId="9272" xr:uid="{00000000-0005-0000-0000-0000BE880000}"/>
    <cellStyle name="Porcentual 3 3 2 2 6 2 2" xfId="18368" xr:uid="{00000000-0005-0000-0000-0000BF880000}"/>
    <cellStyle name="Porcentual 3 3 2 2 6 2 2 2" xfId="36550" xr:uid="{00000000-0005-0000-0000-0000C0880000}"/>
    <cellStyle name="Porcentual 3 3 2 2 6 2 3" xfId="27460" xr:uid="{00000000-0005-0000-0000-0000C1880000}"/>
    <cellStyle name="Porcentual 3 3 2 2 6 3" xfId="13827" xr:uid="{00000000-0005-0000-0000-0000C2880000}"/>
    <cellStyle name="Porcentual 3 3 2 2 6 3 2" xfId="32009" xr:uid="{00000000-0005-0000-0000-0000C3880000}"/>
    <cellStyle name="Porcentual 3 3 2 2 6 4" xfId="22919" xr:uid="{00000000-0005-0000-0000-0000C4880000}"/>
    <cellStyle name="Porcentual 3 3 2 2 7" xfId="6354" xr:uid="{00000000-0005-0000-0000-0000C5880000}"/>
    <cellStyle name="Porcentual 3 3 2 2 7 2" xfId="15454" xr:uid="{00000000-0005-0000-0000-0000C6880000}"/>
    <cellStyle name="Porcentual 3 3 2 2 7 2 2" xfId="33636" xr:uid="{00000000-0005-0000-0000-0000C7880000}"/>
    <cellStyle name="Porcentual 3 3 2 2 7 3" xfId="24546" xr:uid="{00000000-0005-0000-0000-0000C8880000}"/>
    <cellStyle name="Porcentual 3 3 2 2 8" xfId="10920" xr:uid="{00000000-0005-0000-0000-0000C9880000}"/>
    <cellStyle name="Porcentual 3 3 2 2 8 2" xfId="29102" xr:uid="{00000000-0005-0000-0000-0000CA880000}"/>
    <cellStyle name="Porcentual 3 3 2 2 9" xfId="20011" xr:uid="{00000000-0005-0000-0000-0000CB880000}"/>
    <cellStyle name="Porcentual 3 3 2 3" xfId="1724" xr:uid="{00000000-0005-0000-0000-0000CC880000}"/>
    <cellStyle name="Porcentual 3 3 2 3 2" xfId="1725" xr:uid="{00000000-0005-0000-0000-0000CD880000}"/>
    <cellStyle name="Porcentual 3 3 2 3 2 2" xfId="3079" xr:uid="{00000000-0005-0000-0000-0000CE880000}"/>
    <cellStyle name="Porcentual 3 3 2 3 2 2 2" xfId="7651" xr:uid="{00000000-0005-0000-0000-0000CF880000}"/>
    <cellStyle name="Porcentual 3 3 2 3 2 2 2 2" xfId="16751" xr:uid="{00000000-0005-0000-0000-0000D0880000}"/>
    <cellStyle name="Porcentual 3 3 2 3 2 2 2 2 2" xfId="34933" xr:uid="{00000000-0005-0000-0000-0000D1880000}"/>
    <cellStyle name="Porcentual 3 3 2 3 2 2 2 3" xfId="25843" xr:uid="{00000000-0005-0000-0000-0000D2880000}"/>
    <cellStyle name="Porcentual 3 3 2 3 2 2 3" xfId="12213" xr:uid="{00000000-0005-0000-0000-0000D3880000}"/>
    <cellStyle name="Porcentual 3 3 2 3 2 2 3 2" xfId="30395" xr:uid="{00000000-0005-0000-0000-0000D4880000}"/>
    <cellStyle name="Porcentual 3 3 2 3 2 2 4" xfId="21305" xr:uid="{00000000-0005-0000-0000-0000D5880000}"/>
    <cellStyle name="Porcentual 3 3 2 3 2 3" xfId="4722" xr:uid="{00000000-0005-0000-0000-0000D6880000}"/>
    <cellStyle name="Porcentual 3 3 2 3 2 3 2" xfId="9278" xr:uid="{00000000-0005-0000-0000-0000D7880000}"/>
    <cellStyle name="Porcentual 3 3 2 3 2 3 2 2" xfId="18374" xr:uid="{00000000-0005-0000-0000-0000D8880000}"/>
    <cellStyle name="Porcentual 3 3 2 3 2 3 2 2 2" xfId="36556" xr:uid="{00000000-0005-0000-0000-0000D9880000}"/>
    <cellStyle name="Porcentual 3 3 2 3 2 3 2 3" xfId="27466" xr:uid="{00000000-0005-0000-0000-0000DA880000}"/>
    <cellStyle name="Porcentual 3 3 2 3 2 3 3" xfId="13833" xr:uid="{00000000-0005-0000-0000-0000DB880000}"/>
    <cellStyle name="Porcentual 3 3 2 3 2 3 3 2" xfId="32015" xr:uid="{00000000-0005-0000-0000-0000DC880000}"/>
    <cellStyle name="Porcentual 3 3 2 3 2 3 4" xfId="22925" xr:uid="{00000000-0005-0000-0000-0000DD880000}"/>
    <cellStyle name="Porcentual 3 3 2 3 2 4" xfId="6360" xr:uid="{00000000-0005-0000-0000-0000DE880000}"/>
    <cellStyle name="Porcentual 3 3 2 3 2 4 2" xfId="15460" xr:uid="{00000000-0005-0000-0000-0000DF880000}"/>
    <cellStyle name="Porcentual 3 3 2 3 2 4 2 2" xfId="33642" xr:uid="{00000000-0005-0000-0000-0000E0880000}"/>
    <cellStyle name="Porcentual 3 3 2 3 2 4 3" xfId="24552" xr:uid="{00000000-0005-0000-0000-0000E1880000}"/>
    <cellStyle name="Porcentual 3 3 2 3 2 5" xfId="10926" xr:uid="{00000000-0005-0000-0000-0000E2880000}"/>
    <cellStyle name="Porcentual 3 3 2 3 2 5 2" xfId="29108" xr:uid="{00000000-0005-0000-0000-0000E3880000}"/>
    <cellStyle name="Porcentual 3 3 2 3 2 6" xfId="20017" xr:uid="{00000000-0005-0000-0000-0000E4880000}"/>
    <cellStyle name="Porcentual 3 3 2 3 3" xfId="3080" xr:uid="{00000000-0005-0000-0000-0000E5880000}"/>
    <cellStyle name="Porcentual 3 3 2 3 3 2" xfId="7652" xr:uid="{00000000-0005-0000-0000-0000E6880000}"/>
    <cellStyle name="Porcentual 3 3 2 3 3 2 2" xfId="16752" xr:uid="{00000000-0005-0000-0000-0000E7880000}"/>
    <cellStyle name="Porcentual 3 3 2 3 3 2 2 2" xfId="34934" xr:uid="{00000000-0005-0000-0000-0000E8880000}"/>
    <cellStyle name="Porcentual 3 3 2 3 3 2 3" xfId="25844" xr:uid="{00000000-0005-0000-0000-0000E9880000}"/>
    <cellStyle name="Porcentual 3 3 2 3 3 3" xfId="12214" xr:uid="{00000000-0005-0000-0000-0000EA880000}"/>
    <cellStyle name="Porcentual 3 3 2 3 3 3 2" xfId="30396" xr:uid="{00000000-0005-0000-0000-0000EB880000}"/>
    <cellStyle name="Porcentual 3 3 2 3 3 4" xfId="21306" xr:uid="{00000000-0005-0000-0000-0000EC880000}"/>
    <cellStyle name="Porcentual 3 3 2 3 4" xfId="4721" xr:uid="{00000000-0005-0000-0000-0000ED880000}"/>
    <cellStyle name="Porcentual 3 3 2 3 4 2" xfId="9277" xr:uid="{00000000-0005-0000-0000-0000EE880000}"/>
    <cellStyle name="Porcentual 3 3 2 3 4 2 2" xfId="18373" xr:uid="{00000000-0005-0000-0000-0000EF880000}"/>
    <cellStyle name="Porcentual 3 3 2 3 4 2 2 2" xfId="36555" xr:uid="{00000000-0005-0000-0000-0000F0880000}"/>
    <cellStyle name="Porcentual 3 3 2 3 4 2 3" xfId="27465" xr:uid="{00000000-0005-0000-0000-0000F1880000}"/>
    <cellStyle name="Porcentual 3 3 2 3 4 3" xfId="13832" xr:uid="{00000000-0005-0000-0000-0000F2880000}"/>
    <cellStyle name="Porcentual 3 3 2 3 4 3 2" xfId="32014" xr:uid="{00000000-0005-0000-0000-0000F3880000}"/>
    <cellStyle name="Porcentual 3 3 2 3 4 4" xfId="22924" xr:uid="{00000000-0005-0000-0000-0000F4880000}"/>
    <cellStyle name="Porcentual 3 3 2 3 5" xfId="6359" xr:uid="{00000000-0005-0000-0000-0000F5880000}"/>
    <cellStyle name="Porcentual 3 3 2 3 5 2" xfId="15459" xr:uid="{00000000-0005-0000-0000-0000F6880000}"/>
    <cellStyle name="Porcentual 3 3 2 3 5 2 2" xfId="33641" xr:uid="{00000000-0005-0000-0000-0000F7880000}"/>
    <cellStyle name="Porcentual 3 3 2 3 5 3" xfId="24551" xr:uid="{00000000-0005-0000-0000-0000F8880000}"/>
    <cellStyle name="Porcentual 3 3 2 3 6" xfId="10925" xr:uid="{00000000-0005-0000-0000-0000F9880000}"/>
    <cellStyle name="Porcentual 3 3 2 3 6 2" xfId="29107" xr:uid="{00000000-0005-0000-0000-0000FA880000}"/>
    <cellStyle name="Porcentual 3 3 2 3 7" xfId="20016" xr:uid="{00000000-0005-0000-0000-0000FB880000}"/>
    <cellStyle name="Porcentual 3 3 2 4" xfId="1726" xr:uid="{00000000-0005-0000-0000-0000FC880000}"/>
    <cellStyle name="Porcentual 3 3 2 4 2" xfId="3081" xr:uid="{00000000-0005-0000-0000-0000FD880000}"/>
    <cellStyle name="Porcentual 3 3 2 4 2 2" xfId="7653" xr:uid="{00000000-0005-0000-0000-0000FE880000}"/>
    <cellStyle name="Porcentual 3 3 2 4 2 2 2" xfId="16753" xr:uid="{00000000-0005-0000-0000-0000FF880000}"/>
    <cellStyle name="Porcentual 3 3 2 4 2 2 2 2" xfId="34935" xr:uid="{00000000-0005-0000-0000-000000890000}"/>
    <cellStyle name="Porcentual 3 3 2 4 2 2 3" xfId="25845" xr:uid="{00000000-0005-0000-0000-000001890000}"/>
    <cellStyle name="Porcentual 3 3 2 4 2 3" xfId="12215" xr:uid="{00000000-0005-0000-0000-000002890000}"/>
    <cellStyle name="Porcentual 3 3 2 4 2 3 2" xfId="30397" xr:uid="{00000000-0005-0000-0000-000003890000}"/>
    <cellStyle name="Porcentual 3 3 2 4 2 4" xfId="21307" xr:uid="{00000000-0005-0000-0000-000004890000}"/>
    <cellStyle name="Porcentual 3 3 2 4 3" xfId="4723" xr:uid="{00000000-0005-0000-0000-000005890000}"/>
    <cellStyle name="Porcentual 3 3 2 4 3 2" xfId="9279" xr:uid="{00000000-0005-0000-0000-000006890000}"/>
    <cellStyle name="Porcentual 3 3 2 4 3 2 2" xfId="18375" xr:uid="{00000000-0005-0000-0000-000007890000}"/>
    <cellStyle name="Porcentual 3 3 2 4 3 2 2 2" xfId="36557" xr:uid="{00000000-0005-0000-0000-000008890000}"/>
    <cellStyle name="Porcentual 3 3 2 4 3 2 3" xfId="27467" xr:uid="{00000000-0005-0000-0000-000009890000}"/>
    <cellStyle name="Porcentual 3 3 2 4 3 3" xfId="13834" xr:uid="{00000000-0005-0000-0000-00000A890000}"/>
    <cellStyle name="Porcentual 3 3 2 4 3 3 2" xfId="32016" xr:uid="{00000000-0005-0000-0000-00000B890000}"/>
    <cellStyle name="Porcentual 3 3 2 4 3 4" xfId="22926" xr:uid="{00000000-0005-0000-0000-00000C890000}"/>
    <cellStyle name="Porcentual 3 3 2 4 4" xfId="6361" xr:uid="{00000000-0005-0000-0000-00000D890000}"/>
    <cellStyle name="Porcentual 3 3 2 4 4 2" xfId="15461" xr:uid="{00000000-0005-0000-0000-00000E890000}"/>
    <cellStyle name="Porcentual 3 3 2 4 4 2 2" xfId="33643" xr:uid="{00000000-0005-0000-0000-00000F890000}"/>
    <cellStyle name="Porcentual 3 3 2 4 4 3" xfId="24553" xr:uid="{00000000-0005-0000-0000-000010890000}"/>
    <cellStyle name="Porcentual 3 3 2 4 5" xfId="10927" xr:uid="{00000000-0005-0000-0000-000011890000}"/>
    <cellStyle name="Porcentual 3 3 2 4 5 2" xfId="29109" xr:uid="{00000000-0005-0000-0000-000012890000}"/>
    <cellStyle name="Porcentual 3 3 2 4 6" xfId="20018" xr:uid="{00000000-0005-0000-0000-000013890000}"/>
    <cellStyle name="Porcentual 3 3 2 5" xfId="1727" xr:uid="{00000000-0005-0000-0000-000014890000}"/>
    <cellStyle name="Porcentual 3 3 2 5 2" xfId="4724" xr:uid="{00000000-0005-0000-0000-000015890000}"/>
    <cellStyle name="Porcentual 3 3 2 5 2 2" xfId="9280" xr:uid="{00000000-0005-0000-0000-000016890000}"/>
    <cellStyle name="Porcentual 3 3 2 5 2 2 2" xfId="18376" xr:uid="{00000000-0005-0000-0000-000017890000}"/>
    <cellStyle name="Porcentual 3 3 2 5 2 2 2 2" xfId="36558" xr:uid="{00000000-0005-0000-0000-000018890000}"/>
    <cellStyle name="Porcentual 3 3 2 5 2 2 3" xfId="27468" xr:uid="{00000000-0005-0000-0000-000019890000}"/>
    <cellStyle name="Porcentual 3 3 2 5 2 3" xfId="13835" xr:uid="{00000000-0005-0000-0000-00001A890000}"/>
    <cellStyle name="Porcentual 3 3 2 5 2 3 2" xfId="32017" xr:uid="{00000000-0005-0000-0000-00001B890000}"/>
    <cellStyle name="Porcentual 3 3 2 5 2 4" xfId="22927" xr:uid="{00000000-0005-0000-0000-00001C890000}"/>
    <cellStyle name="Porcentual 3 3 2 5 3" xfId="6362" xr:uid="{00000000-0005-0000-0000-00001D890000}"/>
    <cellStyle name="Porcentual 3 3 2 5 3 2" xfId="15462" xr:uid="{00000000-0005-0000-0000-00001E890000}"/>
    <cellStyle name="Porcentual 3 3 2 5 3 2 2" xfId="33644" xr:uid="{00000000-0005-0000-0000-00001F890000}"/>
    <cellStyle name="Porcentual 3 3 2 5 3 3" xfId="24554" xr:uid="{00000000-0005-0000-0000-000020890000}"/>
    <cellStyle name="Porcentual 3 3 2 5 4" xfId="10928" xr:uid="{00000000-0005-0000-0000-000021890000}"/>
    <cellStyle name="Porcentual 3 3 2 5 4 2" xfId="29110" xr:uid="{00000000-0005-0000-0000-000022890000}"/>
    <cellStyle name="Porcentual 3 3 2 5 5" xfId="20019" xr:uid="{00000000-0005-0000-0000-000023890000}"/>
    <cellStyle name="Porcentual 3 3 2 6" xfId="3082" xr:uid="{00000000-0005-0000-0000-000024890000}"/>
    <cellStyle name="Porcentual 3 3 2 6 2" xfId="7654" xr:uid="{00000000-0005-0000-0000-000025890000}"/>
    <cellStyle name="Porcentual 3 3 2 6 2 2" xfId="16754" xr:uid="{00000000-0005-0000-0000-000026890000}"/>
    <cellStyle name="Porcentual 3 3 2 6 2 2 2" xfId="34936" xr:uid="{00000000-0005-0000-0000-000027890000}"/>
    <cellStyle name="Porcentual 3 3 2 6 2 3" xfId="25846" xr:uid="{00000000-0005-0000-0000-000028890000}"/>
    <cellStyle name="Porcentual 3 3 2 6 3" xfId="12216" xr:uid="{00000000-0005-0000-0000-000029890000}"/>
    <cellStyle name="Porcentual 3 3 2 6 3 2" xfId="30398" xr:uid="{00000000-0005-0000-0000-00002A890000}"/>
    <cellStyle name="Porcentual 3 3 2 6 4" xfId="21308" xr:uid="{00000000-0005-0000-0000-00002B890000}"/>
    <cellStyle name="Porcentual 3 3 2 7" xfId="4715" xr:uid="{00000000-0005-0000-0000-00002C890000}"/>
    <cellStyle name="Porcentual 3 3 2 7 2" xfId="9271" xr:uid="{00000000-0005-0000-0000-00002D890000}"/>
    <cellStyle name="Porcentual 3 3 2 7 2 2" xfId="18367" xr:uid="{00000000-0005-0000-0000-00002E890000}"/>
    <cellStyle name="Porcentual 3 3 2 7 2 2 2" xfId="36549" xr:uid="{00000000-0005-0000-0000-00002F890000}"/>
    <cellStyle name="Porcentual 3 3 2 7 2 3" xfId="27459" xr:uid="{00000000-0005-0000-0000-000030890000}"/>
    <cellStyle name="Porcentual 3 3 2 7 3" xfId="13826" xr:uid="{00000000-0005-0000-0000-000031890000}"/>
    <cellStyle name="Porcentual 3 3 2 7 3 2" xfId="32008" xr:uid="{00000000-0005-0000-0000-000032890000}"/>
    <cellStyle name="Porcentual 3 3 2 7 4" xfId="22918" xr:uid="{00000000-0005-0000-0000-000033890000}"/>
    <cellStyle name="Porcentual 3 3 2 8" xfId="6353" xr:uid="{00000000-0005-0000-0000-000034890000}"/>
    <cellStyle name="Porcentual 3 3 2 8 2" xfId="15453" xr:uid="{00000000-0005-0000-0000-000035890000}"/>
    <cellStyle name="Porcentual 3 3 2 8 2 2" xfId="33635" xr:uid="{00000000-0005-0000-0000-000036890000}"/>
    <cellStyle name="Porcentual 3 3 2 8 3" xfId="24545" xr:uid="{00000000-0005-0000-0000-000037890000}"/>
    <cellStyle name="Porcentual 3 3 2 9" xfId="10919" xr:uid="{00000000-0005-0000-0000-000038890000}"/>
    <cellStyle name="Porcentual 3 3 2 9 2" xfId="29101" xr:uid="{00000000-0005-0000-0000-000039890000}"/>
    <cellStyle name="Porcentual 3 3 3" xfId="1728" xr:uid="{00000000-0005-0000-0000-00003A890000}"/>
    <cellStyle name="Porcentual 3 3 3 2" xfId="1729" xr:uid="{00000000-0005-0000-0000-00003B890000}"/>
    <cellStyle name="Porcentual 3 3 3 2 2" xfId="1730" xr:uid="{00000000-0005-0000-0000-00003C890000}"/>
    <cellStyle name="Porcentual 3 3 3 2 2 2" xfId="3083" xr:uid="{00000000-0005-0000-0000-00003D890000}"/>
    <cellStyle name="Porcentual 3 3 3 2 2 2 2" xfId="7655" xr:uid="{00000000-0005-0000-0000-00003E890000}"/>
    <cellStyle name="Porcentual 3 3 3 2 2 2 2 2" xfId="16755" xr:uid="{00000000-0005-0000-0000-00003F890000}"/>
    <cellStyle name="Porcentual 3 3 3 2 2 2 2 2 2" xfId="34937" xr:uid="{00000000-0005-0000-0000-000040890000}"/>
    <cellStyle name="Porcentual 3 3 3 2 2 2 2 3" xfId="25847" xr:uid="{00000000-0005-0000-0000-000041890000}"/>
    <cellStyle name="Porcentual 3 3 3 2 2 2 3" xfId="12217" xr:uid="{00000000-0005-0000-0000-000042890000}"/>
    <cellStyle name="Porcentual 3 3 3 2 2 2 3 2" xfId="30399" xr:uid="{00000000-0005-0000-0000-000043890000}"/>
    <cellStyle name="Porcentual 3 3 3 2 2 2 4" xfId="21309" xr:uid="{00000000-0005-0000-0000-000044890000}"/>
    <cellStyle name="Porcentual 3 3 3 2 2 3" xfId="4727" xr:uid="{00000000-0005-0000-0000-000045890000}"/>
    <cellStyle name="Porcentual 3 3 3 2 2 3 2" xfId="9283" xr:uid="{00000000-0005-0000-0000-000046890000}"/>
    <cellStyle name="Porcentual 3 3 3 2 2 3 2 2" xfId="18379" xr:uid="{00000000-0005-0000-0000-000047890000}"/>
    <cellStyle name="Porcentual 3 3 3 2 2 3 2 2 2" xfId="36561" xr:uid="{00000000-0005-0000-0000-000048890000}"/>
    <cellStyle name="Porcentual 3 3 3 2 2 3 2 3" xfId="27471" xr:uid="{00000000-0005-0000-0000-000049890000}"/>
    <cellStyle name="Porcentual 3 3 3 2 2 3 3" xfId="13838" xr:uid="{00000000-0005-0000-0000-00004A890000}"/>
    <cellStyle name="Porcentual 3 3 3 2 2 3 3 2" xfId="32020" xr:uid="{00000000-0005-0000-0000-00004B890000}"/>
    <cellStyle name="Porcentual 3 3 3 2 2 3 4" xfId="22930" xr:uid="{00000000-0005-0000-0000-00004C890000}"/>
    <cellStyle name="Porcentual 3 3 3 2 2 4" xfId="6365" xr:uid="{00000000-0005-0000-0000-00004D890000}"/>
    <cellStyle name="Porcentual 3 3 3 2 2 4 2" xfId="15465" xr:uid="{00000000-0005-0000-0000-00004E890000}"/>
    <cellStyle name="Porcentual 3 3 3 2 2 4 2 2" xfId="33647" xr:uid="{00000000-0005-0000-0000-00004F890000}"/>
    <cellStyle name="Porcentual 3 3 3 2 2 4 3" xfId="24557" xr:uid="{00000000-0005-0000-0000-000050890000}"/>
    <cellStyle name="Porcentual 3 3 3 2 2 5" xfId="10931" xr:uid="{00000000-0005-0000-0000-000051890000}"/>
    <cellStyle name="Porcentual 3 3 3 2 2 5 2" xfId="29113" xr:uid="{00000000-0005-0000-0000-000052890000}"/>
    <cellStyle name="Porcentual 3 3 3 2 2 6" xfId="20022" xr:uid="{00000000-0005-0000-0000-000053890000}"/>
    <cellStyle name="Porcentual 3 3 3 2 3" xfId="3084" xr:uid="{00000000-0005-0000-0000-000054890000}"/>
    <cellStyle name="Porcentual 3 3 3 2 3 2" xfId="7656" xr:uid="{00000000-0005-0000-0000-000055890000}"/>
    <cellStyle name="Porcentual 3 3 3 2 3 2 2" xfId="16756" xr:uid="{00000000-0005-0000-0000-000056890000}"/>
    <cellStyle name="Porcentual 3 3 3 2 3 2 2 2" xfId="34938" xr:uid="{00000000-0005-0000-0000-000057890000}"/>
    <cellStyle name="Porcentual 3 3 3 2 3 2 3" xfId="25848" xr:uid="{00000000-0005-0000-0000-000058890000}"/>
    <cellStyle name="Porcentual 3 3 3 2 3 3" xfId="12218" xr:uid="{00000000-0005-0000-0000-000059890000}"/>
    <cellStyle name="Porcentual 3 3 3 2 3 3 2" xfId="30400" xr:uid="{00000000-0005-0000-0000-00005A890000}"/>
    <cellStyle name="Porcentual 3 3 3 2 3 4" xfId="21310" xr:uid="{00000000-0005-0000-0000-00005B890000}"/>
    <cellStyle name="Porcentual 3 3 3 2 4" xfId="4726" xr:uid="{00000000-0005-0000-0000-00005C890000}"/>
    <cellStyle name="Porcentual 3 3 3 2 4 2" xfId="9282" xr:uid="{00000000-0005-0000-0000-00005D890000}"/>
    <cellStyle name="Porcentual 3 3 3 2 4 2 2" xfId="18378" xr:uid="{00000000-0005-0000-0000-00005E890000}"/>
    <cellStyle name="Porcentual 3 3 3 2 4 2 2 2" xfId="36560" xr:uid="{00000000-0005-0000-0000-00005F890000}"/>
    <cellStyle name="Porcentual 3 3 3 2 4 2 3" xfId="27470" xr:uid="{00000000-0005-0000-0000-000060890000}"/>
    <cellStyle name="Porcentual 3 3 3 2 4 3" xfId="13837" xr:uid="{00000000-0005-0000-0000-000061890000}"/>
    <cellStyle name="Porcentual 3 3 3 2 4 3 2" xfId="32019" xr:uid="{00000000-0005-0000-0000-000062890000}"/>
    <cellStyle name="Porcentual 3 3 3 2 4 4" xfId="22929" xr:uid="{00000000-0005-0000-0000-000063890000}"/>
    <cellStyle name="Porcentual 3 3 3 2 5" xfId="6364" xr:uid="{00000000-0005-0000-0000-000064890000}"/>
    <cellStyle name="Porcentual 3 3 3 2 5 2" xfId="15464" xr:uid="{00000000-0005-0000-0000-000065890000}"/>
    <cellStyle name="Porcentual 3 3 3 2 5 2 2" xfId="33646" xr:uid="{00000000-0005-0000-0000-000066890000}"/>
    <cellStyle name="Porcentual 3 3 3 2 5 3" xfId="24556" xr:uid="{00000000-0005-0000-0000-000067890000}"/>
    <cellStyle name="Porcentual 3 3 3 2 6" xfId="10930" xr:uid="{00000000-0005-0000-0000-000068890000}"/>
    <cellStyle name="Porcentual 3 3 3 2 6 2" xfId="29112" xr:uid="{00000000-0005-0000-0000-000069890000}"/>
    <cellStyle name="Porcentual 3 3 3 2 7" xfId="20021" xr:uid="{00000000-0005-0000-0000-00006A890000}"/>
    <cellStyle name="Porcentual 3 3 3 3" xfId="1731" xr:uid="{00000000-0005-0000-0000-00006B890000}"/>
    <cellStyle name="Porcentual 3 3 3 3 2" xfId="3085" xr:uid="{00000000-0005-0000-0000-00006C890000}"/>
    <cellStyle name="Porcentual 3 3 3 3 2 2" xfId="7657" xr:uid="{00000000-0005-0000-0000-00006D890000}"/>
    <cellStyle name="Porcentual 3 3 3 3 2 2 2" xfId="16757" xr:uid="{00000000-0005-0000-0000-00006E890000}"/>
    <cellStyle name="Porcentual 3 3 3 3 2 2 2 2" xfId="34939" xr:uid="{00000000-0005-0000-0000-00006F890000}"/>
    <cellStyle name="Porcentual 3 3 3 3 2 2 3" xfId="25849" xr:uid="{00000000-0005-0000-0000-000070890000}"/>
    <cellStyle name="Porcentual 3 3 3 3 2 3" xfId="12219" xr:uid="{00000000-0005-0000-0000-000071890000}"/>
    <cellStyle name="Porcentual 3 3 3 3 2 3 2" xfId="30401" xr:uid="{00000000-0005-0000-0000-000072890000}"/>
    <cellStyle name="Porcentual 3 3 3 3 2 4" xfId="21311" xr:uid="{00000000-0005-0000-0000-000073890000}"/>
    <cellStyle name="Porcentual 3 3 3 3 3" xfId="4728" xr:uid="{00000000-0005-0000-0000-000074890000}"/>
    <cellStyle name="Porcentual 3 3 3 3 3 2" xfId="9284" xr:uid="{00000000-0005-0000-0000-000075890000}"/>
    <cellStyle name="Porcentual 3 3 3 3 3 2 2" xfId="18380" xr:uid="{00000000-0005-0000-0000-000076890000}"/>
    <cellStyle name="Porcentual 3 3 3 3 3 2 2 2" xfId="36562" xr:uid="{00000000-0005-0000-0000-000077890000}"/>
    <cellStyle name="Porcentual 3 3 3 3 3 2 3" xfId="27472" xr:uid="{00000000-0005-0000-0000-000078890000}"/>
    <cellStyle name="Porcentual 3 3 3 3 3 3" xfId="13839" xr:uid="{00000000-0005-0000-0000-000079890000}"/>
    <cellStyle name="Porcentual 3 3 3 3 3 3 2" xfId="32021" xr:uid="{00000000-0005-0000-0000-00007A890000}"/>
    <cellStyle name="Porcentual 3 3 3 3 3 4" xfId="22931" xr:uid="{00000000-0005-0000-0000-00007B890000}"/>
    <cellStyle name="Porcentual 3 3 3 3 4" xfId="6366" xr:uid="{00000000-0005-0000-0000-00007C890000}"/>
    <cellStyle name="Porcentual 3 3 3 3 4 2" xfId="15466" xr:uid="{00000000-0005-0000-0000-00007D890000}"/>
    <cellStyle name="Porcentual 3 3 3 3 4 2 2" xfId="33648" xr:uid="{00000000-0005-0000-0000-00007E890000}"/>
    <cellStyle name="Porcentual 3 3 3 3 4 3" xfId="24558" xr:uid="{00000000-0005-0000-0000-00007F890000}"/>
    <cellStyle name="Porcentual 3 3 3 3 5" xfId="10932" xr:uid="{00000000-0005-0000-0000-000080890000}"/>
    <cellStyle name="Porcentual 3 3 3 3 5 2" xfId="29114" xr:uid="{00000000-0005-0000-0000-000081890000}"/>
    <cellStyle name="Porcentual 3 3 3 3 6" xfId="20023" xr:uid="{00000000-0005-0000-0000-000082890000}"/>
    <cellStyle name="Porcentual 3 3 3 4" xfId="1732" xr:uid="{00000000-0005-0000-0000-000083890000}"/>
    <cellStyle name="Porcentual 3 3 3 4 2" xfId="4729" xr:uid="{00000000-0005-0000-0000-000084890000}"/>
    <cellStyle name="Porcentual 3 3 3 4 2 2" xfId="9285" xr:uid="{00000000-0005-0000-0000-000085890000}"/>
    <cellStyle name="Porcentual 3 3 3 4 2 2 2" xfId="18381" xr:uid="{00000000-0005-0000-0000-000086890000}"/>
    <cellStyle name="Porcentual 3 3 3 4 2 2 2 2" xfId="36563" xr:uid="{00000000-0005-0000-0000-000087890000}"/>
    <cellStyle name="Porcentual 3 3 3 4 2 2 3" xfId="27473" xr:uid="{00000000-0005-0000-0000-000088890000}"/>
    <cellStyle name="Porcentual 3 3 3 4 2 3" xfId="13840" xr:uid="{00000000-0005-0000-0000-000089890000}"/>
    <cellStyle name="Porcentual 3 3 3 4 2 3 2" xfId="32022" xr:uid="{00000000-0005-0000-0000-00008A890000}"/>
    <cellStyle name="Porcentual 3 3 3 4 2 4" xfId="22932" xr:uid="{00000000-0005-0000-0000-00008B890000}"/>
    <cellStyle name="Porcentual 3 3 3 4 3" xfId="6367" xr:uid="{00000000-0005-0000-0000-00008C890000}"/>
    <cellStyle name="Porcentual 3 3 3 4 3 2" xfId="15467" xr:uid="{00000000-0005-0000-0000-00008D890000}"/>
    <cellStyle name="Porcentual 3 3 3 4 3 2 2" xfId="33649" xr:uid="{00000000-0005-0000-0000-00008E890000}"/>
    <cellStyle name="Porcentual 3 3 3 4 3 3" xfId="24559" xr:uid="{00000000-0005-0000-0000-00008F890000}"/>
    <cellStyle name="Porcentual 3 3 3 4 4" xfId="10933" xr:uid="{00000000-0005-0000-0000-000090890000}"/>
    <cellStyle name="Porcentual 3 3 3 4 4 2" xfId="29115" xr:uid="{00000000-0005-0000-0000-000091890000}"/>
    <cellStyle name="Porcentual 3 3 3 4 5" xfId="20024" xr:uid="{00000000-0005-0000-0000-000092890000}"/>
    <cellStyle name="Porcentual 3 3 3 5" xfId="3086" xr:uid="{00000000-0005-0000-0000-000093890000}"/>
    <cellStyle name="Porcentual 3 3 3 6" xfId="4725" xr:uid="{00000000-0005-0000-0000-000094890000}"/>
    <cellStyle name="Porcentual 3 3 3 6 2" xfId="9281" xr:uid="{00000000-0005-0000-0000-000095890000}"/>
    <cellStyle name="Porcentual 3 3 3 6 2 2" xfId="18377" xr:uid="{00000000-0005-0000-0000-000096890000}"/>
    <cellStyle name="Porcentual 3 3 3 6 2 2 2" xfId="36559" xr:uid="{00000000-0005-0000-0000-000097890000}"/>
    <cellStyle name="Porcentual 3 3 3 6 2 3" xfId="27469" xr:uid="{00000000-0005-0000-0000-000098890000}"/>
    <cellStyle name="Porcentual 3 3 3 6 3" xfId="13836" xr:uid="{00000000-0005-0000-0000-000099890000}"/>
    <cellStyle name="Porcentual 3 3 3 6 3 2" xfId="32018" xr:uid="{00000000-0005-0000-0000-00009A890000}"/>
    <cellStyle name="Porcentual 3 3 3 6 4" xfId="22928" xr:uid="{00000000-0005-0000-0000-00009B890000}"/>
    <cellStyle name="Porcentual 3 3 3 7" xfId="6363" xr:uid="{00000000-0005-0000-0000-00009C890000}"/>
    <cellStyle name="Porcentual 3 3 3 7 2" xfId="15463" xr:uid="{00000000-0005-0000-0000-00009D890000}"/>
    <cellStyle name="Porcentual 3 3 3 7 2 2" xfId="33645" xr:uid="{00000000-0005-0000-0000-00009E890000}"/>
    <cellStyle name="Porcentual 3 3 3 7 3" xfId="24555" xr:uid="{00000000-0005-0000-0000-00009F890000}"/>
    <cellStyle name="Porcentual 3 3 3 8" xfId="10929" xr:uid="{00000000-0005-0000-0000-0000A0890000}"/>
    <cellStyle name="Porcentual 3 3 3 8 2" xfId="29111" xr:uid="{00000000-0005-0000-0000-0000A1890000}"/>
    <cellStyle name="Porcentual 3 3 3 9" xfId="20020" xr:uid="{00000000-0005-0000-0000-0000A2890000}"/>
    <cellStyle name="Porcentual 3 3 4" xfId="1733" xr:uid="{00000000-0005-0000-0000-0000A3890000}"/>
    <cellStyle name="Porcentual 3 3 4 2" xfId="1734" xr:uid="{00000000-0005-0000-0000-0000A4890000}"/>
    <cellStyle name="Porcentual 3 3 4 2 2" xfId="3087" xr:uid="{00000000-0005-0000-0000-0000A5890000}"/>
    <cellStyle name="Porcentual 3 3 4 2 2 2" xfId="7658" xr:uid="{00000000-0005-0000-0000-0000A6890000}"/>
    <cellStyle name="Porcentual 3 3 4 2 2 2 2" xfId="16758" xr:uid="{00000000-0005-0000-0000-0000A7890000}"/>
    <cellStyle name="Porcentual 3 3 4 2 2 2 2 2" xfId="34940" xr:uid="{00000000-0005-0000-0000-0000A8890000}"/>
    <cellStyle name="Porcentual 3 3 4 2 2 2 3" xfId="25850" xr:uid="{00000000-0005-0000-0000-0000A9890000}"/>
    <cellStyle name="Porcentual 3 3 4 2 2 3" xfId="12220" xr:uid="{00000000-0005-0000-0000-0000AA890000}"/>
    <cellStyle name="Porcentual 3 3 4 2 2 3 2" xfId="30402" xr:uid="{00000000-0005-0000-0000-0000AB890000}"/>
    <cellStyle name="Porcentual 3 3 4 2 2 4" xfId="21312" xr:uid="{00000000-0005-0000-0000-0000AC890000}"/>
    <cellStyle name="Porcentual 3 3 4 2 3" xfId="4731" xr:uid="{00000000-0005-0000-0000-0000AD890000}"/>
    <cellStyle name="Porcentual 3 3 4 2 3 2" xfId="9287" xr:uid="{00000000-0005-0000-0000-0000AE890000}"/>
    <cellStyle name="Porcentual 3 3 4 2 3 2 2" xfId="18383" xr:uid="{00000000-0005-0000-0000-0000AF890000}"/>
    <cellStyle name="Porcentual 3 3 4 2 3 2 2 2" xfId="36565" xr:uid="{00000000-0005-0000-0000-0000B0890000}"/>
    <cellStyle name="Porcentual 3 3 4 2 3 2 3" xfId="27475" xr:uid="{00000000-0005-0000-0000-0000B1890000}"/>
    <cellStyle name="Porcentual 3 3 4 2 3 3" xfId="13842" xr:uid="{00000000-0005-0000-0000-0000B2890000}"/>
    <cellStyle name="Porcentual 3 3 4 2 3 3 2" xfId="32024" xr:uid="{00000000-0005-0000-0000-0000B3890000}"/>
    <cellStyle name="Porcentual 3 3 4 2 3 4" xfId="22934" xr:uid="{00000000-0005-0000-0000-0000B4890000}"/>
    <cellStyle name="Porcentual 3 3 4 2 4" xfId="6369" xr:uid="{00000000-0005-0000-0000-0000B5890000}"/>
    <cellStyle name="Porcentual 3 3 4 2 4 2" xfId="15469" xr:uid="{00000000-0005-0000-0000-0000B6890000}"/>
    <cellStyle name="Porcentual 3 3 4 2 4 2 2" xfId="33651" xr:uid="{00000000-0005-0000-0000-0000B7890000}"/>
    <cellStyle name="Porcentual 3 3 4 2 4 3" xfId="24561" xr:uid="{00000000-0005-0000-0000-0000B8890000}"/>
    <cellStyle name="Porcentual 3 3 4 2 5" xfId="10935" xr:uid="{00000000-0005-0000-0000-0000B9890000}"/>
    <cellStyle name="Porcentual 3 3 4 2 5 2" xfId="29117" xr:uid="{00000000-0005-0000-0000-0000BA890000}"/>
    <cellStyle name="Porcentual 3 3 4 2 6" xfId="20026" xr:uid="{00000000-0005-0000-0000-0000BB890000}"/>
    <cellStyle name="Porcentual 3 3 4 3" xfId="3088" xr:uid="{00000000-0005-0000-0000-0000BC890000}"/>
    <cellStyle name="Porcentual 3 3 4 3 2" xfId="7659" xr:uid="{00000000-0005-0000-0000-0000BD890000}"/>
    <cellStyle name="Porcentual 3 3 4 3 2 2" xfId="16759" xr:uid="{00000000-0005-0000-0000-0000BE890000}"/>
    <cellStyle name="Porcentual 3 3 4 3 2 2 2" xfId="34941" xr:uid="{00000000-0005-0000-0000-0000BF890000}"/>
    <cellStyle name="Porcentual 3 3 4 3 2 3" xfId="25851" xr:uid="{00000000-0005-0000-0000-0000C0890000}"/>
    <cellStyle name="Porcentual 3 3 4 3 3" xfId="12221" xr:uid="{00000000-0005-0000-0000-0000C1890000}"/>
    <cellStyle name="Porcentual 3 3 4 3 3 2" xfId="30403" xr:uid="{00000000-0005-0000-0000-0000C2890000}"/>
    <cellStyle name="Porcentual 3 3 4 3 4" xfId="21313" xr:uid="{00000000-0005-0000-0000-0000C3890000}"/>
    <cellStyle name="Porcentual 3 3 4 4" xfId="4730" xr:uid="{00000000-0005-0000-0000-0000C4890000}"/>
    <cellStyle name="Porcentual 3 3 4 4 2" xfId="9286" xr:uid="{00000000-0005-0000-0000-0000C5890000}"/>
    <cellStyle name="Porcentual 3 3 4 4 2 2" xfId="18382" xr:uid="{00000000-0005-0000-0000-0000C6890000}"/>
    <cellStyle name="Porcentual 3 3 4 4 2 2 2" xfId="36564" xr:uid="{00000000-0005-0000-0000-0000C7890000}"/>
    <cellStyle name="Porcentual 3 3 4 4 2 3" xfId="27474" xr:uid="{00000000-0005-0000-0000-0000C8890000}"/>
    <cellStyle name="Porcentual 3 3 4 4 3" xfId="13841" xr:uid="{00000000-0005-0000-0000-0000C9890000}"/>
    <cellStyle name="Porcentual 3 3 4 4 3 2" xfId="32023" xr:uid="{00000000-0005-0000-0000-0000CA890000}"/>
    <cellStyle name="Porcentual 3 3 4 4 4" xfId="22933" xr:uid="{00000000-0005-0000-0000-0000CB890000}"/>
    <cellStyle name="Porcentual 3 3 4 5" xfId="6368" xr:uid="{00000000-0005-0000-0000-0000CC890000}"/>
    <cellStyle name="Porcentual 3 3 4 5 2" xfId="15468" xr:uid="{00000000-0005-0000-0000-0000CD890000}"/>
    <cellStyle name="Porcentual 3 3 4 5 2 2" xfId="33650" xr:uid="{00000000-0005-0000-0000-0000CE890000}"/>
    <cellStyle name="Porcentual 3 3 4 5 3" xfId="24560" xr:uid="{00000000-0005-0000-0000-0000CF890000}"/>
    <cellStyle name="Porcentual 3 3 4 6" xfId="10934" xr:uid="{00000000-0005-0000-0000-0000D0890000}"/>
    <cellStyle name="Porcentual 3 3 4 6 2" xfId="29116" xr:uid="{00000000-0005-0000-0000-0000D1890000}"/>
    <cellStyle name="Porcentual 3 3 4 7" xfId="20025" xr:uid="{00000000-0005-0000-0000-0000D2890000}"/>
    <cellStyle name="Porcentual 3 3 5" xfId="1735" xr:uid="{00000000-0005-0000-0000-0000D3890000}"/>
    <cellStyle name="Porcentual 3 3 5 2" xfId="3089" xr:uid="{00000000-0005-0000-0000-0000D4890000}"/>
    <cellStyle name="Porcentual 3 3 5 2 2" xfId="7660" xr:uid="{00000000-0005-0000-0000-0000D5890000}"/>
    <cellStyle name="Porcentual 3 3 5 2 2 2" xfId="16760" xr:uid="{00000000-0005-0000-0000-0000D6890000}"/>
    <cellStyle name="Porcentual 3 3 5 2 2 2 2" xfId="34942" xr:uid="{00000000-0005-0000-0000-0000D7890000}"/>
    <cellStyle name="Porcentual 3 3 5 2 2 3" xfId="25852" xr:uid="{00000000-0005-0000-0000-0000D8890000}"/>
    <cellStyle name="Porcentual 3 3 5 2 3" xfId="12222" xr:uid="{00000000-0005-0000-0000-0000D9890000}"/>
    <cellStyle name="Porcentual 3 3 5 2 3 2" xfId="30404" xr:uid="{00000000-0005-0000-0000-0000DA890000}"/>
    <cellStyle name="Porcentual 3 3 5 2 4" xfId="21314" xr:uid="{00000000-0005-0000-0000-0000DB890000}"/>
    <cellStyle name="Porcentual 3 3 5 3" xfId="4732" xr:uid="{00000000-0005-0000-0000-0000DC890000}"/>
    <cellStyle name="Porcentual 3 3 5 3 2" xfId="9288" xr:uid="{00000000-0005-0000-0000-0000DD890000}"/>
    <cellStyle name="Porcentual 3 3 5 3 2 2" xfId="18384" xr:uid="{00000000-0005-0000-0000-0000DE890000}"/>
    <cellStyle name="Porcentual 3 3 5 3 2 2 2" xfId="36566" xr:uid="{00000000-0005-0000-0000-0000DF890000}"/>
    <cellStyle name="Porcentual 3 3 5 3 2 3" xfId="27476" xr:uid="{00000000-0005-0000-0000-0000E0890000}"/>
    <cellStyle name="Porcentual 3 3 5 3 3" xfId="13843" xr:uid="{00000000-0005-0000-0000-0000E1890000}"/>
    <cellStyle name="Porcentual 3 3 5 3 3 2" xfId="32025" xr:uid="{00000000-0005-0000-0000-0000E2890000}"/>
    <cellStyle name="Porcentual 3 3 5 3 4" xfId="22935" xr:uid="{00000000-0005-0000-0000-0000E3890000}"/>
    <cellStyle name="Porcentual 3 3 5 4" xfId="6370" xr:uid="{00000000-0005-0000-0000-0000E4890000}"/>
    <cellStyle name="Porcentual 3 3 5 4 2" xfId="15470" xr:uid="{00000000-0005-0000-0000-0000E5890000}"/>
    <cellStyle name="Porcentual 3 3 5 4 2 2" xfId="33652" xr:uid="{00000000-0005-0000-0000-0000E6890000}"/>
    <cellStyle name="Porcentual 3 3 5 4 3" xfId="24562" xr:uid="{00000000-0005-0000-0000-0000E7890000}"/>
    <cellStyle name="Porcentual 3 3 5 5" xfId="10936" xr:uid="{00000000-0005-0000-0000-0000E8890000}"/>
    <cellStyle name="Porcentual 3 3 5 5 2" xfId="29118" xr:uid="{00000000-0005-0000-0000-0000E9890000}"/>
    <cellStyle name="Porcentual 3 3 5 6" xfId="20027" xr:uid="{00000000-0005-0000-0000-0000EA890000}"/>
    <cellStyle name="Porcentual 3 3 6" xfId="1736" xr:uid="{00000000-0005-0000-0000-0000EB890000}"/>
    <cellStyle name="Porcentual 3 3 6 2" xfId="4733" xr:uid="{00000000-0005-0000-0000-0000EC890000}"/>
    <cellStyle name="Porcentual 3 3 6 2 2" xfId="9289" xr:uid="{00000000-0005-0000-0000-0000ED890000}"/>
    <cellStyle name="Porcentual 3 3 6 2 2 2" xfId="18385" xr:uid="{00000000-0005-0000-0000-0000EE890000}"/>
    <cellStyle name="Porcentual 3 3 6 2 2 2 2" xfId="36567" xr:uid="{00000000-0005-0000-0000-0000EF890000}"/>
    <cellStyle name="Porcentual 3 3 6 2 2 3" xfId="27477" xr:uid="{00000000-0005-0000-0000-0000F0890000}"/>
    <cellStyle name="Porcentual 3 3 6 2 3" xfId="13844" xr:uid="{00000000-0005-0000-0000-0000F1890000}"/>
    <cellStyle name="Porcentual 3 3 6 2 3 2" xfId="32026" xr:uid="{00000000-0005-0000-0000-0000F2890000}"/>
    <cellStyle name="Porcentual 3 3 6 2 4" xfId="22936" xr:uid="{00000000-0005-0000-0000-0000F3890000}"/>
    <cellStyle name="Porcentual 3 3 6 3" xfId="6371" xr:uid="{00000000-0005-0000-0000-0000F4890000}"/>
    <cellStyle name="Porcentual 3 3 6 3 2" xfId="15471" xr:uid="{00000000-0005-0000-0000-0000F5890000}"/>
    <cellStyle name="Porcentual 3 3 6 3 2 2" xfId="33653" xr:uid="{00000000-0005-0000-0000-0000F6890000}"/>
    <cellStyle name="Porcentual 3 3 6 3 3" xfId="24563" xr:uid="{00000000-0005-0000-0000-0000F7890000}"/>
    <cellStyle name="Porcentual 3 3 6 4" xfId="10937" xr:uid="{00000000-0005-0000-0000-0000F8890000}"/>
    <cellStyle name="Porcentual 3 3 6 4 2" xfId="29119" xr:uid="{00000000-0005-0000-0000-0000F9890000}"/>
    <cellStyle name="Porcentual 3 3 6 5" xfId="20028" xr:uid="{00000000-0005-0000-0000-0000FA890000}"/>
    <cellStyle name="Porcentual 3 3 7" xfId="3090" xr:uid="{00000000-0005-0000-0000-0000FB890000}"/>
    <cellStyle name="Porcentual 3 3 7 2" xfId="7661" xr:uid="{00000000-0005-0000-0000-0000FC890000}"/>
    <cellStyle name="Porcentual 3 3 7 2 2" xfId="16761" xr:uid="{00000000-0005-0000-0000-0000FD890000}"/>
    <cellStyle name="Porcentual 3 3 7 2 2 2" xfId="34943" xr:uid="{00000000-0005-0000-0000-0000FE890000}"/>
    <cellStyle name="Porcentual 3 3 7 2 3" xfId="25853" xr:uid="{00000000-0005-0000-0000-0000FF890000}"/>
    <cellStyle name="Porcentual 3 3 7 3" xfId="12223" xr:uid="{00000000-0005-0000-0000-0000008A0000}"/>
    <cellStyle name="Porcentual 3 3 7 3 2" xfId="30405" xr:uid="{00000000-0005-0000-0000-0000018A0000}"/>
    <cellStyle name="Porcentual 3 3 7 4" xfId="21315" xr:uid="{00000000-0005-0000-0000-0000028A0000}"/>
    <cellStyle name="Porcentual 3 3 8" xfId="3195" xr:uid="{00000000-0005-0000-0000-0000038A0000}"/>
    <cellStyle name="Porcentual 3 3 8 2" xfId="7755" xr:uid="{00000000-0005-0000-0000-0000048A0000}"/>
    <cellStyle name="Porcentual 3 3 8 2 2" xfId="16851" xr:uid="{00000000-0005-0000-0000-0000058A0000}"/>
    <cellStyle name="Porcentual 3 3 8 2 2 2" xfId="35033" xr:uid="{00000000-0005-0000-0000-0000068A0000}"/>
    <cellStyle name="Porcentual 3 3 8 2 3" xfId="25943" xr:uid="{00000000-0005-0000-0000-0000078A0000}"/>
    <cellStyle name="Porcentual 3 3 8 3" xfId="12311" xr:uid="{00000000-0005-0000-0000-0000088A0000}"/>
    <cellStyle name="Porcentual 3 3 8 3 2" xfId="30493" xr:uid="{00000000-0005-0000-0000-0000098A0000}"/>
    <cellStyle name="Porcentual 3 3 8 4" xfId="21403" xr:uid="{00000000-0005-0000-0000-00000A8A0000}"/>
    <cellStyle name="Porcentual 3 3 9" xfId="4845" xr:uid="{00000000-0005-0000-0000-00000B8A0000}"/>
    <cellStyle name="Porcentual 3 3 9 2" xfId="13945" xr:uid="{00000000-0005-0000-0000-00000C8A0000}"/>
    <cellStyle name="Porcentual 3 3 9 2 2" xfId="32127" xr:uid="{00000000-0005-0000-0000-00000D8A0000}"/>
    <cellStyle name="Porcentual 3 3 9 3" xfId="23037" xr:uid="{00000000-0005-0000-0000-00000E8A0000}"/>
    <cellStyle name="Porcentual 3 4" xfId="1737" xr:uid="{00000000-0005-0000-0000-00000F8A0000}"/>
    <cellStyle name="Porcentual 3 4 10" xfId="20029" xr:uid="{00000000-0005-0000-0000-0000108A0000}"/>
    <cellStyle name="Porcentual 3 4 2" xfId="1738" xr:uid="{00000000-0005-0000-0000-0000118A0000}"/>
    <cellStyle name="Porcentual 3 4 2 2" xfId="1739" xr:uid="{00000000-0005-0000-0000-0000128A0000}"/>
    <cellStyle name="Porcentual 3 4 2 2 2" xfId="1740" xr:uid="{00000000-0005-0000-0000-0000138A0000}"/>
    <cellStyle name="Porcentual 3 4 2 2 2 2" xfId="3091" xr:uid="{00000000-0005-0000-0000-0000148A0000}"/>
    <cellStyle name="Porcentual 3 4 2 2 2 2 2" xfId="7662" xr:uid="{00000000-0005-0000-0000-0000158A0000}"/>
    <cellStyle name="Porcentual 3 4 2 2 2 2 2 2" xfId="16762" xr:uid="{00000000-0005-0000-0000-0000168A0000}"/>
    <cellStyle name="Porcentual 3 4 2 2 2 2 2 2 2" xfId="34944" xr:uid="{00000000-0005-0000-0000-0000178A0000}"/>
    <cellStyle name="Porcentual 3 4 2 2 2 2 2 3" xfId="25854" xr:uid="{00000000-0005-0000-0000-0000188A0000}"/>
    <cellStyle name="Porcentual 3 4 2 2 2 2 3" xfId="12224" xr:uid="{00000000-0005-0000-0000-0000198A0000}"/>
    <cellStyle name="Porcentual 3 4 2 2 2 2 3 2" xfId="30406" xr:uid="{00000000-0005-0000-0000-00001A8A0000}"/>
    <cellStyle name="Porcentual 3 4 2 2 2 2 4" xfId="21316" xr:uid="{00000000-0005-0000-0000-00001B8A0000}"/>
    <cellStyle name="Porcentual 3 4 2 2 2 3" xfId="4737" xr:uid="{00000000-0005-0000-0000-00001C8A0000}"/>
    <cellStyle name="Porcentual 3 4 2 2 2 3 2" xfId="9293" xr:uid="{00000000-0005-0000-0000-00001D8A0000}"/>
    <cellStyle name="Porcentual 3 4 2 2 2 3 2 2" xfId="18389" xr:uid="{00000000-0005-0000-0000-00001E8A0000}"/>
    <cellStyle name="Porcentual 3 4 2 2 2 3 2 2 2" xfId="36571" xr:uid="{00000000-0005-0000-0000-00001F8A0000}"/>
    <cellStyle name="Porcentual 3 4 2 2 2 3 2 3" xfId="27481" xr:uid="{00000000-0005-0000-0000-0000208A0000}"/>
    <cellStyle name="Porcentual 3 4 2 2 2 3 3" xfId="13848" xr:uid="{00000000-0005-0000-0000-0000218A0000}"/>
    <cellStyle name="Porcentual 3 4 2 2 2 3 3 2" xfId="32030" xr:uid="{00000000-0005-0000-0000-0000228A0000}"/>
    <cellStyle name="Porcentual 3 4 2 2 2 3 4" xfId="22940" xr:uid="{00000000-0005-0000-0000-0000238A0000}"/>
    <cellStyle name="Porcentual 3 4 2 2 2 4" xfId="6375" xr:uid="{00000000-0005-0000-0000-0000248A0000}"/>
    <cellStyle name="Porcentual 3 4 2 2 2 4 2" xfId="15475" xr:uid="{00000000-0005-0000-0000-0000258A0000}"/>
    <cellStyle name="Porcentual 3 4 2 2 2 4 2 2" xfId="33657" xr:uid="{00000000-0005-0000-0000-0000268A0000}"/>
    <cellStyle name="Porcentual 3 4 2 2 2 4 3" xfId="24567" xr:uid="{00000000-0005-0000-0000-0000278A0000}"/>
    <cellStyle name="Porcentual 3 4 2 2 2 5" xfId="10941" xr:uid="{00000000-0005-0000-0000-0000288A0000}"/>
    <cellStyle name="Porcentual 3 4 2 2 2 5 2" xfId="29123" xr:uid="{00000000-0005-0000-0000-0000298A0000}"/>
    <cellStyle name="Porcentual 3 4 2 2 2 6" xfId="20032" xr:uid="{00000000-0005-0000-0000-00002A8A0000}"/>
    <cellStyle name="Porcentual 3 4 2 2 3" xfId="3092" xr:uid="{00000000-0005-0000-0000-00002B8A0000}"/>
    <cellStyle name="Porcentual 3 4 2 2 3 2" xfId="7663" xr:uid="{00000000-0005-0000-0000-00002C8A0000}"/>
    <cellStyle name="Porcentual 3 4 2 2 3 2 2" xfId="16763" xr:uid="{00000000-0005-0000-0000-00002D8A0000}"/>
    <cellStyle name="Porcentual 3 4 2 2 3 2 2 2" xfId="34945" xr:uid="{00000000-0005-0000-0000-00002E8A0000}"/>
    <cellStyle name="Porcentual 3 4 2 2 3 2 3" xfId="25855" xr:uid="{00000000-0005-0000-0000-00002F8A0000}"/>
    <cellStyle name="Porcentual 3 4 2 2 3 3" xfId="12225" xr:uid="{00000000-0005-0000-0000-0000308A0000}"/>
    <cellStyle name="Porcentual 3 4 2 2 3 3 2" xfId="30407" xr:uid="{00000000-0005-0000-0000-0000318A0000}"/>
    <cellStyle name="Porcentual 3 4 2 2 3 4" xfId="21317" xr:uid="{00000000-0005-0000-0000-0000328A0000}"/>
    <cellStyle name="Porcentual 3 4 2 2 4" xfId="4736" xr:uid="{00000000-0005-0000-0000-0000338A0000}"/>
    <cellStyle name="Porcentual 3 4 2 2 4 2" xfId="9292" xr:uid="{00000000-0005-0000-0000-0000348A0000}"/>
    <cellStyle name="Porcentual 3 4 2 2 4 2 2" xfId="18388" xr:uid="{00000000-0005-0000-0000-0000358A0000}"/>
    <cellStyle name="Porcentual 3 4 2 2 4 2 2 2" xfId="36570" xr:uid="{00000000-0005-0000-0000-0000368A0000}"/>
    <cellStyle name="Porcentual 3 4 2 2 4 2 3" xfId="27480" xr:uid="{00000000-0005-0000-0000-0000378A0000}"/>
    <cellStyle name="Porcentual 3 4 2 2 4 3" xfId="13847" xr:uid="{00000000-0005-0000-0000-0000388A0000}"/>
    <cellStyle name="Porcentual 3 4 2 2 4 3 2" xfId="32029" xr:uid="{00000000-0005-0000-0000-0000398A0000}"/>
    <cellStyle name="Porcentual 3 4 2 2 4 4" xfId="22939" xr:uid="{00000000-0005-0000-0000-00003A8A0000}"/>
    <cellStyle name="Porcentual 3 4 2 2 5" xfId="6374" xr:uid="{00000000-0005-0000-0000-00003B8A0000}"/>
    <cellStyle name="Porcentual 3 4 2 2 5 2" xfId="15474" xr:uid="{00000000-0005-0000-0000-00003C8A0000}"/>
    <cellStyle name="Porcentual 3 4 2 2 5 2 2" xfId="33656" xr:uid="{00000000-0005-0000-0000-00003D8A0000}"/>
    <cellStyle name="Porcentual 3 4 2 2 5 3" xfId="24566" xr:uid="{00000000-0005-0000-0000-00003E8A0000}"/>
    <cellStyle name="Porcentual 3 4 2 2 6" xfId="10940" xr:uid="{00000000-0005-0000-0000-00003F8A0000}"/>
    <cellStyle name="Porcentual 3 4 2 2 6 2" xfId="29122" xr:uid="{00000000-0005-0000-0000-0000408A0000}"/>
    <cellStyle name="Porcentual 3 4 2 2 7" xfId="20031" xr:uid="{00000000-0005-0000-0000-0000418A0000}"/>
    <cellStyle name="Porcentual 3 4 2 3" xfId="1741" xr:uid="{00000000-0005-0000-0000-0000428A0000}"/>
    <cellStyle name="Porcentual 3 4 2 3 2" xfId="3093" xr:uid="{00000000-0005-0000-0000-0000438A0000}"/>
    <cellStyle name="Porcentual 3 4 2 3 2 2" xfId="7664" xr:uid="{00000000-0005-0000-0000-0000448A0000}"/>
    <cellStyle name="Porcentual 3 4 2 3 2 2 2" xfId="16764" xr:uid="{00000000-0005-0000-0000-0000458A0000}"/>
    <cellStyle name="Porcentual 3 4 2 3 2 2 2 2" xfId="34946" xr:uid="{00000000-0005-0000-0000-0000468A0000}"/>
    <cellStyle name="Porcentual 3 4 2 3 2 2 3" xfId="25856" xr:uid="{00000000-0005-0000-0000-0000478A0000}"/>
    <cellStyle name="Porcentual 3 4 2 3 2 3" xfId="12226" xr:uid="{00000000-0005-0000-0000-0000488A0000}"/>
    <cellStyle name="Porcentual 3 4 2 3 2 3 2" xfId="30408" xr:uid="{00000000-0005-0000-0000-0000498A0000}"/>
    <cellStyle name="Porcentual 3 4 2 3 2 4" xfId="21318" xr:uid="{00000000-0005-0000-0000-00004A8A0000}"/>
    <cellStyle name="Porcentual 3 4 2 3 3" xfId="4738" xr:uid="{00000000-0005-0000-0000-00004B8A0000}"/>
    <cellStyle name="Porcentual 3 4 2 3 3 2" xfId="9294" xr:uid="{00000000-0005-0000-0000-00004C8A0000}"/>
    <cellStyle name="Porcentual 3 4 2 3 3 2 2" xfId="18390" xr:uid="{00000000-0005-0000-0000-00004D8A0000}"/>
    <cellStyle name="Porcentual 3 4 2 3 3 2 2 2" xfId="36572" xr:uid="{00000000-0005-0000-0000-00004E8A0000}"/>
    <cellStyle name="Porcentual 3 4 2 3 3 2 3" xfId="27482" xr:uid="{00000000-0005-0000-0000-00004F8A0000}"/>
    <cellStyle name="Porcentual 3 4 2 3 3 3" xfId="13849" xr:uid="{00000000-0005-0000-0000-0000508A0000}"/>
    <cellStyle name="Porcentual 3 4 2 3 3 3 2" xfId="32031" xr:uid="{00000000-0005-0000-0000-0000518A0000}"/>
    <cellStyle name="Porcentual 3 4 2 3 3 4" xfId="22941" xr:uid="{00000000-0005-0000-0000-0000528A0000}"/>
    <cellStyle name="Porcentual 3 4 2 3 4" xfId="6376" xr:uid="{00000000-0005-0000-0000-0000538A0000}"/>
    <cellStyle name="Porcentual 3 4 2 3 4 2" xfId="15476" xr:uid="{00000000-0005-0000-0000-0000548A0000}"/>
    <cellStyle name="Porcentual 3 4 2 3 4 2 2" xfId="33658" xr:uid="{00000000-0005-0000-0000-0000558A0000}"/>
    <cellStyle name="Porcentual 3 4 2 3 4 3" xfId="24568" xr:uid="{00000000-0005-0000-0000-0000568A0000}"/>
    <cellStyle name="Porcentual 3 4 2 3 5" xfId="10942" xr:uid="{00000000-0005-0000-0000-0000578A0000}"/>
    <cellStyle name="Porcentual 3 4 2 3 5 2" xfId="29124" xr:uid="{00000000-0005-0000-0000-0000588A0000}"/>
    <cellStyle name="Porcentual 3 4 2 3 6" xfId="20033" xr:uid="{00000000-0005-0000-0000-0000598A0000}"/>
    <cellStyle name="Porcentual 3 4 2 4" xfId="1742" xr:uid="{00000000-0005-0000-0000-00005A8A0000}"/>
    <cellStyle name="Porcentual 3 4 2 4 2" xfId="4739" xr:uid="{00000000-0005-0000-0000-00005B8A0000}"/>
    <cellStyle name="Porcentual 3 4 2 4 2 2" xfId="9295" xr:uid="{00000000-0005-0000-0000-00005C8A0000}"/>
    <cellStyle name="Porcentual 3 4 2 4 2 2 2" xfId="18391" xr:uid="{00000000-0005-0000-0000-00005D8A0000}"/>
    <cellStyle name="Porcentual 3 4 2 4 2 2 2 2" xfId="36573" xr:uid="{00000000-0005-0000-0000-00005E8A0000}"/>
    <cellStyle name="Porcentual 3 4 2 4 2 2 3" xfId="27483" xr:uid="{00000000-0005-0000-0000-00005F8A0000}"/>
    <cellStyle name="Porcentual 3 4 2 4 2 3" xfId="13850" xr:uid="{00000000-0005-0000-0000-0000608A0000}"/>
    <cellStyle name="Porcentual 3 4 2 4 2 3 2" xfId="32032" xr:uid="{00000000-0005-0000-0000-0000618A0000}"/>
    <cellStyle name="Porcentual 3 4 2 4 2 4" xfId="22942" xr:uid="{00000000-0005-0000-0000-0000628A0000}"/>
    <cellStyle name="Porcentual 3 4 2 4 3" xfId="6377" xr:uid="{00000000-0005-0000-0000-0000638A0000}"/>
    <cellStyle name="Porcentual 3 4 2 4 3 2" xfId="15477" xr:uid="{00000000-0005-0000-0000-0000648A0000}"/>
    <cellStyle name="Porcentual 3 4 2 4 3 2 2" xfId="33659" xr:uid="{00000000-0005-0000-0000-0000658A0000}"/>
    <cellStyle name="Porcentual 3 4 2 4 3 3" xfId="24569" xr:uid="{00000000-0005-0000-0000-0000668A0000}"/>
    <cellStyle name="Porcentual 3 4 2 4 4" xfId="10943" xr:uid="{00000000-0005-0000-0000-0000678A0000}"/>
    <cellStyle name="Porcentual 3 4 2 4 4 2" xfId="29125" xr:uid="{00000000-0005-0000-0000-0000688A0000}"/>
    <cellStyle name="Porcentual 3 4 2 4 5" xfId="20034" xr:uid="{00000000-0005-0000-0000-0000698A0000}"/>
    <cellStyle name="Porcentual 3 4 2 5" xfId="3094" xr:uid="{00000000-0005-0000-0000-00006A8A0000}"/>
    <cellStyle name="Porcentual 3 4 2 6" xfId="4735" xr:uid="{00000000-0005-0000-0000-00006B8A0000}"/>
    <cellStyle name="Porcentual 3 4 2 6 2" xfId="9291" xr:uid="{00000000-0005-0000-0000-00006C8A0000}"/>
    <cellStyle name="Porcentual 3 4 2 6 2 2" xfId="18387" xr:uid="{00000000-0005-0000-0000-00006D8A0000}"/>
    <cellStyle name="Porcentual 3 4 2 6 2 2 2" xfId="36569" xr:uid="{00000000-0005-0000-0000-00006E8A0000}"/>
    <cellStyle name="Porcentual 3 4 2 6 2 3" xfId="27479" xr:uid="{00000000-0005-0000-0000-00006F8A0000}"/>
    <cellStyle name="Porcentual 3 4 2 6 3" xfId="13846" xr:uid="{00000000-0005-0000-0000-0000708A0000}"/>
    <cellStyle name="Porcentual 3 4 2 6 3 2" xfId="32028" xr:uid="{00000000-0005-0000-0000-0000718A0000}"/>
    <cellStyle name="Porcentual 3 4 2 6 4" xfId="22938" xr:uid="{00000000-0005-0000-0000-0000728A0000}"/>
    <cellStyle name="Porcentual 3 4 2 7" xfId="6373" xr:uid="{00000000-0005-0000-0000-0000738A0000}"/>
    <cellStyle name="Porcentual 3 4 2 7 2" xfId="15473" xr:uid="{00000000-0005-0000-0000-0000748A0000}"/>
    <cellStyle name="Porcentual 3 4 2 7 2 2" xfId="33655" xr:uid="{00000000-0005-0000-0000-0000758A0000}"/>
    <cellStyle name="Porcentual 3 4 2 7 3" xfId="24565" xr:uid="{00000000-0005-0000-0000-0000768A0000}"/>
    <cellStyle name="Porcentual 3 4 2 8" xfId="10939" xr:uid="{00000000-0005-0000-0000-0000778A0000}"/>
    <cellStyle name="Porcentual 3 4 2 8 2" xfId="29121" xr:uid="{00000000-0005-0000-0000-0000788A0000}"/>
    <cellStyle name="Porcentual 3 4 2 9" xfId="20030" xr:uid="{00000000-0005-0000-0000-0000798A0000}"/>
    <cellStyle name="Porcentual 3 4 3" xfId="1743" xr:uid="{00000000-0005-0000-0000-00007A8A0000}"/>
    <cellStyle name="Porcentual 3 4 3 2" xfId="1744" xr:uid="{00000000-0005-0000-0000-00007B8A0000}"/>
    <cellStyle name="Porcentual 3 4 3 2 2" xfId="3095" xr:uid="{00000000-0005-0000-0000-00007C8A0000}"/>
    <cellStyle name="Porcentual 3 4 3 2 2 2" xfId="7665" xr:uid="{00000000-0005-0000-0000-00007D8A0000}"/>
    <cellStyle name="Porcentual 3 4 3 2 2 2 2" xfId="16765" xr:uid="{00000000-0005-0000-0000-00007E8A0000}"/>
    <cellStyle name="Porcentual 3 4 3 2 2 2 2 2" xfId="34947" xr:uid="{00000000-0005-0000-0000-00007F8A0000}"/>
    <cellStyle name="Porcentual 3 4 3 2 2 2 3" xfId="25857" xr:uid="{00000000-0005-0000-0000-0000808A0000}"/>
    <cellStyle name="Porcentual 3 4 3 2 2 3" xfId="12227" xr:uid="{00000000-0005-0000-0000-0000818A0000}"/>
    <cellStyle name="Porcentual 3 4 3 2 2 3 2" xfId="30409" xr:uid="{00000000-0005-0000-0000-0000828A0000}"/>
    <cellStyle name="Porcentual 3 4 3 2 2 4" xfId="21319" xr:uid="{00000000-0005-0000-0000-0000838A0000}"/>
    <cellStyle name="Porcentual 3 4 3 2 3" xfId="4741" xr:uid="{00000000-0005-0000-0000-0000848A0000}"/>
    <cellStyle name="Porcentual 3 4 3 2 3 2" xfId="9297" xr:uid="{00000000-0005-0000-0000-0000858A0000}"/>
    <cellStyle name="Porcentual 3 4 3 2 3 2 2" xfId="18393" xr:uid="{00000000-0005-0000-0000-0000868A0000}"/>
    <cellStyle name="Porcentual 3 4 3 2 3 2 2 2" xfId="36575" xr:uid="{00000000-0005-0000-0000-0000878A0000}"/>
    <cellStyle name="Porcentual 3 4 3 2 3 2 3" xfId="27485" xr:uid="{00000000-0005-0000-0000-0000888A0000}"/>
    <cellStyle name="Porcentual 3 4 3 2 3 3" xfId="13852" xr:uid="{00000000-0005-0000-0000-0000898A0000}"/>
    <cellStyle name="Porcentual 3 4 3 2 3 3 2" xfId="32034" xr:uid="{00000000-0005-0000-0000-00008A8A0000}"/>
    <cellStyle name="Porcentual 3 4 3 2 3 4" xfId="22944" xr:uid="{00000000-0005-0000-0000-00008B8A0000}"/>
    <cellStyle name="Porcentual 3 4 3 2 4" xfId="6379" xr:uid="{00000000-0005-0000-0000-00008C8A0000}"/>
    <cellStyle name="Porcentual 3 4 3 2 4 2" xfId="15479" xr:uid="{00000000-0005-0000-0000-00008D8A0000}"/>
    <cellStyle name="Porcentual 3 4 3 2 4 2 2" xfId="33661" xr:uid="{00000000-0005-0000-0000-00008E8A0000}"/>
    <cellStyle name="Porcentual 3 4 3 2 4 3" xfId="24571" xr:uid="{00000000-0005-0000-0000-00008F8A0000}"/>
    <cellStyle name="Porcentual 3 4 3 2 5" xfId="10945" xr:uid="{00000000-0005-0000-0000-0000908A0000}"/>
    <cellStyle name="Porcentual 3 4 3 2 5 2" xfId="29127" xr:uid="{00000000-0005-0000-0000-0000918A0000}"/>
    <cellStyle name="Porcentual 3 4 3 2 6" xfId="20036" xr:uid="{00000000-0005-0000-0000-0000928A0000}"/>
    <cellStyle name="Porcentual 3 4 3 3" xfId="3096" xr:uid="{00000000-0005-0000-0000-0000938A0000}"/>
    <cellStyle name="Porcentual 3 4 3 3 2" xfId="7666" xr:uid="{00000000-0005-0000-0000-0000948A0000}"/>
    <cellStyle name="Porcentual 3 4 3 3 2 2" xfId="16766" xr:uid="{00000000-0005-0000-0000-0000958A0000}"/>
    <cellStyle name="Porcentual 3 4 3 3 2 2 2" xfId="34948" xr:uid="{00000000-0005-0000-0000-0000968A0000}"/>
    <cellStyle name="Porcentual 3 4 3 3 2 3" xfId="25858" xr:uid="{00000000-0005-0000-0000-0000978A0000}"/>
    <cellStyle name="Porcentual 3 4 3 3 3" xfId="12228" xr:uid="{00000000-0005-0000-0000-0000988A0000}"/>
    <cellStyle name="Porcentual 3 4 3 3 3 2" xfId="30410" xr:uid="{00000000-0005-0000-0000-0000998A0000}"/>
    <cellStyle name="Porcentual 3 4 3 3 4" xfId="21320" xr:uid="{00000000-0005-0000-0000-00009A8A0000}"/>
    <cellStyle name="Porcentual 3 4 3 4" xfId="4740" xr:uid="{00000000-0005-0000-0000-00009B8A0000}"/>
    <cellStyle name="Porcentual 3 4 3 4 2" xfId="9296" xr:uid="{00000000-0005-0000-0000-00009C8A0000}"/>
    <cellStyle name="Porcentual 3 4 3 4 2 2" xfId="18392" xr:uid="{00000000-0005-0000-0000-00009D8A0000}"/>
    <cellStyle name="Porcentual 3 4 3 4 2 2 2" xfId="36574" xr:uid="{00000000-0005-0000-0000-00009E8A0000}"/>
    <cellStyle name="Porcentual 3 4 3 4 2 3" xfId="27484" xr:uid="{00000000-0005-0000-0000-00009F8A0000}"/>
    <cellStyle name="Porcentual 3 4 3 4 3" xfId="13851" xr:uid="{00000000-0005-0000-0000-0000A08A0000}"/>
    <cellStyle name="Porcentual 3 4 3 4 3 2" xfId="32033" xr:uid="{00000000-0005-0000-0000-0000A18A0000}"/>
    <cellStyle name="Porcentual 3 4 3 4 4" xfId="22943" xr:uid="{00000000-0005-0000-0000-0000A28A0000}"/>
    <cellStyle name="Porcentual 3 4 3 5" xfId="6378" xr:uid="{00000000-0005-0000-0000-0000A38A0000}"/>
    <cellStyle name="Porcentual 3 4 3 5 2" xfId="15478" xr:uid="{00000000-0005-0000-0000-0000A48A0000}"/>
    <cellStyle name="Porcentual 3 4 3 5 2 2" xfId="33660" xr:uid="{00000000-0005-0000-0000-0000A58A0000}"/>
    <cellStyle name="Porcentual 3 4 3 5 3" xfId="24570" xr:uid="{00000000-0005-0000-0000-0000A68A0000}"/>
    <cellStyle name="Porcentual 3 4 3 6" xfId="10944" xr:uid="{00000000-0005-0000-0000-0000A78A0000}"/>
    <cellStyle name="Porcentual 3 4 3 6 2" xfId="29126" xr:uid="{00000000-0005-0000-0000-0000A88A0000}"/>
    <cellStyle name="Porcentual 3 4 3 7" xfId="20035" xr:uid="{00000000-0005-0000-0000-0000A98A0000}"/>
    <cellStyle name="Porcentual 3 4 4" xfId="1745" xr:uid="{00000000-0005-0000-0000-0000AA8A0000}"/>
    <cellStyle name="Porcentual 3 4 4 2" xfId="3097" xr:uid="{00000000-0005-0000-0000-0000AB8A0000}"/>
    <cellStyle name="Porcentual 3 4 4 2 2" xfId="7667" xr:uid="{00000000-0005-0000-0000-0000AC8A0000}"/>
    <cellStyle name="Porcentual 3 4 4 2 2 2" xfId="16767" xr:uid="{00000000-0005-0000-0000-0000AD8A0000}"/>
    <cellStyle name="Porcentual 3 4 4 2 2 2 2" xfId="34949" xr:uid="{00000000-0005-0000-0000-0000AE8A0000}"/>
    <cellStyle name="Porcentual 3 4 4 2 2 3" xfId="25859" xr:uid="{00000000-0005-0000-0000-0000AF8A0000}"/>
    <cellStyle name="Porcentual 3 4 4 2 3" xfId="12229" xr:uid="{00000000-0005-0000-0000-0000B08A0000}"/>
    <cellStyle name="Porcentual 3 4 4 2 3 2" xfId="30411" xr:uid="{00000000-0005-0000-0000-0000B18A0000}"/>
    <cellStyle name="Porcentual 3 4 4 2 4" xfId="21321" xr:uid="{00000000-0005-0000-0000-0000B28A0000}"/>
    <cellStyle name="Porcentual 3 4 4 3" xfId="4742" xr:uid="{00000000-0005-0000-0000-0000B38A0000}"/>
    <cellStyle name="Porcentual 3 4 4 3 2" xfId="9298" xr:uid="{00000000-0005-0000-0000-0000B48A0000}"/>
    <cellStyle name="Porcentual 3 4 4 3 2 2" xfId="18394" xr:uid="{00000000-0005-0000-0000-0000B58A0000}"/>
    <cellStyle name="Porcentual 3 4 4 3 2 2 2" xfId="36576" xr:uid="{00000000-0005-0000-0000-0000B68A0000}"/>
    <cellStyle name="Porcentual 3 4 4 3 2 3" xfId="27486" xr:uid="{00000000-0005-0000-0000-0000B78A0000}"/>
    <cellStyle name="Porcentual 3 4 4 3 3" xfId="13853" xr:uid="{00000000-0005-0000-0000-0000B88A0000}"/>
    <cellStyle name="Porcentual 3 4 4 3 3 2" xfId="32035" xr:uid="{00000000-0005-0000-0000-0000B98A0000}"/>
    <cellStyle name="Porcentual 3 4 4 3 4" xfId="22945" xr:uid="{00000000-0005-0000-0000-0000BA8A0000}"/>
    <cellStyle name="Porcentual 3 4 4 4" xfId="6380" xr:uid="{00000000-0005-0000-0000-0000BB8A0000}"/>
    <cellStyle name="Porcentual 3 4 4 4 2" xfId="15480" xr:uid="{00000000-0005-0000-0000-0000BC8A0000}"/>
    <cellStyle name="Porcentual 3 4 4 4 2 2" xfId="33662" xr:uid="{00000000-0005-0000-0000-0000BD8A0000}"/>
    <cellStyle name="Porcentual 3 4 4 4 3" xfId="24572" xr:uid="{00000000-0005-0000-0000-0000BE8A0000}"/>
    <cellStyle name="Porcentual 3 4 4 5" xfId="10946" xr:uid="{00000000-0005-0000-0000-0000BF8A0000}"/>
    <cellStyle name="Porcentual 3 4 4 5 2" xfId="29128" xr:uid="{00000000-0005-0000-0000-0000C08A0000}"/>
    <cellStyle name="Porcentual 3 4 4 6" xfId="20037" xr:uid="{00000000-0005-0000-0000-0000C18A0000}"/>
    <cellStyle name="Porcentual 3 4 5" xfId="1746" xr:uid="{00000000-0005-0000-0000-0000C28A0000}"/>
    <cellStyle name="Porcentual 3 4 5 2" xfId="4743" xr:uid="{00000000-0005-0000-0000-0000C38A0000}"/>
    <cellStyle name="Porcentual 3 4 5 2 2" xfId="9299" xr:uid="{00000000-0005-0000-0000-0000C48A0000}"/>
    <cellStyle name="Porcentual 3 4 5 2 2 2" xfId="18395" xr:uid="{00000000-0005-0000-0000-0000C58A0000}"/>
    <cellStyle name="Porcentual 3 4 5 2 2 2 2" xfId="36577" xr:uid="{00000000-0005-0000-0000-0000C68A0000}"/>
    <cellStyle name="Porcentual 3 4 5 2 2 3" xfId="27487" xr:uid="{00000000-0005-0000-0000-0000C78A0000}"/>
    <cellStyle name="Porcentual 3 4 5 2 3" xfId="13854" xr:uid="{00000000-0005-0000-0000-0000C88A0000}"/>
    <cellStyle name="Porcentual 3 4 5 2 3 2" xfId="32036" xr:uid="{00000000-0005-0000-0000-0000C98A0000}"/>
    <cellStyle name="Porcentual 3 4 5 2 4" xfId="22946" xr:uid="{00000000-0005-0000-0000-0000CA8A0000}"/>
    <cellStyle name="Porcentual 3 4 5 3" xfId="6381" xr:uid="{00000000-0005-0000-0000-0000CB8A0000}"/>
    <cellStyle name="Porcentual 3 4 5 3 2" xfId="15481" xr:uid="{00000000-0005-0000-0000-0000CC8A0000}"/>
    <cellStyle name="Porcentual 3 4 5 3 2 2" xfId="33663" xr:uid="{00000000-0005-0000-0000-0000CD8A0000}"/>
    <cellStyle name="Porcentual 3 4 5 3 3" xfId="24573" xr:uid="{00000000-0005-0000-0000-0000CE8A0000}"/>
    <cellStyle name="Porcentual 3 4 5 4" xfId="10947" xr:uid="{00000000-0005-0000-0000-0000CF8A0000}"/>
    <cellStyle name="Porcentual 3 4 5 4 2" xfId="29129" xr:uid="{00000000-0005-0000-0000-0000D08A0000}"/>
    <cellStyle name="Porcentual 3 4 5 5" xfId="20038" xr:uid="{00000000-0005-0000-0000-0000D18A0000}"/>
    <cellStyle name="Porcentual 3 4 6" xfId="3098" xr:uid="{00000000-0005-0000-0000-0000D28A0000}"/>
    <cellStyle name="Porcentual 3 4 6 2" xfId="7668" xr:uid="{00000000-0005-0000-0000-0000D38A0000}"/>
    <cellStyle name="Porcentual 3 4 6 2 2" xfId="16768" xr:uid="{00000000-0005-0000-0000-0000D48A0000}"/>
    <cellStyle name="Porcentual 3 4 6 2 2 2" xfId="34950" xr:uid="{00000000-0005-0000-0000-0000D58A0000}"/>
    <cellStyle name="Porcentual 3 4 6 2 3" xfId="25860" xr:uid="{00000000-0005-0000-0000-0000D68A0000}"/>
    <cellStyle name="Porcentual 3 4 6 3" xfId="12230" xr:uid="{00000000-0005-0000-0000-0000D78A0000}"/>
    <cellStyle name="Porcentual 3 4 6 3 2" xfId="30412" xr:uid="{00000000-0005-0000-0000-0000D88A0000}"/>
    <cellStyle name="Porcentual 3 4 6 4" xfId="21322" xr:uid="{00000000-0005-0000-0000-0000D98A0000}"/>
    <cellStyle name="Porcentual 3 4 7" xfId="4734" xr:uid="{00000000-0005-0000-0000-0000DA8A0000}"/>
    <cellStyle name="Porcentual 3 4 7 2" xfId="9290" xr:uid="{00000000-0005-0000-0000-0000DB8A0000}"/>
    <cellStyle name="Porcentual 3 4 7 2 2" xfId="18386" xr:uid="{00000000-0005-0000-0000-0000DC8A0000}"/>
    <cellStyle name="Porcentual 3 4 7 2 2 2" xfId="36568" xr:uid="{00000000-0005-0000-0000-0000DD8A0000}"/>
    <cellStyle name="Porcentual 3 4 7 2 3" xfId="27478" xr:uid="{00000000-0005-0000-0000-0000DE8A0000}"/>
    <cellStyle name="Porcentual 3 4 7 3" xfId="13845" xr:uid="{00000000-0005-0000-0000-0000DF8A0000}"/>
    <cellStyle name="Porcentual 3 4 7 3 2" xfId="32027" xr:uid="{00000000-0005-0000-0000-0000E08A0000}"/>
    <cellStyle name="Porcentual 3 4 7 4" xfId="22937" xr:uid="{00000000-0005-0000-0000-0000E18A0000}"/>
    <cellStyle name="Porcentual 3 4 8" xfId="6372" xr:uid="{00000000-0005-0000-0000-0000E28A0000}"/>
    <cellStyle name="Porcentual 3 4 8 2" xfId="15472" xr:uid="{00000000-0005-0000-0000-0000E38A0000}"/>
    <cellStyle name="Porcentual 3 4 8 2 2" xfId="33654" xr:uid="{00000000-0005-0000-0000-0000E48A0000}"/>
    <cellStyle name="Porcentual 3 4 8 3" xfId="24564" xr:uid="{00000000-0005-0000-0000-0000E58A0000}"/>
    <cellStyle name="Porcentual 3 4 9" xfId="10938" xr:uid="{00000000-0005-0000-0000-0000E68A0000}"/>
    <cellStyle name="Porcentual 3 4 9 2" xfId="29120" xr:uid="{00000000-0005-0000-0000-0000E78A0000}"/>
    <cellStyle name="Porcentual 3 5" xfId="1747" xr:uid="{00000000-0005-0000-0000-0000E88A0000}"/>
    <cellStyle name="Porcentual 3 5 2" xfId="1748" xr:uid="{00000000-0005-0000-0000-0000E98A0000}"/>
    <cellStyle name="Porcentual 3 5 2 2" xfId="1749" xr:uid="{00000000-0005-0000-0000-0000EA8A0000}"/>
    <cellStyle name="Porcentual 3 5 2 2 2" xfId="3099" xr:uid="{00000000-0005-0000-0000-0000EB8A0000}"/>
    <cellStyle name="Porcentual 3 5 2 2 2 2" xfId="7669" xr:uid="{00000000-0005-0000-0000-0000EC8A0000}"/>
    <cellStyle name="Porcentual 3 5 2 2 2 2 2" xfId="16769" xr:uid="{00000000-0005-0000-0000-0000ED8A0000}"/>
    <cellStyle name="Porcentual 3 5 2 2 2 2 2 2" xfId="34951" xr:uid="{00000000-0005-0000-0000-0000EE8A0000}"/>
    <cellStyle name="Porcentual 3 5 2 2 2 2 3" xfId="25861" xr:uid="{00000000-0005-0000-0000-0000EF8A0000}"/>
    <cellStyle name="Porcentual 3 5 2 2 2 3" xfId="12231" xr:uid="{00000000-0005-0000-0000-0000F08A0000}"/>
    <cellStyle name="Porcentual 3 5 2 2 2 3 2" xfId="30413" xr:uid="{00000000-0005-0000-0000-0000F18A0000}"/>
    <cellStyle name="Porcentual 3 5 2 2 2 4" xfId="21323" xr:uid="{00000000-0005-0000-0000-0000F28A0000}"/>
    <cellStyle name="Porcentual 3 5 2 2 3" xfId="4746" xr:uid="{00000000-0005-0000-0000-0000F38A0000}"/>
    <cellStyle name="Porcentual 3 5 2 2 3 2" xfId="9302" xr:uid="{00000000-0005-0000-0000-0000F48A0000}"/>
    <cellStyle name="Porcentual 3 5 2 2 3 2 2" xfId="18398" xr:uid="{00000000-0005-0000-0000-0000F58A0000}"/>
    <cellStyle name="Porcentual 3 5 2 2 3 2 2 2" xfId="36580" xr:uid="{00000000-0005-0000-0000-0000F68A0000}"/>
    <cellStyle name="Porcentual 3 5 2 2 3 2 3" xfId="27490" xr:uid="{00000000-0005-0000-0000-0000F78A0000}"/>
    <cellStyle name="Porcentual 3 5 2 2 3 3" xfId="13857" xr:uid="{00000000-0005-0000-0000-0000F88A0000}"/>
    <cellStyle name="Porcentual 3 5 2 2 3 3 2" xfId="32039" xr:uid="{00000000-0005-0000-0000-0000F98A0000}"/>
    <cellStyle name="Porcentual 3 5 2 2 3 4" xfId="22949" xr:uid="{00000000-0005-0000-0000-0000FA8A0000}"/>
    <cellStyle name="Porcentual 3 5 2 2 4" xfId="6384" xr:uid="{00000000-0005-0000-0000-0000FB8A0000}"/>
    <cellStyle name="Porcentual 3 5 2 2 4 2" xfId="15484" xr:uid="{00000000-0005-0000-0000-0000FC8A0000}"/>
    <cellStyle name="Porcentual 3 5 2 2 4 2 2" xfId="33666" xr:uid="{00000000-0005-0000-0000-0000FD8A0000}"/>
    <cellStyle name="Porcentual 3 5 2 2 4 3" xfId="24576" xr:uid="{00000000-0005-0000-0000-0000FE8A0000}"/>
    <cellStyle name="Porcentual 3 5 2 2 5" xfId="10950" xr:uid="{00000000-0005-0000-0000-0000FF8A0000}"/>
    <cellStyle name="Porcentual 3 5 2 2 5 2" xfId="29132" xr:uid="{00000000-0005-0000-0000-0000008B0000}"/>
    <cellStyle name="Porcentual 3 5 2 2 6" xfId="20041" xr:uid="{00000000-0005-0000-0000-0000018B0000}"/>
    <cellStyle name="Porcentual 3 5 2 3" xfId="3100" xr:uid="{00000000-0005-0000-0000-0000028B0000}"/>
    <cellStyle name="Porcentual 3 5 2 3 2" xfId="7670" xr:uid="{00000000-0005-0000-0000-0000038B0000}"/>
    <cellStyle name="Porcentual 3 5 2 3 2 2" xfId="16770" xr:uid="{00000000-0005-0000-0000-0000048B0000}"/>
    <cellStyle name="Porcentual 3 5 2 3 2 2 2" xfId="34952" xr:uid="{00000000-0005-0000-0000-0000058B0000}"/>
    <cellStyle name="Porcentual 3 5 2 3 2 3" xfId="25862" xr:uid="{00000000-0005-0000-0000-0000068B0000}"/>
    <cellStyle name="Porcentual 3 5 2 3 3" xfId="12232" xr:uid="{00000000-0005-0000-0000-0000078B0000}"/>
    <cellStyle name="Porcentual 3 5 2 3 3 2" xfId="30414" xr:uid="{00000000-0005-0000-0000-0000088B0000}"/>
    <cellStyle name="Porcentual 3 5 2 3 4" xfId="21324" xr:uid="{00000000-0005-0000-0000-0000098B0000}"/>
    <cellStyle name="Porcentual 3 5 2 4" xfId="4745" xr:uid="{00000000-0005-0000-0000-00000A8B0000}"/>
    <cellStyle name="Porcentual 3 5 2 4 2" xfId="9301" xr:uid="{00000000-0005-0000-0000-00000B8B0000}"/>
    <cellStyle name="Porcentual 3 5 2 4 2 2" xfId="18397" xr:uid="{00000000-0005-0000-0000-00000C8B0000}"/>
    <cellStyle name="Porcentual 3 5 2 4 2 2 2" xfId="36579" xr:uid="{00000000-0005-0000-0000-00000D8B0000}"/>
    <cellStyle name="Porcentual 3 5 2 4 2 3" xfId="27489" xr:uid="{00000000-0005-0000-0000-00000E8B0000}"/>
    <cellStyle name="Porcentual 3 5 2 4 3" xfId="13856" xr:uid="{00000000-0005-0000-0000-00000F8B0000}"/>
    <cellStyle name="Porcentual 3 5 2 4 3 2" xfId="32038" xr:uid="{00000000-0005-0000-0000-0000108B0000}"/>
    <cellStyle name="Porcentual 3 5 2 4 4" xfId="22948" xr:uid="{00000000-0005-0000-0000-0000118B0000}"/>
    <cellStyle name="Porcentual 3 5 2 5" xfId="6383" xr:uid="{00000000-0005-0000-0000-0000128B0000}"/>
    <cellStyle name="Porcentual 3 5 2 5 2" xfId="15483" xr:uid="{00000000-0005-0000-0000-0000138B0000}"/>
    <cellStyle name="Porcentual 3 5 2 5 2 2" xfId="33665" xr:uid="{00000000-0005-0000-0000-0000148B0000}"/>
    <cellStyle name="Porcentual 3 5 2 5 3" xfId="24575" xr:uid="{00000000-0005-0000-0000-0000158B0000}"/>
    <cellStyle name="Porcentual 3 5 2 6" xfId="10949" xr:uid="{00000000-0005-0000-0000-0000168B0000}"/>
    <cellStyle name="Porcentual 3 5 2 6 2" xfId="29131" xr:uid="{00000000-0005-0000-0000-0000178B0000}"/>
    <cellStyle name="Porcentual 3 5 2 7" xfId="20040" xr:uid="{00000000-0005-0000-0000-0000188B0000}"/>
    <cellStyle name="Porcentual 3 5 3" xfId="1750" xr:uid="{00000000-0005-0000-0000-0000198B0000}"/>
    <cellStyle name="Porcentual 3 5 3 2" xfId="3101" xr:uid="{00000000-0005-0000-0000-00001A8B0000}"/>
    <cellStyle name="Porcentual 3 5 3 2 2" xfId="7671" xr:uid="{00000000-0005-0000-0000-00001B8B0000}"/>
    <cellStyle name="Porcentual 3 5 3 2 2 2" xfId="16771" xr:uid="{00000000-0005-0000-0000-00001C8B0000}"/>
    <cellStyle name="Porcentual 3 5 3 2 2 2 2" xfId="34953" xr:uid="{00000000-0005-0000-0000-00001D8B0000}"/>
    <cellStyle name="Porcentual 3 5 3 2 2 3" xfId="25863" xr:uid="{00000000-0005-0000-0000-00001E8B0000}"/>
    <cellStyle name="Porcentual 3 5 3 2 3" xfId="12233" xr:uid="{00000000-0005-0000-0000-00001F8B0000}"/>
    <cellStyle name="Porcentual 3 5 3 2 3 2" xfId="30415" xr:uid="{00000000-0005-0000-0000-0000208B0000}"/>
    <cellStyle name="Porcentual 3 5 3 2 4" xfId="21325" xr:uid="{00000000-0005-0000-0000-0000218B0000}"/>
    <cellStyle name="Porcentual 3 5 3 3" xfId="4747" xr:uid="{00000000-0005-0000-0000-0000228B0000}"/>
    <cellStyle name="Porcentual 3 5 3 3 2" xfId="9303" xr:uid="{00000000-0005-0000-0000-0000238B0000}"/>
    <cellStyle name="Porcentual 3 5 3 3 2 2" xfId="18399" xr:uid="{00000000-0005-0000-0000-0000248B0000}"/>
    <cellStyle name="Porcentual 3 5 3 3 2 2 2" xfId="36581" xr:uid="{00000000-0005-0000-0000-0000258B0000}"/>
    <cellStyle name="Porcentual 3 5 3 3 2 3" xfId="27491" xr:uid="{00000000-0005-0000-0000-0000268B0000}"/>
    <cellStyle name="Porcentual 3 5 3 3 3" xfId="13858" xr:uid="{00000000-0005-0000-0000-0000278B0000}"/>
    <cellStyle name="Porcentual 3 5 3 3 3 2" xfId="32040" xr:uid="{00000000-0005-0000-0000-0000288B0000}"/>
    <cellStyle name="Porcentual 3 5 3 3 4" xfId="22950" xr:uid="{00000000-0005-0000-0000-0000298B0000}"/>
    <cellStyle name="Porcentual 3 5 3 4" xfId="6385" xr:uid="{00000000-0005-0000-0000-00002A8B0000}"/>
    <cellStyle name="Porcentual 3 5 3 4 2" xfId="15485" xr:uid="{00000000-0005-0000-0000-00002B8B0000}"/>
    <cellStyle name="Porcentual 3 5 3 4 2 2" xfId="33667" xr:uid="{00000000-0005-0000-0000-00002C8B0000}"/>
    <cellStyle name="Porcentual 3 5 3 4 3" xfId="24577" xr:uid="{00000000-0005-0000-0000-00002D8B0000}"/>
    <cellStyle name="Porcentual 3 5 3 5" xfId="10951" xr:uid="{00000000-0005-0000-0000-00002E8B0000}"/>
    <cellStyle name="Porcentual 3 5 3 5 2" xfId="29133" xr:uid="{00000000-0005-0000-0000-00002F8B0000}"/>
    <cellStyle name="Porcentual 3 5 3 6" xfId="20042" xr:uid="{00000000-0005-0000-0000-0000308B0000}"/>
    <cellStyle name="Porcentual 3 5 4" xfId="1751" xr:uid="{00000000-0005-0000-0000-0000318B0000}"/>
    <cellStyle name="Porcentual 3 5 4 2" xfId="4748" xr:uid="{00000000-0005-0000-0000-0000328B0000}"/>
    <cellStyle name="Porcentual 3 5 4 2 2" xfId="9304" xr:uid="{00000000-0005-0000-0000-0000338B0000}"/>
    <cellStyle name="Porcentual 3 5 4 2 2 2" xfId="18400" xr:uid="{00000000-0005-0000-0000-0000348B0000}"/>
    <cellStyle name="Porcentual 3 5 4 2 2 2 2" xfId="36582" xr:uid="{00000000-0005-0000-0000-0000358B0000}"/>
    <cellStyle name="Porcentual 3 5 4 2 2 3" xfId="27492" xr:uid="{00000000-0005-0000-0000-0000368B0000}"/>
    <cellStyle name="Porcentual 3 5 4 2 3" xfId="13859" xr:uid="{00000000-0005-0000-0000-0000378B0000}"/>
    <cellStyle name="Porcentual 3 5 4 2 3 2" xfId="32041" xr:uid="{00000000-0005-0000-0000-0000388B0000}"/>
    <cellStyle name="Porcentual 3 5 4 2 4" xfId="22951" xr:uid="{00000000-0005-0000-0000-0000398B0000}"/>
    <cellStyle name="Porcentual 3 5 4 3" xfId="6386" xr:uid="{00000000-0005-0000-0000-00003A8B0000}"/>
    <cellStyle name="Porcentual 3 5 4 3 2" xfId="15486" xr:uid="{00000000-0005-0000-0000-00003B8B0000}"/>
    <cellStyle name="Porcentual 3 5 4 3 2 2" xfId="33668" xr:uid="{00000000-0005-0000-0000-00003C8B0000}"/>
    <cellStyle name="Porcentual 3 5 4 3 3" xfId="24578" xr:uid="{00000000-0005-0000-0000-00003D8B0000}"/>
    <cellStyle name="Porcentual 3 5 4 4" xfId="10952" xr:uid="{00000000-0005-0000-0000-00003E8B0000}"/>
    <cellStyle name="Porcentual 3 5 4 4 2" xfId="29134" xr:uid="{00000000-0005-0000-0000-00003F8B0000}"/>
    <cellStyle name="Porcentual 3 5 4 5" xfId="20043" xr:uid="{00000000-0005-0000-0000-0000408B0000}"/>
    <cellStyle name="Porcentual 3 5 5" xfId="3102" xr:uid="{00000000-0005-0000-0000-0000418B0000}"/>
    <cellStyle name="Porcentual 3 5 6" xfId="4744" xr:uid="{00000000-0005-0000-0000-0000428B0000}"/>
    <cellStyle name="Porcentual 3 5 6 2" xfId="9300" xr:uid="{00000000-0005-0000-0000-0000438B0000}"/>
    <cellStyle name="Porcentual 3 5 6 2 2" xfId="18396" xr:uid="{00000000-0005-0000-0000-0000448B0000}"/>
    <cellStyle name="Porcentual 3 5 6 2 2 2" xfId="36578" xr:uid="{00000000-0005-0000-0000-0000458B0000}"/>
    <cellStyle name="Porcentual 3 5 6 2 3" xfId="27488" xr:uid="{00000000-0005-0000-0000-0000468B0000}"/>
    <cellStyle name="Porcentual 3 5 6 3" xfId="13855" xr:uid="{00000000-0005-0000-0000-0000478B0000}"/>
    <cellStyle name="Porcentual 3 5 6 3 2" xfId="32037" xr:uid="{00000000-0005-0000-0000-0000488B0000}"/>
    <cellStyle name="Porcentual 3 5 6 4" xfId="22947" xr:uid="{00000000-0005-0000-0000-0000498B0000}"/>
    <cellStyle name="Porcentual 3 5 7" xfId="6382" xr:uid="{00000000-0005-0000-0000-00004A8B0000}"/>
    <cellStyle name="Porcentual 3 5 7 2" xfId="15482" xr:uid="{00000000-0005-0000-0000-00004B8B0000}"/>
    <cellStyle name="Porcentual 3 5 7 2 2" xfId="33664" xr:uid="{00000000-0005-0000-0000-00004C8B0000}"/>
    <cellStyle name="Porcentual 3 5 7 3" xfId="24574" xr:uid="{00000000-0005-0000-0000-00004D8B0000}"/>
    <cellStyle name="Porcentual 3 5 8" xfId="10948" xr:uid="{00000000-0005-0000-0000-00004E8B0000}"/>
    <cellStyle name="Porcentual 3 5 8 2" xfId="29130" xr:uid="{00000000-0005-0000-0000-00004F8B0000}"/>
    <cellStyle name="Porcentual 3 5 9" xfId="20039" xr:uid="{00000000-0005-0000-0000-0000508B0000}"/>
    <cellStyle name="Porcentual 3 6" xfId="1752" xr:uid="{00000000-0005-0000-0000-0000518B0000}"/>
    <cellStyle name="Porcentual 3 6 2" xfId="1753" xr:uid="{00000000-0005-0000-0000-0000528B0000}"/>
    <cellStyle name="Porcentual 3 6 2 2" xfId="3103" xr:uid="{00000000-0005-0000-0000-0000538B0000}"/>
    <cellStyle name="Porcentual 3 6 2 2 2" xfId="7672" xr:uid="{00000000-0005-0000-0000-0000548B0000}"/>
    <cellStyle name="Porcentual 3 6 2 2 2 2" xfId="16772" xr:uid="{00000000-0005-0000-0000-0000558B0000}"/>
    <cellStyle name="Porcentual 3 6 2 2 2 2 2" xfId="34954" xr:uid="{00000000-0005-0000-0000-0000568B0000}"/>
    <cellStyle name="Porcentual 3 6 2 2 2 3" xfId="25864" xr:uid="{00000000-0005-0000-0000-0000578B0000}"/>
    <cellStyle name="Porcentual 3 6 2 2 3" xfId="12234" xr:uid="{00000000-0005-0000-0000-0000588B0000}"/>
    <cellStyle name="Porcentual 3 6 2 2 3 2" xfId="30416" xr:uid="{00000000-0005-0000-0000-0000598B0000}"/>
    <cellStyle name="Porcentual 3 6 2 2 4" xfId="21326" xr:uid="{00000000-0005-0000-0000-00005A8B0000}"/>
    <cellStyle name="Porcentual 3 6 2 3" xfId="4750" xr:uid="{00000000-0005-0000-0000-00005B8B0000}"/>
    <cellStyle name="Porcentual 3 6 2 3 2" xfId="9306" xr:uid="{00000000-0005-0000-0000-00005C8B0000}"/>
    <cellStyle name="Porcentual 3 6 2 3 2 2" xfId="18402" xr:uid="{00000000-0005-0000-0000-00005D8B0000}"/>
    <cellStyle name="Porcentual 3 6 2 3 2 2 2" xfId="36584" xr:uid="{00000000-0005-0000-0000-00005E8B0000}"/>
    <cellStyle name="Porcentual 3 6 2 3 2 3" xfId="27494" xr:uid="{00000000-0005-0000-0000-00005F8B0000}"/>
    <cellStyle name="Porcentual 3 6 2 3 3" xfId="13861" xr:uid="{00000000-0005-0000-0000-0000608B0000}"/>
    <cellStyle name="Porcentual 3 6 2 3 3 2" xfId="32043" xr:uid="{00000000-0005-0000-0000-0000618B0000}"/>
    <cellStyle name="Porcentual 3 6 2 3 4" xfId="22953" xr:uid="{00000000-0005-0000-0000-0000628B0000}"/>
    <cellStyle name="Porcentual 3 6 2 4" xfId="6388" xr:uid="{00000000-0005-0000-0000-0000638B0000}"/>
    <cellStyle name="Porcentual 3 6 2 4 2" xfId="15488" xr:uid="{00000000-0005-0000-0000-0000648B0000}"/>
    <cellStyle name="Porcentual 3 6 2 4 2 2" xfId="33670" xr:uid="{00000000-0005-0000-0000-0000658B0000}"/>
    <cellStyle name="Porcentual 3 6 2 4 3" xfId="24580" xr:uid="{00000000-0005-0000-0000-0000668B0000}"/>
    <cellStyle name="Porcentual 3 6 2 5" xfId="10954" xr:uid="{00000000-0005-0000-0000-0000678B0000}"/>
    <cellStyle name="Porcentual 3 6 2 5 2" xfId="29136" xr:uid="{00000000-0005-0000-0000-0000688B0000}"/>
    <cellStyle name="Porcentual 3 6 2 6" xfId="20045" xr:uid="{00000000-0005-0000-0000-0000698B0000}"/>
    <cellStyle name="Porcentual 3 6 3" xfId="3104" xr:uid="{00000000-0005-0000-0000-00006A8B0000}"/>
    <cellStyle name="Porcentual 3 6 3 2" xfId="7673" xr:uid="{00000000-0005-0000-0000-00006B8B0000}"/>
    <cellStyle name="Porcentual 3 6 3 2 2" xfId="16773" xr:uid="{00000000-0005-0000-0000-00006C8B0000}"/>
    <cellStyle name="Porcentual 3 6 3 2 2 2" xfId="34955" xr:uid="{00000000-0005-0000-0000-00006D8B0000}"/>
    <cellStyle name="Porcentual 3 6 3 2 3" xfId="25865" xr:uid="{00000000-0005-0000-0000-00006E8B0000}"/>
    <cellStyle name="Porcentual 3 6 3 3" xfId="12235" xr:uid="{00000000-0005-0000-0000-00006F8B0000}"/>
    <cellStyle name="Porcentual 3 6 3 3 2" xfId="30417" xr:uid="{00000000-0005-0000-0000-0000708B0000}"/>
    <cellStyle name="Porcentual 3 6 3 4" xfId="21327" xr:uid="{00000000-0005-0000-0000-0000718B0000}"/>
    <cellStyle name="Porcentual 3 6 4" xfId="4749" xr:uid="{00000000-0005-0000-0000-0000728B0000}"/>
    <cellStyle name="Porcentual 3 6 4 2" xfId="9305" xr:uid="{00000000-0005-0000-0000-0000738B0000}"/>
    <cellStyle name="Porcentual 3 6 4 2 2" xfId="18401" xr:uid="{00000000-0005-0000-0000-0000748B0000}"/>
    <cellStyle name="Porcentual 3 6 4 2 2 2" xfId="36583" xr:uid="{00000000-0005-0000-0000-0000758B0000}"/>
    <cellStyle name="Porcentual 3 6 4 2 3" xfId="27493" xr:uid="{00000000-0005-0000-0000-0000768B0000}"/>
    <cellStyle name="Porcentual 3 6 4 3" xfId="13860" xr:uid="{00000000-0005-0000-0000-0000778B0000}"/>
    <cellStyle name="Porcentual 3 6 4 3 2" xfId="32042" xr:uid="{00000000-0005-0000-0000-0000788B0000}"/>
    <cellStyle name="Porcentual 3 6 4 4" xfId="22952" xr:uid="{00000000-0005-0000-0000-0000798B0000}"/>
    <cellStyle name="Porcentual 3 6 5" xfId="6387" xr:uid="{00000000-0005-0000-0000-00007A8B0000}"/>
    <cellStyle name="Porcentual 3 6 5 2" xfId="15487" xr:uid="{00000000-0005-0000-0000-00007B8B0000}"/>
    <cellStyle name="Porcentual 3 6 5 2 2" xfId="33669" xr:uid="{00000000-0005-0000-0000-00007C8B0000}"/>
    <cellStyle name="Porcentual 3 6 5 3" xfId="24579" xr:uid="{00000000-0005-0000-0000-00007D8B0000}"/>
    <cellStyle name="Porcentual 3 6 6" xfId="10953" xr:uid="{00000000-0005-0000-0000-00007E8B0000}"/>
    <cellStyle name="Porcentual 3 6 6 2" xfId="29135" xr:uid="{00000000-0005-0000-0000-00007F8B0000}"/>
    <cellStyle name="Porcentual 3 6 7" xfId="20044" xr:uid="{00000000-0005-0000-0000-0000808B0000}"/>
    <cellStyle name="Porcentual 3 7" xfId="1754" xr:uid="{00000000-0005-0000-0000-0000818B0000}"/>
    <cellStyle name="Porcentual 3 7 2" xfId="3105" xr:uid="{00000000-0005-0000-0000-0000828B0000}"/>
    <cellStyle name="Porcentual 3 7 2 2" xfId="7674" xr:uid="{00000000-0005-0000-0000-0000838B0000}"/>
    <cellStyle name="Porcentual 3 7 2 2 2" xfId="16774" xr:uid="{00000000-0005-0000-0000-0000848B0000}"/>
    <cellStyle name="Porcentual 3 7 2 2 2 2" xfId="34956" xr:uid="{00000000-0005-0000-0000-0000858B0000}"/>
    <cellStyle name="Porcentual 3 7 2 2 3" xfId="25866" xr:uid="{00000000-0005-0000-0000-0000868B0000}"/>
    <cellStyle name="Porcentual 3 7 2 3" xfId="12236" xr:uid="{00000000-0005-0000-0000-0000878B0000}"/>
    <cellStyle name="Porcentual 3 7 2 3 2" xfId="30418" xr:uid="{00000000-0005-0000-0000-0000888B0000}"/>
    <cellStyle name="Porcentual 3 7 2 4" xfId="21328" xr:uid="{00000000-0005-0000-0000-0000898B0000}"/>
    <cellStyle name="Porcentual 3 7 3" xfId="4751" xr:uid="{00000000-0005-0000-0000-00008A8B0000}"/>
    <cellStyle name="Porcentual 3 7 3 2" xfId="9307" xr:uid="{00000000-0005-0000-0000-00008B8B0000}"/>
    <cellStyle name="Porcentual 3 7 3 2 2" xfId="18403" xr:uid="{00000000-0005-0000-0000-00008C8B0000}"/>
    <cellStyle name="Porcentual 3 7 3 2 2 2" xfId="36585" xr:uid="{00000000-0005-0000-0000-00008D8B0000}"/>
    <cellStyle name="Porcentual 3 7 3 2 3" xfId="27495" xr:uid="{00000000-0005-0000-0000-00008E8B0000}"/>
    <cellStyle name="Porcentual 3 7 3 3" xfId="13862" xr:uid="{00000000-0005-0000-0000-00008F8B0000}"/>
    <cellStyle name="Porcentual 3 7 3 3 2" xfId="32044" xr:uid="{00000000-0005-0000-0000-0000908B0000}"/>
    <cellStyle name="Porcentual 3 7 3 4" xfId="22954" xr:uid="{00000000-0005-0000-0000-0000918B0000}"/>
    <cellStyle name="Porcentual 3 7 4" xfId="6389" xr:uid="{00000000-0005-0000-0000-0000928B0000}"/>
    <cellStyle name="Porcentual 3 7 4 2" xfId="15489" xr:uid="{00000000-0005-0000-0000-0000938B0000}"/>
    <cellStyle name="Porcentual 3 7 4 2 2" xfId="33671" xr:uid="{00000000-0005-0000-0000-0000948B0000}"/>
    <cellStyle name="Porcentual 3 7 4 3" xfId="24581" xr:uid="{00000000-0005-0000-0000-0000958B0000}"/>
    <cellStyle name="Porcentual 3 7 5" xfId="10955" xr:uid="{00000000-0005-0000-0000-0000968B0000}"/>
    <cellStyle name="Porcentual 3 7 5 2" xfId="29137" xr:uid="{00000000-0005-0000-0000-0000978B0000}"/>
    <cellStyle name="Porcentual 3 7 6" xfId="20046" xr:uid="{00000000-0005-0000-0000-0000988B0000}"/>
    <cellStyle name="Porcentual 3 8" xfId="1755" xr:uid="{00000000-0005-0000-0000-0000998B0000}"/>
    <cellStyle name="Porcentual 3 8 2" xfId="4752" xr:uid="{00000000-0005-0000-0000-00009A8B0000}"/>
    <cellStyle name="Porcentual 3 8 2 2" xfId="9308" xr:uid="{00000000-0005-0000-0000-00009B8B0000}"/>
    <cellStyle name="Porcentual 3 8 2 2 2" xfId="18404" xr:uid="{00000000-0005-0000-0000-00009C8B0000}"/>
    <cellStyle name="Porcentual 3 8 2 2 2 2" xfId="36586" xr:uid="{00000000-0005-0000-0000-00009D8B0000}"/>
    <cellStyle name="Porcentual 3 8 2 2 3" xfId="27496" xr:uid="{00000000-0005-0000-0000-00009E8B0000}"/>
    <cellStyle name="Porcentual 3 8 2 3" xfId="13863" xr:uid="{00000000-0005-0000-0000-00009F8B0000}"/>
    <cellStyle name="Porcentual 3 8 2 3 2" xfId="32045" xr:uid="{00000000-0005-0000-0000-0000A08B0000}"/>
    <cellStyle name="Porcentual 3 8 2 4" xfId="22955" xr:uid="{00000000-0005-0000-0000-0000A18B0000}"/>
    <cellStyle name="Porcentual 3 8 3" xfId="6390" xr:uid="{00000000-0005-0000-0000-0000A28B0000}"/>
    <cellStyle name="Porcentual 3 8 3 2" xfId="15490" xr:uid="{00000000-0005-0000-0000-0000A38B0000}"/>
    <cellStyle name="Porcentual 3 8 3 2 2" xfId="33672" xr:uid="{00000000-0005-0000-0000-0000A48B0000}"/>
    <cellStyle name="Porcentual 3 8 3 3" xfId="24582" xr:uid="{00000000-0005-0000-0000-0000A58B0000}"/>
    <cellStyle name="Porcentual 3 8 4" xfId="10956" xr:uid="{00000000-0005-0000-0000-0000A68B0000}"/>
    <cellStyle name="Porcentual 3 8 4 2" xfId="29138" xr:uid="{00000000-0005-0000-0000-0000A78B0000}"/>
    <cellStyle name="Porcentual 3 8 5" xfId="20047" xr:uid="{00000000-0005-0000-0000-0000A88B0000}"/>
    <cellStyle name="Porcentual 3 9" xfId="3106" xr:uid="{00000000-0005-0000-0000-0000A98B0000}"/>
    <cellStyle name="Porcentual 3 9 2" xfId="7675" xr:uid="{00000000-0005-0000-0000-0000AA8B0000}"/>
    <cellStyle name="Porcentual 3 9 2 2" xfId="16775" xr:uid="{00000000-0005-0000-0000-0000AB8B0000}"/>
    <cellStyle name="Porcentual 3 9 2 2 2" xfId="34957" xr:uid="{00000000-0005-0000-0000-0000AC8B0000}"/>
    <cellStyle name="Porcentual 3 9 2 3" xfId="25867" xr:uid="{00000000-0005-0000-0000-0000AD8B0000}"/>
    <cellStyle name="Porcentual 3 9 3" xfId="12237" xr:uid="{00000000-0005-0000-0000-0000AE8B0000}"/>
    <cellStyle name="Porcentual 3 9 3 2" xfId="30419" xr:uid="{00000000-0005-0000-0000-0000AF8B0000}"/>
    <cellStyle name="Porcentual 3 9 4" xfId="21329" xr:uid="{00000000-0005-0000-0000-0000B08B0000}"/>
    <cellStyle name="Porcentual 4" xfId="29" xr:uid="{00000000-0005-0000-0000-0000B18B0000}"/>
    <cellStyle name="Porcentual 4 2" xfId="113" xr:uid="{00000000-0005-0000-0000-0000B28B0000}"/>
    <cellStyle name="Porcentual 5" xfId="49" xr:uid="{00000000-0005-0000-0000-0000B38B0000}"/>
    <cellStyle name="Porcentual 5 2" xfId="114" xr:uid="{00000000-0005-0000-0000-0000B48B0000}"/>
    <cellStyle name="Porcentual 6" xfId="120" xr:uid="{00000000-0005-0000-0000-0000B58B0000}"/>
    <cellStyle name="Porcentual 6 10" xfId="9425" xr:uid="{00000000-0005-0000-0000-0000B68B0000}"/>
    <cellStyle name="Porcentual 6 10 2" xfId="27607" xr:uid="{00000000-0005-0000-0000-0000B78B0000}"/>
    <cellStyle name="Porcentual 6 11" xfId="18516" xr:uid="{00000000-0005-0000-0000-0000B88B0000}"/>
    <cellStyle name="Porcentual 6 2" xfId="1756" xr:uid="{00000000-0005-0000-0000-0000B98B0000}"/>
    <cellStyle name="Porcentual 6 2 10" xfId="20048" xr:uid="{00000000-0005-0000-0000-0000BA8B0000}"/>
    <cellStyle name="Porcentual 6 2 2" xfId="1757" xr:uid="{00000000-0005-0000-0000-0000BB8B0000}"/>
    <cellStyle name="Porcentual 6 2 2 2" xfId="1758" xr:uid="{00000000-0005-0000-0000-0000BC8B0000}"/>
    <cellStyle name="Porcentual 6 2 2 2 2" xfId="1759" xr:uid="{00000000-0005-0000-0000-0000BD8B0000}"/>
    <cellStyle name="Porcentual 6 2 2 2 2 2" xfId="3107" xr:uid="{00000000-0005-0000-0000-0000BE8B0000}"/>
    <cellStyle name="Porcentual 6 2 2 2 2 2 2" xfId="7676" xr:uid="{00000000-0005-0000-0000-0000BF8B0000}"/>
    <cellStyle name="Porcentual 6 2 2 2 2 2 2 2" xfId="16776" xr:uid="{00000000-0005-0000-0000-0000C08B0000}"/>
    <cellStyle name="Porcentual 6 2 2 2 2 2 2 2 2" xfId="34958" xr:uid="{00000000-0005-0000-0000-0000C18B0000}"/>
    <cellStyle name="Porcentual 6 2 2 2 2 2 2 3" xfId="25868" xr:uid="{00000000-0005-0000-0000-0000C28B0000}"/>
    <cellStyle name="Porcentual 6 2 2 2 2 2 3" xfId="12238" xr:uid="{00000000-0005-0000-0000-0000C38B0000}"/>
    <cellStyle name="Porcentual 6 2 2 2 2 2 3 2" xfId="30420" xr:uid="{00000000-0005-0000-0000-0000C48B0000}"/>
    <cellStyle name="Porcentual 6 2 2 2 2 2 4" xfId="21330" xr:uid="{00000000-0005-0000-0000-0000C58B0000}"/>
    <cellStyle name="Porcentual 6 2 2 2 2 3" xfId="4756" xr:uid="{00000000-0005-0000-0000-0000C68B0000}"/>
    <cellStyle name="Porcentual 6 2 2 2 2 3 2" xfId="9312" xr:uid="{00000000-0005-0000-0000-0000C78B0000}"/>
    <cellStyle name="Porcentual 6 2 2 2 2 3 2 2" xfId="18408" xr:uid="{00000000-0005-0000-0000-0000C88B0000}"/>
    <cellStyle name="Porcentual 6 2 2 2 2 3 2 2 2" xfId="36590" xr:uid="{00000000-0005-0000-0000-0000C98B0000}"/>
    <cellStyle name="Porcentual 6 2 2 2 2 3 2 3" xfId="27500" xr:uid="{00000000-0005-0000-0000-0000CA8B0000}"/>
    <cellStyle name="Porcentual 6 2 2 2 2 3 3" xfId="13867" xr:uid="{00000000-0005-0000-0000-0000CB8B0000}"/>
    <cellStyle name="Porcentual 6 2 2 2 2 3 3 2" xfId="32049" xr:uid="{00000000-0005-0000-0000-0000CC8B0000}"/>
    <cellStyle name="Porcentual 6 2 2 2 2 3 4" xfId="22959" xr:uid="{00000000-0005-0000-0000-0000CD8B0000}"/>
    <cellStyle name="Porcentual 6 2 2 2 2 4" xfId="6394" xr:uid="{00000000-0005-0000-0000-0000CE8B0000}"/>
    <cellStyle name="Porcentual 6 2 2 2 2 4 2" xfId="15494" xr:uid="{00000000-0005-0000-0000-0000CF8B0000}"/>
    <cellStyle name="Porcentual 6 2 2 2 2 4 2 2" xfId="33676" xr:uid="{00000000-0005-0000-0000-0000D08B0000}"/>
    <cellStyle name="Porcentual 6 2 2 2 2 4 3" xfId="24586" xr:uid="{00000000-0005-0000-0000-0000D18B0000}"/>
    <cellStyle name="Porcentual 6 2 2 2 2 5" xfId="10960" xr:uid="{00000000-0005-0000-0000-0000D28B0000}"/>
    <cellStyle name="Porcentual 6 2 2 2 2 5 2" xfId="29142" xr:uid="{00000000-0005-0000-0000-0000D38B0000}"/>
    <cellStyle name="Porcentual 6 2 2 2 2 6" xfId="20051" xr:uid="{00000000-0005-0000-0000-0000D48B0000}"/>
    <cellStyle name="Porcentual 6 2 2 2 3" xfId="3108" xr:uid="{00000000-0005-0000-0000-0000D58B0000}"/>
    <cellStyle name="Porcentual 6 2 2 2 3 2" xfId="7677" xr:uid="{00000000-0005-0000-0000-0000D68B0000}"/>
    <cellStyle name="Porcentual 6 2 2 2 3 2 2" xfId="16777" xr:uid="{00000000-0005-0000-0000-0000D78B0000}"/>
    <cellStyle name="Porcentual 6 2 2 2 3 2 2 2" xfId="34959" xr:uid="{00000000-0005-0000-0000-0000D88B0000}"/>
    <cellStyle name="Porcentual 6 2 2 2 3 2 3" xfId="25869" xr:uid="{00000000-0005-0000-0000-0000D98B0000}"/>
    <cellStyle name="Porcentual 6 2 2 2 3 3" xfId="12239" xr:uid="{00000000-0005-0000-0000-0000DA8B0000}"/>
    <cellStyle name="Porcentual 6 2 2 2 3 3 2" xfId="30421" xr:uid="{00000000-0005-0000-0000-0000DB8B0000}"/>
    <cellStyle name="Porcentual 6 2 2 2 3 4" xfId="21331" xr:uid="{00000000-0005-0000-0000-0000DC8B0000}"/>
    <cellStyle name="Porcentual 6 2 2 2 4" xfId="4755" xr:uid="{00000000-0005-0000-0000-0000DD8B0000}"/>
    <cellStyle name="Porcentual 6 2 2 2 4 2" xfId="9311" xr:uid="{00000000-0005-0000-0000-0000DE8B0000}"/>
    <cellStyle name="Porcentual 6 2 2 2 4 2 2" xfId="18407" xr:uid="{00000000-0005-0000-0000-0000DF8B0000}"/>
    <cellStyle name="Porcentual 6 2 2 2 4 2 2 2" xfId="36589" xr:uid="{00000000-0005-0000-0000-0000E08B0000}"/>
    <cellStyle name="Porcentual 6 2 2 2 4 2 3" xfId="27499" xr:uid="{00000000-0005-0000-0000-0000E18B0000}"/>
    <cellStyle name="Porcentual 6 2 2 2 4 3" xfId="13866" xr:uid="{00000000-0005-0000-0000-0000E28B0000}"/>
    <cellStyle name="Porcentual 6 2 2 2 4 3 2" xfId="32048" xr:uid="{00000000-0005-0000-0000-0000E38B0000}"/>
    <cellStyle name="Porcentual 6 2 2 2 4 4" xfId="22958" xr:uid="{00000000-0005-0000-0000-0000E48B0000}"/>
    <cellStyle name="Porcentual 6 2 2 2 5" xfId="6393" xr:uid="{00000000-0005-0000-0000-0000E58B0000}"/>
    <cellStyle name="Porcentual 6 2 2 2 5 2" xfId="15493" xr:uid="{00000000-0005-0000-0000-0000E68B0000}"/>
    <cellStyle name="Porcentual 6 2 2 2 5 2 2" xfId="33675" xr:uid="{00000000-0005-0000-0000-0000E78B0000}"/>
    <cellStyle name="Porcentual 6 2 2 2 5 3" xfId="24585" xr:uid="{00000000-0005-0000-0000-0000E88B0000}"/>
    <cellStyle name="Porcentual 6 2 2 2 6" xfId="10959" xr:uid="{00000000-0005-0000-0000-0000E98B0000}"/>
    <cellStyle name="Porcentual 6 2 2 2 6 2" xfId="29141" xr:uid="{00000000-0005-0000-0000-0000EA8B0000}"/>
    <cellStyle name="Porcentual 6 2 2 2 7" xfId="20050" xr:uid="{00000000-0005-0000-0000-0000EB8B0000}"/>
    <cellStyle name="Porcentual 6 2 2 3" xfId="1760" xr:uid="{00000000-0005-0000-0000-0000EC8B0000}"/>
    <cellStyle name="Porcentual 6 2 2 3 2" xfId="3109" xr:uid="{00000000-0005-0000-0000-0000ED8B0000}"/>
    <cellStyle name="Porcentual 6 2 2 3 2 2" xfId="7678" xr:uid="{00000000-0005-0000-0000-0000EE8B0000}"/>
    <cellStyle name="Porcentual 6 2 2 3 2 2 2" xfId="16778" xr:uid="{00000000-0005-0000-0000-0000EF8B0000}"/>
    <cellStyle name="Porcentual 6 2 2 3 2 2 2 2" xfId="34960" xr:uid="{00000000-0005-0000-0000-0000F08B0000}"/>
    <cellStyle name="Porcentual 6 2 2 3 2 2 3" xfId="25870" xr:uid="{00000000-0005-0000-0000-0000F18B0000}"/>
    <cellStyle name="Porcentual 6 2 2 3 2 3" xfId="12240" xr:uid="{00000000-0005-0000-0000-0000F28B0000}"/>
    <cellStyle name="Porcentual 6 2 2 3 2 3 2" xfId="30422" xr:uid="{00000000-0005-0000-0000-0000F38B0000}"/>
    <cellStyle name="Porcentual 6 2 2 3 2 4" xfId="21332" xr:uid="{00000000-0005-0000-0000-0000F48B0000}"/>
    <cellStyle name="Porcentual 6 2 2 3 3" xfId="4757" xr:uid="{00000000-0005-0000-0000-0000F58B0000}"/>
    <cellStyle name="Porcentual 6 2 2 3 3 2" xfId="9313" xr:uid="{00000000-0005-0000-0000-0000F68B0000}"/>
    <cellStyle name="Porcentual 6 2 2 3 3 2 2" xfId="18409" xr:uid="{00000000-0005-0000-0000-0000F78B0000}"/>
    <cellStyle name="Porcentual 6 2 2 3 3 2 2 2" xfId="36591" xr:uid="{00000000-0005-0000-0000-0000F88B0000}"/>
    <cellStyle name="Porcentual 6 2 2 3 3 2 3" xfId="27501" xr:uid="{00000000-0005-0000-0000-0000F98B0000}"/>
    <cellStyle name="Porcentual 6 2 2 3 3 3" xfId="13868" xr:uid="{00000000-0005-0000-0000-0000FA8B0000}"/>
    <cellStyle name="Porcentual 6 2 2 3 3 3 2" xfId="32050" xr:uid="{00000000-0005-0000-0000-0000FB8B0000}"/>
    <cellStyle name="Porcentual 6 2 2 3 3 4" xfId="22960" xr:uid="{00000000-0005-0000-0000-0000FC8B0000}"/>
    <cellStyle name="Porcentual 6 2 2 3 4" xfId="6395" xr:uid="{00000000-0005-0000-0000-0000FD8B0000}"/>
    <cellStyle name="Porcentual 6 2 2 3 4 2" xfId="15495" xr:uid="{00000000-0005-0000-0000-0000FE8B0000}"/>
    <cellStyle name="Porcentual 6 2 2 3 4 2 2" xfId="33677" xr:uid="{00000000-0005-0000-0000-0000FF8B0000}"/>
    <cellStyle name="Porcentual 6 2 2 3 4 3" xfId="24587" xr:uid="{00000000-0005-0000-0000-0000008C0000}"/>
    <cellStyle name="Porcentual 6 2 2 3 5" xfId="10961" xr:uid="{00000000-0005-0000-0000-0000018C0000}"/>
    <cellStyle name="Porcentual 6 2 2 3 5 2" xfId="29143" xr:uid="{00000000-0005-0000-0000-0000028C0000}"/>
    <cellStyle name="Porcentual 6 2 2 3 6" xfId="20052" xr:uid="{00000000-0005-0000-0000-0000038C0000}"/>
    <cellStyle name="Porcentual 6 2 2 4" xfId="1761" xr:uid="{00000000-0005-0000-0000-0000048C0000}"/>
    <cellStyle name="Porcentual 6 2 2 4 2" xfId="4758" xr:uid="{00000000-0005-0000-0000-0000058C0000}"/>
    <cellStyle name="Porcentual 6 2 2 4 2 2" xfId="9314" xr:uid="{00000000-0005-0000-0000-0000068C0000}"/>
    <cellStyle name="Porcentual 6 2 2 4 2 2 2" xfId="18410" xr:uid="{00000000-0005-0000-0000-0000078C0000}"/>
    <cellStyle name="Porcentual 6 2 2 4 2 2 2 2" xfId="36592" xr:uid="{00000000-0005-0000-0000-0000088C0000}"/>
    <cellStyle name="Porcentual 6 2 2 4 2 2 3" xfId="27502" xr:uid="{00000000-0005-0000-0000-0000098C0000}"/>
    <cellStyle name="Porcentual 6 2 2 4 2 3" xfId="13869" xr:uid="{00000000-0005-0000-0000-00000A8C0000}"/>
    <cellStyle name="Porcentual 6 2 2 4 2 3 2" xfId="32051" xr:uid="{00000000-0005-0000-0000-00000B8C0000}"/>
    <cellStyle name="Porcentual 6 2 2 4 2 4" xfId="22961" xr:uid="{00000000-0005-0000-0000-00000C8C0000}"/>
    <cellStyle name="Porcentual 6 2 2 4 3" xfId="6396" xr:uid="{00000000-0005-0000-0000-00000D8C0000}"/>
    <cellStyle name="Porcentual 6 2 2 4 3 2" xfId="15496" xr:uid="{00000000-0005-0000-0000-00000E8C0000}"/>
    <cellStyle name="Porcentual 6 2 2 4 3 2 2" xfId="33678" xr:uid="{00000000-0005-0000-0000-00000F8C0000}"/>
    <cellStyle name="Porcentual 6 2 2 4 3 3" xfId="24588" xr:uid="{00000000-0005-0000-0000-0000108C0000}"/>
    <cellStyle name="Porcentual 6 2 2 4 4" xfId="10962" xr:uid="{00000000-0005-0000-0000-0000118C0000}"/>
    <cellStyle name="Porcentual 6 2 2 4 4 2" xfId="29144" xr:uid="{00000000-0005-0000-0000-0000128C0000}"/>
    <cellStyle name="Porcentual 6 2 2 4 5" xfId="20053" xr:uid="{00000000-0005-0000-0000-0000138C0000}"/>
    <cellStyle name="Porcentual 6 2 2 5" xfId="3110" xr:uid="{00000000-0005-0000-0000-0000148C0000}"/>
    <cellStyle name="Porcentual 6 2 2 6" xfId="4754" xr:uid="{00000000-0005-0000-0000-0000158C0000}"/>
    <cellStyle name="Porcentual 6 2 2 6 2" xfId="9310" xr:uid="{00000000-0005-0000-0000-0000168C0000}"/>
    <cellStyle name="Porcentual 6 2 2 6 2 2" xfId="18406" xr:uid="{00000000-0005-0000-0000-0000178C0000}"/>
    <cellStyle name="Porcentual 6 2 2 6 2 2 2" xfId="36588" xr:uid="{00000000-0005-0000-0000-0000188C0000}"/>
    <cellStyle name="Porcentual 6 2 2 6 2 3" xfId="27498" xr:uid="{00000000-0005-0000-0000-0000198C0000}"/>
    <cellStyle name="Porcentual 6 2 2 6 3" xfId="13865" xr:uid="{00000000-0005-0000-0000-00001A8C0000}"/>
    <cellStyle name="Porcentual 6 2 2 6 3 2" xfId="32047" xr:uid="{00000000-0005-0000-0000-00001B8C0000}"/>
    <cellStyle name="Porcentual 6 2 2 6 4" xfId="22957" xr:uid="{00000000-0005-0000-0000-00001C8C0000}"/>
    <cellStyle name="Porcentual 6 2 2 7" xfId="6392" xr:uid="{00000000-0005-0000-0000-00001D8C0000}"/>
    <cellStyle name="Porcentual 6 2 2 7 2" xfId="15492" xr:uid="{00000000-0005-0000-0000-00001E8C0000}"/>
    <cellStyle name="Porcentual 6 2 2 7 2 2" xfId="33674" xr:uid="{00000000-0005-0000-0000-00001F8C0000}"/>
    <cellStyle name="Porcentual 6 2 2 7 3" xfId="24584" xr:uid="{00000000-0005-0000-0000-0000208C0000}"/>
    <cellStyle name="Porcentual 6 2 2 8" xfId="10958" xr:uid="{00000000-0005-0000-0000-0000218C0000}"/>
    <cellStyle name="Porcentual 6 2 2 8 2" xfId="29140" xr:uid="{00000000-0005-0000-0000-0000228C0000}"/>
    <cellStyle name="Porcentual 6 2 2 9" xfId="20049" xr:uid="{00000000-0005-0000-0000-0000238C0000}"/>
    <cellStyle name="Porcentual 6 2 3" xfId="1762" xr:uid="{00000000-0005-0000-0000-0000248C0000}"/>
    <cellStyle name="Porcentual 6 2 3 2" xfId="1763" xr:uid="{00000000-0005-0000-0000-0000258C0000}"/>
    <cellStyle name="Porcentual 6 2 3 2 2" xfId="3111" xr:uid="{00000000-0005-0000-0000-0000268C0000}"/>
    <cellStyle name="Porcentual 6 2 3 2 2 2" xfId="7679" xr:uid="{00000000-0005-0000-0000-0000278C0000}"/>
    <cellStyle name="Porcentual 6 2 3 2 2 2 2" xfId="16779" xr:uid="{00000000-0005-0000-0000-0000288C0000}"/>
    <cellStyle name="Porcentual 6 2 3 2 2 2 2 2" xfId="34961" xr:uid="{00000000-0005-0000-0000-0000298C0000}"/>
    <cellStyle name="Porcentual 6 2 3 2 2 2 3" xfId="25871" xr:uid="{00000000-0005-0000-0000-00002A8C0000}"/>
    <cellStyle name="Porcentual 6 2 3 2 2 3" xfId="12241" xr:uid="{00000000-0005-0000-0000-00002B8C0000}"/>
    <cellStyle name="Porcentual 6 2 3 2 2 3 2" xfId="30423" xr:uid="{00000000-0005-0000-0000-00002C8C0000}"/>
    <cellStyle name="Porcentual 6 2 3 2 2 4" xfId="21333" xr:uid="{00000000-0005-0000-0000-00002D8C0000}"/>
    <cellStyle name="Porcentual 6 2 3 2 3" xfId="4760" xr:uid="{00000000-0005-0000-0000-00002E8C0000}"/>
    <cellStyle name="Porcentual 6 2 3 2 3 2" xfId="9316" xr:uid="{00000000-0005-0000-0000-00002F8C0000}"/>
    <cellStyle name="Porcentual 6 2 3 2 3 2 2" xfId="18412" xr:uid="{00000000-0005-0000-0000-0000308C0000}"/>
    <cellStyle name="Porcentual 6 2 3 2 3 2 2 2" xfId="36594" xr:uid="{00000000-0005-0000-0000-0000318C0000}"/>
    <cellStyle name="Porcentual 6 2 3 2 3 2 3" xfId="27504" xr:uid="{00000000-0005-0000-0000-0000328C0000}"/>
    <cellStyle name="Porcentual 6 2 3 2 3 3" xfId="13871" xr:uid="{00000000-0005-0000-0000-0000338C0000}"/>
    <cellStyle name="Porcentual 6 2 3 2 3 3 2" xfId="32053" xr:uid="{00000000-0005-0000-0000-0000348C0000}"/>
    <cellStyle name="Porcentual 6 2 3 2 3 4" xfId="22963" xr:uid="{00000000-0005-0000-0000-0000358C0000}"/>
    <cellStyle name="Porcentual 6 2 3 2 4" xfId="6398" xr:uid="{00000000-0005-0000-0000-0000368C0000}"/>
    <cellStyle name="Porcentual 6 2 3 2 4 2" xfId="15498" xr:uid="{00000000-0005-0000-0000-0000378C0000}"/>
    <cellStyle name="Porcentual 6 2 3 2 4 2 2" xfId="33680" xr:uid="{00000000-0005-0000-0000-0000388C0000}"/>
    <cellStyle name="Porcentual 6 2 3 2 4 3" xfId="24590" xr:uid="{00000000-0005-0000-0000-0000398C0000}"/>
    <cellStyle name="Porcentual 6 2 3 2 5" xfId="10964" xr:uid="{00000000-0005-0000-0000-00003A8C0000}"/>
    <cellStyle name="Porcentual 6 2 3 2 5 2" xfId="29146" xr:uid="{00000000-0005-0000-0000-00003B8C0000}"/>
    <cellStyle name="Porcentual 6 2 3 2 6" xfId="20055" xr:uid="{00000000-0005-0000-0000-00003C8C0000}"/>
    <cellStyle name="Porcentual 6 2 3 3" xfId="3112" xr:uid="{00000000-0005-0000-0000-00003D8C0000}"/>
    <cellStyle name="Porcentual 6 2 3 3 2" xfId="7680" xr:uid="{00000000-0005-0000-0000-00003E8C0000}"/>
    <cellStyle name="Porcentual 6 2 3 3 2 2" xfId="16780" xr:uid="{00000000-0005-0000-0000-00003F8C0000}"/>
    <cellStyle name="Porcentual 6 2 3 3 2 2 2" xfId="34962" xr:uid="{00000000-0005-0000-0000-0000408C0000}"/>
    <cellStyle name="Porcentual 6 2 3 3 2 3" xfId="25872" xr:uid="{00000000-0005-0000-0000-0000418C0000}"/>
    <cellStyle name="Porcentual 6 2 3 3 3" xfId="12242" xr:uid="{00000000-0005-0000-0000-0000428C0000}"/>
    <cellStyle name="Porcentual 6 2 3 3 3 2" xfId="30424" xr:uid="{00000000-0005-0000-0000-0000438C0000}"/>
    <cellStyle name="Porcentual 6 2 3 3 4" xfId="21334" xr:uid="{00000000-0005-0000-0000-0000448C0000}"/>
    <cellStyle name="Porcentual 6 2 3 4" xfId="4759" xr:uid="{00000000-0005-0000-0000-0000458C0000}"/>
    <cellStyle name="Porcentual 6 2 3 4 2" xfId="9315" xr:uid="{00000000-0005-0000-0000-0000468C0000}"/>
    <cellStyle name="Porcentual 6 2 3 4 2 2" xfId="18411" xr:uid="{00000000-0005-0000-0000-0000478C0000}"/>
    <cellStyle name="Porcentual 6 2 3 4 2 2 2" xfId="36593" xr:uid="{00000000-0005-0000-0000-0000488C0000}"/>
    <cellStyle name="Porcentual 6 2 3 4 2 3" xfId="27503" xr:uid="{00000000-0005-0000-0000-0000498C0000}"/>
    <cellStyle name="Porcentual 6 2 3 4 3" xfId="13870" xr:uid="{00000000-0005-0000-0000-00004A8C0000}"/>
    <cellStyle name="Porcentual 6 2 3 4 3 2" xfId="32052" xr:uid="{00000000-0005-0000-0000-00004B8C0000}"/>
    <cellStyle name="Porcentual 6 2 3 4 4" xfId="22962" xr:uid="{00000000-0005-0000-0000-00004C8C0000}"/>
    <cellStyle name="Porcentual 6 2 3 5" xfId="6397" xr:uid="{00000000-0005-0000-0000-00004D8C0000}"/>
    <cellStyle name="Porcentual 6 2 3 5 2" xfId="15497" xr:uid="{00000000-0005-0000-0000-00004E8C0000}"/>
    <cellStyle name="Porcentual 6 2 3 5 2 2" xfId="33679" xr:uid="{00000000-0005-0000-0000-00004F8C0000}"/>
    <cellStyle name="Porcentual 6 2 3 5 3" xfId="24589" xr:uid="{00000000-0005-0000-0000-0000508C0000}"/>
    <cellStyle name="Porcentual 6 2 3 6" xfId="10963" xr:uid="{00000000-0005-0000-0000-0000518C0000}"/>
    <cellStyle name="Porcentual 6 2 3 6 2" xfId="29145" xr:uid="{00000000-0005-0000-0000-0000528C0000}"/>
    <cellStyle name="Porcentual 6 2 3 7" xfId="20054" xr:uid="{00000000-0005-0000-0000-0000538C0000}"/>
    <cellStyle name="Porcentual 6 2 4" xfId="1764" xr:uid="{00000000-0005-0000-0000-0000548C0000}"/>
    <cellStyle name="Porcentual 6 2 4 2" xfId="3113" xr:uid="{00000000-0005-0000-0000-0000558C0000}"/>
    <cellStyle name="Porcentual 6 2 4 2 2" xfId="7681" xr:uid="{00000000-0005-0000-0000-0000568C0000}"/>
    <cellStyle name="Porcentual 6 2 4 2 2 2" xfId="16781" xr:uid="{00000000-0005-0000-0000-0000578C0000}"/>
    <cellStyle name="Porcentual 6 2 4 2 2 2 2" xfId="34963" xr:uid="{00000000-0005-0000-0000-0000588C0000}"/>
    <cellStyle name="Porcentual 6 2 4 2 2 3" xfId="25873" xr:uid="{00000000-0005-0000-0000-0000598C0000}"/>
    <cellStyle name="Porcentual 6 2 4 2 3" xfId="12243" xr:uid="{00000000-0005-0000-0000-00005A8C0000}"/>
    <cellStyle name="Porcentual 6 2 4 2 3 2" xfId="30425" xr:uid="{00000000-0005-0000-0000-00005B8C0000}"/>
    <cellStyle name="Porcentual 6 2 4 2 4" xfId="21335" xr:uid="{00000000-0005-0000-0000-00005C8C0000}"/>
    <cellStyle name="Porcentual 6 2 4 3" xfId="4761" xr:uid="{00000000-0005-0000-0000-00005D8C0000}"/>
    <cellStyle name="Porcentual 6 2 4 3 2" xfId="9317" xr:uid="{00000000-0005-0000-0000-00005E8C0000}"/>
    <cellStyle name="Porcentual 6 2 4 3 2 2" xfId="18413" xr:uid="{00000000-0005-0000-0000-00005F8C0000}"/>
    <cellStyle name="Porcentual 6 2 4 3 2 2 2" xfId="36595" xr:uid="{00000000-0005-0000-0000-0000608C0000}"/>
    <cellStyle name="Porcentual 6 2 4 3 2 3" xfId="27505" xr:uid="{00000000-0005-0000-0000-0000618C0000}"/>
    <cellStyle name="Porcentual 6 2 4 3 3" xfId="13872" xr:uid="{00000000-0005-0000-0000-0000628C0000}"/>
    <cellStyle name="Porcentual 6 2 4 3 3 2" xfId="32054" xr:uid="{00000000-0005-0000-0000-0000638C0000}"/>
    <cellStyle name="Porcentual 6 2 4 3 4" xfId="22964" xr:uid="{00000000-0005-0000-0000-0000648C0000}"/>
    <cellStyle name="Porcentual 6 2 4 4" xfId="6399" xr:uid="{00000000-0005-0000-0000-0000658C0000}"/>
    <cellStyle name="Porcentual 6 2 4 4 2" xfId="15499" xr:uid="{00000000-0005-0000-0000-0000668C0000}"/>
    <cellStyle name="Porcentual 6 2 4 4 2 2" xfId="33681" xr:uid="{00000000-0005-0000-0000-0000678C0000}"/>
    <cellStyle name="Porcentual 6 2 4 4 3" xfId="24591" xr:uid="{00000000-0005-0000-0000-0000688C0000}"/>
    <cellStyle name="Porcentual 6 2 4 5" xfId="10965" xr:uid="{00000000-0005-0000-0000-0000698C0000}"/>
    <cellStyle name="Porcentual 6 2 4 5 2" xfId="29147" xr:uid="{00000000-0005-0000-0000-00006A8C0000}"/>
    <cellStyle name="Porcentual 6 2 4 6" xfId="20056" xr:uid="{00000000-0005-0000-0000-00006B8C0000}"/>
    <cellStyle name="Porcentual 6 2 5" xfId="1765" xr:uid="{00000000-0005-0000-0000-00006C8C0000}"/>
    <cellStyle name="Porcentual 6 2 5 2" xfId="4762" xr:uid="{00000000-0005-0000-0000-00006D8C0000}"/>
    <cellStyle name="Porcentual 6 2 5 2 2" xfId="9318" xr:uid="{00000000-0005-0000-0000-00006E8C0000}"/>
    <cellStyle name="Porcentual 6 2 5 2 2 2" xfId="18414" xr:uid="{00000000-0005-0000-0000-00006F8C0000}"/>
    <cellStyle name="Porcentual 6 2 5 2 2 2 2" xfId="36596" xr:uid="{00000000-0005-0000-0000-0000708C0000}"/>
    <cellStyle name="Porcentual 6 2 5 2 2 3" xfId="27506" xr:uid="{00000000-0005-0000-0000-0000718C0000}"/>
    <cellStyle name="Porcentual 6 2 5 2 3" xfId="13873" xr:uid="{00000000-0005-0000-0000-0000728C0000}"/>
    <cellStyle name="Porcentual 6 2 5 2 3 2" xfId="32055" xr:uid="{00000000-0005-0000-0000-0000738C0000}"/>
    <cellStyle name="Porcentual 6 2 5 2 4" xfId="22965" xr:uid="{00000000-0005-0000-0000-0000748C0000}"/>
    <cellStyle name="Porcentual 6 2 5 3" xfId="6400" xr:uid="{00000000-0005-0000-0000-0000758C0000}"/>
    <cellStyle name="Porcentual 6 2 5 3 2" xfId="15500" xr:uid="{00000000-0005-0000-0000-0000768C0000}"/>
    <cellStyle name="Porcentual 6 2 5 3 2 2" xfId="33682" xr:uid="{00000000-0005-0000-0000-0000778C0000}"/>
    <cellStyle name="Porcentual 6 2 5 3 3" xfId="24592" xr:uid="{00000000-0005-0000-0000-0000788C0000}"/>
    <cellStyle name="Porcentual 6 2 5 4" xfId="10966" xr:uid="{00000000-0005-0000-0000-0000798C0000}"/>
    <cellStyle name="Porcentual 6 2 5 4 2" xfId="29148" xr:uid="{00000000-0005-0000-0000-00007A8C0000}"/>
    <cellStyle name="Porcentual 6 2 5 5" xfId="20057" xr:uid="{00000000-0005-0000-0000-00007B8C0000}"/>
    <cellStyle name="Porcentual 6 2 6" xfId="3114" xr:uid="{00000000-0005-0000-0000-00007C8C0000}"/>
    <cellStyle name="Porcentual 6 2 6 2" xfId="7682" xr:uid="{00000000-0005-0000-0000-00007D8C0000}"/>
    <cellStyle name="Porcentual 6 2 6 2 2" xfId="16782" xr:uid="{00000000-0005-0000-0000-00007E8C0000}"/>
    <cellStyle name="Porcentual 6 2 6 2 2 2" xfId="34964" xr:uid="{00000000-0005-0000-0000-00007F8C0000}"/>
    <cellStyle name="Porcentual 6 2 6 2 3" xfId="25874" xr:uid="{00000000-0005-0000-0000-0000808C0000}"/>
    <cellStyle name="Porcentual 6 2 6 3" xfId="12244" xr:uid="{00000000-0005-0000-0000-0000818C0000}"/>
    <cellStyle name="Porcentual 6 2 6 3 2" xfId="30426" xr:uid="{00000000-0005-0000-0000-0000828C0000}"/>
    <cellStyle name="Porcentual 6 2 6 4" xfId="21336" xr:uid="{00000000-0005-0000-0000-0000838C0000}"/>
    <cellStyle name="Porcentual 6 2 7" xfId="4753" xr:uid="{00000000-0005-0000-0000-0000848C0000}"/>
    <cellStyle name="Porcentual 6 2 7 2" xfId="9309" xr:uid="{00000000-0005-0000-0000-0000858C0000}"/>
    <cellStyle name="Porcentual 6 2 7 2 2" xfId="18405" xr:uid="{00000000-0005-0000-0000-0000868C0000}"/>
    <cellStyle name="Porcentual 6 2 7 2 2 2" xfId="36587" xr:uid="{00000000-0005-0000-0000-0000878C0000}"/>
    <cellStyle name="Porcentual 6 2 7 2 3" xfId="27497" xr:uid="{00000000-0005-0000-0000-0000888C0000}"/>
    <cellStyle name="Porcentual 6 2 7 3" xfId="13864" xr:uid="{00000000-0005-0000-0000-0000898C0000}"/>
    <cellStyle name="Porcentual 6 2 7 3 2" xfId="32046" xr:uid="{00000000-0005-0000-0000-00008A8C0000}"/>
    <cellStyle name="Porcentual 6 2 7 4" xfId="22956" xr:uid="{00000000-0005-0000-0000-00008B8C0000}"/>
    <cellStyle name="Porcentual 6 2 8" xfId="6391" xr:uid="{00000000-0005-0000-0000-00008C8C0000}"/>
    <cellStyle name="Porcentual 6 2 8 2" xfId="15491" xr:uid="{00000000-0005-0000-0000-00008D8C0000}"/>
    <cellStyle name="Porcentual 6 2 8 2 2" xfId="33673" xr:uid="{00000000-0005-0000-0000-00008E8C0000}"/>
    <cellStyle name="Porcentual 6 2 8 3" xfId="24583" xr:uid="{00000000-0005-0000-0000-00008F8C0000}"/>
    <cellStyle name="Porcentual 6 2 9" xfId="10957" xr:uid="{00000000-0005-0000-0000-0000908C0000}"/>
    <cellStyle name="Porcentual 6 2 9 2" xfId="29139" xr:uid="{00000000-0005-0000-0000-0000918C0000}"/>
    <cellStyle name="Porcentual 6 3" xfId="1766" xr:uid="{00000000-0005-0000-0000-0000928C0000}"/>
    <cellStyle name="Porcentual 6 3 2" xfId="1767" xr:uid="{00000000-0005-0000-0000-0000938C0000}"/>
    <cellStyle name="Porcentual 6 3 2 2" xfId="1768" xr:uid="{00000000-0005-0000-0000-0000948C0000}"/>
    <cellStyle name="Porcentual 6 3 2 2 2" xfId="3115" xr:uid="{00000000-0005-0000-0000-0000958C0000}"/>
    <cellStyle name="Porcentual 6 3 2 2 2 2" xfId="7683" xr:uid="{00000000-0005-0000-0000-0000968C0000}"/>
    <cellStyle name="Porcentual 6 3 2 2 2 2 2" xfId="16783" xr:uid="{00000000-0005-0000-0000-0000978C0000}"/>
    <cellStyle name="Porcentual 6 3 2 2 2 2 2 2" xfId="34965" xr:uid="{00000000-0005-0000-0000-0000988C0000}"/>
    <cellStyle name="Porcentual 6 3 2 2 2 2 3" xfId="25875" xr:uid="{00000000-0005-0000-0000-0000998C0000}"/>
    <cellStyle name="Porcentual 6 3 2 2 2 3" xfId="12245" xr:uid="{00000000-0005-0000-0000-00009A8C0000}"/>
    <cellStyle name="Porcentual 6 3 2 2 2 3 2" xfId="30427" xr:uid="{00000000-0005-0000-0000-00009B8C0000}"/>
    <cellStyle name="Porcentual 6 3 2 2 2 4" xfId="21337" xr:uid="{00000000-0005-0000-0000-00009C8C0000}"/>
    <cellStyle name="Porcentual 6 3 2 2 3" xfId="4765" xr:uid="{00000000-0005-0000-0000-00009D8C0000}"/>
    <cellStyle name="Porcentual 6 3 2 2 3 2" xfId="9321" xr:uid="{00000000-0005-0000-0000-00009E8C0000}"/>
    <cellStyle name="Porcentual 6 3 2 2 3 2 2" xfId="18417" xr:uid="{00000000-0005-0000-0000-00009F8C0000}"/>
    <cellStyle name="Porcentual 6 3 2 2 3 2 2 2" xfId="36599" xr:uid="{00000000-0005-0000-0000-0000A08C0000}"/>
    <cellStyle name="Porcentual 6 3 2 2 3 2 3" xfId="27509" xr:uid="{00000000-0005-0000-0000-0000A18C0000}"/>
    <cellStyle name="Porcentual 6 3 2 2 3 3" xfId="13876" xr:uid="{00000000-0005-0000-0000-0000A28C0000}"/>
    <cellStyle name="Porcentual 6 3 2 2 3 3 2" xfId="32058" xr:uid="{00000000-0005-0000-0000-0000A38C0000}"/>
    <cellStyle name="Porcentual 6 3 2 2 3 4" xfId="22968" xr:uid="{00000000-0005-0000-0000-0000A48C0000}"/>
    <cellStyle name="Porcentual 6 3 2 2 4" xfId="6403" xr:uid="{00000000-0005-0000-0000-0000A58C0000}"/>
    <cellStyle name="Porcentual 6 3 2 2 4 2" xfId="15503" xr:uid="{00000000-0005-0000-0000-0000A68C0000}"/>
    <cellStyle name="Porcentual 6 3 2 2 4 2 2" xfId="33685" xr:uid="{00000000-0005-0000-0000-0000A78C0000}"/>
    <cellStyle name="Porcentual 6 3 2 2 4 3" xfId="24595" xr:uid="{00000000-0005-0000-0000-0000A88C0000}"/>
    <cellStyle name="Porcentual 6 3 2 2 5" xfId="10969" xr:uid="{00000000-0005-0000-0000-0000A98C0000}"/>
    <cellStyle name="Porcentual 6 3 2 2 5 2" xfId="29151" xr:uid="{00000000-0005-0000-0000-0000AA8C0000}"/>
    <cellStyle name="Porcentual 6 3 2 2 6" xfId="20060" xr:uid="{00000000-0005-0000-0000-0000AB8C0000}"/>
    <cellStyle name="Porcentual 6 3 2 3" xfId="3116" xr:uid="{00000000-0005-0000-0000-0000AC8C0000}"/>
    <cellStyle name="Porcentual 6 3 2 3 2" xfId="7684" xr:uid="{00000000-0005-0000-0000-0000AD8C0000}"/>
    <cellStyle name="Porcentual 6 3 2 3 2 2" xfId="16784" xr:uid="{00000000-0005-0000-0000-0000AE8C0000}"/>
    <cellStyle name="Porcentual 6 3 2 3 2 2 2" xfId="34966" xr:uid="{00000000-0005-0000-0000-0000AF8C0000}"/>
    <cellStyle name="Porcentual 6 3 2 3 2 3" xfId="25876" xr:uid="{00000000-0005-0000-0000-0000B08C0000}"/>
    <cellStyle name="Porcentual 6 3 2 3 3" xfId="12246" xr:uid="{00000000-0005-0000-0000-0000B18C0000}"/>
    <cellStyle name="Porcentual 6 3 2 3 3 2" xfId="30428" xr:uid="{00000000-0005-0000-0000-0000B28C0000}"/>
    <cellStyle name="Porcentual 6 3 2 3 4" xfId="21338" xr:uid="{00000000-0005-0000-0000-0000B38C0000}"/>
    <cellStyle name="Porcentual 6 3 2 4" xfId="4764" xr:uid="{00000000-0005-0000-0000-0000B48C0000}"/>
    <cellStyle name="Porcentual 6 3 2 4 2" xfId="9320" xr:uid="{00000000-0005-0000-0000-0000B58C0000}"/>
    <cellStyle name="Porcentual 6 3 2 4 2 2" xfId="18416" xr:uid="{00000000-0005-0000-0000-0000B68C0000}"/>
    <cellStyle name="Porcentual 6 3 2 4 2 2 2" xfId="36598" xr:uid="{00000000-0005-0000-0000-0000B78C0000}"/>
    <cellStyle name="Porcentual 6 3 2 4 2 3" xfId="27508" xr:uid="{00000000-0005-0000-0000-0000B88C0000}"/>
    <cellStyle name="Porcentual 6 3 2 4 3" xfId="13875" xr:uid="{00000000-0005-0000-0000-0000B98C0000}"/>
    <cellStyle name="Porcentual 6 3 2 4 3 2" xfId="32057" xr:uid="{00000000-0005-0000-0000-0000BA8C0000}"/>
    <cellStyle name="Porcentual 6 3 2 4 4" xfId="22967" xr:uid="{00000000-0005-0000-0000-0000BB8C0000}"/>
    <cellStyle name="Porcentual 6 3 2 5" xfId="6402" xr:uid="{00000000-0005-0000-0000-0000BC8C0000}"/>
    <cellStyle name="Porcentual 6 3 2 5 2" xfId="15502" xr:uid="{00000000-0005-0000-0000-0000BD8C0000}"/>
    <cellStyle name="Porcentual 6 3 2 5 2 2" xfId="33684" xr:uid="{00000000-0005-0000-0000-0000BE8C0000}"/>
    <cellStyle name="Porcentual 6 3 2 5 3" xfId="24594" xr:uid="{00000000-0005-0000-0000-0000BF8C0000}"/>
    <cellStyle name="Porcentual 6 3 2 6" xfId="10968" xr:uid="{00000000-0005-0000-0000-0000C08C0000}"/>
    <cellStyle name="Porcentual 6 3 2 6 2" xfId="29150" xr:uid="{00000000-0005-0000-0000-0000C18C0000}"/>
    <cellStyle name="Porcentual 6 3 2 7" xfId="20059" xr:uid="{00000000-0005-0000-0000-0000C28C0000}"/>
    <cellStyle name="Porcentual 6 3 3" xfId="1769" xr:uid="{00000000-0005-0000-0000-0000C38C0000}"/>
    <cellStyle name="Porcentual 6 3 3 2" xfId="3117" xr:uid="{00000000-0005-0000-0000-0000C48C0000}"/>
    <cellStyle name="Porcentual 6 3 3 2 2" xfId="7685" xr:uid="{00000000-0005-0000-0000-0000C58C0000}"/>
    <cellStyle name="Porcentual 6 3 3 2 2 2" xfId="16785" xr:uid="{00000000-0005-0000-0000-0000C68C0000}"/>
    <cellStyle name="Porcentual 6 3 3 2 2 2 2" xfId="34967" xr:uid="{00000000-0005-0000-0000-0000C78C0000}"/>
    <cellStyle name="Porcentual 6 3 3 2 2 3" xfId="25877" xr:uid="{00000000-0005-0000-0000-0000C88C0000}"/>
    <cellStyle name="Porcentual 6 3 3 2 3" xfId="12247" xr:uid="{00000000-0005-0000-0000-0000C98C0000}"/>
    <cellStyle name="Porcentual 6 3 3 2 3 2" xfId="30429" xr:uid="{00000000-0005-0000-0000-0000CA8C0000}"/>
    <cellStyle name="Porcentual 6 3 3 2 4" xfId="21339" xr:uid="{00000000-0005-0000-0000-0000CB8C0000}"/>
    <cellStyle name="Porcentual 6 3 3 3" xfId="4766" xr:uid="{00000000-0005-0000-0000-0000CC8C0000}"/>
    <cellStyle name="Porcentual 6 3 3 3 2" xfId="9322" xr:uid="{00000000-0005-0000-0000-0000CD8C0000}"/>
    <cellStyle name="Porcentual 6 3 3 3 2 2" xfId="18418" xr:uid="{00000000-0005-0000-0000-0000CE8C0000}"/>
    <cellStyle name="Porcentual 6 3 3 3 2 2 2" xfId="36600" xr:uid="{00000000-0005-0000-0000-0000CF8C0000}"/>
    <cellStyle name="Porcentual 6 3 3 3 2 3" xfId="27510" xr:uid="{00000000-0005-0000-0000-0000D08C0000}"/>
    <cellStyle name="Porcentual 6 3 3 3 3" xfId="13877" xr:uid="{00000000-0005-0000-0000-0000D18C0000}"/>
    <cellStyle name="Porcentual 6 3 3 3 3 2" xfId="32059" xr:uid="{00000000-0005-0000-0000-0000D28C0000}"/>
    <cellStyle name="Porcentual 6 3 3 3 4" xfId="22969" xr:uid="{00000000-0005-0000-0000-0000D38C0000}"/>
    <cellStyle name="Porcentual 6 3 3 4" xfId="6404" xr:uid="{00000000-0005-0000-0000-0000D48C0000}"/>
    <cellStyle name="Porcentual 6 3 3 4 2" xfId="15504" xr:uid="{00000000-0005-0000-0000-0000D58C0000}"/>
    <cellStyle name="Porcentual 6 3 3 4 2 2" xfId="33686" xr:uid="{00000000-0005-0000-0000-0000D68C0000}"/>
    <cellStyle name="Porcentual 6 3 3 4 3" xfId="24596" xr:uid="{00000000-0005-0000-0000-0000D78C0000}"/>
    <cellStyle name="Porcentual 6 3 3 5" xfId="10970" xr:uid="{00000000-0005-0000-0000-0000D88C0000}"/>
    <cellStyle name="Porcentual 6 3 3 5 2" xfId="29152" xr:uid="{00000000-0005-0000-0000-0000D98C0000}"/>
    <cellStyle name="Porcentual 6 3 3 6" xfId="20061" xr:uid="{00000000-0005-0000-0000-0000DA8C0000}"/>
    <cellStyle name="Porcentual 6 3 4" xfId="1770" xr:uid="{00000000-0005-0000-0000-0000DB8C0000}"/>
    <cellStyle name="Porcentual 6 3 4 2" xfId="4767" xr:uid="{00000000-0005-0000-0000-0000DC8C0000}"/>
    <cellStyle name="Porcentual 6 3 4 2 2" xfId="9323" xr:uid="{00000000-0005-0000-0000-0000DD8C0000}"/>
    <cellStyle name="Porcentual 6 3 4 2 2 2" xfId="18419" xr:uid="{00000000-0005-0000-0000-0000DE8C0000}"/>
    <cellStyle name="Porcentual 6 3 4 2 2 2 2" xfId="36601" xr:uid="{00000000-0005-0000-0000-0000DF8C0000}"/>
    <cellStyle name="Porcentual 6 3 4 2 2 3" xfId="27511" xr:uid="{00000000-0005-0000-0000-0000E08C0000}"/>
    <cellStyle name="Porcentual 6 3 4 2 3" xfId="13878" xr:uid="{00000000-0005-0000-0000-0000E18C0000}"/>
    <cellStyle name="Porcentual 6 3 4 2 3 2" xfId="32060" xr:uid="{00000000-0005-0000-0000-0000E28C0000}"/>
    <cellStyle name="Porcentual 6 3 4 2 4" xfId="22970" xr:uid="{00000000-0005-0000-0000-0000E38C0000}"/>
    <cellStyle name="Porcentual 6 3 4 3" xfId="6405" xr:uid="{00000000-0005-0000-0000-0000E48C0000}"/>
    <cellStyle name="Porcentual 6 3 4 3 2" xfId="15505" xr:uid="{00000000-0005-0000-0000-0000E58C0000}"/>
    <cellStyle name="Porcentual 6 3 4 3 2 2" xfId="33687" xr:uid="{00000000-0005-0000-0000-0000E68C0000}"/>
    <cellStyle name="Porcentual 6 3 4 3 3" xfId="24597" xr:uid="{00000000-0005-0000-0000-0000E78C0000}"/>
    <cellStyle name="Porcentual 6 3 4 4" xfId="10971" xr:uid="{00000000-0005-0000-0000-0000E88C0000}"/>
    <cellStyle name="Porcentual 6 3 4 4 2" xfId="29153" xr:uid="{00000000-0005-0000-0000-0000E98C0000}"/>
    <cellStyle name="Porcentual 6 3 4 5" xfId="20062" xr:uid="{00000000-0005-0000-0000-0000EA8C0000}"/>
    <cellStyle name="Porcentual 6 3 5" xfId="3118" xr:uid="{00000000-0005-0000-0000-0000EB8C0000}"/>
    <cellStyle name="Porcentual 6 3 6" xfId="4763" xr:uid="{00000000-0005-0000-0000-0000EC8C0000}"/>
    <cellStyle name="Porcentual 6 3 6 2" xfId="9319" xr:uid="{00000000-0005-0000-0000-0000ED8C0000}"/>
    <cellStyle name="Porcentual 6 3 6 2 2" xfId="18415" xr:uid="{00000000-0005-0000-0000-0000EE8C0000}"/>
    <cellStyle name="Porcentual 6 3 6 2 2 2" xfId="36597" xr:uid="{00000000-0005-0000-0000-0000EF8C0000}"/>
    <cellStyle name="Porcentual 6 3 6 2 3" xfId="27507" xr:uid="{00000000-0005-0000-0000-0000F08C0000}"/>
    <cellStyle name="Porcentual 6 3 6 3" xfId="13874" xr:uid="{00000000-0005-0000-0000-0000F18C0000}"/>
    <cellStyle name="Porcentual 6 3 6 3 2" xfId="32056" xr:uid="{00000000-0005-0000-0000-0000F28C0000}"/>
    <cellStyle name="Porcentual 6 3 6 4" xfId="22966" xr:uid="{00000000-0005-0000-0000-0000F38C0000}"/>
    <cellStyle name="Porcentual 6 3 7" xfId="6401" xr:uid="{00000000-0005-0000-0000-0000F48C0000}"/>
    <cellStyle name="Porcentual 6 3 7 2" xfId="15501" xr:uid="{00000000-0005-0000-0000-0000F58C0000}"/>
    <cellStyle name="Porcentual 6 3 7 2 2" xfId="33683" xr:uid="{00000000-0005-0000-0000-0000F68C0000}"/>
    <cellStyle name="Porcentual 6 3 7 3" xfId="24593" xr:uid="{00000000-0005-0000-0000-0000F78C0000}"/>
    <cellStyle name="Porcentual 6 3 8" xfId="10967" xr:uid="{00000000-0005-0000-0000-0000F88C0000}"/>
    <cellStyle name="Porcentual 6 3 8 2" xfId="29149" xr:uid="{00000000-0005-0000-0000-0000F98C0000}"/>
    <cellStyle name="Porcentual 6 3 9" xfId="20058" xr:uid="{00000000-0005-0000-0000-0000FA8C0000}"/>
    <cellStyle name="Porcentual 6 4" xfId="1771" xr:uid="{00000000-0005-0000-0000-0000FB8C0000}"/>
    <cellStyle name="Porcentual 6 4 2" xfId="1772" xr:uid="{00000000-0005-0000-0000-0000FC8C0000}"/>
    <cellStyle name="Porcentual 6 4 2 2" xfId="3119" xr:uid="{00000000-0005-0000-0000-0000FD8C0000}"/>
    <cellStyle name="Porcentual 6 4 2 2 2" xfId="7686" xr:uid="{00000000-0005-0000-0000-0000FE8C0000}"/>
    <cellStyle name="Porcentual 6 4 2 2 2 2" xfId="16786" xr:uid="{00000000-0005-0000-0000-0000FF8C0000}"/>
    <cellStyle name="Porcentual 6 4 2 2 2 2 2" xfId="34968" xr:uid="{00000000-0005-0000-0000-0000008D0000}"/>
    <cellStyle name="Porcentual 6 4 2 2 2 3" xfId="25878" xr:uid="{00000000-0005-0000-0000-0000018D0000}"/>
    <cellStyle name="Porcentual 6 4 2 2 3" xfId="12248" xr:uid="{00000000-0005-0000-0000-0000028D0000}"/>
    <cellStyle name="Porcentual 6 4 2 2 3 2" xfId="30430" xr:uid="{00000000-0005-0000-0000-0000038D0000}"/>
    <cellStyle name="Porcentual 6 4 2 2 4" xfId="21340" xr:uid="{00000000-0005-0000-0000-0000048D0000}"/>
    <cellStyle name="Porcentual 6 4 2 3" xfId="4769" xr:uid="{00000000-0005-0000-0000-0000058D0000}"/>
    <cellStyle name="Porcentual 6 4 2 3 2" xfId="9325" xr:uid="{00000000-0005-0000-0000-0000068D0000}"/>
    <cellStyle name="Porcentual 6 4 2 3 2 2" xfId="18421" xr:uid="{00000000-0005-0000-0000-0000078D0000}"/>
    <cellStyle name="Porcentual 6 4 2 3 2 2 2" xfId="36603" xr:uid="{00000000-0005-0000-0000-0000088D0000}"/>
    <cellStyle name="Porcentual 6 4 2 3 2 3" xfId="27513" xr:uid="{00000000-0005-0000-0000-0000098D0000}"/>
    <cellStyle name="Porcentual 6 4 2 3 3" xfId="13880" xr:uid="{00000000-0005-0000-0000-00000A8D0000}"/>
    <cellStyle name="Porcentual 6 4 2 3 3 2" xfId="32062" xr:uid="{00000000-0005-0000-0000-00000B8D0000}"/>
    <cellStyle name="Porcentual 6 4 2 3 4" xfId="22972" xr:uid="{00000000-0005-0000-0000-00000C8D0000}"/>
    <cellStyle name="Porcentual 6 4 2 4" xfId="6407" xr:uid="{00000000-0005-0000-0000-00000D8D0000}"/>
    <cellStyle name="Porcentual 6 4 2 4 2" xfId="15507" xr:uid="{00000000-0005-0000-0000-00000E8D0000}"/>
    <cellStyle name="Porcentual 6 4 2 4 2 2" xfId="33689" xr:uid="{00000000-0005-0000-0000-00000F8D0000}"/>
    <cellStyle name="Porcentual 6 4 2 4 3" xfId="24599" xr:uid="{00000000-0005-0000-0000-0000108D0000}"/>
    <cellStyle name="Porcentual 6 4 2 5" xfId="10973" xr:uid="{00000000-0005-0000-0000-0000118D0000}"/>
    <cellStyle name="Porcentual 6 4 2 5 2" xfId="29155" xr:uid="{00000000-0005-0000-0000-0000128D0000}"/>
    <cellStyle name="Porcentual 6 4 2 6" xfId="20064" xr:uid="{00000000-0005-0000-0000-0000138D0000}"/>
    <cellStyle name="Porcentual 6 4 3" xfId="3120" xr:uid="{00000000-0005-0000-0000-0000148D0000}"/>
    <cellStyle name="Porcentual 6 4 3 2" xfId="7687" xr:uid="{00000000-0005-0000-0000-0000158D0000}"/>
    <cellStyle name="Porcentual 6 4 3 2 2" xfId="16787" xr:uid="{00000000-0005-0000-0000-0000168D0000}"/>
    <cellStyle name="Porcentual 6 4 3 2 2 2" xfId="34969" xr:uid="{00000000-0005-0000-0000-0000178D0000}"/>
    <cellStyle name="Porcentual 6 4 3 2 3" xfId="25879" xr:uid="{00000000-0005-0000-0000-0000188D0000}"/>
    <cellStyle name="Porcentual 6 4 3 3" xfId="12249" xr:uid="{00000000-0005-0000-0000-0000198D0000}"/>
    <cellStyle name="Porcentual 6 4 3 3 2" xfId="30431" xr:uid="{00000000-0005-0000-0000-00001A8D0000}"/>
    <cellStyle name="Porcentual 6 4 3 4" xfId="21341" xr:uid="{00000000-0005-0000-0000-00001B8D0000}"/>
    <cellStyle name="Porcentual 6 4 4" xfId="4768" xr:uid="{00000000-0005-0000-0000-00001C8D0000}"/>
    <cellStyle name="Porcentual 6 4 4 2" xfId="9324" xr:uid="{00000000-0005-0000-0000-00001D8D0000}"/>
    <cellStyle name="Porcentual 6 4 4 2 2" xfId="18420" xr:uid="{00000000-0005-0000-0000-00001E8D0000}"/>
    <cellStyle name="Porcentual 6 4 4 2 2 2" xfId="36602" xr:uid="{00000000-0005-0000-0000-00001F8D0000}"/>
    <cellStyle name="Porcentual 6 4 4 2 3" xfId="27512" xr:uid="{00000000-0005-0000-0000-0000208D0000}"/>
    <cellStyle name="Porcentual 6 4 4 3" xfId="13879" xr:uid="{00000000-0005-0000-0000-0000218D0000}"/>
    <cellStyle name="Porcentual 6 4 4 3 2" xfId="32061" xr:uid="{00000000-0005-0000-0000-0000228D0000}"/>
    <cellStyle name="Porcentual 6 4 4 4" xfId="22971" xr:uid="{00000000-0005-0000-0000-0000238D0000}"/>
    <cellStyle name="Porcentual 6 4 5" xfId="6406" xr:uid="{00000000-0005-0000-0000-0000248D0000}"/>
    <cellStyle name="Porcentual 6 4 5 2" xfId="15506" xr:uid="{00000000-0005-0000-0000-0000258D0000}"/>
    <cellStyle name="Porcentual 6 4 5 2 2" xfId="33688" xr:uid="{00000000-0005-0000-0000-0000268D0000}"/>
    <cellStyle name="Porcentual 6 4 5 3" xfId="24598" xr:uid="{00000000-0005-0000-0000-0000278D0000}"/>
    <cellStyle name="Porcentual 6 4 6" xfId="10972" xr:uid="{00000000-0005-0000-0000-0000288D0000}"/>
    <cellStyle name="Porcentual 6 4 6 2" xfId="29154" xr:uid="{00000000-0005-0000-0000-0000298D0000}"/>
    <cellStyle name="Porcentual 6 4 7" xfId="20063" xr:uid="{00000000-0005-0000-0000-00002A8D0000}"/>
    <cellStyle name="Porcentual 6 5" xfId="1773" xr:uid="{00000000-0005-0000-0000-00002B8D0000}"/>
    <cellStyle name="Porcentual 6 5 2" xfId="3121" xr:uid="{00000000-0005-0000-0000-00002C8D0000}"/>
    <cellStyle name="Porcentual 6 5 2 2" xfId="7688" xr:uid="{00000000-0005-0000-0000-00002D8D0000}"/>
    <cellStyle name="Porcentual 6 5 2 2 2" xfId="16788" xr:uid="{00000000-0005-0000-0000-00002E8D0000}"/>
    <cellStyle name="Porcentual 6 5 2 2 2 2" xfId="34970" xr:uid="{00000000-0005-0000-0000-00002F8D0000}"/>
    <cellStyle name="Porcentual 6 5 2 2 3" xfId="25880" xr:uid="{00000000-0005-0000-0000-0000308D0000}"/>
    <cellStyle name="Porcentual 6 5 2 3" xfId="12250" xr:uid="{00000000-0005-0000-0000-0000318D0000}"/>
    <cellStyle name="Porcentual 6 5 2 3 2" xfId="30432" xr:uid="{00000000-0005-0000-0000-0000328D0000}"/>
    <cellStyle name="Porcentual 6 5 2 4" xfId="21342" xr:uid="{00000000-0005-0000-0000-0000338D0000}"/>
    <cellStyle name="Porcentual 6 5 3" xfId="4770" xr:uid="{00000000-0005-0000-0000-0000348D0000}"/>
    <cellStyle name="Porcentual 6 5 3 2" xfId="9326" xr:uid="{00000000-0005-0000-0000-0000358D0000}"/>
    <cellStyle name="Porcentual 6 5 3 2 2" xfId="18422" xr:uid="{00000000-0005-0000-0000-0000368D0000}"/>
    <cellStyle name="Porcentual 6 5 3 2 2 2" xfId="36604" xr:uid="{00000000-0005-0000-0000-0000378D0000}"/>
    <cellStyle name="Porcentual 6 5 3 2 3" xfId="27514" xr:uid="{00000000-0005-0000-0000-0000388D0000}"/>
    <cellStyle name="Porcentual 6 5 3 3" xfId="13881" xr:uid="{00000000-0005-0000-0000-0000398D0000}"/>
    <cellStyle name="Porcentual 6 5 3 3 2" xfId="32063" xr:uid="{00000000-0005-0000-0000-00003A8D0000}"/>
    <cellStyle name="Porcentual 6 5 3 4" xfId="22973" xr:uid="{00000000-0005-0000-0000-00003B8D0000}"/>
    <cellStyle name="Porcentual 6 5 4" xfId="6408" xr:uid="{00000000-0005-0000-0000-00003C8D0000}"/>
    <cellStyle name="Porcentual 6 5 4 2" xfId="15508" xr:uid="{00000000-0005-0000-0000-00003D8D0000}"/>
    <cellStyle name="Porcentual 6 5 4 2 2" xfId="33690" xr:uid="{00000000-0005-0000-0000-00003E8D0000}"/>
    <cellStyle name="Porcentual 6 5 4 3" xfId="24600" xr:uid="{00000000-0005-0000-0000-00003F8D0000}"/>
    <cellStyle name="Porcentual 6 5 5" xfId="10974" xr:uid="{00000000-0005-0000-0000-0000408D0000}"/>
    <cellStyle name="Porcentual 6 5 5 2" xfId="29156" xr:uid="{00000000-0005-0000-0000-0000418D0000}"/>
    <cellStyle name="Porcentual 6 5 6" xfId="20065" xr:uid="{00000000-0005-0000-0000-0000428D0000}"/>
    <cellStyle name="Porcentual 6 6" xfId="1774" xr:uid="{00000000-0005-0000-0000-0000438D0000}"/>
    <cellStyle name="Porcentual 6 6 2" xfId="4771" xr:uid="{00000000-0005-0000-0000-0000448D0000}"/>
    <cellStyle name="Porcentual 6 6 2 2" xfId="9327" xr:uid="{00000000-0005-0000-0000-0000458D0000}"/>
    <cellStyle name="Porcentual 6 6 2 2 2" xfId="18423" xr:uid="{00000000-0005-0000-0000-0000468D0000}"/>
    <cellStyle name="Porcentual 6 6 2 2 2 2" xfId="36605" xr:uid="{00000000-0005-0000-0000-0000478D0000}"/>
    <cellStyle name="Porcentual 6 6 2 2 3" xfId="27515" xr:uid="{00000000-0005-0000-0000-0000488D0000}"/>
    <cellStyle name="Porcentual 6 6 2 3" xfId="13882" xr:uid="{00000000-0005-0000-0000-0000498D0000}"/>
    <cellStyle name="Porcentual 6 6 2 3 2" xfId="32064" xr:uid="{00000000-0005-0000-0000-00004A8D0000}"/>
    <cellStyle name="Porcentual 6 6 2 4" xfId="22974" xr:uid="{00000000-0005-0000-0000-00004B8D0000}"/>
    <cellStyle name="Porcentual 6 6 3" xfId="6409" xr:uid="{00000000-0005-0000-0000-00004C8D0000}"/>
    <cellStyle name="Porcentual 6 6 3 2" xfId="15509" xr:uid="{00000000-0005-0000-0000-00004D8D0000}"/>
    <cellStyle name="Porcentual 6 6 3 2 2" xfId="33691" xr:uid="{00000000-0005-0000-0000-00004E8D0000}"/>
    <cellStyle name="Porcentual 6 6 3 3" xfId="24601" xr:uid="{00000000-0005-0000-0000-00004F8D0000}"/>
    <cellStyle name="Porcentual 6 6 4" xfId="10975" xr:uid="{00000000-0005-0000-0000-0000508D0000}"/>
    <cellStyle name="Porcentual 6 6 4 2" xfId="29157" xr:uid="{00000000-0005-0000-0000-0000518D0000}"/>
    <cellStyle name="Porcentual 6 6 5" xfId="20066" xr:uid="{00000000-0005-0000-0000-0000528D0000}"/>
    <cellStyle name="Porcentual 6 7" xfId="3122" xr:uid="{00000000-0005-0000-0000-0000538D0000}"/>
    <cellStyle name="Porcentual 6 7 2" xfId="7689" xr:uid="{00000000-0005-0000-0000-0000548D0000}"/>
    <cellStyle name="Porcentual 6 7 2 2" xfId="16789" xr:uid="{00000000-0005-0000-0000-0000558D0000}"/>
    <cellStyle name="Porcentual 6 7 2 2 2" xfId="34971" xr:uid="{00000000-0005-0000-0000-0000568D0000}"/>
    <cellStyle name="Porcentual 6 7 2 3" xfId="25881" xr:uid="{00000000-0005-0000-0000-0000578D0000}"/>
    <cellStyle name="Porcentual 6 7 3" xfId="12251" xr:uid="{00000000-0005-0000-0000-0000588D0000}"/>
    <cellStyle name="Porcentual 6 7 3 2" xfId="30433" xr:uid="{00000000-0005-0000-0000-0000598D0000}"/>
    <cellStyle name="Porcentual 6 7 4" xfId="21343" xr:uid="{00000000-0005-0000-0000-00005A8D0000}"/>
    <cellStyle name="Porcentual 6 8" xfId="3211" xr:uid="{00000000-0005-0000-0000-00005B8D0000}"/>
    <cellStyle name="Porcentual 6 8 2" xfId="7771" xr:uid="{00000000-0005-0000-0000-00005C8D0000}"/>
    <cellStyle name="Porcentual 6 8 2 2" xfId="16867" xr:uid="{00000000-0005-0000-0000-00005D8D0000}"/>
    <cellStyle name="Porcentual 6 8 2 2 2" xfId="35049" xr:uid="{00000000-0005-0000-0000-00005E8D0000}"/>
    <cellStyle name="Porcentual 6 8 2 3" xfId="25959" xr:uid="{00000000-0005-0000-0000-00005F8D0000}"/>
    <cellStyle name="Porcentual 6 8 3" xfId="12327" xr:uid="{00000000-0005-0000-0000-0000608D0000}"/>
    <cellStyle name="Porcentual 6 8 3 2" xfId="30509" xr:uid="{00000000-0005-0000-0000-0000618D0000}"/>
    <cellStyle name="Porcentual 6 8 4" xfId="21419" xr:uid="{00000000-0005-0000-0000-0000628D0000}"/>
    <cellStyle name="Porcentual 6 9" xfId="4859" xr:uid="{00000000-0005-0000-0000-0000638D0000}"/>
    <cellStyle name="Porcentual 6 9 2" xfId="13959" xr:uid="{00000000-0005-0000-0000-0000648D0000}"/>
    <cellStyle name="Porcentual 6 9 2 2" xfId="32141" xr:uid="{00000000-0005-0000-0000-0000658D0000}"/>
    <cellStyle name="Porcentual 6 9 3" xfId="23051" xr:uid="{00000000-0005-0000-0000-0000668D0000}"/>
    <cellStyle name="Porcentual 7" xfId="125" xr:uid="{00000000-0005-0000-0000-0000678D0000}"/>
    <cellStyle name="Porcentual 7 10" xfId="9430" xr:uid="{00000000-0005-0000-0000-0000688D0000}"/>
    <cellStyle name="Porcentual 7 10 2" xfId="27612" xr:uid="{00000000-0005-0000-0000-0000698D0000}"/>
    <cellStyle name="Porcentual 7 11" xfId="18521" xr:uid="{00000000-0005-0000-0000-00006A8D0000}"/>
    <cellStyle name="Porcentual 7 2" xfId="1775" xr:uid="{00000000-0005-0000-0000-00006B8D0000}"/>
    <cellStyle name="Porcentual 7 2 10" xfId="20067" xr:uid="{00000000-0005-0000-0000-00006C8D0000}"/>
    <cellStyle name="Porcentual 7 2 2" xfId="1776" xr:uid="{00000000-0005-0000-0000-00006D8D0000}"/>
    <cellStyle name="Porcentual 7 2 2 2" xfId="1777" xr:uid="{00000000-0005-0000-0000-00006E8D0000}"/>
    <cellStyle name="Porcentual 7 2 2 2 2" xfId="1778" xr:uid="{00000000-0005-0000-0000-00006F8D0000}"/>
    <cellStyle name="Porcentual 7 2 2 2 2 2" xfId="3123" xr:uid="{00000000-0005-0000-0000-0000708D0000}"/>
    <cellStyle name="Porcentual 7 2 2 2 2 2 2" xfId="7690" xr:uid="{00000000-0005-0000-0000-0000718D0000}"/>
    <cellStyle name="Porcentual 7 2 2 2 2 2 2 2" xfId="16790" xr:uid="{00000000-0005-0000-0000-0000728D0000}"/>
    <cellStyle name="Porcentual 7 2 2 2 2 2 2 2 2" xfId="34972" xr:uid="{00000000-0005-0000-0000-0000738D0000}"/>
    <cellStyle name="Porcentual 7 2 2 2 2 2 2 3" xfId="25882" xr:uid="{00000000-0005-0000-0000-0000748D0000}"/>
    <cellStyle name="Porcentual 7 2 2 2 2 2 3" xfId="12252" xr:uid="{00000000-0005-0000-0000-0000758D0000}"/>
    <cellStyle name="Porcentual 7 2 2 2 2 2 3 2" xfId="30434" xr:uid="{00000000-0005-0000-0000-0000768D0000}"/>
    <cellStyle name="Porcentual 7 2 2 2 2 2 4" xfId="21344" xr:uid="{00000000-0005-0000-0000-0000778D0000}"/>
    <cellStyle name="Porcentual 7 2 2 2 2 3" xfId="4775" xr:uid="{00000000-0005-0000-0000-0000788D0000}"/>
    <cellStyle name="Porcentual 7 2 2 2 2 3 2" xfId="9331" xr:uid="{00000000-0005-0000-0000-0000798D0000}"/>
    <cellStyle name="Porcentual 7 2 2 2 2 3 2 2" xfId="18427" xr:uid="{00000000-0005-0000-0000-00007A8D0000}"/>
    <cellStyle name="Porcentual 7 2 2 2 2 3 2 2 2" xfId="36609" xr:uid="{00000000-0005-0000-0000-00007B8D0000}"/>
    <cellStyle name="Porcentual 7 2 2 2 2 3 2 3" xfId="27519" xr:uid="{00000000-0005-0000-0000-00007C8D0000}"/>
    <cellStyle name="Porcentual 7 2 2 2 2 3 3" xfId="13886" xr:uid="{00000000-0005-0000-0000-00007D8D0000}"/>
    <cellStyle name="Porcentual 7 2 2 2 2 3 3 2" xfId="32068" xr:uid="{00000000-0005-0000-0000-00007E8D0000}"/>
    <cellStyle name="Porcentual 7 2 2 2 2 3 4" xfId="22978" xr:uid="{00000000-0005-0000-0000-00007F8D0000}"/>
    <cellStyle name="Porcentual 7 2 2 2 2 4" xfId="6413" xr:uid="{00000000-0005-0000-0000-0000808D0000}"/>
    <cellStyle name="Porcentual 7 2 2 2 2 4 2" xfId="15513" xr:uid="{00000000-0005-0000-0000-0000818D0000}"/>
    <cellStyle name="Porcentual 7 2 2 2 2 4 2 2" xfId="33695" xr:uid="{00000000-0005-0000-0000-0000828D0000}"/>
    <cellStyle name="Porcentual 7 2 2 2 2 4 3" xfId="24605" xr:uid="{00000000-0005-0000-0000-0000838D0000}"/>
    <cellStyle name="Porcentual 7 2 2 2 2 5" xfId="10979" xr:uid="{00000000-0005-0000-0000-0000848D0000}"/>
    <cellStyle name="Porcentual 7 2 2 2 2 5 2" xfId="29161" xr:uid="{00000000-0005-0000-0000-0000858D0000}"/>
    <cellStyle name="Porcentual 7 2 2 2 2 6" xfId="20070" xr:uid="{00000000-0005-0000-0000-0000868D0000}"/>
    <cellStyle name="Porcentual 7 2 2 2 3" xfId="3124" xr:uid="{00000000-0005-0000-0000-0000878D0000}"/>
    <cellStyle name="Porcentual 7 2 2 2 3 2" xfId="7691" xr:uid="{00000000-0005-0000-0000-0000888D0000}"/>
    <cellStyle name="Porcentual 7 2 2 2 3 2 2" xfId="16791" xr:uid="{00000000-0005-0000-0000-0000898D0000}"/>
    <cellStyle name="Porcentual 7 2 2 2 3 2 2 2" xfId="34973" xr:uid="{00000000-0005-0000-0000-00008A8D0000}"/>
    <cellStyle name="Porcentual 7 2 2 2 3 2 3" xfId="25883" xr:uid="{00000000-0005-0000-0000-00008B8D0000}"/>
    <cellStyle name="Porcentual 7 2 2 2 3 3" xfId="12253" xr:uid="{00000000-0005-0000-0000-00008C8D0000}"/>
    <cellStyle name="Porcentual 7 2 2 2 3 3 2" xfId="30435" xr:uid="{00000000-0005-0000-0000-00008D8D0000}"/>
    <cellStyle name="Porcentual 7 2 2 2 3 4" xfId="21345" xr:uid="{00000000-0005-0000-0000-00008E8D0000}"/>
    <cellStyle name="Porcentual 7 2 2 2 4" xfId="4774" xr:uid="{00000000-0005-0000-0000-00008F8D0000}"/>
    <cellStyle name="Porcentual 7 2 2 2 4 2" xfId="9330" xr:uid="{00000000-0005-0000-0000-0000908D0000}"/>
    <cellStyle name="Porcentual 7 2 2 2 4 2 2" xfId="18426" xr:uid="{00000000-0005-0000-0000-0000918D0000}"/>
    <cellStyle name="Porcentual 7 2 2 2 4 2 2 2" xfId="36608" xr:uid="{00000000-0005-0000-0000-0000928D0000}"/>
    <cellStyle name="Porcentual 7 2 2 2 4 2 3" xfId="27518" xr:uid="{00000000-0005-0000-0000-0000938D0000}"/>
    <cellStyle name="Porcentual 7 2 2 2 4 3" xfId="13885" xr:uid="{00000000-0005-0000-0000-0000948D0000}"/>
    <cellStyle name="Porcentual 7 2 2 2 4 3 2" xfId="32067" xr:uid="{00000000-0005-0000-0000-0000958D0000}"/>
    <cellStyle name="Porcentual 7 2 2 2 4 4" xfId="22977" xr:uid="{00000000-0005-0000-0000-0000968D0000}"/>
    <cellStyle name="Porcentual 7 2 2 2 5" xfId="6412" xr:uid="{00000000-0005-0000-0000-0000978D0000}"/>
    <cellStyle name="Porcentual 7 2 2 2 5 2" xfId="15512" xr:uid="{00000000-0005-0000-0000-0000988D0000}"/>
    <cellStyle name="Porcentual 7 2 2 2 5 2 2" xfId="33694" xr:uid="{00000000-0005-0000-0000-0000998D0000}"/>
    <cellStyle name="Porcentual 7 2 2 2 5 3" xfId="24604" xr:uid="{00000000-0005-0000-0000-00009A8D0000}"/>
    <cellStyle name="Porcentual 7 2 2 2 6" xfId="10978" xr:uid="{00000000-0005-0000-0000-00009B8D0000}"/>
    <cellStyle name="Porcentual 7 2 2 2 6 2" xfId="29160" xr:uid="{00000000-0005-0000-0000-00009C8D0000}"/>
    <cellStyle name="Porcentual 7 2 2 2 7" xfId="20069" xr:uid="{00000000-0005-0000-0000-00009D8D0000}"/>
    <cellStyle name="Porcentual 7 2 2 3" xfId="1779" xr:uid="{00000000-0005-0000-0000-00009E8D0000}"/>
    <cellStyle name="Porcentual 7 2 2 3 2" xfId="3125" xr:uid="{00000000-0005-0000-0000-00009F8D0000}"/>
    <cellStyle name="Porcentual 7 2 2 3 2 2" xfId="7692" xr:uid="{00000000-0005-0000-0000-0000A08D0000}"/>
    <cellStyle name="Porcentual 7 2 2 3 2 2 2" xfId="16792" xr:uid="{00000000-0005-0000-0000-0000A18D0000}"/>
    <cellStyle name="Porcentual 7 2 2 3 2 2 2 2" xfId="34974" xr:uid="{00000000-0005-0000-0000-0000A28D0000}"/>
    <cellStyle name="Porcentual 7 2 2 3 2 2 3" xfId="25884" xr:uid="{00000000-0005-0000-0000-0000A38D0000}"/>
    <cellStyle name="Porcentual 7 2 2 3 2 3" xfId="12254" xr:uid="{00000000-0005-0000-0000-0000A48D0000}"/>
    <cellStyle name="Porcentual 7 2 2 3 2 3 2" xfId="30436" xr:uid="{00000000-0005-0000-0000-0000A58D0000}"/>
    <cellStyle name="Porcentual 7 2 2 3 2 4" xfId="21346" xr:uid="{00000000-0005-0000-0000-0000A68D0000}"/>
    <cellStyle name="Porcentual 7 2 2 3 3" xfId="4776" xr:uid="{00000000-0005-0000-0000-0000A78D0000}"/>
    <cellStyle name="Porcentual 7 2 2 3 3 2" xfId="9332" xr:uid="{00000000-0005-0000-0000-0000A88D0000}"/>
    <cellStyle name="Porcentual 7 2 2 3 3 2 2" xfId="18428" xr:uid="{00000000-0005-0000-0000-0000A98D0000}"/>
    <cellStyle name="Porcentual 7 2 2 3 3 2 2 2" xfId="36610" xr:uid="{00000000-0005-0000-0000-0000AA8D0000}"/>
    <cellStyle name="Porcentual 7 2 2 3 3 2 3" xfId="27520" xr:uid="{00000000-0005-0000-0000-0000AB8D0000}"/>
    <cellStyle name="Porcentual 7 2 2 3 3 3" xfId="13887" xr:uid="{00000000-0005-0000-0000-0000AC8D0000}"/>
    <cellStyle name="Porcentual 7 2 2 3 3 3 2" xfId="32069" xr:uid="{00000000-0005-0000-0000-0000AD8D0000}"/>
    <cellStyle name="Porcentual 7 2 2 3 3 4" xfId="22979" xr:uid="{00000000-0005-0000-0000-0000AE8D0000}"/>
    <cellStyle name="Porcentual 7 2 2 3 4" xfId="6414" xr:uid="{00000000-0005-0000-0000-0000AF8D0000}"/>
    <cellStyle name="Porcentual 7 2 2 3 4 2" xfId="15514" xr:uid="{00000000-0005-0000-0000-0000B08D0000}"/>
    <cellStyle name="Porcentual 7 2 2 3 4 2 2" xfId="33696" xr:uid="{00000000-0005-0000-0000-0000B18D0000}"/>
    <cellStyle name="Porcentual 7 2 2 3 4 3" xfId="24606" xr:uid="{00000000-0005-0000-0000-0000B28D0000}"/>
    <cellStyle name="Porcentual 7 2 2 3 5" xfId="10980" xr:uid="{00000000-0005-0000-0000-0000B38D0000}"/>
    <cellStyle name="Porcentual 7 2 2 3 5 2" xfId="29162" xr:uid="{00000000-0005-0000-0000-0000B48D0000}"/>
    <cellStyle name="Porcentual 7 2 2 3 6" xfId="20071" xr:uid="{00000000-0005-0000-0000-0000B58D0000}"/>
    <cellStyle name="Porcentual 7 2 2 4" xfId="1780" xr:uid="{00000000-0005-0000-0000-0000B68D0000}"/>
    <cellStyle name="Porcentual 7 2 2 4 2" xfId="4777" xr:uid="{00000000-0005-0000-0000-0000B78D0000}"/>
    <cellStyle name="Porcentual 7 2 2 4 2 2" xfId="9333" xr:uid="{00000000-0005-0000-0000-0000B88D0000}"/>
    <cellStyle name="Porcentual 7 2 2 4 2 2 2" xfId="18429" xr:uid="{00000000-0005-0000-0000-0000B98D0000}"/>
    <cellStyle name="Porcentual 7 2 2 4 2 2 2 2" xfId="36611" xr:uid="{00000000-0005-0000-0000-0000BA8D0000}"/>
    <cellStyle name="Porcentual 7 2 2 4 2 2 3" xfId="27521" xr:uid="{00000000-0005-0000-0000-0000BB8D0000}"/>
    <cellStyle name="Porcentual 7 2 2 4 2 3" xfId="13888" xr:uid="{00000000-0005-0000-0000-0000BC8D0000}"/>
    <cellStyle name="Porcentual 7 2 2 4 2 3 2" xfId="32070" xr:uid="{00000000-0005-0000-0000-0000BD8D0000}"/>
    <cellStyle name="Porcentual 7 2 2 4 2 4" xfId="22980" xr:uid="{00000000-0005-0000-0000-0000BE8D0000}"/>
    <cellStyle name="Porcentual 7 2 2 4 3" xfId="6415" xr:uid="{00000000-0005-0000-0000-0000BF8D0000}"/>
    <cellStyle name="Porcentual 7 2 2 4 3 2" xfId="15515" xr:uid="{00000000-0005-0000-0000-0000C08D0000}"/>
    <cellStyle name="Porcentual 7 2 2 4 3 2 2" xfId="33697" xr:uid="{00000000-0005-0000-0000-0000C18D0000}"/>
    <cellStyle name="Porcentual 7 2 2 4 3 3" xfId="24607" xr:uid="{00000000-0005-0000-0000-0000C28D0000}"/>
    <cellStyle name="Porcentual 7 2 2 4 4" xfId="10981" xr:uid="{00000000-0005-0000-0000-0000C38D0000}"/>
    <cellStyle name="Porcentual 7 2 2 4 4 2" xfId="29163" xr:uid="{00000000-0005-0000-0000-0000C48D0000}"/>
    <cellStyle name="Porcentual 7 2 2 4 5" xfId="20072" xr:uid="{00000000-0005-0000-0000-0000C58D0000}"/>
    <cellStyle name="Porcentual 7 2 2 5" xfId="3126" xr:uid="{00000000-0005-0000-0000-0000C68D0000}"/>
    <cellStyle name="Porcentual 7 2 2 6" xfId="4773" xr:uid="{00000000-0005-0000-0000-0000C78D0000}"/>
    <cellStyle name="Porcentual 7 2 2 6 2" xfId="9329" xr:uid="{00000000-0005-0000-0000-0000C88D0000}"/>
    <cellStyle name="Porcentual 7 2 2 6 2 2" xfId="18425" xr:uid="{00000000-0005-0000-0000-0000C98D0000}"/>
    <cellStyle name="Porcentual 7 2 2 6 2 2 2" xfId="36607" xr:uid="{00000000-0005-0000-0000-0000CA8D0000}"/>
    <cellStyle name="Porcentual 7 2 2 6 2 3" xfId="27517" xr:uid="{00000000-0005-0000-0000-0000CB8D0000}"/>
    <cellStyle name="Porcentual 7 2 2 6 3" xfId="13884" xr:uid="{00000000-0005-0000-0000-0000CC8D0000}"/>
    <cellStyle name="Porcentual 7 2 2 6 3 2" xfId="32066" xr:uid="{00000000-0005-0000-0000-0000CD8D0000}"/>
    <cellStyle name="Porcentual 7 2 2 6 4" xfId="22976" xr:uid="{00000000-0005-0000-0000-0000CE8D0000}"/>
    <cellStyle name="Porcentual 7 2 2 7" xfId="6411" xr:uid="{00000000-0005-0000-0000-0000CF8D0000}"/>
    <cellStyle name="Porcentual 7 2 2 7 2" xfId="15511" xr:uid="{00000000-0005-0000-0000-0000D08D0000}"/>
    <cellStyle name="Porcentual 7 2 2 7 2 2" xfId="33693" xr:uid="{00000000-0005-0000-0000-0000D18D0000}"/>
    <cellStyle name="Porcentual 7 2 2 7 3" xfId="24603" xr:uid="{00000000-0005-0000-0000-0000D28D0000}"/>
    <cellStyle name="Porcentual 7 2 2 8" xfId="10977" xr:uid="{00000000-0005-0000-0000-0000D38D0000}"/>
    <cellStyle name="Porcentual 7 2 2 8 2" xfId="29159" xr:uid="{00000000-0005-0000-0000-0000D48D0000}"/>
    <cellStyle name="Porcentual 7 2 2 9" xfId="20068" xr:uid="{00000000-0005-0000-0000-0000D58D0000}"/>
    <cellStyle name="Porcentual 7 2 3" xfId="1781" xr:uid="{00000000-0005-0000-0000-0000D68D0000}"/>
    <cellStyle name="Porcentual 7 2 3 2" xfId="1782" xr:uid="{00000000-0005-0000-0000-0000D78D0000}"/>
    <cellStyle name="Porcentual 7 2 3 2 2" xfId="3127" xr:uid="{00000000-0005-0000-0000-0000D88D0000}"/>
    <cellStyle name="Porcentual 7 2 3 2 2 2" xfId="7693" xr:uid="{00000000-0005-0000-0000-0000D98D0000}"/>
    <cellStyle name="Porcentual 7 2 3 2 2 2 2" xfId="16793" xr:uid="{00000000-0005-0000-0000-0000DA8D0000}"/>
    <cellStyle name="Porcentual 7 2 3 2 2 2 2 2" xfId="34975" xr:uid="{00000000-0005-0000-0000-0000DB8D0000}"/>
    <cellStyle name="Porcentual 7 2 3 2 2 2 3" xfId="25885" xr:uid="{00000000-0005-0000-0000-0000DC8D0000}"/>
    <cellStyle name="Porcentual 7 2 3 2 2 3" xfId="12255" xr:uid="{00000000-0005-0000-0000-0000DD8D0000}"/>
    <cellStyle name="Porcentual 7 2 3 2 2 3 2" xfId="30437" xr:uid="{00000000-0005-0000-0000-0000DE8D0000}"/>
    <cellStyle name="Porcentual 7 2 3 2 2 4" xfId="21347" xr:uid="{00000000-0005-0000-0000-0000DF8D0000}"/>
    <cellStyle name="Porcentual 7 2 3 2 3" xfId="4779" xr:uid="{00000000-0005-0000-0000-0000E08D0000}"/>
    <cellStyle name="Porcentual 7 2 3 2 3 2" xfId="9335" xr:uid="{00000000-0005-0000-0000-0000E18D0000}"/>
    <cellStyle name="Porcentual 7 2 3 2 3 2 2" xfId="18431" xr:uid="{00000000-0005-0000-0000-0000E28D0000}"/>
    <cellStyle name="Porcentual 7 2 3 2 3 2 2 2" xfId="36613" xr:uid="{00000000-0005-0000-0000-0000E38D0000}"/>
    <cellStyle name="Porcentual 7 2 3 2 3 2 3" xfId="27523" xr:uid="{00000000-0005-0000-0000-0000E48D0000}"/>
    <cellStyle name="Porcentual 7 2 3 2 3 3" xfId="13890" xr:uid="{00000000-0005-0000-0000-0000E58D0000}"/>
    <cellStyle name="Porcentual 7 2 3 2 3 3 2" xfId="32072" xr:uid="{00000000-0005-0000-0000-0000E68D0000}"/>
    <cellStyle name="Porcentual 7 2 3 2 3 4" xfId="22982" xr:uid="{00000000-0005-0000-0000-0000E78D0000}"/>
    <cellStyle name="Porcentual 7 2 3 2 4" xfId="6417" xr:uid="{00000000-0005-0000-0000-0000E88D0000}"/>
    <cellStyle name="Porcentual 7 2 3 2 4 2" xfId="15517" xr:uid="{00000000-0005-0000-0000-0000E98D0000}"/>
    <cellStyle name="Porcentual 7 2 3 2 4 2 2" xfId="33699" xr:uid="{00000000-0005-0000-0000-0000EA8D0000}"/>
    <cellStyle name="Porcentual 7 2 3 2 4 3" xfId="24609" xr:uid="{00000000-0005-0000-0000-0000EB8D0000}"/>
    <cellStyle name="Porcentual 7 2 3 2 5" xfId="10983" xr:uid="{00000000-0005-0000-0000-0000EC8D0000}"/>
    <cellStyle name="Porcentual 7 2 3 2 5 2" xfId="29165" xr:uid="{00000000-0005-0000-0000-0000ED8D0000}"/>
    <cellStyle name="Porcentual 7 2 3 2 6" xfId="20074" xr:uid="{00000000-0005-0000-0000-0000EE8D0000}"/>
    <cellStyle name="Porcentual 7 2 3 3" xfId="3128" xr:uid="{00000000-0005-0000-0000-0000EF8D0000}"/>
    <cellStyle name="Porcentual 7 2 3 3 2" xfId="7694" xr:uid="{00000000-0005-0000-0000-0000F08D0000}"/>
    <cellStyle name="Porcentual 7 2 3 3 2 2" xfId="16794" xr:uid="{00000000-0005-0000-0000-0000F18D0000}"/>
    <cellStyle name="Porcentual 7 2 3 3 2 2 2" xfId="34976" xr:uid="{00000000-0005-0000-0000-0000F28D0000}"/>
    <cellStyle name="Porcentual 7 2 3 3 2 3" xfId="25886" xr:uid="{00000000-0005-0000-0000-0000F38D0000}"/>
    <cellStyle name="Porcentual 7 2 3 3 3" xfId="12256" xr:uid="{00000000-0005-0000-0000-0000F48D0000}"/>
    <cellStyle name="Porcentual 7 2 3 3 3 2" xfId="30438" xr:uid="{00000000-0005-0000-0000-0000F58D0000}"/>
    <cellStyle name="Porcentual 7 2 3 3 4" xfId="21348" xr:uid="{00000000-0005-0000-0000-0000F68D0000}"/>
    <cellStyle name="Porcentual 7 2 3 4" xfId="4778" xr:uid="{00000000-0005-0000-0000-0000F78D0000}"/>
    <cellStyle name="Porcentual 7 2 3 4 2" xfId="9334" xr:uid="{00000000-0005-0000-0000-0000F88D0000}"/>
    <cellStyle name="Porcentual 7 2 3 4 2 2" xfId="18430" xr:uid="{00000000-0005-0000-0000-0000F98D0000}"/>
    <cellStyle name="Porcentual 7 2 3 4 2 2 2" xfId="36612" xr:uid="{00000000-0005-0000-0000-0000FA8D0000}"/>
    <cellStyle name="Porcentual 7 2 3 4 2 3" xfId="27522" xr:uid="{00000000-0005-0000-0000-0000FB8D0000}"/>
    <cellStyle name="Porcentual 7 2 3 4 3" xfId="13889" xr:uid="{00000000-0005-0000-0000-0000FC8D0000}"/>
    <cellStyle name="Porcentual 7 2 3 4 3 2" xfId="32071" xr:uid="{00000000-0005-0000-0000-0000FD8D0000}"/>
    <cellStyle name="Porcentual 7 2 3 4 4" xfId="22981" xr:uid="{00000000-0005-0000-0000-0000FE8D0000}"/>
    <cellStyle name="Porcentual 7 2 3 5" xfId="6416" xr:uid="{00000000-0005-0000-0000-0000FF8D0000}"/>
    <cellStyle name="Porcentual 7 2 3 5 2" xfId="15516" xr:uid="{00000000-0005-0000-0000-0000008E0000}"/>
    <cellStyle name="Porcentual 7 2 3 5 2 2" xfId="33698" xr:uid="{00000000-0005-0000-0000-0000018E0000}"/>
    <cellStyle name="Porcentual 7 2 3 5 3" xfId="24608" xr:uid="{00000000-0005-0000-0000-0000028E0000}"/>
    <cellStyle name="Porcentual 7 2 3 6" xfId="10982" xr:uid="{00000000-0005-0000-0000-0000038E0000}"/>
    <cellStyle name="Porcentual 7 2 3 6 2" xfId="29164" xr:uid="{00000000-0005-0000-0000-0000048E0000}"/>
    <cellStyle name="Porcentual 7 2 3 7" xfId="20073" xr:uid="{00000000-0005-0000-0000-0000058E0000}"/>
    <cellStyle name="Porcentual 7 2 4" xfId="1783" xr:uid="{00000000-0005-0000-0000-0000068E0000}"/>
    <cellStyle name="Porcentual 7 2 4 2" xfId="3129" xr:uid="{00000000-0005-0000-0000-0000078E0000}"/>
    <cellStyle name="Porcentual 7 2 4 2 2" xfId="7695" xr:uid="{00000000-0005-0000-0000-0000088E0000}"/>
    <cellStyle name="Porcentual 7 2 4 2 2 2" xfId="16795" xr:uid="{00000000-0005-0000-0000-0000098E0000}"/>
    <cellStyle name="Porcentual 7 2 4 2 2 2 2" xfId="34977" xr:uid="{00000000-0005-0000-0000-00000A8E0000}"/>
    <cellStyle name="Porcentual 7 2 4 2 2 3" xfId="25887" xr:uid="{00000000-0005-0000-0000-00000B8E0000}"/>
    <cellStyle name="Porcentual 7 2 4 2 3" xfId="12257" xr:uid="{00000000-0005-0000-0000-00000C8E0000}"/>
    <cellStyle name="Porcentual 7 2 4 2 3 2" xfId="30439" xr:uid="{00000000-0005-0000-0000-00000D8E0000}"/>
    <cellStyle name="Porcentual 7 2 4 2 4" xfId="21349" xr:uid="{00000000-0005-0000-0000-00000E8E0000}"/>
    <cellStyle name="Porcentual 7 2 4 3" xfId="4780" xr:uid="{00000000-0005-0000-0000-00000F8E0000}"/>
    <cellStyle name="Porcentual 7 2 4 3 2" xfId="9336" xr:uid="{00000000-0005-0000-0000-0000108E0000}"/>
    <cellStyle name="Porcentual 7 2 4 3 2 2" xfId="18432" xr:uid="{00000000-0005-0000-0000-0000118E0000}"/>
    <cellStyle name="Porcentual 7 2 4 3 2 2 2" xfId="36614" xr:uid="{00000000-0005-0000-0000-0000128E0000}"/>
    <cellStyle name="Porcentual 7 2 4 3 2 3" xfId="27524" xr:uid="{00000000-0005-0000-0000-0000138E0000}"/>
    <cellStyle name="Porcentual 7 2 4 3 3" xfId="13891" xr:uid="{00000000-0005-0000-0000-0000148E0000}"/>
    <cellStyle name="Porcentual 7 2 4 3 3 2" xfId="32073" xr:uid="{00000000-0005-0000-0000-0000158E0000}"/>
    <cellStyle name="Porcentual 7 2 4 3 4" xfId="22983" xr:uid="{00000000-0005-0000-0000-0000168E0000}"/>
    <cellStyle name="Porcentual 7 2 4 4" xfId="6418" xr:uid="{00000000-0005-0000-0000-0000178E0000}"/>
    <cellStyle name="Porcentual 7 2 4 4 2" xfId="15518" xr:uid="{00000000-0005-0000-0000-0000188E0000}"/>
    <cellStyle name="Porcentual 7 2 4 4 2 2" xfId="33700" xr:uid="{00000000-0005-0000-0000-0000198E0000}"/>
    <cellStyle name="Porcentual 7 2 4 4 3" xfId="24610" xr:uid="{00000000-0005-0000-0000-00001A8E0000}"/>
    <cellStyle name="Porcentual 7 2 4 5" xfId="10984" xr:uid="{00000000-0005-0000-0000-00001B8E0000}"/>
    <cellStyle name="Porcentual 7 2 4 5 2" xfId="29166" xr:uid="{00000000-0005-0000-0000-00001C8E0000}"/>
    <cellStyle name="Porcentual 7 2 4 6" xfId="20075" xr:uid="{00000000-0005-0000-0000-00001D8E0000}"/>
    <cellStyle name="Porcentual 7 2 5" xfId="1784" xr:uid="{00000000-0005-0000-0000-00001E8E0000}"/>
    <cellStyle name="Porcentual 7 2 5 2" xfId="4781" xr:uid="{00000000-0005-0000-0000-00001F8E0000}"/>
    <cellStyle name="Porcentual 7 2 5 2 2" xfId="9337" xr:uid="{00000000-0005-0000-0000-0000208E0000}"/>
    <cellStyle name="Porcentual 7 2 5 2 2 2" xfId="18433" xr:uid="{00000000-0005-0000-0000-0000218E0000}"/>
    <cellStyle name="Porcentual 7 2 5 2 2 2 2" xfId="36615" xr:uid="{00000000-0005-0000-0000-0000228E0000}"/>
    <cellStyle name="Porcentual 7 2 5 2 2 3" xfId="27525" xr:uid="{00000000-0005-0000-0000-0000238E0000}"/>
    <cellStyle name="Porcentual 7 2 5 2 3" xfId="13892" xr:uid="{00000000-0005-0000-0000-0000248E0000}"/>
    <cellStyle name="Porcentual 7 2 5 2 3 2" xfId="32074" xr:uid="{00000000-0005-0000-0000-0000258E0000}"/>
    <cellStyle name="Porcentual 7 2 5 2 4" xfId="22984" xr:uid="{00000000-0005-0000-0000-0000268E0000}"/>
    <cellStyle name="Porcentual 7 2 5 3" xfId="6419" xr:uid="{00000000-0005-0000-0000-0000278E0000}"/>
    <cellStyle name="Porcentual 7 2 5 3 2" xfId="15519" xr:uid="{00000000-0005-0000-0000-0000288E0000}"/>
    <cellStyle name="Porcentual 7 2 5 3 2 2" xfId="33701" xr:uid="{00000000-0005-0000-0000-0000298E0000}"/>
    <cellStyle name="Porcentual 7 2 5 3 3" xfId="24611" xr:uid="{00000000-0005-0000-0000-00002A8E0000}"/>
    <cellStyle name="Porcentual 7 2 5 4" xfId="10985" xr:uid="{00000000-0005-0000-0000-00002B8E0000}"/>
    <cellStyle name="Porcentual 7 2 5 4 2" xfId="29167" xr:uid="{00000000-0005-0000-0000-00002C8E0000}"/>
    <cellStyle name="Porcentual 7 2 5 5" xfId="20076" xr:uid="{00000000-0005-0000-0000-00002D8E0000}"/>
    <cellStyle name="Porcentual 7 2 6" xfId="3130" xr:uid="{00000000-0005-0000-0000-00002E8E0000}"/>
    <cellStyle name="Porcentual 7 2 6 2" xfId="7696" xr:uid="{00000000-0005-0000-0000-00002F8E0000}"/>
    <cellStyle name="Porcentual 7 2 6 2 2" xfId="16796" xr:uid="{00000000-0005-0000-0000-0000308E0000}"/>
    <cellStyle name="Porcentual 7 2 6 2 2 2" xfId="34978" xr:uid="{00000000-0005-0000-0000-0000318E0000}"/>
    <cellStyle name="Porcentual 7 2 6 2 3" xfId="25888" xr:uid="{00000000-0005-0000-0000-0000328E0000}"/>
    <cellStyle name="Porcentual 7 2 6 3" xfId="12258" xr:uid="{00000000-0005-0000-0000-0000338E0000}"/>
    <cellStyle name="Porcentual 7 2 6 3 2" xfId="30440" xr:uid="{00000000-0005-0000-0000-0000348E0000}"/>
    <cellStyle name="Porcentual 7 2 6 4" xfId="21350" xr:uid="{00000000-0005-0000-0000-0000358E0000}"/>
    <cellStyle name="Porcentual 7 2 7" xfId="4772" xr:uid="{00000000-0005-0000-0000-0000368E0000}"/>
    <cellStyle name="Porcentual 7 2 7 2" xfId="9328" xr:uid="{00000000-0005-0000-0000-0000378E0000}"/>
    <cellStyle name="Porcentual 7 2 7 2 2" xfId="18424" xr:uid="{00000000-0005-0000-0000-0000388E0000}"/>
    <cellStyle name="Porcentual 7 2 7 2 2 2" xfId="36606" xr:uid="{00000000-0005-0000-0000-0000398E0000}"/>
    <cellStyle name="Porcentual 7 2 7 2 3" xfId="27516" xr:uid="{00000000-0005-0000-0000-00003A8E0000}"/>
    <cellStyle name="Porcentual 7 2 7 3" xfId="13883" xr:uid="{00000000-0005-0000-0000-00003B8E0000}"/>
    <cellStyle name="Porcentual 7 2 7 3 2" xfId="32065" xr:uid="{00000000-0005-0000-0000-00003C8E0000}"/>
    <cellStyle name="Porcentual 7 2 7 4" xfId="22975" xr:uid="{00000000-0005-0000-0000-00003D8E0000}"/>
    <cellStyle name="Porcentual 7 2 8" xfId="6410" xr:uid="{00000000-0005-0000-0000-00003E8E0000}"/>
    <cellStyle name="Porcentual 7 2 8 2" xfId="15510" xr:uid="{00000000-0005-0000-0000-00003F8E0000}"/>
    <cellStyle name="Porcentual 7 2 8 2 2" xfId="33692" xr:uid="{00000000-0005-0000-0000-0000408E0000}"/>
    <cellStyle name="Porcentual 7 2 8 3" xfId="24602" xr:uid="{00000000-0005-0000-0000-0000418E0000}"/>
    <cellStyle name="Porcentual 7 2 9" xfId="10976" xr:uid="{00000000-0005-0000-0000-0000428E0000}"/>
    <cellStyle name="Porcentual 7 2 9 2" xfId="29158" xr:uid="{00000000-0005-0000-0000-0000438E0000}"/>
    <cellStyle name="Porcentual 7 3" xfId="1785" xr:uid="{00000000-0005-0000-0000-0000448E0000}"/>
    <cellStyle name="Porcentual 7 3 2" xfId="1786" xr:uid="{00000000-0005-0000-0000-0000458E0000}"/>
    <cellStyle name="Porcentual 7 3 2 2" xfId="1787" xr:uid="{00000000-0005-0000-0000-0000468E0000}"/>
    <cellStyle name="Porcentual 7 3 2 2 2" xfId="3131" xr:uid="{00000000-0005-0000-0000-0000478E0000}"/>
    <cellStyle name="Porcentual 7 3 2 2 2 2" xfId="7697" xr:uid="{00000000-0005-0000-0000-0000488E0000}"/>
    <cellStyle name="Porcentual 7 3 2 2 2 2 2" xfId="16797" xr:uid="{00000000-0005-0000-0000-0000498E0000}"/>
    <cellStyle name="Porcentual 7 3 2 2 2 2 2 2" xfId="34979" xr:uid="{00000000-0005-0000-0000-00004A8E0000}"/>
    <cellStyle name="Porcentual 7 3 2 2 2 2 3" xfId="25889" xr:uid="{00000000-0005-0000-0000-00004B8E0000}"/>
    <cellStyle name="Porcentual 7 3 2 2 2 3" xfId="12259" xr:uid="{00000000-0005-0000-0000-00004C8E0000}"/>
    <cellStyle name="Porcentual 7 3 2 2 2 3 2" xfId="30441" xr:uid="{00000000-0005-0000-0000-00004D8E0000}"/>
    <cellStyle name="Porcentual 7 3 2 2 2 4" xfId="21351" xr:uid="{00000000-0005-0000-0000-00004E8E0000}"/>
    <cellStyle name="Porcentual 7 3 2 2 3" xfId="4784" xr:uid="{00000000-0005-0000-0000-00004F8E0000}"/>
    <cellStyle name="Porcentual 7 3 2 2 3 2" xfId="9340" xr:uid="{00000000-0005-0000-0000-0000508E0000}"/>
    <cellStyle name="Porcentual 7 3 2 2 3 2 2" xfId="18436" xr:uid="{00000000-0005-0000-0000-0000518E0000}"/>
    <cellStyle name="Porcentual 7 3 2 2 3 2 2 2" xfId="36618" xr:uid="{00000000-0005-0000-0000-0000528E0000}"/>
    <cellStyle name="Porcentual 7 3 2 2 3 2 3" xfId="27528" xr:uid="{00000000-0005-0000-0000-0000538E0000}"/>
    <cellStyle name="Porcentual 7 3 2 2 3 3" xfId="13895" xr:uid="{00000000-0005-0000-0000-0000548E0000}"/>
    <cellStyle name="Porcentual 7 3 2 2 3 3 2" xfId="32077" xr:uid="{00000000-0005-0000-0000-0000558E0000}"/>
    <cellStyle name="Porcentual 7 3 2 2 3 4" xfId="22987" xr:uid="{00000000-0005-0000-0000-0000568E0000}"/>
    <cellStyle name="Porcentual 7 3 2 2 4" xfId="6422" xr:uid="{00000000-0005-0000-0000-0000578E0000}"/>
    <cellStyle name="Porcentual 7 3 2 2 4 2" xfId="15522" xr:uid="{00000000-0005-0000-0000-0000588E0000}"/>
    <cellStyle name="Porcentual 7 3 2 2 4 2 2" xfId="33704" xr:uid="{00000000-0005-0000-0000-0000598E0000}"/>
    <cellStyle name="Porcentual 7 3 2 2 4 3" xfId="24614" xr:uid="{00000000-0005-0000-0000-00005A8E0000}"/>
    <cellStyle name="Porcentual 7 3 2 2 5" xfId="10988" xr:uid="{00000000-0005-0000-0000-00005B8E0000}"/>
    <cellStyle name="Porcentual 7 3 2 2 5 2" xfId="29170" xr:uid="{00000000-0005-0000-0000-00005C8E0000}"/>
    <cellStyle name="Porcentual 7 3 2 2 6" xfId="20079" xr:uid="{00000000-0005-0000-0000-00005D8E0000}"/>
    <cellStyle name="Porcentual 7 3 2 3" xfId="3132" xr:uid="{00000000-0005-0000-0000-00005E8E0000}"/>
    <cellStyle name="Porcentual 7 3 2 3 2" xfId="7698" xr:uid="{00000000-0005-0000-0000-00005F8E0000}"/>
    <cellStyle name="Porcentual 7 3 2 3 2 2" xfId="16798" xr:uid="{00000000-0005-0000-0000-0000608E0000}"/>
    <cellStyle name="Porcentual 7 3 2 3 2 2 2" xfId="34980" xr:uid="{00000000-0005-0000-0000-0000618E0000}"/>
    <cellStyle name="Porcentual 7 3 2 3 2 3" xfId="25890" xr:uid="{00000000-0005-0000-0000-0000628E0000}"/>
    <cellStyle name="Porcentual 7 3 2 3 3" xfId="12260" xr:uid="{00000000-0005-0000-0000-0000638E0000}"/>
    <cellStyle name="Porcentual 7 3 2 3 3 2" xfId="30442" xr:uid="{00000000-0005-0000-0000-0000648E0000}"/>
    <cellStyle name="Porcentual 7 3 2 3 4" xfId="21352" xr:uid="{00000000-0005-0000-0000-0000658E0000}"/>
    <cellStyle name="Porcentual 7 3 2 4" xfId="4783" xr:uid="{00000000-0005-0000-0000-0000668E0000}"/>
    <cellStyle name="Porcentual 7 3 2 4 2" xfId="9339" xr:uid="{00000000-0005-0000-0000-0000678E0000}"/>
    <cellStyle name="Porcentual 7 3 2 4 2 2" xfId="18435" xr:uid="{00000000-0005-0000-0000-0000688E0000}"/>
    <cellStyle name="Porcentual 7 3 2 4 2 2 2" xfId="36617" xr:uid="{00000000-0005-0000-0000-0000698E0000}"/>
    <cellStyle name="Porcentual 7 3 2 4 2 3" xfId="27527" xr:uid="{00000000-0005-0000-0000-00006A8E0000}"/>
    <cellStyle name="Porcentual 7 3 2 4 3" xfId="13894" xr:uid="{00000000-0005-0000-0000-00006B8E0000}"/>
    <cellStyle name="Porcentual 7 3 2 4 3 2" xfId="32076" xr:uid="{00000000-0005-0000-0000-00006C8E0000}"/>
    <cellStyle name="Porcentual 7 3 2 4 4" xfId="22986" xr:uid="{00000000-0005-0000-0000-00006D8E0000}"/>
    <cellStyle name="Porcentual 7 3 2 5" xfId="6421" xr:uid="{00000000-0005-0000-0000-00006E8E0000}"/>
    <cellStyle name="Porcentual 7 3 2 5 2" xfId="15521" xr:uid="{00000000-0005-0000-0000-00006F8E0000}"/>
    <cellStyle name="Porcentual 7 3 2 5 2 2" xfId="33703" xr:uid="{00000000-0005-0000-0000-0000708E0000}"/>
    <cellStyle name="Porcentual 7 3 2 5 3" xfId="24613" xr:uid="{00000000-0005-0000-0000-0000718E0000}"/>
    <cellStyle name="Porcentual 7 3 2 6" xfId="10987" xr:uid="{00000000-0005-0000-0000-0000728E0000}"/>
    <cellStyle name="Porcentual 7 3 2 6 2" xfId="29169" xr:uid="{00000000-0005-0000-0000-0000738E0000}"/>
    <cellStyle name="Porcentual 7 3 2 7" xfId="20078" xr:uid="{00000000-0005-0000-0000-0000748E0000}"/>
    <cellStyle name="Porcentual 7 3 3" xfId="1788" xr:uid="{00000000-0005-0000-0000-0000758E0000}"/>
    <cellStyle name="Porcentual 7 3 3 2" xfId="3133" xr:uid="{00000000-0005-0000-0000-0000768E0000}"/>
    <cellStyle name="Porcentual 7 3 3 2 2" xfId="7699" xr:uid="{00000000-0005-0000-0000-0000778E0000}"/>
    <cellStyle name="Porcentual 7 3 3 2 2 2" xfId="16799" xr:uid="{00000000-0005-0000-0000-0000788E0000}"/>
    <cellStyle name="Porcentual 7 3 3 2 2 2 2" xfId="34981" xr:uid="{00000000-0005-0000-0000-0000798E0000}"/>
    <cellStyle name="Porcentual 7 3 3 2 2 3" xfId="25891" xr:uid="{00000000-0005-0000-0000-00007A8E0000}"/>
    <cellStyle name="Porcentual 7 3 3 2 3" xfId="12261" xr:uid="{00000000-0005-0000-0000-00007B8E0000}"/>
    <cellStyle name="Porcentual 7 3 3 2 3 2" xfId="30443" xr:uid="{00000000-0005-0000-0000-00007C8E0000}"/>
    <cellStyle name="Porcentual 7 3 3 2 4" xfId="21353" xr:uid="{00000000-0005-0000-0000-00007D8E0000}"/>
    <cellStyle name="Porcentual 7 3 3 3" xfId="4785" xr:uid="{00000000-0005-0000-0000-00007E8E0000}"/>
    <cellStyle name="Porcentual 7 3 3 3 2" xfId="9341" xr:uid="{00000000-0005-0000-0000-00007F8E0000}"/>
    <cellStyle name="Porcentual 7 3 3 3 2 2" xfId="18437" xr:uid="{00000000-0005-0000-0000-0000808E0000}"/>
    <cellStyle name="Porcentual 7 3 3 3 2 2 2" xfId="36619" xr:uid="{00000000-0005-0000-0000-0000818E0000}"/>
    <cellStyle name="Porcentual 7 3 3 3 2 3" xfId="27529" xr:uid="{00000000-0005-0000-0000-0000828E0000}"/>
    <cellStyle name="Porcentual 7 3 3 3 3" xfId="13896" xr:uid="{00000000-0005-0000-0000-0000838E0000}"/>
    <cellStyle name="Porcentual 7 3 3 3 3 2" xfId="32078" xr:uid="{00000000-0005-0000-0000-0000848E0000}"/>
    <cellStyle name="Porcentual 7 3 3 3 4" xfId="22988" xr:uid="{00000000-0005-0000-0000-0000858E0000}"/>
    <cellStyle name="Porcentual 7 3 3 4" xfId="6423" xr:uid="{00000000-0005-0000-0000-0000868E0000}"/>
    <cellStyle name="Porcentual 7 3 3 4 2" xfId="15523" xr:uid="{00000000-0005-0000-0000-0000878E0000}"/>
    <cellStyle name="Porcentual 7 3 3 4 2 2" xfId="33705" xr:uid="{00000000-0005-0000-0000-0000888E0000}"/>
    <cellStyle name="Porcentual 7 3 3 4 3" xfId="24615" xr:uid="{00000000-0005-0000-0000-0000898E0000}"/>
    <cellStyle name="Porcentual 7 3 3 5" xfId="10989" xr:uid="{00000000-0005-0000-0000-00008A8E0000}"/>
    <cellStyle name="Porcentual 7 3 3 5 2" xfId="29171" xr:uid="{00000000-0005-0000-0000-00008B8E0000}"/>
    <cellStyle name="Porcentual 7 3 3 6" xfId="20080" xr:uid="{00000000-0005-0000-0000-00008C8E0000}"/>
    <cellStyle name="Porcentual 7 3 4" xfId="1789" xr:uid="{00000000-0005-0000-0000-00008D8E0000}"/>
    <cellStyle name="Porcentual 7 3 4 2" xfId="4786" xr:uid="{00000000-0005-0000-0000-00008E8E0000}"/>
    <cellStyle name="Porcentual 7 3 4 2 2" xfId="9342" xr:uid="{00000000-0005-0000-0000-00008F8E0000}"/>
    <cellStyle name="Porcentual 7 3 4 2 2 2" xfId="18438" xr:uid="{00000000-0005-0000-0000-0000908E0000}"/>
    <cellStyle name="Porcentual 7 3 4 2 2 2 2" xfId="36620" xr:uid="{00000000-0005-0000-0000-0000918E0000}"/>
    <cellStyle name="Porcentual 7 3 4 2 2 3" xfId="27530" xr:uid="{00000000-0005-0000-0000-0000928E0000}"/>
    <cellStyle name="Porcentual 7 3 4 2 3" xfId="13897" xr:uid="{00000000-0005-0000-0000-0000938E0000}"/>
    <cellStyle name="Porcentual 7 3 4 2 3 2" xfId="32079" xr:uid="{00000000-0005-0000-0000-0000948E0000}"/>
    <cellStyle name="Porcentual 7 3 4 2 4" xfId="22989" xr:uid="{00000000-0005-0000-0000-0000958E0000}"/>
    <cellStyle name="Porcentual 7 3 4 3" xfId="6424" xr:uid="{00000000-0005-0000-0000-0000968E0000}"/>
    <cellStyle name="Porcentual 7 3 4 3 2" xfId="15524" xr:uid="{00000000-0005-0000-0000-0000978E0000}"/>
    <cellStyle name="Porcentual 7 3 4 3 2 2" xfId="33706" xr:uid="{00000000-0005-0000-0000-0000988E0000}"/>
    <cellStyle name="Porcentual 7 3 4 3 3" xfId="24616" xr:uid="{00000000-0005-0000-0000-0000998E0000}"/>
    <cellStyle name="Porcentual 7 3 4 4" xfId="10990" xr:uid="{00000000-0005-0000-0000-00009A8E0000}"/>
    <cellStyle name="Porcentual 7 3 4 4 2" xfId="29172" xr:uid="{00000000-0005-0000-0000-00009B8E0000}"/>
    <cellStyle name="Porcentual 7 3 4 5" xfId="20081" xr:uid="{00000000-0005-0000-0000-00009C8E0000}"/>
    <cellStyle name="Porcentual 7 3 5" xfId="3134" xr:uid="{00000000-0005-0000-0000-00009D8E0000}"/>
    <cellStyle name="Porcentual 7 3 6" xfId="4782" xr:uid="{00000000-0005-0000-0000-00009E8E0000}"/>
    <cellStyle name="Porcentual 7 3 6 2" xfId="9338" xr:uid="{00000000-0005-0000-0000-00009F8E0000}"/>
    <cellStyle name="Porcentual 7 3 6 2 2" xfId="18434" xr:uid="{00000000-0005-0000-0000-0000A08E0000}"/>
    <cellStyle name="Porcentual 7 3 6 2 2 2" xfId="36616" xr:uid="{00000000-0005-0000-0000-0000A18E0000}"/>
    <cellStyle name="Porcentual 7 3 6 2 3" xfId="27526" xr:uid="{00000000-0005-0000-0000-0000A28E0000}"/>
    <cellStyle name="Porcentual 7 3 6 3" xfId="13893" xr:uid="{00000000-0005-0000-0000-0000A38E0000}"/>
    <cellStyle name="Porcentual 7 3 6 3 2" xfId="32075" xr:uid="{00000000-0005-0000-0000-0000A48E0000}"/>
    <cellStyle name="Porcentual 7 3 6 4" xfId="22985" xr:uid="{00000000-0005-0000-0000-0000A58E0000}"/>
    <cellStyle name="Porcentual 7 3 7" xfId="6420" xr:uid="{00000000-0005-0000-0000-0000A68E0000}"/>
    <cellStyle name="Porcentual 7 3 7 2" xfId="15520" xr:uid="{00000000-0005-0000-0000-0000A78E0000}"/>
    <cellStyle name="Porcentual 7 3 7 2 2" xfId="33702" xr:uid="{00000000-0005-0000-0000-0000A88E0000}"/>
    <cellStyle name="Porcentual 7 3 7 3" xfId="24612" xr:uid="{00000000-0005-0000-0000-0000A98E0000}"/>
    <cellStyle name="Porcentual 7 3 8" xfId="10986" xr:uid="{00000000-0005-0000-0000-0000AA8E0000}"/>
    <cellStyle name="Porcentual 7 3 8 2" xfId="29168" xr:uid="{00000000-0005-0000-0000-0000AB8E0000}"/>
    <cellStyle name="Porcentual 7 3 9" xfId="20077" xr:uid="{00000000-0005-0000-0000-0000AC8E0000}"/>
    <cellStyle name="Porcentual 7 4" xfId="1790" xr:uid="{00000000-0005-0000-0000-0000AD8E0000}"/>
    <cellStyle name="Porcentual 7 4 2" xfId="1791" xr:uid="{00000000-0005-0000-0000-0000AE8E0000}"/>
    <cellStyle name="Porcentual 7 4 2 2" xfId="3135" xr:uid="{00000000-0005-0000-0000-0000AF8E0000}"/>
    <cellStyle name="Porcentual 7 4 2 2 2" xfId="7700" xr:uid="{00000000-0005-0000-0000-0000B08E0000}"/>
    <cellStyle name="Porcentual 7 4 2 2 2 2" xfId="16800" xr:uid="{00000000-0005-0000-0000-0000B18E0000}"/>
    <cellStyle name="Porcentual 7 4 2 2 2 2 2" xfId="34982" xr:uid="{00000000-0005-0000-0000-0000B28E0000}"/>
    <cellStyle name="Porcentual 7 4 2 2 2 3" xfId="25892" xr:uid="{00000000-0005-0000-0000-0000B38E0000}"/>
    <cellStyle name="Porcentual 7 4 2 2 3" xfId="12262" xr:uid="{00000000-0005-0000-0000-0000B48E0000}"/>
    <cellStyle name="Porcentual 7 4 2 2 3 2" xfId="30444" xr:uid="{00000000-0005-0000-0000-0000B58E0000}"/>
    <cellStyle name="Porcentual 7 4 2 2 4" xfId="21354" xr:uid="{00000000-0005-0000-0000-0000B68E0000}"/>
    <cellStyle name="Porcentual 7 4 2 3" xfId="4788" xr:uid="{00000000-0005-0000-0000-0000B78E0000}"/>
    <cellStyle name="Porcentual 7 4 2 3 2" xfId="9344" xr:uid="{00000000-0005-0000-0000-0000B88E0000}"/>
    <cellStyle name="Porcentual 7 4 2 3 2 2" xfId="18440" xr:uid="{00000000-0005-0000-0000-0000B98E0000}"/>
    <cellStyle name="Porcentual 7 4 2 3 2 2 2" xfId="36622" xr:uid="{00000000-0005-0000-0000-0000BA8E0000}"/>
    <cellStyle name="Porcentual 7 4 2 3 2 3" xfId="27532" xr:uid="{00000000-0005-0000-0000-0000BB8E0000}"/>
    <cellStyle name="Porcentual 7 4 2 3 3" xfId="13899" xr:uid="{00000000-0005-0000-0000-0000BC8E0000}"/>
    <cellStyle name="Porcentual 7 4 2 3 3 2" xfId="32081" xr:uid="{00000000-0005-0000-0000-0000BD8E0000}"/>
    <cellStyle name="Porcentual 7 4 2 3 4" xfId="22991" xr:uid="{00000000-0005-0000-0000-0000BE8E0000}"/>
    <cellStyle name="Porcentual 7 4 2 4" xfId="6426" xr:uid="{00000000-0005-0000-0000-0000BF8E0000}"/>
    <cellStyle name="Porcentual 7 4 2 4 2" xfId="15526" xr:uid="{00000000-0005-0000-0000-0000C08E0000}"/>
    <cellStyle name="Porcentual 7 4 2 4 2 2" xfId="33708" xr:uid="{00000000-0005-0000-0000-0000C18E0000}"/>
    <cellStyle name="Porcentual 7 4 2 4 3" xfId="24618" xr:uid="{00000000-0005-0000-0000-0000C28E0000}"/>
    <cellStyle name="Porcentual 7 4 2 5" xfId="10992" xr:uid="{00000000-0005-0000-0000-0000C38E0000}"/>
    <cellStyle name="Porcentual 7 4 2 5 2" xfId="29174" xr:uid="{00000000-0005-0000-0000-0000C48E0000}"/>
    <cellStyle name="Porcentual 7 4 2 6" xfId="20083" xr:uid="{00000000-0005-0000-0000-0000C58E0000}"/>
    <cellStyle name="Porcentual 7 4 3" xfId="3136" xr:uid="{00000000-0005-0000-0000-0000C68E0000}"/>
    <cellStyle name="Porcentual 7 4 3 2" xfId="7701" xr:uid="{00000000-0005-0000-0000-0000C78E0000}"/>
    <cellStyle name="Porcentual 7 4 3 2 2" xfId="16801" xr:uid="{00000000-0005-0000-0000-0000C88E0000}"/>
    <cellStyle name="Porcentual 7 4 3 2 2 2" xfId="34983" xr:uid="{00000000-0005-0000-0000-0000C98E0000}"/>
    <cellStyle name="Porcentual 7 4 3 2 3" xfId="25893" xr:uid="{00000000-0005-0000-0000-0000CA8E0000}"/>
    <cellStyle name="Porcentual 7 4 3 3" xfId="12263" xr:uid="{00000000-0005-0000-0000-0000CB8E0000}"/>
    <cellStyle name="Porcentual 7 4 3 3 2" xfId="30445" xr:uid="{00000000-0005-0000-0000-0000CC8E0000}"/>
    <cellStyle name="Porcentual 7 4 3 4" xfId="21355" xr:uid="{00000000-0005-0000-0000-0000CD8E0000}"/>
    <cellStyle name="Porcentual 7 4 4" xfId="4787" xr:uid="{00000000-0005-0000-0000-0000CE8E0000}"/>
    <cellStyle name="Porcentual 7 4 4 2" xfId="9343" xr:uid="{00000000-0005-0000-0000-0000CF8E0000}"/>
    <cellStyle name="Porcentual 7 4 4 2 2" xfId="18439" xr:uid="{00000000-0005-0000-0000-0000D08E0000}"/>
    <cellStyle name="Porcentual 7 4 4 2 2 2" xfId="36621" xr:uid="{00000000-0005-0000-0000-0000D18E0000}"/>
    <cellStyle name="Porcentual 7 4 4 2 3" xfId="27531" xr:uid="{00000000-0005-0000-0000-0000D28E0000}"/>
    <cellStyle name="Porcentual 7 4 4 3" xfId="13898" xr:uid="{00000000-0005-0000-0000-0000D38E0000}"/>
    <cellStyle name="Porcentual 7 4 4 3 2" xfId="32080" xr:uid="{00000000-0005-0000-0000-0000D48E0000}"/>
    <cellStyle name="Porcentual 7 4 4 4" xfId="22990" xr:uid="{00000000-0005-0000-0000-0000D58E0000}"/>
    <cellStyle name="Porcentual 7 4 5" xfId="6425" xr:uid="{00000000-0005-0000-0000-0000D68E0000}"/>
    <cellStyle name="Porcentual 7 4 5 2" xfId="15525" xr:uid="{00000000-0005-0000-0000-0000D78E0000}"/>
    <cellStyle name="Porcentual 7 4 5 2 2" xfId="33707" xr:uid="{00000000-0005-0000-0000-0000D88E0000}"/>
    <cellStyle name="Porcentual 7 4 5 3" xfId="24617" xr:uid="{00000000-0005-0000-0000-0000D98E0000}"/>
    <cellStyle name="Porcentual 7 4 6" xfId="10991" xr:uid="{00000000-0005-0000-0000-0000DA8E0000}"/>
    <cellStyle name="Porcentual 7 4 6 2" xfId="29173" xr:uid="{00000000-0005-0000-0000-0000DB8E0000}"/>
    <cellStyle name="Porcentual 7 4 7" xfId="20082" xr:uid="{00000000-0005-0000-0000-0000DC8E0000}"/>
    <cellStyle name="Porcentual 7 5" xfId="1792" xr:uid="{00000000-0005-0000-0000-0000DD8E0000}"/>
    <cellStyle name="Porcentual 7 5 2" xfId="3137" xr:uid="{00000000-0005-0000-0000-0000DE8E0000}"/>
    <cellStyle name="Porcentual 7 5 2 2" xfId="7702" xr:uid="{00000000-0005-0000-0000-0000DF8E0000}"/>
    <cellStyle name="Porcentual 7 5 2 2 2" xfId="16802" xr:uid="{00000000-0005-0000-0000-0000E08E0000}"/>
    <cellStyle name="Porcentual 7 5 2 2 2 2" xfId="34984" xr:uid="{00000000-0005-0000-0000-0000E18E0000}"/>
    <cellStyle name="Porcentual 7 5 2 2 3" xfId="25894" xr:uid="{00000000-0005-0000-0000-0000E28E0000}"/>
    <cellStyle name="Porcentual 7 5 2 3" xfId="12264" xr:uid="{00000000-0005-0000-0000-0000E38E0000}"/>
    <cellStyle name="Porcentual 7 5 2 3 2" xfId="30446" xr:uid="{00000000-0005-0000-0000-0000E48E0000}"/>
    <cellStyle name="Porcentual 7 5 2 4" xfId="21356" xr:uid="{00000000-0005-0000-0000-0000E58E0000}"/>
    <cellStyle name="Porcentual 7 5 3" xfId="4789" xr:uid="{00000000-0005-0000-0000-0000E68E0000}"/>
    <cellStyle name="Porcentual 7 5 3 2" xfId="9345" xr:uid="{00000000-0005-0000-0000-0000E78E0000}"/>
    <cellStyle name="Porcentual 7 5 3 2 2" xfId="18441" xr:uid="{00000000-0005-0000-0000-0000E88E0000}"/>
    <cellStyle name="Porcentual 7 5 3 2 2 2" xfId="36623" xr:uid="{00000000-0005-0000-0000-0000E98E0000}"/>
    <cellStyle name="Porcentual 7 5 3 2 3" xfId="27533" xr:uid="{00000000-0005-0000-0000-0000EA8E0000}"/>
    <cellStyle name="Porcentual 7 5 3 3" xfId="13900" xr:uid="{00000000-0005-0000-0000-0000EB8E0000}"/>
    <cellStyle name="Porcentual 7 5 3 3 2" xfId="32082" xr:uid="{00000000-0005-0000-0000-0000EC8E0000}"/>
    <cellStyle name="Porcentual 7 5 3 4" xfId="22992" xr:uid="{00000000-0005-0000-0000-0000ED8E0000}"/>
    <cellStyle name="Porcentual 7 5 4" xfId="6427" xr:uid="{00000000-0005-0000-0000-0000EE8E0000}"/>
    <cellStyle name="Porcentual 7 5 4 2" xfId="15527" xr:uid="{00000000-0005-0000-0000-0000EF8E0000}"/>
    <cellStyle name="Porcentual 7 5 4 2 2" xfId="33709" xr:uid="{00000000-0005-0000-0000-0000F08E0000}"/>
    <cellStyle name="Porcentual 7 5 4 3" xfId="24619" xr:uid="{00000000-0005-0000-0000-0000F18E0000}"/>
    <cellStyle name="Porcentual 7 5 5" xfId="10993" xr:uid="{00000000-0005-0000-0000-0000F28E0000}"/>
    <cellStyle name="Porcentual 7 5 5 2" xfId="29175" xr:uid="{00000000-0005-0000-0000-0000F38E0000}"/>
    <cellStyle name="Porcentual 7 5 6" xfId="20084" xr:uid="{00000000-0005-0000-0000-0000F48E0000}"/>
    <cellStyle name="Porcentual 7 6" xfId="1793" xr:uid="{00000000-0005-0000-0000-0000F58E0000}"/>
    <cellStyle name="Porcentual 7 6 2" xfId="4790" xr:uid="{00000000-0005-0000-0000-0000F68E0000}"/>
    <cellStyle name="Porcentual 7 6 2 2" xfId="9346" xr:uid="{00000000-0005-0000-0000-0000F78E0000}"/>
    <cellStyle name="Porcentual 7 6 2 2 2" xfId="18442" xr:uid="{00000000-0005-0000-0000-0000F88E0000}"/>
    <cellStyle name="Porcentual 7 6 2 2 2 2" xfId="36624" xr:uid="{00000000-0005-0000-0000-0000F98E0000}"/>
    <cellStyle name="Porcentual 7 6 2 2 3" xfId="27534" xr:uid="{00000000-0005-0000-0000-0000FA8E0000}"/>
    <cellStyle name="Porcentual 7 6 2 3" xfId="13901" xr:uid="{00000000-0005-0000-0000-0000FB8E0000}"/>
    <cellStyle name="Porcentual 7 6 2 3 2" xfId="32083" xr:uid="{00000000-0005-0000-0000-0000FC8E0000}"/>
    <cellStyle name="Porcentual 7 6 2 4" xfId="22993" xr:uid="{00000000-0005-0000-0000-0000FD8E0000}"/>
    <cellStyle name="Porcentual 7 6 3" xfId="6428" xr:uid="{00000000-0005-0000-0000-0000FE8E0000}"/>
    <cellStyle name="Porcentual 7 6 3 2" xfId="15528" xr:uid="{00000000-0005-0000-0000-0000FF8E0000}"/>
    <cellStyle name="Porcentual 7 6 3 2 2" xfId="33710" xr:uid="{00000000-0005-0000-0000-0000008F0000}"/>
    <cellStyle name="Porcentual 7 6 3 3" xfId="24620" xr:uid="{00000000-0005-0000-0000-0000018F0000}"/>
    <cellStyle name="Porcentual 7 6 4" xfId="10994" xr:uid="{00000000-0005-0000-0000-0000028F0000}"/>
    <cellStyle name="Porcentual 7 6 4 2" xfId="29176" xr:uid="{00000000-0005-0000-0000-0000038F0000}"/>
    <cellStyle name="Porcentual 7 6 5" xfId="20085" xr:uid="{00000000-0005-0000-0000-0000048F0000}"/>
    <cellStyle name="Porcentual 7 7" xfId="3138" xr:uid="{00000000-0005-0000-0000-0000058F0000}"/>
    <cellStyle name="Porcentual 7 7 2" xfId="7703" xr:uid="{00000000-0005-0000-0000-0000068F0000}"/>
    <cellStyle name="Porcentual 7 7 2 2" xfId="16803" xr:uid="{00000000-0005-0000-0000-0000078F0000}"/>
    <cellStyle name="Porcentual 7 7 2 2 2" xfId="34985" xr:uid="{00000000-0005-0000-0000-0000088F0000}"/>
    <cellStyle name="Porcentual 7 7 2 3" xfId="25895" xr:uid="{00000000-0005-0000-0000-0000098F0000}"/>
    <cellStyle name="Porcentual 7 7 3" xfId="12265" xr:uid="{00000000-0005-0000-0000-00000A8F0000}"/>
    <cellStyle name="Porcentual 7 7 3 2" xfId="30447" xr:uid="{00000000-0005-0000-0000-00000B8F0000}"/>
    <cellStyle name="Porcentual 7 7 4" xfId="21357" xr:uid="{00000000-0005-0000-0000-00000C8F0000}"/>
    <cellStyle name="Porcentual 7 8" xfId="3216" xr:uid="{00000000-0005-0000-0000-00000D8F0000}"/>
    <cellStyle name="Porcentual 7 8 2" xfId="7776" xr:uid="{00000000-0005-0000-0000-00000E8F0000}"/>
    <cellStyle name="Porcentual 7 8 2 2" xfId="16872" xr:uid="{00000000-0005-0000-0000-00000F8F0000}"/>
    <cellStyle name="Porcentual 7 8 2 2 2" xfId="35054" xr:uid="{00000000-0005-0000-0000-0000108F0000}"/>
    <cellStyle name="Porcentual 7 8 2 3" xfId="25964" xr:uid="{00000000-0005-0000-0000-0000118F0000}"/>
    <cellStyle name="Porcentual 7 8 3" xfId="12332" xr:uid="{00000000-0005-0000-0000-0000128F0000}"/>
    <cellStyle name="Porcentual 7 8 3 2" xfId="30514" xr:uid="{00000000-0005-0000-0000-0000138F0000}"/>
    <cellStyle name="Porcentual 7 8 4" xfId="21424" xr:uid="{00000000-0005-0000-0000-0000148F0000}"/>
    <cellStyle name="Porcentual 7 9" xfId="4864" xr:uid="{00000000-0005-0000-0000-0000158F0000}"/>
    <cellStyle name="Porcentual 7 9 2" xfId="13964" xr:uid="{00000000-0005-0000-0000-0000168F0000}"/>
    <cellStyle name="Porcentual 7 9 2 2" xfId="32146" xr:uid="{00000000-0005-0000-0000-0000178F0000}"/>
    <cellStyle name="Porcentual 7 9 3" xfId="23056" xr:uid="{00000000-0005-0000-0000-0000188F0000}"/>
    <cellStyle name="Porcentual 8" xfId="136" xr:uid="{00000000-0005-0000-0000-0000198F0000}"/>
    <cellStyle name="Porcentual 9" xfId="142" xr:uid="{00000000-0005-0000-0000-00001A8F0000}"/>
    <cellStyle name="Porcentual 9 2" xfId="1794" xr:uid="{00000000-0005-0000-0000-00001B8F0000}"/>
    <cellStyle name="PRESUPUESTO" xfId="12" xr:uid="{00000000-0005-0000-0000-00001C8F0000}"/>
    <cellStyle name="PRESUPUESTO 2" xfId="1795" xr:uid="{00000000-0005-0000-0000-00001D8F0000}"/>
    <cellStyle name="PRESUPUESTO 3" xfId="3139" xr:uid="{00000000-0005-0000-0000-00001E8F0000}"/>
    <cellStyle name="PRESUPUESTO 4" xfId="3140" xr:uid="{00000000-0005-0000-0000-00001F8F0000}"/>
    <cellStyle name="Red" xfId="1796" xr:uid="{00000000-0005-0000-0000-0000208F0000}"/>
    <cellStyle name="Saída" xfId="1797" xr:uid="{00000000-0005-0000-0000-0000218F0000}"/>
    <cellStyle name="Saída 2" xfId="3141" xr:uid="{00000000-0005-0000-0000-0000228F0000}"/>
    <cellStyle name="Saída 2 2" xfId="7704" xr:uid="{00000000-0005-0000-0000-0000238F0000}"/>
    <cellStyle name="Saída 2 2 2" xfId="16804" xr:uid="{00000000-0005-0000-0000-0000248F0000}"/>
    <cellStyle name="Saída 2 2 2 2" xfId="34986" xr:uid="{00000000-0005-0000-0000-0000258F0000}"/>
    <cellStyle name="Saída 2 2 2 3" xfId="36659" xr:uid="{00000000-0005-0000-0000-0000268F0000}"/>
    <cellStyle name="Saída 2 2 3" xfId="25896" xr:uid="{00000000-0005-0000-0000-0000278F0000}"/>
    <cellStyle name="Saída 2 3" xfId="9366" xr:uid="{00000000-0005-0000-0000-0000288F0000}"/>
    <cellStyle name="Saída 2 3 2" xfId="18459" xr:uid="{00000000-0005-0000-0000-0000298F0000}"/>
    <cellStyle name="Saída 2 3 2 2" xfId="36641" xr:uid="{00000000-0005-0000-0000-00002A8F0000}"/>
    <cellStyle name="Saída 2 3 2 3" xfId="36669" xr:uid="{00000000-0005-0000-0000-00002B8F0000}"/>
    <cellStyle name="Saída 2 3 3" xfId="27551" xr:uid="{00000000-0005-0000-0000-00002C8F0000}"/>
    <cellStyle name="Saída 2 4" xfId="9363" xr:uid="{00000000-0005-0000-0000-00002D8F0000}"/>
    <cellStyle name="Saída 2 4 2" xfId="18456" xr:uid="{00000000-0005-0000-0000-00002E8F0000}"/>
    <cellStyle name="Saída 2 4 2 2" xfId="36638" xr:uid="{00000000-0005-0000-0000-00002F8F0000}"/>
    <cellStyle name="Saída 2 4 2 3" xfId="36666" xr:uid="{00000000-0005-0000-0000-0000308F0000}"/>
    <cellStyle name="Saída 2 4 3" xfId="27548" xr:uid="{00000000-0005-0000-0000-0000318F0000}"/>
    <cellStyle name="Saída 2 4 4" xfId="36650" xr:uid="{00000000-0005-0000-0000-0000328F0000}"/>
    <cellStyle name="Saída 3" xfId="4791" xr:uid="{00000000-0005-0000-0000-0000338F0000}"/>
    <cellStyle name="Saída 3 2" xfId="9347" xr:uid="{00000000-0005-0000-0000-0000348F0000}"/>
    <cellStyle name="Saída 3 2 2" xfId="18443" xr:uid="{00000000-0005-0000-0000-0000358F0000}"/>
    <cellStyle name="Saída 3 2 2 2" xfId="36625" xr:uid="{00000000-0005-0000-0000-0000368F0000}"/>
    <cellStyle name="Saída 3 2 2 3" xfId="36661" xr:uid="{00000000-0005-0000-0000-0000378F0000}"/>
    <cellStyle name="Saída 3 2 3" xfId="27535" xr:uid="{00000000-0005-0000-0000-0000388F0000}"/>
    <cellStyle name="Saída 3 3" xfId="9370" xr:uid="{00000000-0005-0000-0000-0000398F0000}"/>
    <cellStyle name="Saída 3 3 2" xfId="18463" xr:uid="{00000000-0005-0000-0000-00003A8F0000}"/>
    <cellStyle name="Saída 3 3 2 2" xfId="36645" xr:uid="{00000000-0005-0000-0000-00003B8F0000}"/>
    <cellStyle name="Saída 3 3 2 3" xfId="36673" xr:uid="{00000000-0005-0000-0000-00003C8F0000}"/>
    <cellStyle name="Saída 3 3 3" xfId="27555" xr:uid="{00000000-0005-0000-0000-00003D8F0000}"/>
    <cellStyle name="Saída 3 3 4" xfId="36655" xr:uid="{00000000-0005-0000-0000-00003E8F0000}"/>
    <cellStyle name="Saída 4" xfId="6429" xr:uid="{00000000-0005-0000-0000-00003F8F0000}"/>
    <cellStyle name="Saída 4 2" xfId="15529" xr:uid="{00000000-0005-0000-0000-0000408F0000}"/>
    <cellStyle name="Saída 4 2 2" xfId="33711" xr:uid="{00000000-0005-0000-0000-0000418F0000}"/>
    <cellStyle name="Saída 4 2 3" xfId="36656" xr:uid="{00000000-0005-0000-0000-0000428F0000}"/>
    <cellStyle name="Saída 4 3" xfId="24621" xr:uid="{00000000-0005-0000-0000-0000438F0000}"/>
    <cellStyle name="Separador de milhares_ORC0996" xfId="68" xr:uid="{00000000-0005-0000-0000-0000448F0000}"/>
    <cellStyle name="Style 1" xfId="143" xr:uid="{00000000-0005-0000-0000-0000458F0000}"/>
    <cellStyle name="Texto de Aviso" xfId="1798" xr:uid="{00000000-0005-0000-0000-0000468F0000}"/>
    <cellStyle name="Título 4" xfId="1799" xr:uid="{00000000-0005-0000-0000-0000478F0000}"/>
    <cellStyle name="쉼표 4" xfId="1800" xr:uid="{00000000-0005-0000-0000-0000488F0000}"/>
    <cellStyle name="콤마 [0]_CABLE-물량-MAY-30-2002" xfId="1801" xr:uid="{00000000-0005-0000-0000-0000498F0000}"/>
    <cellStyle name="표준 2" xfId="1802" xr:uid="{00000000-0005-0000-0000-00004A8F0000}"/>
    <cellStyle name="표준 23" xfId="1803" xr:uid="{00000000-0005-0000-0000-00004B8F0000}"/>
    <cellStyle name="표준 4" xfId="1804" xr:uid="{00000000-0005-0000-0000-00004C8F0000}"/>
    <cellStyle name="표준 7" xfId="1805" xr:uid="{00000000-0005-0000-0000-00004D8F0000}"/>
    <cellStyle name="표준_2.M설치비_Megat" xfId="1806" xr:uid="{00000000-0005-0000-0000-00004E8F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99FFCC"/>
      <color rgb="FF000080"/>
      <color rgb="FFCCECFF"/>
      <color rgb="FFCCFFCC"/>
      <color rgb="FF0000FF"/>
      <color rgb="FF00FF00"/>
      <color rgb="FFCC99FF"/>
      <color rgb="FFFFCCFF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3</xdr:col>
      <xdr:colOff>342900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8954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40821</xdr:rowOff>
    </xdr:from>
    <xdr:to>
      <xdr:col>16</xdr:col>
      <xdr:colOff>134492</xdr:colOff>
      <xdr:row>61</xdr:row>
      <xdr:rowOff>116824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EF417D-1EDE-4AE7-9C8F-D76C37309B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1690"/>
        <a:stretch/>
      </xdr:blipFill>
      <xdr:spPr>
        <a:xfrm>
          <a:off x="0" y="2490107"/>
          <a:ext cx="13284979" cy="75871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bat%20Dropbox\Oficina%20T&#233;cnica\2.%20PROYECTOS\17.%20Plataformas%20E1%20y%20E2\II.%20PLANIFICACI&#211;N\LB_Costo\Licitacion%20Formato%20C1%20Plataformas%20E1%20y%20E2_Rev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BCOVID219/MOB01318/2.%20SDC/ODC-06/SDC98/105-16062-MOB01318-SDC-430-K-0098_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bat/DIQUE%20CORREDOR/01_Contractual/Formato%20C%20-%20Metrados%20y%20Costos%20Re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2%20TRANSBAT\TB2021\MTE01521\104-16062-MTE2915-MTO-430-G-0012-2_Formato%20C-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2%20TRANSBAT\TRANS%20BAT%20SRL%20Dropbox\Oficina%20T&#233;cnica\2.%20PROYECTOS\10.%20Plataforma%20de%20acceso%20de%20operaciones\IV.%20CONTROL\5.%20Solicitudes%20de%20Cambio\ODC%201\SDC%2009\rev3\105-18028-MTE01521-SDC-430-K-0009_3%20(costo%20mod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2%20TRANSBAT\TRANS%20BAT%20SRL%20Dropbox\Oficina%20T&#233;cnica\2.%20PROYECTOS\10.%20Plataforma%20de%20acceso%20de%20operaciones\IV.%20CONTROL\6.%20Estados%20de%20Pago\EDP%20002\EDP%20N&#176;02_1\VALIDADO\105-18028-MTE01521-EDP-K-430-0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 Formato C-1"/>
      <sheetName val="1.2 APU"/>
      <sheetName val="1.3 Gastos Generales"/>
      <sheetName val="1.2 Rendimiento"/>
      <sheetName val="1.9 Duration"/>
      <sheetName val="1.4 Insumos"/>
      <sheetName val="1.4 COMBUSTIBLE"/>
      <sheetName val="Tarifas"/>
      <sheetName val="1.5 Formato Alim&amp;Hosp"/>
      <sheetName val="1.7 Costos Covid"/>
      <sheetName val="Equipos-Personal (HH y HM)"/>
      <sheetName val="EEPs OBREROS"/>
      <sheetName val="EPPs EMPLEADOS"/>
      <sheetName val="EPPs Empleados (kit)"/>
      <sheetName val="EPPs Obreros (kit)"/>
      <sheetName val="EPPs Colectivo KIT COVID"/>
      <sheetName val="Costo HH"/>
      <sheetName val="% Leyes Sociales"/>
      <sheetName val="Datos"/>
      <sheetName val="Cálculo de ciclos"/>
    </sheetNames>
    <sheetDataSet>
      <sheetData sheetId="0"/>
      <sheetData sheetId="1"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</row>
        <row r="6">
          <cell r="A6"/>
          <cell r="B6" t="str">
            <v>PROYECTO:</v>
          </cell>
          <cell r="C6" t="str">
            <v>CONSTRUCCIÓN PLATAFORMA DE CONTRATISTAS E1 Y E2</v>
          </cell>
          <cell r="D6"/>
          <cell r="E6"/>
          <cell r="F6"/>
          <cell r="G6"/>
          <cell r="H6"/>
          <cell r="I6"/>
          <cell r="J6"/>
          <cell r="K6"/>
          <cell r="L6"/>
        </row>
        <row r="7">
          <cell r="A7"/>
          <cell r="B7" t="str">
            <v>POSTOR     :</v>
          </cell>
          <cell r="C7" t="str">
            <v>TRANSBAT</v>
          </cell>
          <cell r="D7"/>
          <cell r="E7"/>
          <cell r="F7"/>
          <cell r="G7"/>
          <cell r="H7"/>
          <cell r="I7"/>
          <cell r="J7"/>
          <cell r="K7"/>
          <cell r="L7"/>
        </row>
        <row r="8">
          <cell r="A8"/>
          <cell r="B8" t="str">
            <v>FECHA        :</v>
          </cell>
          <cell r="C8">
            <v>44446</v>
          </cell>
          <cell r="D8"/>
          <cell r="E8"/>
          <cell r="F8"/>
          <cell r="G8"/>
          <cell r="H8"/>
          <cell r="I8"/>
          <cell r="J8"/>
          <cell r="K8"/>
          <cell r="L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</row>
        <row r="10">
          <cell r="A10"/>
          <cell r="B10"/>
          <cell r="C10"/>
          <cell r="F10"/>
          <cell r="G10"/>
          <cell r="H10"/>
          <cell r="I10"/>
          <cell r="J10"/>
        </row>
        <row r="11">
          <cell r="A11">
            <v>10003</v>
          </cell>
          <cell r="B11" t="str">
            <v>Partida</v>
          </cell>
          <cell r="C11">
            <v>1.01</v>
          </cell>
          <cell r="D11" t="str">
            <v>Facilidades temporales: Oficinas, almacenes y talleres</v>
          </cell>
          <cell r="E11"/>
          <cell r="F11"/>
          <cell r="G11"/>
          <cell r="H11"/>
          <cell r="I11"/>
          <cell r="J11"/>
          <cell r="K11">
            <v>37959.22</v>
          </cell>
          <cell r="L11"/>
        </row>
        <row r="12">
          <cell r="B12" t="str">
            <v>Rendimiento:</v>
          </cell>
          <cell r="C12">
            <v>1</v>
          </cell>
          <cell r="D12" t="str">
            <v>glb</v>
          </cell>
          <cell r="E12" t="str">
            <v>/mes</v>
          </cell>
          <cell r="F12"/>
          <cell r="G12"/>
          <cell r="H12" t="str">
            <v>C.U. Total:</v>
          </cell>
          <cell r="I12">
            <v>37959.22</v>
          </cell>
          <cell r="J12" t="str">
            <v>glb</v>
          </cell>
        </row>
        <row r="13">
          <cell r="A13"/>
          <cell r="B13" t="str">
            <v>Codigo</v>
          </cell>
          <cell r="C13" t="str">
            <v>Recurso</v>
          </cell>
          <cell r="D13"/>
          <cell r="E13"/>
          <cell r="F13" t="str">
            <v>UND</v>
          </cell>
          <cell r="G13" t="str">
            <v>Cuadrilla</v>
          </cell>
          <cell r="H13" t="str">
            <v>Cantidad</v>
          </cell>
          <cell r="I13" t="str">
            <v>C.U.</v>
          </cell>
          <cell r="J13" t="str">
            <v>C.Parcial</v>
          </cell>
          <cell r="K13" t="str">
            <v>SUBTOTAL</v>
          </cell>
          <cell r="L13"/>
        </row>
        <row r="14">
          <cell r="A14" t="str">
            <v>10003(B)</v>
          </cell>
          <cell r="B14" t="str">
            <v>Materiales</v>
          </cell>
          <cell r="C14"/>
          <cell r="D14"/>
          <cell r="E14"/>
          <cell r="F14"/>
          <cell r="G14"/>
          <cell r="H14"/>
          <cell r="I14"/>
          <cell r="J14"/>
          <cell r="K14">
            <v>2778.8</v>
          </cell>
          <cell r="L14" t="str">
            <v>(B)</v>
          </cell>
        </row>
        <row r="15">
          <cell r="A15"/>
          <cell r="B15" t="str">
            <v>TF00054</v>
          </cell>
          <cell r="C15" t="str">
            <v>Muebles de oficina</v>
          </cell>
          <cell r="D15"/>
          <cell r="E15"/>
          <cell r="F15" t="str">
            <v>glb</v>
          </cell>
          <cell r="G15"/>
          <cell r="H15">
            <v>4</v>
          </cell>
          <cell r="I15">
            <v>15.45</v>
          </cell>
          <cell r="J15">
            <v>61.8</v>
          </cell>
          <cell r="K15"/>
          <cell r="L15"/>
        </row>
        <row r="16">
          <cell r="A16"/>
          <cell r="B16" t="str">
            <v>TF00055</v>
          </cell>
          <cell r="C16" t="str">
            <v>Señalización y EPPs colectivos</v>
          </cell>
          <cell r="D16"/>
          <cell r="E16"/>
          <cell r="F16" t="str">
            <v>mes</v>
          </cell>
          <cell r="G16"/>
          <cell r="H16">
            <v>2.4700000000000002</v>
          </cell>
          <cell r="I16">
            <v>600</v>
          </cell>
          <cell r="J16">
            <v>1482</v>
          </cell>
          <cell r="K16"/>
          <cell r="L16"/>
        </row>
        <row r="17">
          <cell r="A17"/>
          <cell r="B17" t="str">
            <v>TF00056</v>
          </cell>
          <cell r="C17" t="str">
            <v>Utiles de oficina</v>
          </cell>
          <cell r="D17"/>
          <cell r="E17"/>
          <cell r="F17" t="str">
            <v>mes</v>
          </cell>
          <cell r="G17"/>
          <cell r="H17">
            <v>2.4700000000000002</v>
          </cell>
          <cell r="I17">
            <v>500</v>
          </cell>
          <cell r="J17">
            <v>1235</v>
          </cell>
          <cell r="K17"/>
          <cell r="L17"/>
        </row>
        <row r="18">
          <cell r="A18"/>
          <cell r="B18" t="str">
            <v>TF00057</v>
          </cell>
          <cell r="C18" t="str">
            <v>Materiales de laboratorio en obra</v>
          </cell>
          <cell r="D18"/>
          <cell r="E18"/>
          <cell r="F18" t="str">
            <v>glb</v>
          </cell>
          <cell r="G18"/>
          <cell r="H18">
            <v>0</v>
          </cell>
          <cell r="I18">
            <v>400</v>
          </cell>
          <cell r="J18">
            <v>0</v>
          </cell>
          <cell r="K18"/>
          <cell r="L18"/>
        </row>
        <row r="19">
          <cell r="A19"/>
          <cell r="B19"/>
          <cell r="C19"/>
          <cell r="D19"/>
          <cell r="E19"/>
          <cell r="F19"/>
          <cell r="G19"/>
          <cell r="H19"/>
          <cell r="I19"/>
          <cell r="J19">
            <v>2778.8</v>
          </cell>
          <cell r="K19"/>
          <cell r="L19"/>
        </row>
        <row r="20">
          <cell r="A20" t="str">
            <v>10003(C)</v>
          </cell>
          <cell r="B20" t="str">
            <v>Mano de Obra</v>
          </cell>
          <cell r="C20"/>
          <cell r="D20"/>
          <cell r="E20"/>
          <cell r="F20"/>
          <cell r="G20"/>
          <cell r="H20"/>
          <cell r="I20"/>
          <cell r="J20"/>
          <cell r="K20">
            <v>10814.65</v>
          </cell>
          <cell r="L20" t="str">
            <v>(C)</v>
          </cell>
        </row>
        <row r="21">
          <cell r="A21"/>
          <cell r="B21" t="str">
            <v>TF00002</v>
          </cell>
          <cell r="C21" t="str">
            <v>Capataz</v>
          </cell>
          <cell r="D21"/>
          <cell r="E21"/>
          <cell r="F21" t="str">
            <v>hh</v>
          </cell>
          <cell r="G21"/>
          <cell r="H21">
            <v>24.700000000000003</v>
          </cell>
          <cell r="I21">
            <v>9.68</v>
          </cell>
          <cell r="J21">
            <v>239.1</v>
          </cell>
          <cell r="K21"/>
          <cell r="L21"/>
        </row>
        <row r="22">
          <cell r="A22"/>
          <cell r="B22" t="str">
            <v>TF00015</v>
          </cell>
          <cell r="C22" t="str">
            <v>Rigger</v>
          </cell>
          <cell r="D22"/>
          <cell r="E22"/>
          <cell r="F22" t="str">
            <v>hh</v>
          </cell>
          <cell r="G22"/>
          <cell r="H22">
            <v>24.700000000000003</v>
          </cell>
          <cell r="I22">
            <v>14</v>
          </cell>
          <cell r="J22">
            <v>345.8</v>
          </cell>
          <cell r="K22"/>
          <cell r="L22"/>
        </row>
        <row r="23">
          <cell r="A23"/>
          <cell r="B23" t="str">
            <v>TF00004</v>
          </cell>
          <cell r="C23" t="str">
            <v>Operario</v>
          </cell>
          <cell r="D23"/>
          <cell r="E23"/>
          <cell r="F23" t="str">
            <v>hh</v>
          </cell>
          <cell r="G23"/>
          <cell r="H23">
            <v>592.80000000000007</v>
          </cell>
          <cell r="I23">
            <v>9.2799999999999994</v>
          </cell>
          <cell r="J23">
            <v>5501.18</v>
          </cell>
          <cell r="K23"/>
          <cell r="L23"/>
        </row>
        <row r="24">
          <cell r="A24"/>
          <cell r="B24" t="str">
            <v>TF00011</v>
          </cell>
          <cell r="C24" t="str">
            <v>Oficial</v>
          </cell>
          <cell r="D24"/>
          <cell r="E24"/>
          <cell r="F24" t="str">
            <v>hh</v>
          </cell>
          <cell r="G24"/>
          <cell r="H24">
            <v>24.700000000000003</v>
          </cell>
          <cell r="I24">
            <v>7.33</v>
          </cell>
          <cell r="J24">
            <v>181.05</v>
          </cell>
          <cell r="K24"/>
          <cell r="L24"/>
        </row>
        <row r="25">
          <cell r="A25"/>
          <cell r="B25" t="str">
            <v>TF00012</v>
          </cell>
          <cell r="C25" t="str">
            <v>Peón</v>
          </cell>
          <cell r="D25"/>
          <cell r="E25"/>
          <cell r="F25" t="str">
            <v>hh</v>
          </cell>
          <cell r="G25"/>
          <cell r="H25">
            <v>592.80000000000007</v>
          </cell>
          <cell r="I25">
            <v>6.46</v>
          </cell>
          <cell r="J25">
            <v>3829.49</v>
          </cell>
          <cell r="K25"/>
          <cell r="L25"/>
        </row>
        <row r="26">
          <cell r="A26"/>
          <cell r="B26" t="str">
            <v>TF00014</v>
          </cell>
          <cell r="C26" t="str">
            <v>Vigía</v>
          </cell>
          <cell r="D26"/>
          <cell r="E26"/>
          <cell r="F26" t="str">
            <v>hh</v>
          </cell>
          <cell r="G26"/>
          <cell r="H26">
            <v>111.15</v>
          </cell>
          <cell r="I26">
            <v>6.46</v>
          </cell>
          <cell r="J26">
            <v>718.03</v>
          </cell>
          <cell r="K26"/>
          <cell r="L26"/>
        </row>
        <row r="27">
          <cell r="A27"/>
          <cell r="B27"/>
          <cell r="C27"/>
          <cell r="D27"/>
          <cell r="E27"/>
          <cell r="F27"/>
          <cell r="G27"/>
          <cell r="H27"/>
          <cell r="I27"/>
          <cell r="J27">
            <v>10814.65</v>
          </cell>
          <cell r="K27"/>
          <cell r="L27"/>
        </row>
        <row r="28">
          <cell r="A28" t="str">
            <v>10003(D)</v>
          </cell>
          <cell r="B28" t="str">
            <v>Herramientas y Equipos</v>
          </cell>
          <cell r="C28"/>
          <cell r="D28"/>
          <cell r="E28"/>
          <cell r="F28"/>
          <cell r="G28"/>
          <cell r="H28"/>
          <cell r="I28"/>
          <cell r="J28"/>
          <cell r="K28">
            <v>24365.769999999997</v>
          </cell>
          <cell r="L28" t="str">
            <v>(D)</v>
          </cell>
        </row>
        <row r="29">
          <cell r="A29"/>
          <cell r="B29" t="str">
            <v>TF00030</v>
          </cell>
          <cell r="C29" t="str">
            <v>Camión Grúa de 20 Ton.</v>
          </cell>
          <cell r="D29"/>
          <cell r="E29"/>
          <cell r="F29" t="str">
            <v>hm</v>
          </cell>
          <cell r="G29"/>
          <cell r="H29">
            <v>24.700000000000003</v>
          </cell>
          <cell r="I29">
            <v>80</v>
          </cell>
          <cell r="J29">
            <v>1976</v>
          </cell>
          <cell r="K29"/>
          <cell r="L29"/>
        </row>
        <row r="30">
          <cell r="A30"/>
          <cell r="B30" t="str">
            <v>TF00024</v>
          </cell>
          <cell r="C30" t="str">
            <v>Excavadora John Deere 290</v>
          </cell>
          <cell r="D30"/>
          <cell r="E30"/>
          <cell r="F30" t="str">
            <v>hm</v>
          </cell>
          <cell r="G30"/>
          <cell r="H30">
            <v>111.15</v>
          </cell>
          <cell r="I30">
            <v>63</v>
          </cell>
          <cell r="J30">
            <v>7002.45</v>
          </cell>
          <cell r="K30"/>
          <cell r="L30"/>
        </row>
        <row r="31">
          <cell r="A31"/>
          <cell r="B31" t="str">
            <v>TF00061</v>
          </cell>
          <cell r="C31" t="str">
            <v>Taller en obra</v>
          </cell>
          <cell r="D31"/>
          <cell r="E31"/>
          <cell r="F31" t="str">
            <v>und</v>
          </cell>
          <cell r="G31"/>
          <cell r="H31">
            <v>0.5</v>
          </cell>
          <cell r="I31">
            <v>4000</v>
          </cell>
          <cell r="J31">
            <v>2000</v>
          </cell>
          <cell r="K31"/>
          <cell r="L31"/>
        </row>
        <row r="32">
          <cell r="A32"/>
          <cell r="B32" t="str">
            <v>TF00062</v>
          </cell>
          <cell r="C32" t="str">
            <v>Multicamp para almacen de campo</v>
          </cell>
          <cell r="D32"/>
          <cell r="E32"/>
          <cell r="F32" t="str">
            <v>mes</v>
          </cell>
          <cell r="G32"/>
          <cell r="H32">
            <v>2.4700000000000002</v>
          </cell>
          <cell r="I32">
            <v>250</v>
          </cell>
          <cell r="J32">
            <v>617.5</v>
          </cell>
          <cell r="K32"/>
          <cell r="L32"/>
        </row>
        <row r="33">
          <cell r="A33"/>
          <cell r="B33" t="str">
            <v>TF00063</v>
          </cell>
          <cell r="C33" t="str">
            <v>Multicamp para oficina</v>
          </cell>
          <cell r="D33"/>
          <cell r="E33"/>
          <cell r="F33" t="str">
            <v>mes</v>
          </cell>
          <cell r="G33"/>
          <cell r="H33">
            <v>2.4700000000000002</v>
          </cell>
          <cell r="I33">
            <v>250</v>
          </cell>
          <cell r="J33">
            <v>617.5</v>
          </cell>
          <cell r="K33"/>
          <cell r="L33"/>
        </row>
        <row r="34">
          <cell r="A34"/>
          <cell r="B34" t="str">
            <v>TF00064</v>
          </cell>
          <cell r="C34" t="str">
            <v>Equipos de laboratorio en obra</v>
          </cell>
          <cell r="D34"/>
          <cell r="E34"/>
          <cell r="F34" t="str">
            <v>und</v>
          </cell>
          <cell r="G34"/>
          <cell r="H34">
            <v>2.4700000000000002</v>
          </cell>
          <cell r="I34">
            <v>800</v>
          </cell>
          <cell r="J34">
            <v>1976</v>
          </cell>
          <cell r="K34"/>
          <cell r="L34"/>
        </row>
        <row r="35">
          <cell r="A35"/>
          <cell r="B35" t="str">
            <v>TF00065</v>
          </cell>
          <cell r="C35" t="str">
            <v>Ensayos de laboratorio externos</v>
          </cell>
          <cell r="D35"/>
          <cell r="E35"/>
          <cell r="F35" t="str">
            <v>und</v>
          </cell>
          <cell r="G35"/>
          <cell r="H35">
            <v>0</v>
          </cell>
          <cell r="I35">
            <v>1000</v>
          </cell>
          <cell r="J35">
            <v>0</v>
          </cell>
          <cell r="K35"/>
          <cell r="L35"/>
        </row>
        <row r="36">
          <cell r="A36"/>
          <cell r="B36" t="str">
            <v>TF00066</v>
          </cell>
          <cell r="C36" t="str">
            <v>Densimetro nuclear</v>
          </cell>
          <cell r="D36"/>
          <cell r="E36"/>
          <cell r="F36" t="str">
            <v>und</v>
          </cell>
          <cell r="G36"/>
          <cell r="H36">
            <v>1.2350000000000001</v>
          </cell>
          <cell r="I36">
            <v>1100</v>
          </cell>
          <cell r="J36">
            <v>1358.5</v>
          </cell>
          <cell r="K36"/>
          <cell r="L36"/>
        </row>
        <row r="37">
          <cell r="A37"/>
          <cell r="B37" t="str">
            <v>TF00067</v>
          </cell>
          <cell r="C37" t="str">
            <v>Bunker para densimetro nuclear</v>
          </cell>
          <cell r="D37"/>
          <cell r="E37"/>
          <cell r="F37" t="str">
            <v>und</v>
          </cell>
          <cell r="G37"/>
          <cell r="H37">
            <v>2.4700000000000002</v>
          </cell>
          <cell r="I37">
            <v>150</v>
          </cell>
          <cell r="J37">
            <v>370.5</v>
          </cell>
          <cell r="K37"/>
          <cell r="L37"/>
        </row>
        <row r="38">
          <cell r="A38"/>
          <cell r="B38" t="str">
            <v>TF00118</v>
          </cell>
          <cell r="C38" t="str">
            <v>Grupo electrogeno 100KW</v>
          </cell>
          <cell r="D38"/>
          <cell r="E38"/>
          <cell r="F38" t="str">
            <v>hm</v>
          </cell>
          <cell r="G38"/>
          <cell r="H38">
            <v>1803.1000000000001</v>
          </cell>
          <cell r="I38">
            <v>4.5</v>
          </cell>
          <cell r="J38">
            <v>8113.95</v>
          </cell>
          <cell r="K38"/>
          <cell r="L38"/>
        </row>
        <row r="39">
          <cell r="A39"/>
          <cell r="B39" t="str">
            <v>TF00069</v>
          </cell>
          <cell r="C39" t="str">
            <v>Equipo de computo</v>
          </cell>
          <cell r="D39"/>
          <cell r="E39"/>
          <cell r="F39" t="str">
            <v>und</v>
          </cell>
          <cell r="G39"/>
          <cell r="H39">
            <v>3</v>
          </cell>
          <cell r="I39">
            <v>70.84</v>
          </cell>
          <cell r="J39">
            <v>212.52</v>
          </cell>
          <cell r="K39"/>
          <cell r="L39"/>
        </row>
        <row r="40">
          <cell r="A40"/>
          <cell r="B40" t="str">
            <v>TF00070</v>
          </cell>
          <cell r="C40" t="str">
            <v>Impresora A3</v>
          </cell>
          <cell r="D40"/>
          <cell r="E40"/>
          <cell r="F40" t="str">
            <v>und</v>
          </cell>
          <cell r="G40"/>
          <cell r="H40">
            <v>1</v>
          </cell>
          <cell r="I40">
            <v>29.17</v>
          </cell>
          <cell r="J40">
            <v>29.17</v>
          </cell>
          <cell r="K40"/>
          <cell r="L40"/>
        </row>
        <row r="41">
          <cell r="A41"/>
          <cell r="B41" t="str">
            <v>TF00071</v>
          </cell>
          <cell r="C41" t="str">
            <v>Impresora A4</v>
          </cell>
          <cell r="D41"/>
          <cell r="E41"/>
          <cell r="F41" t="str">
            <v>und</v>
          </cell>
          <cell r="G41"/>
          <cell r="H41">
            <v>3</v>
          </cell>
          <cell r="I41">
            <v>16.670000000000002</v>
          </cell>
          <cell r="J41">
            <v>50.01</v>
          </cell>
          <cell r="K41"/>
          <cell r="L41"/>
        </row>
        <row r="42">
          <cell r="A42"/>
          <cell r="B42" t="str">
            <v>TF00072</v>
          </cell>
          <cell r="C42" t="str">
            <v>Fotocopiadora</v>
          </cell>
          <cell r="D42"/>
          <cell r="E42"/>
          <cell r="F42" t="str">
            <v>und</v>
          </cell>
          <cell r="G42"/>
          <cell r="H42">
            <v>1</v>
          </cell>
          <cell r="I42">
            <v>41.669999999999995</v>
          </cell>
          <cell r="J42">
            <v>41.67</v>
          </cell>
          <cell r="K42"/>
          <cell r="L42"/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>
            <v>24365.769999999997</v>
          </cell>
          <cell r="K43"/>
          <cell r="L43"/>
        </row>
        <row r="44">
          <cell r="A44"/>
          <cell r="B44"/>
          <cell r="C44"/>
          <cell r="F44"/>
          <cell r="G44"/>
          <cell r="H44"/>
          <cell r="I44"/>
          <cell r="J44"/>
        </row>
        <row r="45">
          <cell r="A45">
            <v>10068</v>
          </cell>
          <cell r="B45" t="str">
            <v>Partida</v>
          </cell>
          <cell r="C45" t="str">
            <v>1.02A</v>
          </cell>
          <cell r="D45" t="str">
            <v>Movilización interna de equipos</v>
          </cell>
          <cell r="E45"/>
          <cell r="F45"/>
          <cell r="G45"/>
          <cell r="H45"/>
          <cell r="I45"/>
          <cell r="J45"/>
          <cell r="K45">
            <v>10840.96</v>
          </cell>
          <cell r="L45"/>
        </row>
        <row r="46">
          <cell r="B46" t="str">
            <v>Rendimiento:</v>
          </cell>
          <cell r="C46">
            <v>1</v>
          </cell>
          <cell r="D46" t="str">
            <v>glb</v>
          </cell>
          <cell r="E46" t="str">
            <v>/hr</v>
          </cell>
          <cell r="F46"/>
          <cell r="G46"/>
          <cell r="H46" t="str">
            <v>C.U. Total:</v>
          </cell>
          <cell r="I46">
            <v>10840.96</v>
          </cell>
          <cell r="J46" t="str">
            <v>glb</v>
          </cell>
        </row>
        <row r="47">
          <cell r="A47"/>
          <cell r="B47" t="str">
            <v>Codigo</v>
          </cell>
          <cell r="C47" t="str">
            <v>Recurso</v>
          </cell>
          <cell r="D47"/>
          <cell r="E47"/>
          <cell r="F47" t="str">
            <v>UND</v>
          </cell>
          <cell r="G47" t="str">
            <v>Cuadrilla</v>
          </cell>
          <cell r="H47" t="str">
            <v>Cantidad</v>
          </cell>
          <cell r="I47" t="str">
            <v>C.U.</v>
          </cell>
          <cell r="J47" t="str">
            <v>C.Parcial</v>
          </cell>
          <cell r="K47" t="str">
            <v>SUBTOTAL</v>
          </cell>
          <cell r="L47"/>
        </row>
        <row r="48">
          <cell r="A48" t="str">
            <v>10068(D)</v>
          </cell>
          <cell r="B48" t="str">
            <v>Herramientas y Equipos</v>
          </cell>
          <cell r="C48"/>
          <cell r="D48"/>
          <cell r="E48"/>
          <cell r="F48"/>
          <cell r="G48"/>
          <cell r="H48"/>
          <cell r="I48"/>
          <cell r="J48"/>
          <cell r="K48">
            <v>10840.96</v>
          </cell>
          <cell r="L48" t="str">
            <v>(D)</v>
          </cell>
        </row>
        <row r="49">
          <cell r="A49"/>
          <cell r="B49" t="str">
            <v>TF00117</v>
          </cell>
          <cell r="C49" t="str">
            <v>Servicio de transporte camión semitrailer (interno)</v>
          </cell>
          <cell r="D49"/>
          <cell r="E49"/>
          <cell r="F49" t="str">
            <v>viajes</v>
          </cell>
          <cell r="G49"/>
          <cell r="H49">
            <v>8</v>
          </cell>
          <cell r="I49">
            <v>989.12</v>
          </cell>
          <cell r="J49">
            <v>7912.96</v>
          </cell>
          <cell r="K49"/>
          <cell r="L49"/>
        </row>
        <row r="50">
          <cell r="A50"/>
          <cell r="B50" t="str">
            <v>TF00027</v>
          </cell>
          <cell r="C50" t="str">
            <v>Volquete de 17 m3</v>
          </cell>
          <cell r="D50"/>
          <cell r="E50"/>
          <cell r="F50" t="str">
            <v>und</v>
          </cell>
          <cell r="G50"/>
          <cell r="H50">
            <v>8</v>
          </cell>
          <cell r="I50">
            <v>186</v>
          </cell>
          <cell r="J50">
            <v>1488</v>
          </cell>
          <cell r="K50"/>
          <cell r="L50"/>
        </row>
        <row r="51">
          <cell r="A51"/>
          <cell r="B51" t="str">
            <v>TF00029</v>
          </cell>
          <cell r="C51" t="str">
            <v>Cisterna de agua 5,000 gln.</v>
          </cell>
          <cell r="D51"/>
          <cell r="E51"/>
          <cell r="F51" t="str">
            <v>und</v>
          </cell>
          <cell r="G51"/>
          <cell r="H51">
            <v>1</v>
          </cell>
          <cell r="I51">
            <v>180</v>
          </cell>
          <cell r="J51">
            <v>180</v>
          </cell>
          <cell r="K51"/>
          <cell r="L51"/>
        </row>
        <row r="52">
          <cell r="A52"/>
          <cell r="B52" t="str">
            <v>TF00030</v>
          </cell>
          <cell r="C52" t="str">
            <v>Camión Grúa de 20 Ton.</v>
          </cell>
          <cell r="D52"/>
          <cell r="E52"/>
          <cell r="F52" t="str">
            <v>und</v>
          </cell>
          <cell r="G52"/>
          <cell r="H52">
            <v>1</v>
          </cell>
          <cell r="I52">
            <v>480</v>
          </cell>
          <cell r="J52">
            <v>480</v>
          </cell>
          <cell r="K52"/>
          <cell r="L52"/>
        </row>
        <row r="53">
          <cell r="A53"/>
          <cell r="B53" t="str">
            <v>TF00032</v>
          </cell>
          <cell r="C53" t="str">
            <v>Motoniveladora de 140 HP</v>
          </cell>
          <cell r="D53"/>
          <cell r="E53"/>
          <cell r="F53" t="str">
            <v>und</v>
          </cell>
          <cell r="G53"/>
          <cell r="H53">
            <v>1</v>
          </cell>
          <cell r="I53">
            <v>294</v>
          </cell>
          <cell r="J53">
            <v>294</v>
          </cell>
          <cell r="K53"/>
          <cell r="L53"/>
        </row>
        <row r="54">
          <cell r="A54"/>
          <cell r="B54" t="str">
            <v>TF00026</v>
          </cell>
          <cell r="C54" t="str">
            <v>Retroexcavadora Cat 420e</v>
          </cell>
          <cell r="D54"/>
          <cell r="E54"/>
          <cell r="F54" t="str">
            <v>und</v>
          </cell>
          <cell r="G54"/>
          <cell r="H54">
            <v>1</v>
          </cell>
          <cell r="I54">
            <v>246</v>
          </cell>
          <cell r="J54">
            <v>246</v>
          </cell>
          <cell r="K54"/>
          <cell r="L54"/>
        </row>
        <row r="55">
          <cell r="A55"/>
          <cell r="B55" t="str">
            <v>TF00041</v>
          </cell>
          <cell r="C55" t="str">
            <v>Luminaria 4K</v>
          </cell>
          <cell r="D55"/>
          <cell r="E55"/>
          <cell r="F55" t="str">
            <v>und</v>
          </cell>
          <cell r="G55"/>
          <cell r="H55">
            <v>4</v>
          </cell>
          <cell r="I55">
            <v>60</v>
          </cell>
          <cell r="J55">
            <v>240</v>
          </cell>
          <cell r="K55"/>
          <cell r="L55"/>
        </row>
        <row r="56">
          <cell r="A56"/>
          <cell r="B56"/>
          <cell r="C56"/>
          <cell r="D56"/>
          <cell r="E56"/>
          <cell r="F56"/>
          <cell r="G56"/>
          <cell r="H56"/>
          <cell r="I56"/>
          <cell r="J56">
            <v>10840.96</v>
          </cell>
          <cell r="K56"/>
          <cell r="L56"/>
        </row>
        <row r="57">
          <cell r="A57"/>
          <cell r="B57"/>
          <cell r="C57"/>
          <cell r="D57"/>
          <cell r="E57"/>
          <cell r="F57"/>
          <cell r="G57"/>
          <cell r="H57"/>
          <cell r="I57"/>
          <cell r="J57"/>
          <cell r="K57"/>
          <cell r="L57"/>
        </row>
        <row r="58">
          <cell r="A58">
            <v>10004</v>
          </cell>
          <cell r="B58" t="str">
            <v>Partida</v>
          </cell>
          <cell r="C58">
            <v>1.02</v>
          </cell>
          <cell r="D58" t="str">
            <v>Movilización y Desmovilización de Picotón</v>
          </cell>
          <cell r="E58"/>
          <cell r="F58"/>
          <cell r="G58"/>
          <cell r="H58"/>
          <cell r="I58"/>
          <cell r="J58"/>
          <cell r="K58">
            <v>2154.5099999999998</v>
          </cell>
          <cell r="L58"/>
        </row>
        <row r="59">
          <cell r="A59"/>
          <cell r="B59" t="str">
            <v>Rendimiento:</v>
          </cell>
          <cell r="C59">
            <v>1</v>
          </cell>
          <cell r="D59" t="str">
            <v>glb</v>
          </cell>
          <cell r="E59" t="str">
            <v>/día</v>
          </cell>
          <cell r="F59"/>
          <cell r="G59"/>
          <cell r="H59" t="str">
            <v>C.U. Total:</v>
          </cell>
          <cell r="I59">
            <v>2154.5099999999998</v>
          </cell>
          <cell r="J59" t="str">
            <v>glb</v>
          </cell>
          <cell r="K59"/>
          <cell r="L59"/>
        </row>
        <row r="60">
          <cell r="A60"/>
          <cell r="B60" t="str">
            <v>Codigo</v>
          </cell>
          <cell r="C60" t="str">
            <v>Recurso</v>
          </cell>
          <cell r="D60"/>
          <cell r="E60"/>
          <cell r="F60" t="str">
            <v>UND</v>
          </cell>
          <cell r="G60" t="str">
            <v>Cuadrilla</v>
          </cell>
          <cell r="H60" t="str">
            <v>Cantidad</v>
          </cell>
          <cell r="I60" t="str">
            <v>C.U.</v>
          </cell>
          <cell r="J60" t="str">
            <v>C.Parcial</v>
          </cell>
          <cell r="K60" t="str">
            <v>SUBTOTAL</v>
          </cell>
          <cell r="L60"/>
        </row>
        <row r="61">
          <cell r="A61" t="str">
            <v>10004(C)</v>
          </cell>
          <cell r="B61" t="str">
            <v>Mano de Obra</v>
          </cell>
          <cell r="C61"/>
          <cell r="D61"/>
          <cell r="E61"/>
          <cell r="F61"/>
          <cell r="G61"/>
          <cell r="H61"/>
          <cell r="I61"/>
          <cell r="J61"/>
          <cell r="K61">
            <v>175.72</v>
          </cell>
          <cell r="L61" t="str">
            <v>(C)</v>
          </cell>
        </row>
        <row r="62">
          <cell r="A62"/>
          <cell r="B62" t="str">
            <v>TF00002</v>
          </cell>
          <cell r="C62" t="str">
            <v>Capataz</v>
          </cell>
          <cell r="D62"/>
          <cell r="E62"/>
          <cell r="F62" t="str">
            <v>hh</v>
          </cell>
          <cell r="G62">
            <v>1</v>
          </cell>
          <cell r="H62">
            <v>4</v>
          </cell>
          <cell r="I62">
            <v>9.68</v>
          </cell>
          <cell r="J62">
            <v>38.72</v>
          </cell>
          <cell r="K62"/>
          <cell r="L62"/>
        </row>
        <row r="63">
          <cell r="A63"/>
          <cell r="B63" t="str">
            <v>TF00015</v>
          </cell>
          <cell r="C63" t="str">
            <v>Rigger</v>
          </cell>
          <cell r="D63"/>
          <cell r="E63"/>
          <cell r="F63" t="str">
            <v>hh</v>
          </cell>
          <cell r="G63">
            <v>1</v>
          </cell>
          <cell r="H63">
            <v>4</v>
          </cell>
          <cell r="I63">
            <v>14</v>
          </cell>
          <cell r="J63">
            <v>56</v>
          </cell>
          <cell r="K63"/>
          <cell r="L63"/>
        </row>
        <row r="64">
          <cell r="A64"/>
          <cell r="B64" t="str">
            <v>TF00011</v>
          </cell>
          <cell r="C64" t="str">
            <v>Oficial</v>
          </cell>
          <cell r="D64"/>
          <cell r="E64"/>
          <cell r="F64" t="str">
            <v>hh</v>
          </cell>
          <cell r="G64">
            <v>1</v>
          </cell>
          <cell r="H64">
            <v>4</v>
          </cell>
          <cell r="I64">
            <v>7.33</v>
          </cell>
          <cell r="J64">
            <v>29.32</v>
          </cell>
          <cell r="K64"/>
          <cell r="L64"/>
        </row>
        <row r="65">
          <cell r="A65"/>
          <cell r="B65" t="str">
            <v>TF00012</v>
          </cell>
          <cell r="C65" t="str">
            <v>Peón</v>
          </cell>
          <cell r="D65"/>
          <cell r="E65"/>
          <cell r="F65" t="str">
            <v>hh</v>
          </cell>
          <cell r="G65">
            <v>1</v>
          </cell>
          <cell r="H65">
            <v>4</v>
          </cell>
          <cell r="I65">
            <v>6.46</v>
          </cell>
          <cell r="J65">
            <v>25.84</v>
          </cell>
          <cell r="K65"/>
          <cell r="L65"/>
        </row>
        <row r="66">
          <cell r="A66"/>
          <cell r="B66" t="str">
            <v>TF00014</v>
          </cell>
          <cell r="C66" t="str">
            <v>Vigía</v>
          </cell>
          <cell r="D66"/>
          <cell r="E66"/>
          <cell r="F66" t="str">
            <v>hh</v>
          </cell>
          <cell r="G66">
            <v>1</v>
          </cell>
          <cell r="H66">
            <v>4</v>
          </cell>
          <cell r="I66">
            <v>6.46</v>
          </cell>
          <cell r="J66">
            <v>25.84</v>
          </cell>
          <cell r="K66"/>
          <cell r="L66"/>
        </row>
        <row r="67">
          <cell r="A67"/>
          <cell r="B67"/>
          <cell r="C67"/>
          <cell r="D67"/>
          <cell r="E67"/>
          <cell r="F67"/>
          <cell r="G67"/>
          <cell r="H67"/>
          <cell r="I67"/>
          <cell r="J67">
            <v>175.72</v>
          </cell>
          <cell r="K67"/>
          <cell r="L67"/>
        </row>
        <row r="68">
          <cell r="A68" t="str">
            <v>10004(D)</v>
          </cell>
          <cell r="B68" t="str">
            <v>Herramientas y Equipos</v>
          </cell>
          <cell r="C68"/>
          <cell r="D68"/>
          <cell r="E68"/>
          <cell r="F68"/>
          <cell r="G68"/>
          <cell r="H68"/>
          <cell r="I68"/>
          <cell r="J68"/>
          <cell r="K68">
            <v>1978.79</v>
          </cell>
          <cell r="L68" t="str">
            <v>(D)</v>
          </cell>
        </row>
        <row r="69">
          <cell r="A69"/>
          <cell r="B69" t="str">
            <v>TF00030</v>
          </cell>
          <cell r="C69" t="str">
            <v>Camión Grúa de 20 Ton.</v>
          </cell>
          <cell r="D69"/>
          <cell r="E69"/>
          <cell r="F69" t="str">
            <v>hm</v>
          </cell>
          <cell r="G69">
            <v>1</v>
          </cell>
          <cell r="H69">
            <v>4</v>
          </cell>
          <cell r="I69">
            <v>80</v>
          </cell>
          <cell r="J69">
            <v>320</v>
          </cell>
          <cell r="K69"/>
          <cell r="L69"/>
        </row>
        <row r="70">
          <cell r="A70"/>
          <cell r="B70" t="str">
            <v>TF00111</v>
          </cell>
          <cell r="C70" t="str">
            <v>Servicio de transporte camión semitrailer Lima-Mina</v>
          </cell>
          <cell r="D70"/>
          <cell r="E70"/>
          <cell r="F70" t="str">
            <v>Viaje</v>
          </cell>
          <cell r="G70"/>
          <cell r="H70">
            <v>1</v>
          </cell>
          <cell r="I70">
            <v>1650</v>
          </cell>
          <cell r="J70">
            <v>1650</v>
          </cell>
          <cell r="K70"/>
          <cell r="L70"/>
        </row>
        <row r="71">
          <cell r="A71"/>
          <cell r="B71" t="str">
            <v>TF00060</v>
          </cell>
          <cell r="C71" t="str">
            <v>Herramientas (% Mano Obra)</v>
          </cell>
          <cell r="D71"/>
          <cell r="E71"/>
          <cell r="F71" t="str">
            <v>%</v>
          </cell>
          <cell r="G71"/>
          <cell r="H71">
            <v>0.05</v>
          </cell>
          <cell r="I71">
            <v>175.72</v>
          </cell>
          <cell r="J71">
            <v>8.7899999999999991</v>
          </cell>
          <cell r="K71"/>
          <cell r="L71"/>
        </row>
        <row r="72">
          <cell r="A72"/>
          <cell r="B72"/>
          <cell r="C72"/>
          <cell r="D72"/>
          <cell r="E72"/>
          <cell r="F72"/>
          <cell r="G72"/>
          <cell r="H72"/>
          <cell r="I72"/>
          <cell r="J72">
            <v>1978.79</v>
          </cell>
          <cell r="K72"/>
          <cell r="L72"/>
        </row>
        <row r="73">
          <cell r="A73"/>
          <cell r="B73"/>
          <cell r="C73"/>
          <cell r="D73"/>
          <cell r="E73"/>
          <cell r="F73"/>
          <cell r="G73"/>
          <cell r="H73"/>
          <cell r="I73"/>
          <cell r="J73"/>
          <cell r="K73"/>
          <cell r="L73"/>
        </row>
        <row r="74">
          <cell r="A74">
            <v>10005</v>
          </cell>
          <cell r="B74" t="str">
            <v>Partida</v>
          </cell>
          <cell r="C74">
            <v>1.03</v>
          </cell>
          <cell r="D74" t="str">
            <v>Trazo y Replanteo</v>
          </cell>
          <cell r="E74"/>
          <cell r="F74"/>
          <cell r="G74"/>
          <cell r="H74"/>
          <cell r="I74"/>
          <cell r="J74"/>
          <cell r="K74">
            <v>22546.880000000001</v>
          </cell>
          <cell r="L74"/>
        </row>
        <row r="75">
          <cell r="A75"/>
          <cell r="B75" t="str">
            <v>Rendimiento:</v>
          </cell>
          <cell r="C75">
            <v>1</v>
          </cell>
          <cell r="D75" t="str">
            <v>mes</v>
          </cell>
          <cell r="E75" t="str">
            <v>/mes</v>
          </cell>
          <cell r="F75"/>
          <cell r="G75"/>
          <cell r="H75" t="str">
            <v>C.U. Total:</v>
          </cell>
          <cell r="I75">
            <v>22546.880000000001</v>
          </cell>
          <cell r="J75" t="str">
            <v>mes</v>
          </cell>
          <cell r="K75"/>
          <cell r="L75"/>
        </row>
        <row r="76">
          <cell r="A76"/>
          <cell r="B76" t="str">
            <v>Codigo</v>
          </cell>
          <cell r="C76" t="str">
            <v>Recurso</v>
          </cell>
          <cell r="D76"/>
          <cell r="E76"/>
          <cell r="F76" t="str">
            <v>UND</v>
          </cell>
          <cell r="G76" t="str">
            <v>Cuadrilla</v>
          </cell>
          <cell r="H76" t="str">
            <v>Cantidad</v>
          </cell>
          <cell r="I76" t="str">
            <v>C.U.</v>
          </cell>
          <cell r="J76" t="str">
            <v>C.Parcial</v>
          </cell>
          <cell r="K76" t="str">
            <v>SUBTOTAL</v>
          </cell>
          <cell r="L76"/>
        </row>
        <row r="77">
          <cell r="A77" t="str">
            <v>10005(B)</v>
          </cell>
          <cell r="B77" t="str">
            <v>Materiales</v>
          </cell>
          <cell r="C77"/>
          <cell r="D77"/>
          <cell r="E77"/>
          <cell r="F77"/>
          <cell r="G77"/>
          <cell r="H77"/>
          <cell r="I77"/>
          <cell r="J77"/>
          <cell r="K77">
            <v>500</v>
          </cell>
          <cell r="L77" t="str">
            <v>(B)</v>
          </cell>
        </row>
        <row r="78">
          <cell r="A78"/>
          <cell r="B78" t="str">
            <v>TF00053</v>
          </cell>
          <cell r="C78" t="str">
            <v>Materiales de campo</v>
          </cell>
          <cell r="D78"/>
          <cell r="E78"/>
          <cell r="F78" t="str">
            <v>glb</v>
          </cell>
          <cell r="G78"/>
          <cell r="H78">
            <v>1</v>
          </cell>
          <cell r="I78">
            <v>500</v>
          </cell>
          <cell r="J78">
            <v>500</v>
          </cell>
          <cell r="K78"/>
          <cell r="L78"/>
        </row>
        <row r="79">
          <cell r="A79"/>
          <cell r="B79"/>
          <cell r="C79"/>
          <cell r="D79"/>
          <cell r="E79"/>
          <cell r="F79"/>
          <cell r="G79"/>
          <cell r="H79"/>
          <cell r="I79"/>
          <cell r="J79">
            <v>500</v>
          </cell>
          <cell r="K79"/>
          <cell r="L79"/>
        </row>
        <row r="80">
          <cell r="A80" t="str">
            <v>10005(C)</v>
          </cell>
          <cell r="B80" t="str">
            <v>Mano de Obra</v>
          </cell>
          <cell r="C80"/>
          <cell r="D80"/>
          <cell r="E80"/>
          <cell r="F80"/>
          <cell r="G80"/>
          <cell r="H80"/>
          <cell r="I80"/>
          <cell r="J80"/>
          <cell r="K80">
            <v>17890.18</v>
          </cell>
          <cell r="L80" t="str">
            <v>(C)</v>
          </cell>
        </row>
        <row r="81">
          <cell r="A81"/>
          <cell r="B81" t="str">
            <v>TF00005</v>
          </cell>
          <cell r="C81" t="str">
            <v>Topógrafo</v>
          </cell>
          <cell r="D81"/>
          <cell r="E81"/>
          <cell r="F81" t="str">
            <v>hh</v>
          </cell>
          <cell r="G81">
            <v>2</v>
          </cell>
          <cell r="H81">
            <v>669.16669999999999</v>
          </cell>
          <cell r="I81">
            <v>9.2799999999999994</v>
          </cell>
          <cell r="J81">
            <v>6209.87</v>
          </cell>
          <cell r="K81"/>
          <cell r="L81"/>
        </row>
        <row r="82">
          <cell r="A82"/>
          <cell r="B82" t="str">
            <v>TF00007</v>
          </cell>
          <cell r="C82" t="str">
            <v>Cadista</v>
          </cell>
          <cell r="D82"/>
          <cell r="E82"/>
          <cell r="F82" t="str">
            <v>hh</v>
          </cell>
          <cell r="G82">
            <v>1</v>
          </cell>
          <cell r="H82">
            <v>334.58339999999998</v>
          </cell>
          <cell r="I82">
            <v>7.33</v>
          </cell>
          <cell r="J82">
            <v>2452.5</v>
          </cell>
          <cell r="K82"/>
          <cell r="L82"/>
        </row>
        <row r="83">
          <cell r="A83"/>
          <cell r="B83" t="str">
            <v>TF00006</v>
          </cell>
          <cell r="C83" t="str">
            <v>Auxiliar de Topógrafo</v>
          </cell>
          <cell r="D83"/>
          <cell r="E83"/>
          <cell r="F83" t="str">
            <v>hh</v>
          </cell>
          <cell r="G83">
            <v>2</v>
          </cell>
          <cell r="H83">
            <v>669.16669999999999</v>
          </cell>
          <cell r="I83">
            <v>7.33</v>
          </cell>
          <cell r="J83">
            <v>4904.99</v>
          </cell>
          <cell r="K83"/>
          <cell r="L83"/>
        </row>
        <row r="84">
          <cell r="A84"/>
          <cell r="B84" t="str">
            <v>TF00012</v>
          </cell>
          <cell r="C84" t="str">
            <v>Peón</v>
          </cell>
          <cell r="D84"/>
          <cell r="E84"/>
          <cell r="F84" t="str">
            <v>hh</v>
          </cell>
          <cell r="G84">
            <v>2</v>
          </cell>
          <cell r="H84">
            <v>669.16669999999999</v>
          </cell>
          <cell r="I84">
            <v>6.46</v>
          </cell>
          <cell r="J84">
            <v>4322.82</v>
          </cell>
          <cell r="K84"/>
          <cell r="L84"/>
        </row>
        <row r="85">
          <cell r="A85"/>
          <cell r="B85"/>
          <cell r="C85"/>
          <cell r="D85"/>
          <cell r="E85"/>
          <cell r="F85"/>
          <cell r="G85"/>
          <cell r="H85"/>
          <cell r="I85"/>
          <cell r="J85">
            <v>17890.18</v>
          </cell>
          <cell r="K85"/>
          <cell r="L85"/>
        </row>
        <row r="86">
          <cell r="A86" t="str">
            <v>10005(D)</v>
          </cell>
          <cell r="B86" t="str">
            <v>Herramientas y Equipos</v>
          </cell>
          <cell r="C86"/>
          <cell r="D86"/>
          <cell r="E86"/>
          <cell r="F86"/>
          <cell r="G86"/>
          <cell r="H86"/>
          <cell r="I86"/>
          <cell r="J86"/>
          <cell r="K86">
            <v>4156.7</v>
          </cell>
          <cell r="L86" t="str">
            <v>(D)</v>
          </cell>
        </row>
        <row r="87">
          <cell r="A87"/>
          <cell r="B87" t="str">
            <v>TF00044</v>
          </cell>
          <cell r="C87" t="str">
            <v>Estación total</v>
          </cell>
          <cell r="D87"/>
          <cell r="E87"/>
          <cell r="F87" t="str">
            <v>hm</v>
          </cell>
          <cell r="G87">
            <v>0.25</v>
          </cell>
          <cell r="H87">
            <v>83.645899999999997</v>
          </cell>
          <cell r="I87">
            <v>3</v>
          </cell>
          <cell r="J87">
            <v>250.94</v>
          </cell>
          <cell r="K87"/>
          <cell r="L87"/>
        </row>
        <row r="88">
          <cell r="A88"/>
          <cell r="B88" t="str">
            <v>TF00043</v>
          </cell>
          <cell r="C88" t="str">
            <v>GPS</v>
          </cell>
          <cell r="D88"/>
          <cell r="E88"/>
          <cell r="F88" t="str">
            <v>hm</v>
          </cell>
          <cell r="G88">
            <v>0.75</v>
          </cell>
          <cell r="H88">
            <v>250.9375</v>
          </cell>
          <cell r="I88">
            <v>12</v>
          </cell>
          <cell r="J88">
            <v>3011.25</v>
          </cell>
          <cell r="K88"/>
          <cell r="L88"/>
        </row>
        <row r="89">
          <cell r="A89"/>
          <cell r="B89" t="str">
            <v>TF00060</v>
          </cell>
          <cell r="C89" t="str">
            <v>Herramientas (% Mano Obra)</v>
          </cell>
          <cell r="D89"/>
          <cell r="E89"/>
          <cell r="F89" t="str">
            <v>%</v>
          </cell>
          <cell r="G89"/>
          <cell r="H89">
            <v>0.05</v>
          </cell>
          <cell r="I89">
            <v>17890.18</v>
          </cell>
          <cell r="J89">
            <v>894.51</v>
          </cell>
          <cell r="K89"/>
          <cell r="L89"/>
        </row>
        <row r="90">
          <cell r="A90"/>
          <cell r="B90"/>
          <cell r="C90"/>
          <cell r="D90"/>
          <cell r="E90"/>
          <cell r="F90"/>
          <cell r="G90"/>
          <cell r="H90"/>
          <cell r="I90"/>
          <cell r="J90">
            <v>4156.7</v>
          </cell>
          <cell r="K90"/>
          <cell r="L90"/>
        </row>
        <row r="91">
          <cell r="A91"/>
          <cell r="B91"/>
          <cell r="C91"/>
          <cell r="D91"/>
          <cell r="E91"/>
          <cell r="F91"/>
          <cell r="G91"/>
          <cell r="H91"/>
          <cell r="I91"/>
          <cell r="J91"/>
          <cell r="K91"/>
          <cell r="L91"/>
        </row>
        <row r="92">
          <cell r="A92">
            <v>10006</v>
          </cell>
          <cell r="B92" t="str">
            <v>Partida</v>
          </cell>
          <cell r="C92">
            <v>1.04</v>
          </cell>
          <cell r="D92" t="str">
            <v>Mantenimiento de vias y caminos de acceso</v>
          </cell>
          <cell r="E92"/>
          <cell r="F92"/>
          <cell r="G92"/>
          <cell r="H92"/>
          <cell r="I92"/>
          <cell r="J92"/>
          <cell r="K92">
            <v>3793.8900000000003</v>
          </cell>
          <cell r="L92"/>
        </row>
        <row r="93">
          <cell r="A93"/>
          <cell r="B93" t="str">
            <v>Rendimiento:</v>
          </cell>
          <cell r="C93">
            <v>1</v>
          </cell>
          <cell r="D93" t="str">
            <v>mes</v>
          </cell>
          <cell r="E93" t="str">
            <v>/mes</v>
          </cell>
          <cell r="F93"/>
          <cell r="G93"/>
          <cell r="H93" t="str">
            <v>C.U. Total:</v>
          </cell>
          <cell r="I93">
            <v>3793.8900000000003</v>
          </cell>
          <cell r="J93" t="str">
            <v>mes</v>
          </cell>
          <cell r="K93"/>
          <cell r="L93"/>
        </row>
        <row r="94">
          <cell r="A94"/>
          <cell r="B94" t="str">
            <v>Codigo</v>
          </cell>
          <cell r="C94" t="str">
            <v>Recurso</v>
          </cell>
          <cell r="D94"/>
          <cell r="E94"/>
          <cell r="F94" t="str">
            <v>UND</v>
          </cell>
          <cell r="G94" t="str">
            <v>Cuadrilla</v>
          </cell>
          <cell r="H94" t="str">
            <v>Cantidad</v>
          </cell>
          <cell r="I94" t="str">
            <v>C.U.</v>
          </cell>
          <cell r="J94" t="str">
            <v>C.Parcial</v>
          </cell>
          <cell r="K94" t="str">
            <v>SUBTOTAL</v>
          </cell>
          <cell r="L94"/>
        </row>
        <row r="95">
          <cell r="A95" t="str">
            <v>10006(C)</v>
          </cell>
          <cell r="B95" t="str">
            <v>Mano de Obra</v>
          </cell>
          <cell r="C95"/>
          <cell r="D95"/>
          <cell r="E95"/>
          <cell r="F95"/>
          <cell r="G95"/>
          <cell r="H95"/>
          <cell r="I95"/>
          <cell r="J95"/>
          <cell r="K95">
            <v>108.07</v>
          </cell>
          <cell r="L95" t="str">
            <v>(C)</v>
          </cell>
        </row>
        <row r="96">
          <cell r="A96"/>
          <cell r="B96" t="str">
            <v>TF00012</v>
          </cell>
          <cell r="C96" t="str">
            <v>Peón</v>
          </cell>
          <cell r="D96"/>
          <cell r="E96"/>
          <cell r="F96" t="str">
            <v>hh</v>
          </cell>
          <cell r="G96">
            <v>0.05</v>
          </cell>
          <cell r="H96">
            <v>16.729199999999999</v>
          </cell>
          <cell r="I96">
            <v>6.46</v>
          </cell>
          <cell r="J96">
            <v>108.07</v>
          </cell>
          <cell r="K96"/>
          <cell r="L96"/>
        </row>
        <row r="97">
          <cell r="A97"/>
          <cell r="B97"/>
          <cell r="C97"/>
          <cell r="D97"/>
          <cell r="E97"/>
          <cell r="F97"/>
          <cell r="G97"/>
          <cell r="H97"/>
          <cell r="I97"/>
          <cell r="J97">
            <v>108.07</v>
          </cell>
          <cell r="K97"/>
          <cell r="L97"/>
        </row>
        <row r="98">
          <cell r="A98" t="str">
            <v>10006(D)</v>
          </cell>
          <cell r="B98" t="str">
            <v>Herramientas y Equipos</v>
          </cell>
          <cell r="C98"/>
          <cell r="D98"/>
          <cell r="E98"/>
          <cell r="F98"/>
          <cell r="G98"/>
          <cell r="H98"/>
          <cell r="I98"/>
          <cell r="J98"/>
          <cell r="K98">
            <v>3685.82</v>
          </cell>
          <cell r="L98" t="str">
            <v>(D)</v>
          </cell>
        </row>
        <row r="99">
          <cell r="A99"/>
          <cell r="B99" t="str">
            <v>TF00022</v>
          </cell>
          <cell r="C99" t="str">
            <v>Tractor sobre Orugas CAT D6T</v>
          </cell>
          <cell r="D99"/>
          <cell r="E99"/>
          <cell r="F99" t="str">
            <v>hm</v>
          </cell>
          <cell r="G99">
            <v>0.1</v>
          </cell>
          <cell r="H99">
            <v>33.458400000000005</v>
          </cell>
          <cell r="I99">
            <v>62</v>
          </cell>
          <cell r="J99">
            <v>2074.42</v>
          </cell>
          <cell r="K99"/>
          <cell r="L99"/>
        </row>
        <row r="100">
          <cell r="A100"/>
          <cell r="B100" t="str">
            <v>TF00033</v>
          </cell>
          <cell r="C100" t="str">
            <v>Rodillo Liso Vibratorio Autopropulsado HAMM 20 Tn.</v>
          </cell>
          <cell r="D100"/>
          <cell r="E100"/>
          <cell r="F100" t="str">
            <v>hm</v>
          </cell>
          <cell r="G100">
            <v>0.05</v>
          </cell>
          <cell r="H100">
            <v>16.729199999999999</v>
          </cell>
          <cell r="I100">
            <v>51</v>
          </cell>
          <cell r="J100">
            <v>853.19</v>
          </cell>
          <cell r="K100"/>
          <cell r="L100"/>
        </row>
        <row r="101">
          <cell r="A101"/>
          <cell r="B101" t="str">
            <v>TF00029</v>
          </cell>
          <cell r="C101" t="str">
            <v>Cisterna de agua 5,000 gln.</v>
          </cell>
          <cell r="D101"/>
          <cell r="E101"/>
          <cell r="F101" t="str">
            <v>hm</v>
          </cell>
          <cell r="G101">
            <v>7.4999999999999997E-2</v>
          </cell>
          <cell r="H101">
            <v>25.093799999999998</v>
          </cell>
          <cell r="I101">
            <v>30</v>
          </cell>
          <cell r="J101">
            <v>752.81</v>
          </cell>
          <cell r="K101"/>
          <cell r="L101"/>
        </row>
        <row r="102">
          <cell r="A102"/>
          <cell r="B102" t="str">
            <v>TF00060</v>
          </cell>
          <cell r="C102" t="str">
            <v>Herramientas (% Mano Obra)</v>
          </cell>
          <cell r="D102"/>
          <cell r="E102"/>
          <cell r="F102" t="str">
            <v>%</v>
          </cell>
          <cell r="G102"/>
          <cell r="H102">
            <v>0.05</v>
          </cell>
          <cell r="I102">
            <v>108.07</v>
          </cell>
          <cell r="J102">
            <v>5.4</v>
          </cell>
          <cell r="K102"/>
          <cell r="L102"/>
        </row>
        <row r="103">
          <cell r="A103"/>
          <cell r="B103"/>
          <cell r="C103"/>
          <cell r="D103"/>
          <cell r="E103"/>
          <cell r="F103"/>
          <cell r="G103"/>
          <cell r="H103"/>
          <cell r="I103"/>
          <cell r="J103">
            <v>3685.82</v>
          </cell>
          <cell r="K103"/>
          <cell r="L103"/>
        </row>
        <row r="104">
          <cell r="A104"/>
          <cell r="B104"/>
          <cell r="C104"/>
          <cell r="D104"/>
          <cell r="E104"/>
          <cell r="F104"/>
          <cell r="G104"/>
          <cell r="H104"/>
          <cell r="I104"/>
          <cell r="J104"/>
          <cell r="K104"/>
          <cell r="L104"/>
        </row>
        <row r="105">
          <cell r="A105">
            <v>10007</v>
          </cell>
          <cell r="B105" t="str">
            <v>Partida</v>
          </cell>
          <cell r="C105">
            <v>1.05</v>
          </cell>
          <cell r="D105" t="str">
            <v>Control de tránsito</v>
          </cell>
          <cell r="E105"/>
          <cell r="F105"/>
          <cell r="G105"/>
          <cell r="H105"/>
          <cell r="I105"/>
          <cell r="J105"/>
          <cell r="K105">
            <v>6.78</v>
          </cell>
          <cell r="L105"/>
        </row>
        <row r="106">
          <cell r="A106"/>
          <cell r="B106" t="str">
            <v>Rendimiento:</v>
          </cell>
          <cell r="C106">
            <v>1</v>
          </cell>
          <cell r="D106" t="str">
            <v>hh</v>
          </cell>
          <cell r="E106" t="str">
            <v>/hr</v>
          </cell>
          <cell r="F106"/>
          <cell r="G106"/>
          <cell r="H106" t="str">
            <v>C.U. Total:</v>
          </cell>
          <cell r="I106">
            <v>6.78</v>
          </cell>
          <cell r="J106" t="str">
            <v>hh</v>
          </cell>
          <cell r="K106"/>
          <cell r="L106"/>
        </row>
        <row r="107">
          <cell r="A107"/>
          <cell r="B107" t="str">
            <v>Codigo</v>
          </cell>
          <cell r="C107" t="str">
            <v>Recurso</v>
          </cell>
          <cell r="D107"/>
          <cell r="E107"/>
          <cell r="F107" t="str">
            <v>UND</v>
          </cell>
          <cell r="G107" t="str">
            <v>Cuadrilla</v>
          </cell>
          <cell r="H107" t="str">
            <v>Cantidad</v>
          </cell>
          <cell r="I107" t="str">
            <v>C.U.</v>
          </cell>
          <cell r="J107" t="str">
            <v>C.Parcial</v>
          </cell>
          <cell r="K107" t="str">
            <v>SUBTOTAL</v>
          </cell>
          <cell r="L107"/>
        </row>
        <row r="108">
          <cell r="A108" t="str">
            <v>10007(C)</v>
          </cell>
          <cell r="B108" t="str">
            <v>Mano de Obra</v>
          </cell>
          <cell r="C108"/>
          <cell r="D108"/>
          <cell r="E108"/>
          <cell r="F108"/>
          <cell r="G108"/>
          <cell r="H108"/>
          <cell r="I108"/>
          <cell r="J108"/>
          <cell r="K108">
            <v>6.46</v>
          </cell>
          <cell r="L108" t="str">
            <v>(C)</v>
          </cell>
        </row>
        <row r="109">
          <cell r="A109"/>
          <cell r="B109" t="str">
            <v>TF00014</v>
          </cell>
          <cell r="C109" t="str">
            <v>Vigía</v>
          </cell>
          <cell r="D109"/>
          <cell r="E109"/>
          <cell r="F109" t="str">
            <v>hh</v>
          </cell>
          <cell r="G109">
            <v>1</v>
          </cell>
          <cell r="H109">
            <v>1</v>
          </cell>
          <cell r="I109">
            <v>6.46</v>
          </cell>
          <cell r="J109">
            <v>6.46</v>
          </cell>
          <cell r="K109"/>
          <cell r="L109"/>
        </row>
        <row r="110">
          <cell r="A110"/>
          <cell r="B110"/>
          <cell r="C110"/>
          <cell r="D110"/>
          <cell r="E110"/>
          <cell r="F110"/>
          <cell r="G110"/>
          <cell r="H110"/>
          <cell r="I110"/>
          <cell r="J110">
            <v>6.46</v>
          </cell>
          <cell r="K110"/>
          <cell r="L110"/>
        </row>
        <row r="111">
          <cell r="A111" t="str">
            <v>10007(D)</v>
          </cell>
          <cell r="B111" t="str">
            <v>Herramientas y Equipos</v>
          </cell>
          <cell r="C111"/>
          <cell r="D111"/>
          <cell r="E111"/>
          <cell r="F111"/>
          <cell r="G111"/>
          <cell r="H111"/>
          <cell r="I111"/>
          <cell r="J111"/>
          <cell r="K111">
            <v>0.32</v>
          </cell>
          <cell r="L111" t="str">
            <v>(D)</v>
          </cell>
        </row>
        <row r="112">
          <cell r="A112"/>
          <cell r="B112" t="str">
            <v>TF00060</v>
          </cell>
          <cell r="C112" t="str">
            <v>Herramientas (% Mano Obra)</v>
          </cell>
          <cell r="D112"/>
          <cell r="E112"/>
          <cell r="F112" t="str">
            <v>%</v>
          </cell>
          <cell r="G112"/>
          <cell r="H112">
            <v>0.05</v>
          </cell>
          <cell r="I112">
            <v>6.46</v>
          </cell>
          <cell r="J112">
            <v>0.32</v>
          </cell>
          <cell r="K112"/>
          <cell r="L112"/>
        </row>
        <row r="113">
          <cell r="A113"/>
          <cell r="B113"/>
          <cell r="C113"/>
          <cell r="D113"/>
          <cell r="E113"/>
          <cell r="F113"/>
          <cell r="G113"/>
          <cell r="H113"/>
          <cell r="I113"/>
          <cell r="J113">
            <v>0.32</v>
          </cell>
          <cell r="K113"/>
          <cell r="L113"/>
        </row>
        <row r="114">
          <cell r="A114"/>
          <cell r="B114"/>
          <cell r="C114"/>
          <cell r="D114"/>
          <cell r="E114"/>
          <cell r="F114"/>
          <cell r="G114"/>
          <cell r="H114"/>
          <cell r="I114"/>
          <cell r="J114"/>
          <cell r="K114"/>
          <cell r="L114"/>
        </row>
        <row r="115">
          <cell r="A115"/>
          <cell r="B115"/>
          <cell r="C115"/>
          <cell r="D115"/>
          <cell r="E115"/>
          <cell r="F115"/>
          <cell r="G115"/>
          <cell r="H115"/>
          <cell r="I115"/>
          <cell r="J115"/>
          <cell r="K115"/>
          <cell r="L115"/>
        </row>
        <row r="116">
          <cell r="A116">
            <v>10008</v>
          </cell>
          <cell r="B116" t="str">
            <v>Partida</v>
          </cell>
          <cell r="C116">
            <v>1.06</v>
          </cell>
          <cell r="D116" t="str">
            <v>Señalización en obra</v>
          </cell>
          <cell r="E116"/>
          <cell r="F116"/>
          <cell r="G116"/>
          <cell r="H116"/>
          <cell r="I116"/>
          <cell r="J116"/>
          <cell r="K116">
            <v>7074.51</v>
          </cell>
          <cell r="L116"/>
        </row>
        <row r="117">
          <cell r="A117"/>
          <cell r="B117" t="str">
            <v>Rendimiento:</v>
          </cell>
          <cell r="C117">
            <v>1.1111111111111112E-2</v>
          </cell>
          <cell r="D117" t="str">
            <v>glb</v>
          </cell>
          <cell r="E117"/>
          <cell r="F117"/>
          <cell r="G117"/>
          <cell r="H117" t="str">
            <v>C.U. Total:</v>
          </cell>
          <cell r="I117">
            <v>7074.51</v>
          </cell>
          <cell r="J117" t="str">
            <v>glb</v>
          </cell>
          <cell r="K117"/>
          <cell r="L117"/>
        </row>
        <row r="118">
          <cell r="A118"/>
          <cell r="B118" t="str">
            <v>Codigo</v>
          </cell>
          <cell r="C118" t="str">
            <v>Recurso</v>
          </cell>
          <cell r="D118"/>
          <cell r="E118"/>
          <cell r="F118" t="str">
            <v>UND</v>
          </cell>
          <cell r="G118" t="str">
            <v>Cuadrilla</v>
          </cell>
          <cell r="H118" t="str">
            <v>Cantidad</v>
          </cell>
          <cell r="I118" t="str">
            <v>C.U.</v>
          </cell>
          <cell r="J118" t="str">
            <v>C.Parcial</v>
          </cell>
          <cell r="K118" t="str">
            <v>SUBTOTAL</v>
          </cell>
          <cell r="L118"/>
        </row>
        <row r="119">
          <cell r="A119" t="str">
            <v>10008(B)</v>
          </cell>
          <cell r="B119" t="str">
            <v>Materiales</v>
          </cell>
          <cell r="C119"/>
          <cell r="D119"/>
          <cell r="E119"/>
          <cell r="F119"/>
          <cell r="G119"/>
          <cell r="H119"/>
          <cell r="I119"/>
          <cell r="J119"/>
          <cell r="K119">
            <v>5243.1</v>
          </cell>
          <cell r="L119" t="str">
            <v>(B)</v>
          </cell>
        </row>
        <row r="120">
          <cell r="A120"/>
          <cell r="B120" t="str">
            <v>TF00132</v>
          </cell>
          <cell r="C120" t="str">
            <v>Paneles informativos de uso de EPP</v>
          </cell>
          <cell r="D120"/>
          <cell r="E120"/>
          <cell r="F120" t="str">
            <v>und</v>
          </cell>
          <cell r="G120"/>
          <cell r="H120">
            <v>6</v>
          </cell>
          <cell r="I120">
            <v>8.75</v>
          </cell>
          <cell r="J120">
            <v>52.5</v>
          </cell>
          <cell r="K120"/>
          <cell r="L120"/>
        </row>
        <row r="121">
          <cell r="A121"/>
          <cell r="B121" t="str">
            <v>TF00133</v>
          </cell>
          <cell r="C121" t="str">
            <v>Paneles de aviso hombres trabajando</v>
          </cell>
          <cell r="D121"/>
          <cell r="E121"/>
          <cell r="F121" t="str">
            <v>und</v>
          </cell>
          <cell r="G121"/>
          <cell r="H121">
            <v>15</v>
          </cell>
          <cell r="I121">
            <v>7</v>
          </cell>
          <cell r="J121">
            <v>105</v>
          </cell>
          <cell r="K121"/>
          <cell r="L121"/>
        </row>
        <row r="122">
          <cell r="A122"/>
          <cell r="B122" t="str">
            <v>TF00134</v>
          </cell>
          <cell r="C122" t="str">
            <v>Cachacos Poste de Señalización Concreto y madera</v>
          </cell>
          <cell r="D122"/>
          <cell r="E122"/>
          <cell r="F122" t="str">
            <v>und</v>
          </cell>
          <cell r="G122"/>
          <cell r="H122">
            <v>350</v>
          </cell>
          <cell r="I122">
            <v>6.3</v>
          </cell>
          <cell r="J122">
            <v>2205</v>
          </cell>
          <cell r="K122"/>
          <cell r="L122"/>
        </row>
        <row r="123">
          <cell r="A123"/>
          <cell r="B123" t="str">
            <v>TF00135</v>
          </cell>
          <cell r="C123" t="str">
            <v>Cono de seguridad de 28"</v>
          </cell>
          <cell r="D123"/>
          <cell r="E123"/>
          <cell r="F123" t="str">
            <v>und</v>
          </cell>
          <cell r="G123"/>
          <cell r="H123">
            <v>160</v>
          </cell>
          <cell r="I123">
            <v>8.3000000000000007</v>
          </cell>
          <cell r="J123">
            <v>1328</v>
          </cell>
          <cell r="K123"/>
          <cell r="L123"/>
        </row>
        <row r="124">
          <cell r="A124"/>
          <cell r="B124" t="str">
            <v>TF00136</v>
          </cell>
          <cell r="C124" t="str">
            <v>Cinta de señalización color amarillo "PELIGRO HOMBRES TRABAJANDO"</v>
          </cell>
          <cell r="D124"/>
          <cell r="E124"/>
          <cell r="F124" t="str">
            <v>rll</v>
          </cell>
          <cell r="G124"/>
          <cell r="H124">
            <v>70</v>
          </cell>
          <cell r="I124">
            <v>8.25</v>
          </cell>
          <cell r="J124">
            <v>577.5</v>
          </cell>
          <cell r="K124"/>
          <cell r="L124"/>
        </row>
        <row r="125">
          <cell r="A125"/>
          <cell r="B125" t="str">
            <v>TF00137</v>
          </cell>
          <cell r="C125" t="str">
            <v>Malla de seguridad PVC color naranja</v>
          </cell>
          <cell r="D125"/>
          <cell r="E125"/>
          <cell r="F125" t="str">
            <v>rll</v>
          </cell>
          <cell r="G125"/>
          <cell r="H125">
            <v>70</v>
          </cell>
          <cell r="I125">
            <v>13.93</v>
          </cell>
          <cell r="J125">
            <v>975.1</v>
          </cell>
          <cell r="K125"/>
          <cell r="L125"/>
        </row>
        <row r="126">
          <cell r="A126"/>
          <cell r="B126"/>
          <cell r="C126"/>
          <cell r="D126"/>
          <cell r="E126"/>
          <cell r="F126"/>
          <cell r="G126"/>
          <cell r="H126"/>
          <cell r="I126"/>
          <cell r="J126">
            <v>5243.1</v>
          </cell>
          <cell r="K126"/>
          <cell r="L126"/>
        </row>
        <row r="127">
          <cell r="A127" t="str">
            <v>10008(C)</v>
          </cell>
          <cell r="B127" t="str">
            <v>Mano de Obra</v>
          </cell>
          <cell r="C127"/>
          <cell r="D127"/>
          <cell r="E127"/>
          <cell r="F127"/>
          <cell r="G127"/>
          <cell r="H127"/>
          <cell r="I127"/>
          <cell r="J127"/>
          <cell r="K127">
            <v>1744.2</v>
          </cell>
          <cell r="L127" t="str">
            <v>(C)</v>
          </cell>
        </row>
        <row r="128">
          <cell r="A128"/>
          <cell r="B128" t="str">
            <v>TF00012</v>
          </cell>
          <cell r="C128" t="str">
            <v>Peón</v>
          </cell>
          <cell r="D128"/>
          <cell r="E128"/>
          <cell r="F128" t="str">
            <v>hh</v>
          </cell>
          <cell r="G128">
            <v>0.3</v>
          </cell>
          <cell r="H128">
            <v>270</v>
          </cell>
          <cell r="I128">
            <v>6.46</v>
          </cell>
          <cell r="J128">
            <v>1744.2</v>
          </cell>
          <cell r="K128"/>
          <cell r="L128"/>
        </row>
        <row r="129">
          <cell r="A129"/>
          <cell r="B129"/>
          <cell r="C129"/>
          <cell r="D129"/>
          <cell r="E129"/>
          <cell r="F129"/>
          <cell r="G129"/>
          <cell r="H129"/>
          <cell r="I129"/>
          <cell r="J129">
            <v>1744.2</v>
          </cell>
          <cell r="K129"/>
          <cell r="L129"/>
        </row>
        <row r="130">
          <cell r="A130" t="str">
            <v>10008(D)</v>
          </cell>
          <cell r="B130" t="str">
            <v>Herramientas y Equipos</v>
          </cell>
          <cell r="C130"/>
          <cell r="D130"/>
          <cell r="E130"/>
          <cell r="F130"/>
          <cell r="G130"/>
          <cell r="H130"/>
          <cell r="I130"/>
          <cell r="J130"/>
          <cell r="K130">
            <v>87.21</v>
          </cell>
          <cell r="L130" t="str">
            <v>(D)</v>
          </cell>
        </row>
        <row r="131">
          <cell r="A131"/>
          <cell r="B131" t="str">
            <v>TF00060</v>
          </cell>
          <cell r="C131" t="str">
            <v>Herramientas (% Mano Obra)</v>
          </cell>
          <cell r="D131"/>
          <cell r="E131"/>
          <cell r="F131" t="str">
            <v>%</v>
          </cell>
          <cell r="G131"/>
          <cell r="H131">
            <v>0.05</v>
          </cell>
          <cell r="I131">
            <v>1744.2</v>
          </cell>
          <cell r="J131">
            <v>87.21</v>
          </cell>
          <cell r="K131"/>
          <cell r="L131"/>
        </row>
        <row r="132">
          <cell r="A132"/>
          <cell r="B132"/>
          <cell r="C132"/>
          <cell r="D132"/>
          <cell r="E132"/>
          <cell r="F132"/>
          <cell r="G132"/>
          <cell r="H132"/>
          <cell r="I132"/>
          <cell r="J132">
            <v>87.21</v>
          </cell>
          <cell r="K132"/>
          <cell r="L132"/>
        </row>
        <row r="133">
          <cell r="A133"/>
          <cell r="B133"/>
          <cell r="C133"/>
          <cell r="D133"/>
          <cell r="E133"/>
          <cell r="F133"/>
          <cell r="G133"/>
          <cell r="H133"/>
          <cell r="I133"/>
          <cell r="J133"/>
          <cell r="K133"/>
          <cell r="L133"/>
        </row>
        <row r="134">
          <cell r="A134">
            <v>10009</v>
          </cell>
          <cell r="B134" t="str">
            <v>Partida</v>
          </cell>
          <cell r="C134">
            <v>1.07</v>
          </cell>
          <cell r="D134" t="str">
            <v>Controles medioambientales</v>
          </cell>
          <cell r="E134"/>
          <cell r="F134"/>
          <cell r="G134"/>
          <cell r="H134"/>
          <cell r="I134"/>
          <cell r="J134"/>
          <cell r="K134">
            <v>7606.9800000000005</v>
          </cell>
          <cell r="L134"/>
        </row>
        <row r="135">
          <cell r="A135"/>
          <cell r="B135" t="str">
            <v>Rendimiento:</v>
          </cell>
          <cell r="C135">
            <v>1</v>
          </cell>
          <cell r="D135" t="str">
            <v>mes</v>
          </cell>
          <cell r="E135" t="str">
            <v>/mes</v>
          </cell>
          <cell r="F135"/>
          <cell r="G135"/>
          <cell r="H135" t="str">
            <v>C.U. Total:</v>
          </cell>
          <cell r="I135">
            <v>7606.9800000000005</v>
          </cell>
          <cell r="J135" t="str">
            <v>mes</v>
          </cell>
          <cell r="K135"/>
          <cell r="L135"/>
        </row>
        <row r="136">
          <cell r="A136"/>
          <cell r="B136" t="str">
            <v>Codigo</v>
          </cell>
          <cell r="C136" t="str">
            <v>Recurso</v>
          </cell>
          <cell r="D136"/>
          <cell r="E136"/>
          <cell r="F136" t="str">
            <v>UND</v>
          </cell>
          <cell r="G136" t="str">
            <v>Cuadrilla</v>
          </cell>
          <cell r="H136" t="str">
            <v>Cantidad</v>
          </cell>
          <cell r="I136" t="str">
            <v>C.U.</v>
          </cell>
          <cell r="J136" t="str">
            <v>C.Parcial</v>
          </cell>
          <cell r="K136" t="str">
            <v>SUBTOTAL</v>
          </cell>
          <cell r="L136"/>
        </row>
        <row r="137">
          <cell r="A137" t="str">
            <v>10009(C)</v>
          </cell>
          <cell r="B137" t="str">
            <v>Mano de Obra</v>
          </cell>
          <cell r="C137"/>
          <cell r="D137"/>
          <cell r="E137"/>
          <cell r="F137"/>
          <cell r="G137"/>
          <cell r="H137"/>
          <cell r="I137"/>
          <cell r="J137"/>
          <cell r="K137">
            <v>387.6</v>
          </cell>
          <cell r="L137" t="str">
            <v>(C)</v>
          </cell>
        </row>
        <row r="138">
          <cell r="A138"/>
          <cell r="B138" t="str">
            <v>TF00012</v>
          </cell>
          <cell r="C138" t="str">
            <v>Peón</v>
          </cell>
          <cell r="D138"/>
          <cell r="E138"/>
          <cell r="F138" t="str">
            <v>hh</v>
          </cell>
          <cell r="G138"/>
          <cell r="H138">
            <v>60</v>
          </cell>
          <cell r="I138">
            <v>6.46</v>
          </cell>
          <cell r="J138">
            <v>387.6</v>
          </cell>
          <cell r="K138"/>
          <cell r="L138"/>
        </row>
        <row r="139">
          <cell r="A139"/>
          <cell r="B139"/>
          <cell r="C139"/>
          <cell r="D139"/>
          <cell r="E139"/>
          <cell r="F139"/>
          <cell r="G139"/>
          <cell r="H139"/>
          <cell r="I139"/>
          <cell r="J139">
            <v>387.6</v>
          </cell>
          <cell r="K139"/>
          <cell r="L139"/>
        </row>
        <row r="140">
          <cell r="A140" t="str">
            <v>10009(D)</v>
          </cell>
          <cell r="B140" t="str">
            <v>Herramientas y Equipos</v>
          </cell>
          <cell r="C140"/>
          <cell r="D140"/>
          <cell r="E140"/>
          <cell r="F140"/>
          <cell r="G140"/>
          <cell r="H140"/>
          <cell r="I140"/>
          <cell r="J140"/>
          <cell r="K140">
            <v>7219.38</v>
          </cell>
          <cell r="L140" t="str">
            <v>(D)</v>
          </cell>
        </row>
        <row r="141">
          <cell r="A141"/>
          <cell r="B141" t="str">
            <v>TF00029</v>
          </cell>
          <cell r="C141" t="str">
            <v>Cisterna de agua 5,000 gln.</v>
          </cell>
          <cell r="D141"/>
          <cell r="E141"/>
          <cell r="F141" t="str">
            <v>hm</v>
          </cell>
          <cell r="G141"/>
          <cell r="H141">
            <v>240</v>
          </cell>
          <cell r="I141">
            <v>30</v>
          </cell>
          <cell r="J141">
            <v>7200</v>
          </cell>
          <cell r="K141"/>
          <cell r="L141"/>
        </row>
        <row r="142">
          <cell r="A142"/>
          <cell r="B142" t="str">
            <v>TF00060</v>
          </cell>
          <cell r="C142" t="str">
            <v>Herramientas (% Mano Obra)</v>
          </cell>
          <cell r="D142"/>
          <cell r="E142"/>
          <cell r="F142" t="str">
            <v>%</v>
          </cell>
          <cell r="G142"/>
          <cell r="H142">
            <v>0.05</v>
          </cell>
          <cell r="I142">
            <v>387.6</v>
          </cell>
          <cell r="J142">
            <v>19.38</v>
          </cell>
          <cell r="K142"/>
          <cell r="L142"/>
        </row>
        <row r="143">
          <cell r="A143"/>
          <cell r="B143"/>
          <cell r="C143"/>
          <cell r="D143"/>
          <cell r="E143"/>
          <cell r="F143"/>
          <cell r="G143"/>
          <cell r="H143"/>
          <cell r="I143"/>
          <cell r="J143">
            <v>7219.38</v>
          </cell>
          <cell r="K143"/>
          <cell r="L143"/>
        </row>
        <row r="144">
          <cell r="A144"/>
          <cell r="B144"/>
          <cell r="C144"/>
          <cell r="D144"/>
          <cell r="E144"/>
          <cell r="F144"/>
          <cell r="G144"/>
          <cell r="H144"/>
          <cell r="I144"/>
          <cell r="J144"/>
          <cell r="K144"/>
          <cell r="L144"/>
        </row>
        <row r="145">
          <cell r="A145">
            <v>10011</v>
          </cell>
          <cell r="B145" t="str">
            <v>Partida</v>
          </cell>
          <cell r="C145">
            <v>2.0099999999999998</v>
          </cell>
          <cell r="D145" t="str">
            <v>Corte de Top Soil ( incluye Limpieza y desbroce)</v>
          </cell>
          <cell r="E145"/>
          <cell r="F145"/>
          <cell r="G145"/>
          <cell r="H145"/>
          <cell r="I145"/>
          <cell r="J145"/>
          <cell r="K145">
            <v>1.75</v>
          </cell>
          <cell r="L145"/>
        </row>
        <row r="146">
          <cell r="A146"/>
          <cell r="B146" t="str">
            <v>Rendimiento:</v>
          </cell>
          <cell r="C146">
            <v>38</v>
          </cell>
          <cell r="D146" t="str">
            <v>m3</v>
          </cell>
          <cell r="E146" t="str">
            <v>/hr</v>
          </cell>
          <cell r="F146"/>
          <cell r="G146"/>
          <cell r="H146" t="str">
            <v>C.U. Total:</v>
          </cell>
          <cell r="I146">
            <v>1.75</v>
          </cell>
          <cell r="J146" t="str">
            <v>m3</v>
          </cell>
          <cell r="K146"/>
          <cell r="L146"/>
        </row>
        <row r="147">
          <cell r="A147"/>
          <cell r="B147" t="str">
            <v>Codigo</v>
          </cell>
          <cell r="C147" t="str">
            <v>Recurso</v>
          </cell>
          <cell r="D147"/>
          <cell r="E147"/>
          <cell r="F147" t="str">
            <v>UND</v>
          </cell>
          <cell r="G147" t="str">
            <v>Cuadrilla</v>
          </cell>
          <cell r="H147" t="str">
            <v>Cantidad</v>
          </cell>
          <cell r="I147" t="str">
            <v>C.U.</v>
          </cell>
          <cell r="J147" t="str">
            <v>C.Parcial</v>
          </cell>
          <cell r="K147" t="str">
            <v>SUBTOTAL</v>
          </cell>
          <cell r="L147"/>
        </row>
        <row r="148">
          <cell r="A148" t="str">
            <v>10011(C)</v>
          </cell>
          <cell r="B148" t="str">
            <v>Mano de Obra</v>
          </cell>
          <cell r="C148"/>
          <cell r="D148"/>
          <cell r="E148"/>
          <cell r="F148"/>
          <cell r="G148"/>
          <cell r="H148"/>
          <cell r="I148"/>
          <cell r="J148"/>
          <cell r="K148">
            <v>0.79</v>
          </cell>
          <cell r="L148" t="str">
            <v>(C)</v>
          </cell>
        </row>
        <row r="149">
          <cell r="A149"/>
          <cell r="B149" t="str">
            <v>TF00002</v>
          </cell>
          <cell r="C149" t="str">
            <v>Capataz</v>
          </cell>
          <cell r="D149"/>
          <cell r="E149"/>
          <cell r="F149" t="str">
            <v>hh</v>
          </cell>
          <cell r="G149">
            <v>1</v>
          </cell>
          <cell r="H149">
            <v>2.64E-2</v>
          </cell>
          <cell r="I149">
            <v>9.68</v>
          </cell>
          <cell r="J149">
            <v>0.26</v>
          </cell>
          <cell r="K149"/>
          <cell r="L149"/>
        </row>
        <row r="150">
          <cell r="A150"/>
          <cell r="B150" t="str">
            <v>TF00011</v>
          </cell>
          <cell r="C150" t="str">
            <v>Oficial</v>
          </cell>
          <cell r="D150"/>
          <cell r="E150"/>
          <cell r="F150" t="str">
            <v>hh</v>
          </cell>
          <cell r="G150">
            <v>1</v>
          </cell>
          <cell r="H150">
            <v>2.64E-2</v>
          </cell>
          <cell r="I150">
            <v>7.33</v>
          </cell>
          <cell r="J150">
            <v>0.19</v>
          </cell>
          <cell r="K150"/>
          <cell r="L150"/>
        </row>
        <row r="151">
          <cell r="A151"/>
          <cell r="B151" t="str">
            <v>TF00014</v>
          </cell>
          <cell r="C151" t="str">
            <v>Vigía</v>
          </cell>
          <cell r="D151"/>
          <cell r="E151"/>
          <cell r="F151" t="str">
            <v>hh</v>
          </cell>
          <cell r="G151">
            <v>2</v>
          </cell>
          <cell r="H151">
            <v>5.2700000000000004E-2</v>
          </cell>
          <cell r="I151">
            <v>6.46</v>
          </cell>
          <cell r="J151">
            <v>0.34</v>
          </cell>
          <cell r="K151"/>
          <cell r="L151"/>
        </row>
        <row r="152">
          <cell r="A152"/>
          <cell r="B152"/>
          <cell r="C152"/>
          <cell r="D152"/>
          <cell r="E152"/>
          <cell r="F152"/>
          <cell r="G152"/>
          <cell r="H152"/>
          <cell r="I152"/>
          <cell r="J152">
            <v>0.79</v>
          </cell>
          <cell r="K152"/>
          <cell r="L152"/>
        </row>
        <row r="153">
          <cell r="A153" t="str">
            <v>10011(D)</v>
          </cell>
          <cell r="B153" t="str">
            <v>Herramientas y Equipos</v>
          </cell>
          <cell r="C153"/>
          <cell r="D153"/>
          <cell r="E153"/>
          <cell r="F153"/>
          <cell r="G153"/>
          <cell r="H153"/>
          <cell r="I153"/>
          <cell r="J153"/>
          <cell r="K153">
            <v>0.96</v>
          </cell>
          <cell r="L153" t="str">
            <v>(D)</v>
          </cell>
        </row>
        <row r="154">
          <cell r="A154"/>
          <cell r="B154" t="str">
            <v>TF00024</v>
          </cell>
          <cell r="C154" t="str">
            <v>Excavadora John Deere 290</v>
          </cell>
          <cell r="D154"/>
          <cell r="E154"/>
          <cell r="F154" t="str">
            <v>hm</v>
          </cell>
          <cell r="G154">
            <v>0.5</v>
          </cell>
          <cell r="H154">
            <v>1.32E-2</v>
          </cell>
          <cell r="I154">
            <v>63</v>
          </cell>
          <cell r="J154">
            <v>0.83</v>
          </cell>
          <cell r="K154"/>
          <cell r="L154"/>
        </row>
        <row r="155">
          <cell r="A155"/>
          <cell r="B155" t="str">
            <v>TF00041</v>
          </cell>
          <cell r="C155" t="str">
            <v>Luminaria 4K</v>
          </cell>
          <cell r="D155"/>
          <cell r="E155"/>
          <cell r="F155" t="str">
            <v>hm</v>
          </cell>
          <cell r="G155">
            <v>1.5</v>
          </cell>
          <cell r="H155">
            <v>3.95E-2</v>
          </cell>
          <cell r="I155">
            <v>2.2799999999999998</v>
          </cell>
          <cell r="J155">
            <v>0.09</v>
          </cell>
          <cell r="K155"/>
          <cell r="L155"/>
        </row>
        <row r="156">
          <cell r="A156"/>
          <cell r="B156" t="str">
            <v>TF00060</v>
          </cell>
          <cell r="C156" t="str">
            <v>Herramientas (% Mano Obra)</v>
          </cell>
          <cell r="D156"/>
          <cell r="E156"/>
          <cell r="F156" t="str">
            <v>%</v>
          </cell>
          <cell r="G156"/>
          <cell r="H156">
            <v>0.05</v>
          </cell>
          <cell r="I156">
            <v>0.79</v>
          </cell>
          <cell r="J156">
            <v>0.04</v>
          </cell>
          <cell r="K156"/>
          <cell r="L156"/>
        </row>
        <row r="157">
          <cell r="A157"/>
          <cell r="B157"/>
          <cell r="C157"/>
          <cell r="D157"/>
          <cell r="E157"/>
          <cell r="F157"/>
          <cell r="G157"/>
          <cell r="H157"/>
          <cell r="I157"/>
          <cell r="J157">
            <v>0.96</v>
          </cell>
          <cell r="K157"/>
          <cell r="L157"/>
        </row>
        <row r="158">
          <cell r="A158"/>
          <cell r="B158"/>
          <cell r="C158"/>
          <cell r="D158"/>
          <cell r="E158"/>
          <cell r="F158"/>
          <cell r="G158"/>
          <cell r="H158"/>
          <cell r="I158"/>
          <cell r="J158"/>
          <cell r="K158"/>
          <cell r="L158"/>
        </row>
        <row r="159">
          <cell r="A159">
            <v>10012</v>
          </cell>
          <cell r="B159" t="str">
            <v>Partida</v>
          </cell>
          <cell r="C159">
            <v>2.02</v>
          </cell>
          <cell r="D159" t="str">
            <v>Eliminacion de Top Soil d&lt;1km</v>
          </cell>
          <cell r="E159"/>
          <cell r="F159"/>
          <cell r="G159"/>
          <cell r="H159"/>
          <cell r="I159"/>
          <cell r="J159"/>
          <cell r="K159">
            <v>5.7999999999999989</v>
          </cell>
          <cell r="L159"/>
        </row>
        <row r="160">
          <cell r="A160"/>
          <cell r="B160" t="str">
            <v>Rendimiento:</v>
          </cell>
          <cell r="C160">
            <v>40</v>
          </cell>
          <cell r="D160" t="str">
            <v>m3-km</v>
          </cell>
          <cell r="E160" t="str">
            <v>/hr</v>
          </cell>
          <cell r="F160"/>
          <cell r="G160"/>
          <cell r="H160" t="str">
            <v>C.U. Total:</v>
          </cell>
          <cell r="I160">
            <v>5.7999999999999989</v>
          </cell>
          <cell r="J160" t="str">
            <v>m3-km</v>
          </cell>
          <cell r="K160"/>
          <cell r="L160"/>
        </row>
        <row r="161">
          <cell r="A161"/>
          <cell r="B161" t="str">
            <v>Codigo</v>
          </cell>
          <cell r="C161" t="str">
            <v>Recurso</v>
          </cell>
          <cell r="D161"/>
          <cell r="E161"/>
          <cell r="F161" t="str">
            <v>UND</v>
          </cell>
          <cell r="G161" t="str">
            <v>Cuadrilla</v>
          </cell>
          <cell r="H161" t="str">
            <v>Cantidad</v>
          </cell>
          <cell r="I161" t="str">
            <v>C.U.</v>
          </cell>
          <cell r="J161" t="str">
            <v>C.Parcial</v>
          </cell>
          <cell r="K161" t="str">
            <v>SUBTOTAL</v>
          </cell>
          <cell r="L161"/>
        </row>
        <row r="162">
          <cell r="A162" t="str">
            <v>10012(C)</v>
          </cell>
          <cell r="B162" t="str">
            <v>Mano de Obra</v>
          </cell>
          <cell r="C162"/>
          <cell r="D162"/>
          <cell r="E162"/>
          <cell r="F162"/>
          <cell r="G162"/>
          <cell r="H162"/>
          <cell r="I162"/>
          <cell r="J162"/>
          <cell r="K162">
            <v>1.0999999999999999</v>
          </cell>
          <cell r="L162" t="str">
            <v>(C)</v>
          </cell>
        </row>
        <row r="163">
          <cell r="A163"/>
          <cell r="B163" t="str">
            <v>TF00002</v>
          </cell>
          <cell r="C163" t="str">
            <v>Capataz</v>
          </cell>
          <cell r="D163"/>
          <cell r="E163"/>
          <cell r="F163" t="str">
            <v>hh</v>
          </cell>
          <cell r="G163">
            <v>0.35</v>
          </cell>
          <cell r="H163">
            <v>8.7999999999999988E-3</v>
          </cell>
          <cell r="I163">
            <v>9.68</v>
          </cell>
          <cell r="J163">
            <v>0.09</v>
          </cell>
          <cell r="K163"/>
          <cell r="L163"/>
        </row>
        <row r="164">
          <cell r="A164"/>
          <cell r="B164" t="str">
            <v>TF00011</v>
          </cell>
          <cell r="C164" t="str">
            <v>Oficial</v>
          </cell>
          <cell r="D164"/>
          <cell r="E164"/>
          <cell r="F164" t="str">
            <v>hh</v>
          </cell>
          <cell r="G164">
            <v>2</v>
          </cell>
          <cell r="H164">
            <v>0.05</v>
          </cell>
          <cell r="I164">
            <v>7.33</v>
          </cell>
          <cell r="J164">
            <v>0.37</v>
          </cell>
          <cell r="K164"/>
          <cell r="L164"/>
        </row>
        <row r="165">
          <cell r="A165"/>
          <cell r="B165" t="str">
            <v>TF00014</v>
          </cell>
          <cell r="C165" t="str">
            <v>Vigía</v>
          </cell>
          <cell r="D165"/>
          <cell r="E165"/>
          <cell r="F165" t="str">
            <v>hh</v>
          </cell>
          <cell r="G165">
            <v>3</v>
          </cell>
          <cell r="H165">
            <v>7.4999999999999997E-2</v>
          </cell>
          <cell r="I165">
            <v>6.46</v>
          </cell>
          <cell r="J165">
            <v>0.48</v>
          </cell>
          <cell r="K165"/>
          <cell r="L165"/>
        </row>
        <row r="166">
          <cell r="A166"/>
          <cell r="B166" t="str">
            <v>TF00013</v>
          </cell>
          <cell r="C166" t="str">
            <v>Cuadrador</v>
          </cell>
          <cell r="D166"/>
          <cell r="E166"/>
          <cell r="F166" t="str">
            <v>hh</v>
          </cell>
          <cell r="G166">
            <v>1</v>
          </cell>
          <cell r="H166">
            <v>2.5000000000000001E-2</v>
          </cell>
          <cell r="I166">
            <v>6.46</v>
          </cell>
          <cell r="J166">
            <v>0.16</v>
          </cell>
          <cell r="K166"/>
          <cell r="L166"/>
        </row>
        <row r="167">
          <cell r="A167"/>
          <cell r="B167"/>
          <cell r="C167"/>
          <cell r="D167"/>
          <cell r="E167"/>
          <cell r="F167"/>
          <cell r="G167"/>
          <cell r="H167"/>
          <cell r="I167"/>
          <cell r="J167">
            <v>1.0999999999999999</v>
          </cell>
          <cell r="K167"/>
          <cell r="L167"/>
        </row>
        <row r="168">
          <cell r="A168" t="str">
            <v>10012(D)</v>
          </cell>
          <cell r="B168" t="str">
            <v>Herramientas y Equipos</v>
          </cell>
          <cell r="C168"/>
          <cell r="D168"/>
          <cell r="E168"/>
          <cell r="F168"/>
          <cell r="G168"/>
          <cell r="H168"/>
          <cell r="I168"/>
          <cell r="J168"/>
          <cell r="K168">
            <v>4.6999999999999993</v>
          </cell>
          <cell r="L168" t="str">
            <v>(D)</v>
          </cell>
        </row>
        <row r="169">
          <cell r="A169"/>
          <cell r="B169" t="str">
            <v>TF00024</v>
          </cell>
          <cell r="C169" t="str">
            <v>Excavadora John Deere 290</v>
          </cell>
          <cell r="D169"/>
          <cell r="E169"/>
          <cell r="F169" t="str">
            <v>hm</v>
          </cell>
          <cell r="G169">
            <v>0.5</v>
          </cell>
          <cell r="H169">
            <v>1.2500000000000001E-2</v>
          </cell>
          <cell r="I169">
            <v>63</v>
          </cell>
          <cell r="J169">
            <v>0.79</v>
          </cell>
          <cell r="K169"/>
          <cell r="L169"/>
        </row>
        <row r="170">
          <cell r="A170"/>
          <cell r="B170" t="str">
            <v>TF00027</v>
          </cell>
          <cell r="C170" t="str">
            <v>Volquete de 17 m3</v>
          </cell>
          <cell r="D170"/>
          <cell r="E170"/>
          <cell r="F170" t="str">
            <v>hm</v>
          </cell>
          <cell r="G170">
            <v>4.8819261674461796</v>
          </cell>
          <cell r="H170">
            <v>0.1221</v>
          </cell>
          <cell r="I170">
            <v>31</v>
          </cell>
          <cell r="J170">
            <v>3.79</v>
          </cell>
          <cell r="K170"/>
          <cell r="L170"/>
        </row>
        <row r="171">
          <cell r="A171"/>
          <cell r="B171" t="str">
            <v>TF00041</v>
          </cell>
          <cell r="C171" t="str">
            <v>Luminaria 4K</v>
          </cell>
          <cell r="D171"/>
          <cell r="E171"/>
          <cell r="F171" t="str">
            <v>hm</v>
          </cell>
          <cell r="G171">
            <v>1</v>
          </cell>
          <cell r="H171">
            <v>2.5000000000000001E-2</v>
          </cell>
          <cell r="I171">
            <v>2.2799999999999998</v>
          </cell>
          <cell r="J171">
            <v>0.06</v>
          </cell>
          <cell r="K171"/>
          <cell r="L171"/>
        </row>
        <row r="172">
          <cell r="A172"/>
          <cell r="B172" t="str">
            <v>TF00060</v>
          </cell>
          <cell r="C172" t="str">
            <v>Herramientas (% Mano Obra)</v>
          </cell>
          <cell r="D172"/>
          <cell r="E172"/>
          <cell r="F172" t="str">
            <v>%</v>
          </cell>
          <cell r="G172"/>
          <cell r="H172">
            <v>0.05</v>
          </cell>
          <cell r="I172">
            <v>1.0999999999999999</v>
          </cell>
          <cell r="J172">
            <v>0.06</v>
          </cell>
          <cell r="K172"/>
          <cell r="L172"/>
        </row>
        <row r="173">
          <cell r="A173"/>
          <cell r="B173"/>
          <cell r="C173"/>
          <cell r="D173"/>
          <cell r="E173"/>
          <cell r="F173"/>
          <cell r="G173"/>
          <cell r="H173"/>
          <cell r="I173"/>
          <cell r="J173">
            <v>4.6999999999999993</v>
          </cell>
          <cell r="K173"/>
          <cell r="L173"/>
        </row>
        <row r="174">
          <cell r="A174"/>
          <cell r="B174"/>
          <cell r="C174"/>
          <cell r="D174"/>
          <cell r="E174"/>
          <cell r="F174"/>
          <cell r="G174"/>
          <cell r="H174"/>
          <cell r="I174"/>
          <cell r="J174"/>
          <cell r="K174"/>
          <cell r="L174"/>
        </row>
        <row r="175">
          <cell r="A175">
            <v>10013</v>
          </cell>
          <cell r="B175" t="str">
            <v>Partida</v>
          </cell>
          <cell r="C175">
            <v>2.0299999999999998</v>
          </cell>
          <cell r="D175" t="str">
            <v>Eliminacion de top soil d&gt;1km</v>
          </cell>
          <cell r="E175"/>
          <cell r="F175"/>
          <cell r="G175"/>
          <cell r="H175"/>
          <cell r="I175"/>
          <cell r="J175"/>
          <cell r="K175">
            <v>0.47</v>
          </cell>
          <cell r="L175"/>
        </row>
        <row r="176">
          <cell r="A176"/>
          <cell r="B176" t="str">
            <v>Rendimiento:</v>
          </cell>
          <cell r="C176">
            <v>90</v>
          </cell>
          <cell r="D176" t="str">
            <v>m3-km</v>
          </cell>
          <cell r="E176" t="str">
            <v>/hr</v>
          </cell>
          <cell r="F176"/>
          <cell r="G176"/>
          <cell r="H176" t="str">
            <v>C.U. Total:</v>
          </cell>
          <cell r="I176">
            <v>0.47</v>
          </cell>
          <cell r="J176" t="str">
            <v>m3-km</v>
          </cell>
          <cell r="K176"/>
          <cell r="L176"/>
        </row>
        <row r="177">
          <cell r="A177"/>
          <cell r="B177" t="str">
            <v>Codigo</v>
          </cell>
          <cell r="C177" t="str">
            <v>Recurso</v>
          </cell>
          <cell r="D177"/>
          <cell r="E177"/>
          <cell r="F177" t="str">
            <v>UND</v>
          </cell>
          <cell r="G177" t="str">
            <v>Cuadrilla</v>
          </cell>
          <cell r="H177" t="str">
            <v>Cantidad</v>
          </cell>
          <cell r="I177" t="str">
            <v>C.U.</v>
          </cell>
          <cell r="J177" t="str">
            <v>C.Parcial</v>
          </cell>
          <cell r="K177" t="str">
            <v>SUBTOTAL</v>
          </cell>
          <cell r="L177"/>
        </row>
        <row r="178">
          <cell r="A178" t="str">
            <v>10013(C)</v>
          </cell>
          <cell r="B178" t="str">
            <v>Mano de Obra</v>
          </cell>
          <cell r="C178"/>
          <cell r="D178"/>
          <cell r="E178"/>
          <cell r="F178"/>
          <cell r="G178"/>
          <cell r="H178"/>
          <cell r="I178"/>
          <cell r="J178"/>
          <cell r="K178">
            <v>0.11000000000000001</v>
          </cell>
          <cell r="L178" t="str">
            <v>(C)</v>
          </cell>
        </row>
        <row r="179">
          <cell r="A179"/>
          <cell r="B179" t="str">
            <v>TF00002</v>
          </cell>
          <cell r="C179" t="str">
            <v>Capataz</v>
          </cell>
          <cell r="D179"/>
          <cell r="E179"/>
          <cell r="F179" t="str">
            <v>hh</v>
          </cell>
          <cell r="G179">
            <v>0.35</v>
          </cell>
          <cell r="H179">
            <v>3.8999999999999998E-3</v>
          </cell>
          <cell r="I179">
            <v>9.68</v>
          </cell>
          <cell r="J179">
            <v>0.04</v>
          </cell>
          <cell r="K179"/>
          <cell r="L179"/>
        </row>
        <row r="180">
          <cell r="A180"/>
          <cell r="B180" t="str">
            <v>TF00014</v>
          </cell>
          <cell r="C180" t="str">
            <v>Vigía</v>
          </cell>
          <cell r="D180"/>
          <cell r="E180"/>
          <cell r="F180" t="str">
            <v>hh</v>
          </cell>
          <cell r="G180">
            <v>1</v>
          </cell>
          <cell r="H180">
            <v>1.12E-2</v>
          </cell>
          <cell r="I180">
            <v>6.46</v>
          </cell>
          <cell r="J180">
            <v>7.0000000000000007E-2</v>
          </cell>
          <cell r="K180"/>
          <cell r="L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>
            <v>0.11000000000000001</v>
          </cell>
          <cell r="K181"/>
          <cell r="L181"/>
        </row>
        <row r="182">
          <cell r="A182" t="str">
            <v>10013(D)</v>
          </cell>
          <cell r="B182" t="str">
            <v>Herramientas y Equipos</v>
          </cell>
          <cell r="C182"/>
          <cell r="D182"/>
          <cell r="E182"/>
          <cell r="F182"/>
          <cell r="G182"/>
          <cell r="H182"/>
          <cell r="I182"/>
          <cell r="J182"/>
          <cell r="K182">
            <v>0.36</v>
          </cell>
          <cell r="L182" t="str">
            <v>(D)</v>
          </cell>
        </row>
        <row r="183">
          <cell r="A183"/>
          <cell r="B183" t="str">
            <v>TF00027</v>
          </cell>
          <cell r="C183" t="str">
            <v>Volquete de 17 m3</v>
          </cell>
          <cell r="D183"/>
          <cell r="E183"/>
          <cell r="F183" t="str">
            <v>hm</v>
          </cell>
          <cell r="G183">
            <v>1</v>
          </cell>
          <cell r="H183">
            <v>1.12E-2</v>
          </cell>
          <cell r="I183">
            <v>31</v>
          </cell>
          <cell r="J183">
            <v>0.35</v>
          </cell>
          <cell r="K183"/>
          <cell r="L183"/>
        </row>
        <row r="184">
          <cell r="A184"/>
          <cell r="B184" t="str">
            <v>TF00060</v>
          </cell>
          <cell r="C184" t="str">
            <v>Herramientas (% Mano Obra)</v>
          </cell>
          <cell r="D184"/>
          <cell r="E184"/>
          <cell r="F184" t="str">
            <v>%</v>
          </cell>
          <cell r="G184"/>
          <cell r="H184">
            <v>0.05</v>
          </cell>
          <cell r="I184">
            <v>0.11000000000000001</v>
          </cell>
          <cell r="J184">
            <v>0.01</v>
          </cell>
          <cell r="K184"/>
          <cell r="L184"/>
        </row>
        <row r="185">
          <cell r="A185"/>
          <cell r="B185"/>
          <cell r="C185"/>
          <cell r="D185"/>
          <cell r="E185"/>
          <cell r="F185"/>
          <cell r="G185"/>
          <cell r="H185"/>
          <cell r="I185"/>
          <cell r="J185">
            <v>0.36</v>
          </cell>
          <cell r="K185"/>
          <cell r="L185"/>
        </row>
        <row r="186">
          <cell r="A186"/>
          <cell r="B186"/>
          <cell r="C186"/>
          <cell r="D186"/>
          <cell r="E186"/>
          <cell r="F186"/>
          <cell r="G186"/>
          <cell r="H186"/>
          <cell r="I186"/>
          <cell r="J186"/>
          <cell r="K186"/>
          <cell r="L186"/>
        </row>
        <row r="187">
          <cell r="A187">
            <v>10014</v>
          </cell>
          <cell r="B187" t="str">
            <v>Partida</v>
          </cell>
          <cell r="C187">
            <v>2.04</v>
          </cell>
          <cell r="D187" t="str">
            <v>Conformación de top soil en botadero</v>
          </cell>
          <cell r="E187"/>
          <cell r="F187"/>
          <cell r="G187"/>
          <cell r="H187"/>
          <cell r="I187"/>
          <cell r="J187"/>
          <cell r="K187">
            <v>1.3800000000000001</v>
          </cell>
          <cell r="L187"/>
        </row>
        <row r="188">
          <cell r="A188"/>
          <cell r="B188" t="str">
            <v>Rendimiento:</v>
          </cell>
          <cell r="C188">
            <v>40</v>
          </cell>
          <cell r="D188" t="str">
            <v>m3</v>
          </cell>
          <cell r="E188" t="str">
            <v>/hr</v>
          </cell>
          <cell r="F188"/>
          <cell r="G188"/>
          <cell r="H188" t="str">
            <v>C.U. Total:</v>
          </cell>
          <cell r="I188">
            <v>1.3800000000000001</v>
          </cell>
          <cell r="J188" t="str">
            <v>m3</v>
          </cell>
          <cell r="K188"/>
          <cell r="L188"/>
        </row>
        <row r="189">
          <cell r="A189"/>
          <cell r="B189" t="str">
            <v>Codigo</v>
          </cell>
          <cell r="C189" t="str">
            <v>Recurso</v>
          </cell>
          <cell r="D189"/>
          <cell r="E189"/>
          <cell r="F189" t="str">
            <v>UND</v>
          </cell>
          <cell r="G189" t="str">
            <v>Cuadrilla</v>
          </cell>
          <cell r="H189" t="str">
            <v>Cantidad</v>
          </cell>
          <cell r="I189" t="str">
            <v>C.U.</v>
          </cell>
          <cell r="J189" t="str">
            <v>C.Parcial</v>
          </cell>
          <cell r="K189" t="str">
            <v>SUBTOTAL</v>
          </cell>
          <cell r="L189"/>
        </row>
        <row r="190">
          <cell r="A190" t="str">
            <v>10014(C)</v>
          </cell>
          <cell r="B190" t="str">
            <v>Mano de Obra</v>
          </cell>
          <cell r="C190"/>
          <cell r="D190"/>
          <cell r="E190"/>
          <cell r="F190"/>
          <cell r="G190"/>
          <cell r="H190"/>
          <cell r="I190"/>
          <cell r="J190"/>
          <cell r="K190">
            <v>0.25</v>
          </cell>
          <cell r="L190" t="str">
            <v>(C)</v>
          </cell>
        </row>
        <row r="191">
          <cell r="A191"/>
          <cell r="B191" t="str">
            <v>TF00002</v>
          </cell>
          <cell r="C191" t="str">
            <v>Capataz</v>
          </cell>
          <cell r="D191"/>
          <cell r="E191"/>
          <cell r="F191" t="str">
            <v>hh</v>
          </cell>
          <cell r="G191">
            <v>0.35</v>
          </cell>
          <cell r="H191">
            <v>8.7999999999999988E-3</v>
          </cell>
          <cell r="I191">
            <v>9.68</v>
          </cell>
          <cell r="J191">
            <v>0.09</v>
          </cell>
          <cell r="K191"/>
          <cell r="L191"/>
        </row>
        <row r="192">
          <cell r="A192"/>
          <cell r="B192" t="str">
            <v>TF00014</v>
          </cell>
          <cell r="C192" t="str">
            <v>Vigía</v>
          </cell>
          <cell r="D192"/>
          <cell r="E192"/>
          <cell r="F192" t="str">
            <v>hh</v>
          </cell>
          <cell r="G192">
            <v>1</v>
          </cell>
          <cell r="H192">
            <v>2.5000000000000001E-2</v>
          </cell>
          <cell r="I192">
            <v>6.46</v>
          </cell>
          <cell r="J192">
            <v>0.16</v>
          </cell>
          <cell r="K192"/>
          <cell r="L192"/>
        </row>
        <row r="193">
          <cell r="A193"/>
          <cell r="B193"/>
          <cell r="C193"/>
          <cell r="D193"/>
          <cell r="E193"/>
          <cell r="F193"/>
          <cell r="G193"/>
          <cell r="H193"/>
          <cell r="I193"/>
          <cell r="J193">
            <v>0.25</v>
          </cell>
          <cell r="K193"/>
          <cell r="L193"/>
        </row>
        <row r="194">
          <cell r="A194" t="str">
            <v>10014(D)</v>
          </cell>
          <cell r="B194" t="str">
            <v>Herramientas y Equipos</v>
          </cell>
          <cell r="C194"/>
          <cell r="D194"/>
          <cell r="E194"/>
          <cell r="F194"/>
          <cell r="G194"/>
          <cell r="H194"/>
          <cell r="I194"/>
          <cell r="J194"/>
          <cell r="K194">
            <v>1.1300000000000001</v>
          </cell>
          <cell r="L194" t="str">
            <v>(D)</v>
          </cell>
        </row>
        <row r="195">
          <cell r="A195"/>
          <cell r="B195" t="str">
            <v>TF00041</v>
          </cell>
          <cell r="C195" t="str">
            <v>Luminaria 4K</v>
          </cell>
          <cell r="D195"/>
          <cell r="E195"/>
          <cell r="F195" t="str">
            <v>hm</v>
          </cell>
          <cell r="G195">
            <v>0.5</v>
          </cell>
          <cell r="H195">
            <v>1.2500000000000001E-2</v>
          </cell>
          <cell r="I195">
            <v>2.2799999999999998</v>
          </cell>
          <cell r="J195">
            <v>0.03</v>
          </cell>
          <cell r="K195"/>
          <cell r="L195"/>
        </row>
        <row r="196">
          <cell r="A196"/>
          <cell r="B196" t="str">
            <v>TF00022</v>
          </cell>
          <cell r="C196" t="str">
            <v>Tractor sobre Orugas CAT D6T</v>
          </cell>
          <cell r="D196"/>
          <cell r="E196"/>
          <cell r="F196" t="str">
            <v>hm</v>
          </cell>
          <cell r="G196">
            <v>0.7</v>
          </cell>
          <cell r="H196">
            <v>1.7500000000000002E-2</v>
          </cell>
          <cell r="I196">
            <v>62</v>
          </cell>
          <cell r="J196">
            <v>1.0900000000000001</v>
          </cell>
          <cell r="K196"/>
          <cell r="L196"/>
        </row>
        <row r="197">
          <cell r="A197"/>
          <cell r="B197" t="str">
            <v>TF00060</v>
          </cell>
          <cell r="C197" t="str">
            <v>Herramientas (% Mano Obra)</v>
          </cell>
          <cell r="D197"/>
          <cell r="E197"/>
          <cell r="F197" t="str">
            <v>%</v>
          </cell>
          <cell r="G197"/>
          <cell r="H197">
            <v>0.05</v>
          </cell>
          <cell r="I197">
            <v>0.25</v>
          </cell>
          <cell r="J197">
            <v>0.01</v>
          </cell>
          <cell r="K197"/>
          <cell r="L197"/>
        </row>
        <row r="198">
          <cell r="A198"/>
          <cell r="B198"/>
          <cell r="C198"/>
          <cell r="D198"/>
          <cell r="E198"/>
          <cell r="F198"/>
          <cell r="G198"/>
          <cell r="H198"/>
          <cell r="I198"/>
          <cell r="J198">
            <v>1.1300000000000001</v>
          </cell>
          <cell r="K198"/>
          <cell r="L198"/>
        </row>
        <row r="199">
          <cell r="A199"/>
          <cell r="B199"/>
          <cell r="C199"/>
          <cell r="D199"/>
          <cell r="E199"/>
          <cell r="F199"/>
          <cell r="G199"/>
          <cell r="H199"/>
          <cell r="I199"/>
          <cell r="J199"/>
          <cell r="K199"/>
          <cell r="L199"/>
        </row>
        <row r="200">
          <cell r="A200">
            <v>10015</v>
          </cell>
          <cell r="B200" t="str">
            <v>Partida</v>
          </cell>
          <cell r="C200">
            <v>2.0499999999999998</v>
          </cell>
          <cell r="D200" t="str">
            <v>Excavacion material inadecuado</v>
          </cell>
          <cell r="E200"/>
          <cell r="F200"/>
          <cell r="G200"/>
          <cell r="H200"/>
          <cell r="I200"/>
          <cell r="J200"/>
          <cell r="K200">
            <v>1.2</v>
          </cell>
          <cell r="L200"/>
        </row>
        <row r="201">
          <cell r="A201"/>
          <cell r="B201" t="str">
            <v>Rendimiento:</v>
          </cell>
          <cell r="C201">
            <v>50</v>
          </cell>
          <cell r="D201" t="str">
            <v>m3</v>
          </cell>
          <cell r="E201" t="str">
            <v>/hr</v>
          </cell>
          <cell r="F201"/>
          <cell r="G201"/>
          <cell r="H201" t="str">
            <v>C.U. Total:</v>
          </cell>
          <cell r="I201">
            <v>1.2</v>
          </cell>
          <cell r="J201" t="str">
            <v>m3</v>
          </cell>
          <cell r="K201"/>
          <cell r="L201"/>
        </row>
        <row r="202">
          <cell r="A202"/>
          <cell r="B202" t="str">
            <v>Codigo</v>
          </cell>
          <cell r="C202" t="str">
            <v>Recurso</v>
          </cell>
          <cell r="D202"/>
          <cell r="E202"/>
          <cell r="F202" t="str">
            <v>UND</v>
          </cell>
          <cell r="G202" t="str">
            <v>Cuadrilla</v>
          </cell>
          <cell r="H202" t="str">
            <v>Cantidad</v>
          </cell>
          <cell r="I202" t="str">
            <v>C.U.</v>
          </cell>
          <cell r="J202" t="str">
            <v>C.Parcial</v>
          </cell>
          <cell r="K202" t="str">
            <v>SUBTOTAL</v>
          </cell>
          <cell r="L202"/>
        </row>
        <row r="203">
          <cell r="A203" t="str">
            <v>10015(C)</v>
          </cell>
          <cell r="B203" t="str">
            <v>Mano de Obra</v>
          </cell>
          <cell r="C203"/>
          <cell r="D203"/>
          <cell r="E203"/>
          <cell r="F203"/>
          <cell r="G203"/>
          <cell r="H203"/>
          <cell r="I203"/>
          <cell r="J203"/>
          <cell r="K203">
            <v>0.48</v>
          </cell>
          <cell r="L203" t="str">
            <v>(C)</v>
          </cell>
        </row>
        <row r="204">
          <cell r="A204"/>
          <cell r="B204" t="str">
            <v>TF00002</v>
          </cell>
          <cell r="C204" t="str">
            <v>Capataz</v>
          </cell>
          <cell r="D204"/>
          <cell r="E204"/>
          <cell r="F204" t="str">
            <v>hh</v>
          </cell>
          <cell r="G204">
            <v>0.35</v>
          </cell>
          <cell r="H204">
            <v>7.0000000000000001E-3</v>
          </cell>
          <cell r="I204">
            <v>9.68</v>
          </cell>
          <cell r="J204">
            <v>7.0000000000000007E-2</v>
          </cell>
          <cell r="K204"/>
          <cell r="L204"/>
        </row>
        <row r="205">
          <cell r="A205"/>
          <cell r="B205" t="str">
            <v>TF00011</v>
          </cell>
          <cell r="C205" t="str">
            <v>Oficial</v>
          </cell>
          <cell r="D205"/>
          <cell r="E205"/>
          <cell r="F205" t="str">
            <v>hh</v>
          </cell>
          <cell r="G205">
            <v>1</v>
          </cell>
          <cell r="H205">
            <v>0.02</v>
          </cell>
          <cell r="I205">
            <v>7.33</v>
          </cell>
          <cell r="J205">
            <v>0.15</v>
          </cell>
          <cell r="K205"/>
          <cell r="L205"/>
        </row>
        <row r="206">
          <cell r="A206"/>
          <cell r="B206" t="str">
            <v>TF00014</v>
          </cell>
          <cell r="C206" t="str">
            <v>Vigía</v>
          </cell>
          <cell r="D206"/>
          <cell r="E206"/>
          <cell r="F206" t="str">
            <v>hh</v>
          </cell>
          <cell r="G206">
            <v>2</v>
          </cell>
          <cell r="H206">
            <v>0.04</v>
          </cell>
          <cell r="I206">
            <v>6.46</v>
          </cell>
          <cell r="J206">
            <v>0.26</v>
          </cell>
          <cell r="K206"/>
          <cell r="L206"/>
        </row>
        <row r="207">
          <cell r="A207"/>
          <cell r="B207"/>
          <cell r="C207"/>
          <cell r="D207"/>
          <cell r="E207"/>
          <cell r="F207"/>
          <cell r="G207"/>
          <cell r="H207"/>
          <cell r="I207"/>
          <cell r="J207">
            <v>0.48</v>
          </cell>
          <cell r="K207"/>
          <cell r="L207"/>
        </row>
        <row r="208">
          <cell r="A208" t="str">
            <v>10015(D)</v>
          </cell>
          <cell r="B208" t="str">
            <v>Herramientas y Equipos</v>
          </cell>
          <cell r="C208"/>
          <cell r="D208"/>
          <cell r="E208"/>
          <cell r="F208"/>
          <cell r="G208"/>
          <cell r="H208"/>
          <cell r="I208"/>
          <cell r="J208"/>
          <cell r="K208">
            <v>0.72</v>
          </cell>
          <cell r="L208" t="str">
            <v>(D)</v>
          </cell>
        </row>
        <row r="209">
          <cell r="A209"/>
          <cell r="B209" t="str">
            <v>TF00024</v>
          </cell>
          <cell r="C209" t="str">
            <v>Excavadora John Deere 290</v>
          </cell>
          <cell r="D209"/>
          <cell r="E209"/>
          <cell r="F209" t="str">
            <v>hm</v>
          </cell>
          <cell r="G209">
            <v>0.5</v>
          </cell>
          <cell r="H209">
            <v>0.01</v>
          </cell>
          <cell r="I209">
            <v>63</v>
          </cell>
          <cell r="J209">
            <v>0.63</v>
          </cell>
          <cell r="K209"/>
          <cell r="L209"/>
        </row>
        <row r="210">
          <cell r="A210"/>
          <cell r="B210" t="str">
            <v>TF00041</v>
          </cell>
          <cell r="C210" t="str">
            <v>Luminaria 4K</v>
          </cell>
          <cell r="D210"/>
          <cell r="E210"/>
          <cell r="F210" t="str">
            <v>hm</v>
          </cell>
          <cell r="G210">
            <v>1.5</v>
          </cell>
          <cell r="H210">
            <v>0.03</v>
          </cell>
          <cell r="I210">
            <v>2.2799999999999998</v>
          </cell>
          <cell r="J210">
            <v>7.0000000000000007E-2</v>
          </cell>
          <cell r="K210"/>
          <cell r="L210"/>
        </row>
        <row r="211">
          <cell r="A211"/>
          <cell r="B211" t="str">
            <v>TF00060</v>
          </cell>
          <cell r="C211" t="str">
            <v>Herramientas (% Mano Obra)</v>
          </cell>
          <cell r="D211"/>
          <cell r="E211"/>
          <cell r="F211" t="str">
            <v>%</v>
          </cell>
          <cell r="G211"/>
          <cell r="H211">
            <v>0.05</v>
          </cell>
          <cell r="I211">
            <v>0.48</v>
          </cell>
          <cell r="J211">
            <v>0.02</v>
          </cell>
          <cell r="K211"/>
          <cell r="L211"/>
        </row>
        <row r="212">
          <cell r="A212"/>
          <cell r="B212"/>
          <cell r="C212"/>
          <cell r="D212"/>
          <cell r="E212"/>
          <cell r="F212"/>
          <cell r="G212"/>
          <cell r="H212"/>
          <cell r="I212"/>
          <cell r="J212">
            <v>0.72</v>
          </cell>
          <cell r="K212"/>
          <cell r="L212"/>
        </row>
        <row r="213">
          <cell r="A213"/>
          <cell r="B213"/>
          <cell r="C213"/>
          <cell r="D213"/>
          <cell r="E213"/>
          <cell r="F213"/>
          <cell r="G213"/>
          <cell r="H213"/>
          <cell r="I213"/>
          <cell r="J213"/>
          <cell r="K213"/>
          <cell r="L213"/>
        </row>
        <row r="214">
          <cell r="A214">
            <v>10016</v>
          </cell>
          <cell r="B214" t="str">
            <v>Partida</v>
          </cell>
          <cell r="C214">
            <v>2.06</v>
          </cell>
          <cell r="D214" t="str">
            <v>Eliminacion material inadecuado d&lt;1km</v>
          </cell>
          <cell r="E214"/>
          <cell r="F214"/>
          <cell r="G214"/>
          <cell r="H214"/>
          <cell r="I214"/>
          <cell r="J214"/>
          <cell r="K214">
            <v>1.4400000000000002</v>
          </cell>
          <cell r="L214"/>
        </row>
        <row r="215">
          <cell r="A215"/>
          <cell r="B215" t="str">
            <v>Rendimiento:</v>
          </cell>
          <cell r="C215">
            <v>165</v>
          </cell>
          <cell r="D215" t="str">
            <v>m3-km</v>
          </cell>
          <cell r="E215" t="str">
            <v>/hr</v>
          </cell>
          <cell r="F215"/>
          <cell r="G215"/>
          <cell r="H215" t="str">
            <v>C.U. Total:</v>
          </cell>
          <cell r="I215">
            <v>1.4400000000000002</v>
          </cell>
          <cell r="J215" t="str">
            <v>m3-km</v>
          </cell>
          <cell r="K215"/>
          <cell r="L215"/>
        </row>
        <row r="216">
          <cell r="A216"/>
          <cell r="B216" t="str">
            <v>Codigo</v>
          </cell>
          <cell r="C216" t="str">
            <v>Recurso</v>
          </cell>
          <cell r="D216"/>
          <cell r="E216"/>
          <cell r="F216" t="str">
            <v>UND</v>
          </cell>
          <cell r="G216" t="str">
            <v>Cuadrilla</v>
          </cell>
          <cell r="H216" t="str">
            <v>Cantidad</v>
          </cell>
          <cell r="I216" t="str">
            <v>C.U.</v>
          </cell>
          <cell r="J216" t="str">
            <v>C.Parcial</v>
          </cell>
          <cell r="K216" t="str">
            <v>SUBTOTAL</v>
          </cell>
          <cell r="L216"/>
        </row>
        <row r="217">
          <cell r="A217" t="str">
            <v>10016(C)</v>
          </cell>
          <cell r="B217" t="str">
            <v>Mano de Obra</v>
          </cell>
          <cell r="C217"/>
          <cell r="D217"/>
          <cell r="E217"/>
          <cell r="F217"/>
          <cell r="G217"/>
          <cell r="H217"/>
          <cell r="I217"/>
          <cell r="J217"/>
          <cell r="K217">
            <v>0.26999999999999996</v>
          </cell>
          <cell r="L217" t="str">
            <v>(C)</v>
          </cell>
        </row>
        <row r="218">
          <cell r="A218"/>
          <cell r="B218" t="str">
            <v>TF00002</v>
          </cell>
          <cell r="C218" t="str">
            <v>Capataz</v>
          </cell>
          <cell r="D218"/>
          <cell r="E218"/>
          <cell r="F218" t="str">
            <v>hh</v>
          </cell>
          <cell r="G218">
            <v>0.35</v>
          </cell>
          <cell r="H218">
            <v>2.1999999999999997E-3</v>
          </cell>
          <cell r="I218">
            <v>9.68</v>
          </cell>
          <cell r="J218">
            <v>0.02</v>
          </cell>
          <cell r="K218"/>
          <cell r="L218"/>
        </row>
        <row r="219">
          <cell r="A219"/>
          <cell r="B219" t="str">
            <v>TF00011</v>
          </cell>
          <cell r="C219" t="str">
            <v>Oficial</v>
          </cell>
          <cell r="D219"/>
          <cell r="E219"/>
          <cell r="F219" t="str">
            <v>hh</v>
          </cell>
          <cell r="G219">
            <v>2</v>
          </cell>
          <cell r="H219">
            <v>1.2199999999999999E-2</v>
          </cell>
          <cell r="I219">
            <v>7.33</v>
          </cell>
          <cell r="J219">
            <v>0.09</v>
          </cell>
          <cell r="K219"/>
          <cell r="L219"/>
        </row>
        <row r="220">
          <cell r="A220"/>
          <cell r="B220" t="str">
            <v>TF00014</v>
          </cell>
          <cell r="C220" t="str">
            <v>Vigía</v>
          </cell>
          <cell r="D220"/>
          <cell r="E220"/>
          <cell r="F220" t="str">
            <v>hh</v>
          </cell>
          <cell r="G220">
            <v>3</v>
          </cell>
          <cell r="H220">
            <v>1.8200000000000001E-2</v>
          </cell>
          <cell r="I220">
            <v>6.46</v>
          </cell>
          <cell r="J220">
            <v>0.12</v>
          </cell>
          <cell r="K220"/>
          <cell r="L220"/>
        </row>
        <row r="221">
          <cell r="A221"/>
          <cell r="B221" t="str">
            <v>TF00013</v>
          </cell>
          <cell r="C221" t="str">
            <v>Cuadrador</v>
          </cell>
          <cell r="D221"/>
          <cell r="E221"/>
          <cell r="F221" t="str">
            <v>hh</v>
          </cell>
          <cell r="G221">
            <v>1</v>
          </cell>
          <cell r="H221">
            <v>6.1000000000000004E-3</v>
          </cell>
          <cell r="I221">
            <v>6.46</v>
          </cell>
          <cell r="J221">
            <v>0.04</v>
          </cell>
          <cell r="K221"/>
          <cell r="L221"/>
        </row>
        <row r="222">
          <cell r="A222"/>
          <cell r="B222"/>
          <cell r="C222"/>
          <cell r="D222"/>
          <cell r="E222"/>
          <cell r="F222"/>
          <cell r="G222"/>
          <cell r="H222"/>
          <cell r="I222"/>
          <cell r="J222">
            <v>0.26999999999999996</v>
          </cell>
          <cell r="K222"/>
          <cell r="L222"/>
        </row>
        <row r="223">
          <cell r="A223" t="str">
            <v>10016(D)</v>
          </cell>
          <cell r="B223" t="str">
            <v>Herramientas y Equipos</v>
          </cell>
          <cell r="C223"/>
          <cell r="D223"/>
          <cell r="E223"/>
          <cell r="F223"/>
          <cell r="G223"/>
          <cell r="H223"/>
          <cell r="I223"/>
          <cell r="J223"/>
          <cell r="K223">
            <v>1.1700000000000002</v>
          </cell>
          <cell r="L223" t="str">
            <v>(D)</v>
          </cell>
        </row>
        <row r="224">
          <cell r="A224"/>
          <cell r="B224" t="str">
            <v>TF00024</v>
          </cell>
          <cell r="C224" t="str">
            <v>Excavadora John Deere 290</v>
          </cell>
          <cell r="D224"/>
          <cell r="E224"/>
          <cell r="F224" t="str">
            <v>hm</v>
          </cell>
          <cell r="G224">
            <v>0.5</v>
          </cell>
          <cell r="H224">
            <v>3.0999999999999999E-3</v>
          </cell>
          <cell r="I224">
            <v>63</v>
          </cell>
          <cell r="J224">
            <v>0.2</v>
          </cell>
          <cell r="K224"/>
          <cell r="L224"/>
        </row>
        <row r="225">
          <cell r="A225"/>
          <cell r="B225" t="str">
            <v>TF00027</v>
          </cell>
          <cell r="C225" t="str">
            <v>Volquete de 17 m3</v>
          </cell>
          <cell r="D225"/>
          <cell r="E225"/>
          <cell r="F225" t="str">
            <v>hm</v>
          </cell>
          <cell r="G225">
            <v>4.8819261674461796</v>
          </cell>
          <cell r="H225">
            <v>2.9599999999999998E-2</v>
          </cell>
          <cell r="I225">
            <v>31</v>
          </cell>
          <cell r="J225">
            <v>0.92</v>
          </cell>
          <cell r="K225"/>
          <cell r="L225"/>
        </row>
        <row r="226">
          <cell r="A226"/>
          <cell r="B226" t="str">
            <v>TF00041</v>
          </cell>
          <cell r="C226" t="str">
            <v>Luminaria 4K</v>
          </cell>
          <cell r="D226"/>
          <cell r="E226"/>
          <cell r="F226" t="str">
            <v>hm</v>
          </cell>
          <cell r="G226">
            <v>3</v>
          </cell>
          <cell r="H226">
            <v>1.8200000000000001E-2</v>
          </cell>
          <cell r="I226">
            <v>2.2799999999999998</v>
          </cell>
          <cell r="J226">
            <v>0.04</v>
          </cell>
          <cell r="K226"/>
          <cell r="L226"/>
        </row>
        <row r="227">
          <cell r="A227"/>
          <cell r="B227" t="str">
            <v>TF00060</v>
          </cell>
          <cell r="C227" t="str">
            <v>Herramientas (% Mano Obra)</v>
          </cell>
          <cell r="D227"/>
          <cell r="E227"/>
          <cell r="F227" t="str">
            <v>%</v>
          </cell>
          <cell r="G227"/>
          <cell r="H227">
            <v>0.05</v>
          </cell>
          <cell r="I227">
            <v>0.26999999999999996</v>
          </cell>
          <cell r="J227">
            <v>0.01</v>
          </cell>
          <cell r="K227"/>
          <cell r="L227"/>
        </row>
        <row r="228">
          <cell r="A228"/>
          <cell r="B228"/>
          <cell r="C228"/>
          <cell r="D228"/>
          <cell r="E228"/>
          <cell r="F228"/>
          <cell r="G228"/>
          <cell r="H228"/>
          <cell r="I228"/>
          <cell r="J228">
            <v>1.1700000000000002</v>
          </cell>
          <cell r="K228"/>
          <cell r="L228"/>
        </row>
        <row r="229">
          <cell r="A229"/>
          <cell r="B229"/>
          <cell r="C229"/>
          <cell r="D229"/>
          <cell r="E229"/>
          <cell r="F229"/>
          <cell r="G229"/>
          <cell r="H229"/>
          <cell r="I229"/>
          <cell r="J229"/>
          <cell r="K229"/>
          <cell r="L229"/>
        </row>
        <row r="230">
          <cell r="A230">
            <v>10017</v>
          </cell>
          <cell r="B230" t="str">
            <v>Partida</v>
          </cell>
          <cell r="C230">
            <v>2.0699999999999998</v>
          </cell>
          <cell r="D230" t="str">
            <v>Eliminacion material inadecuado d&gt;1km</v>
          </cell>
          <cell r="E230"/>
          <cell r="F230"/>
          <cell r="G230"/>
          <cell r="H230"/>
          <cell r="I230"/>
          <cell r="J230"/>
          <cell r="K230">
            <v>0.36</v>
          </cell>
          <cell r="L230"/>
        </row>
        <row r="231">
          <cell r="A231"/>
          <cell r="B231" t="str">
            <v>Rendimiento:</v>
          </cell>
          <cell r="C231">
            <v>115</v>
          </cell>
          <cell r="D231" t="str">
            <v>m3-km</v>
          </cell>
          <cell r="E231" t="str">
            <v>/hr</v>
          </cell>
          <cell r="F231"/>
          <cell r="G231"/>
          <cell r="H231" t="str">
            <v>C.U. Total:</v>
          </cell>
          <cell r="I231">
            <v>0.36</v>
          </cell>
          <cell r="J231" t="str">
            <v>m3-km</v>
          </cell>
          <cell r="K231"/>
          <cell r="L231"/>
        </row>
        <row r="232">
          <cell r="A232"/>
          <cell r="B232" t="str">
            <v>Codigo</v>
          </cell>
          <cell r="C232" t="str">
            <v>Recurso</v>
          </cell>
          <cell r="D232"/>
          <cell r="E232"/>
          <cell r="F232" t="str">
            <v>UND</v>
          </cell>
          <cell r="G232" t="str">
            <v>Cuadrilla</v>
          </cell>
          <cell r="H232" t="str">
            <v>Cantidad</v>
          </cell>
          <cell r="I232" t="str">
            <v>C.U.</v>
          </cell>
          <cell r="J232" t="str">
            <v>C.Parcial</v>
          </cell>
          <cell r="K232" t="str">
            <v>SUBTOTAL</v>
          </cell>
          <cell r="L232"/>
        </row>
        <row r="233">
          <cell r="A233" t="str">
            <v>10017(C)</v>
          </cell>
          <cell r="B233" t="str">
            <v>Mano de Obra</v>
          </cell>
          <cell r="C233"/>
          <cell r="D233"/>
          <cell r="E233"/>
          <cell r="F233"/>
          <cell r="G233"/>
          <cell r="H233"/>
          <cell r="I233"/>
          <cell r="J233"/>
          <cell r="K233">
            <v>0.09</v>
          </cell>
          <cell r="L233" t="str">
            <v>(C)</v>
          </cell>
        </row>
        <row r="234">
          <cell r="A234"/>
          <cell r="B234" t="str">
            <v>TF00002</v>
          </cell>
          <cell r="C234" t="str">
            <v>Capataz</v>
          </cell>
          <cell r="D234"/>
          <cell r="E234"/>
          <cell r="F234" t="str">
            <v>hh</v>
          </cell>
          <cell r="G234">
            <v>0.35</v>
          </cell>
          <cell r="H234">
            <v>3.0999999999999999E-3</v>
          </cell>
          <cell r="I234">
            <v>9.68</v>
          </cell>
          <cell r="J234">
            <v>0.03</v>
          </cell>
          <cell r="K234"/>
          <cell r="L234"/>
        </row>
        <row r="235">
          <cell r="A235"/>
          <cell r="B235" t="str">
            <v>TF00014</v>
          </cell>
          <cell r="C235" t="str">
            <v>Vigía</v>
          </cell>
          <cell r="D235"/>
          <cell r="E235"/>
          <cell r="F235" t="str">
            <v>hh</v>
          </cell>
          <cell r="G235">
            <v>1</v>
          </cell>
          <cell r="H235">
            <v>8.6999999999999994E-3</v>
          </cell>
          <cell r="I235">
            <v>6.46</v>
          </cell>
          <cell r="J235">
            <v>0.06</v>
          </cell>
          <cell r="K235"/>
          <cell r="L235"/>
        </row>
        <row r="236">
          <cell r="A236"/>
          <cell r="B236"/>
          <cell r="C236"/>
          <cell r="D236"/>
          <cell r="E236"/>
          <cell r="F236"/>
          <cell r="G236"/>
          <cell r="H236"/>
          <cell r="I236"/>
          <cell r="J236">
            <v>0.09</v>
          </cell>
          <cell r="K236"/>
          <cell r="L236"/>
        </row>
        <row r="237">
          <cell r="A237" t="str">
            <v>10017(D)</v>
          </cell>
          <cell r="B237" t="str">
            <v>Herramientas y Equipos</v>
          </cell>
          <cell r="C237"/>
          <cell r="D237"/>
          <cell r="E237"/>
          <cell r="F237"/>
          <cell r="G237"/>
          <cell r="H237"/>
          <cell r="I237"/>
          <cell r="J237"/>
          <cell r="K237">
            <v>0.27</v>
          </cell>
          <cell r="L237" t="str">
            <v>(D)</v>
          </cell>
        </row>
        <row r="238">
          <cell r="A238"/>
          <cell r="B238" t="str">
            <v>TF00027</v>
          </cell>
          <cell r="C238" t="str">
            <v>Volquete de 17 m3</v>
          </cell>
          <cell r="D238"/>
          <cell r="E238"/>
          <cell r="F238" t="str">
            <v>hm</v>
          </cell>
          <cell r="G238">
            <v>1</v>
          </cell>
          <cell r="H238">
            <v>8.6999999999999994E-3</v>
          </cell>
          <cell r="I238">
            <v>31</v>
          </cell>
          <cell r="J238">
            <v>0.27</v>
          </cell>
          <cell r="K238"/>
          <cell r="L238"/>
        </row>
        <row r="239">
          <cell r="A239"/>
          <cell r="B239" t="str">
            <v>TF00060</v>
          </cell>
          <cell r="C239" t="str">
            <v>Herramientas (% Mano Obra)</v>
          </cell>
          <cell r="D239"/>
          <cell r="E239"/>
          <cell r="F239" t="str">
            <v>%</v>
          </cell>
          <cell r="G239"/>
          <cell r="H239">
            <v>0.05</v>
          </cell>
          <cell r="I239">
            <v>0.09</v>
          </cell>
          <cell r="J239">
            <v>0</v>
          </cell>
          <cell r="K239"/>
          <cell r="L239"/>
        </row>
        <row r="240">
          <cell r="A240"/>
          <cell r="B240"/>
          <cell r="C240"/>
          <cell r="D240"/>
          <cell r="E240"/>
          <cell r="F240"/>
          <cell r="G240"/>
          <cell r="H240"/>
          <cell r="I240"/>
          <cell r="J240">
            <v>0.27</v>
          </cell>
          <cell r="K240"/>
          <cell r="L240"/>
        </row>
        <row r="241">
          <cell r="A241"/>
          <cell r="B241"/>
          <cell r="C241"/>
          <cell r="D241"/>
          <cell r="E241"/>
          <cell r="F241"/>
          <cell r="G241"/>
          <cell r="H241"/>
          <cell r="I241"/>
          <cell r="J241"/>
          <cell r="K241"/>
          <cell r="L241"/>
        </row>
        <row r="242">
          <cell r="A242">
            <v>10018</v>
          </cell>
          <cell r="B242" t="str">
            <v>Partida</v>
          </cell>
          <cell r="C242">
            <v>2.08</v>
          </cell>
          <cell r="D242" t="str">
            <v>Corte en roca fija</v>
          </cell>
          <cell r="E242"/>
          <cell r="F242"/>
          <cell r="G242"/>
          <cell r="H242"/>
          <cell r="I242"/>
          <cell r="J242"/>
          <cell r="K242">
            <v>13.88</v>
          </cell>
          <cell r="L242"/>
        </row>
        <row r="243">
          <cell r="A243"/>
          <cell r="B243" t="str">
            <v>Rendimiento:</v>
          </cell>
          <cell r="C243">
            <v>21</v>
          </cell>
          <cell r="D243" t="str">
            <v>m3</v>
          </cell>
          <cell r="E243" t="str">
            <v>/hr</v>
          </cell>
          <cell r="F243"/>
          <cell r="G243"/>
          <cell r="H243" t="str">
            <v>C.U. Total:</v>
          </cell>
          <cell r="I243">
            <v>13.88</v>
          </cell>
          <cell r="J243" t="str">
            <v>m3</v>
          </cell>
          <cell r="K243"/>
          <cell r="L243"/>
        </row>
        <row r="244">
          <cell r="A244"/>
          <cell r="B244" t="str">
            <v>Codigo</v>
          </cell>
          <cell r="C244" t="str">
            <v>Recurso</v>
          </cell>
          <cell r="D244"/>
          <cell r="E244"/>
          <cell r="F244" t="str">
            <v>UND</v>
          </cell>
          <cell r="G244" t="str">
            <v>Cuadrilla</v>
          </cell>
          <cell r="H244" t="str">
            <v>Cantidad</v>
          </cell>
          <cell r="I244" t="str">
            <v>C.U.</v>
          </cell>
          <cell r="J244" t="str">
            <v>C.Parcial</v>
          </cell>
          <cell r="K244" t="str">
            <v>SUBTOTAL</v>
          </cell>
          <cell r="L244"/>
        </row>
        <row r="245">
          <cell r="A245" t="str">
            <v>10018(C)</v>
          </cell>
          <cell r="B245" t="str">
            <v>Mano de Obra</v>
          </cell>
          <cell r="C245"/>
          <cell r="D245"/>
          <cell r="E245"/>
          <cell r="F245"/>
          <cell r="G245"/>
          <cell r="H245"/>
          <cell r="I245"/>
          <cell r="J245"/>
          <cell r="K245">
            <v>1.75</v>
          </cell>
          <cell r="L245" t="str">
            <v>(C)</v>
          </cell>
        </row>
        <row r="246">
          <cell r="A246"/>
          <cell r="B246" t="str">
            <v>TF00002</v>
          </cell>
          <cell r="C246" t="str">
            <v>Capataz</v>
          </cell>
          <cell r="D246"/>
          <cell r="E246"/>
          <cell r="F246" t="str">
            <v>hh</v>
          </cell>
          <cell r="G246">
            <v>0.35</v>
          </cell>
          <cell r="H246">
            <v>1.67E-2</v>
          </cell>
          <cell r="I246">
            <v>9.68</v>
          </cell>
          <cell r="J246">
            <v>0.16</v>
          </cell>
          <cell r="K246"/>
          <cell r="L246"/>
        </row>
        <row r="247">
          <cell r="A247"/>
          <cell r="B247" t="str">
            <v>TF00011</v>
          </cell>
          <cell r="C247" t="str">
            <v>Oficial</v>
          </cell>
          <cell r="D247"/>
          <cell r="E247"/>
          <cell r="F247" t="str">
            <v>hh</v>
          </cell>
          <cell r="G247">
            <v>1</v>
          </cell>
          <cell r="H247">
            <v>4.7700000000000006E-2</v>
          </cell>
          <cell r="I247">
            <v>7.33</v>
          </cell>
          <cell r="J247">
            <v>0.35</v>
          </cell>
          <cell r="K247"/>
          <cell r="L247"/>
        </row>
        <row r="248">
          <cell r="A248"/>
          <cell r="B248" t="str">
            <v>TF00014</v>
          </cell>
          <cell r="C248" t="str">
            <v>Vigía</v>
          </cell>
          <cell r="D248"/>
          <cell r="E248"/>
          <cell r="F248" t="str">
            <v>hh</v>
          </cell>
          <cell r="G248">
            <v>2</v>
          </cell>
          <cell r="H248">
            <v>9.530000000000001E-2</v>
          </cell>
          <cell r="I248">
            <v>6.46</v>
          </cell>
          <cell r="J248">
            <v>0.62</v>
          </cell>
          <cell r="K248"/>
          <cell r="L248"/>
        </row>
        <row r="249">
          <cell r="A249"/>
          <cell r="B249" t="str">
            <v>TF00012</v>
          </cell>
          <cell r="C249" t="str">
            <v>Peón</v>
          </cell>
          <cell r="D249"/>
          <cell r="E249"/>
          <cell r="F249" t="str">
            <v>hh</v>
          </cell>
          <cell r="G249">
            <v>2</v>
          </cell>
          <cell r="H249">
            <v>9.530000000000001E-2</v>
          </cell>
          <cell r="I249">
            <v>6.46</v>
          </cell>
          <cell r="J249">
            <v>0.62</v>
          </cell>
          <cell r="K249"/>
          <cell r="L249"/>
        </row>
        <row r="250">
          <cell r="A250"/>
          <cell r="B250"/>
          <cell r="C250"/>
          <cell r="D250"/>
          <cell r="E250"/>
          <cell r="F250"/>
          <cell r="G250"/>
          <cell r="H250"/>
          <cell r="I250"/>
          <cell r="J250">
            <v>1.75</v>
          </cell>
          <cell r="K250"/>
          <cell r="L250"/>
        </row>
        <row r="251">
          <cell r="A251" t="str">
            <v>10018(D)</v>
          </cell>
          <cell r="B251" t="str">
            <v>Herramientas y Equipos</v>
          </cell>
          <cell r="C251"/>
          <cell r="D251"/>
          <cell r="E251"/>
          <cell r="F251"/>
          <cell r="G251"/>
          <cell r="H251"/>
          <cell r="I251"/>
          <cell r="J251"/>
          <cell r="K251">
            <v>12.13</v>
          </cell>
          <cell r="L251" t="str">
            <v>(D)</v>
          </cell>
        </row>
        <row r="252">
          <cell r="A252"/>
          <cell r="B252" t="str">
            <v>TF00023</v>
          </cell>
          <cell r="C252" t="str">
            <v>Excavadora EC 380D</v>
          </cell>
          <cell r="D252"/>
          <cell r="E252"/>
          <cell r="F252" t="str">
            <v>hm</v>
          </cell>
          <cell r="G252">
            <v>2</v>
          </cell>
          <cell r="H252">
            <v>9.530000000000001E-2</v>
          </cell>
          <cell r="I252">
            <v>69</v>
          </cell>
          <cell r="J252">
            <v>6.58</v>
          </cell>
          <cell r="K252"/>
          <cell r="L252"/>
        </row>
        <row r="253">
          <cell r="A253"/>
          <cell r="B253" t="str">
            <v>TF00037</v>
          </cell>
          <cell r="C253" t="str">
            <v>Martillo hidraulico</v>
          </cell>
          <cell r="D253"/>
          <cell r="E253"/>
          <cell r="F253" t="str">
            <v>hm</v>
          </cell>
          <cell r="G253">
            <v>2</v>
          </cell>
          <cell r="H253">
            <v>9.530000000000001E-2</v>
          </cell>
          <cell r="I253">
            <v>55</v>
          </cell>
          <cell r="J253">
            <v>5.24</v>
          </cell>
          <cell r="K253"/>
          <cell r="L253"/>
        </row>
        <row r="254">
          <cell r="A254"/>
          <cell r="B254" t="str">
            <v>TF00041</v>
          </cell>
          <cell r="C254" t="str">
            <v>Luminaria 4K</v>
          </cell>
          <cell r="D254"/>
          <cell r="E254"/>
          <cell r="F254" t="str">
            <v>hm</v>
          </cell>
          <cell r="G254">
            <v>2</v>
          </cell>
          <cell r="H254">
            <v>9.530000000000001E-2</v>
          </cell>
          <cell r="I254">
            <v>2.2799999999999998</v>
          </cell>
          <cell r="J254">
            <v>0.22</v>
          </cell>
          <cell r="K254"/>
          <cell r="L254"/>
        </row>
        <row r="255">
          <cell r="A255"/>
          <cell r="B255" t="str">
            <v>TF00060</v>
          </cell>
          <cell r="C255" t="str">
            <v>Herramientas (% Mano Obra)</v>
          </cell>
          <cell r="D255"/>
          <cell r="E255"/>
          <cell r="F255" t="str">
            <v>%</v>
          </cell>
          <cell r="G255"/>
          <cell r="H255">
            <v>0.05</v>
          </cell>
          <cell r="I255">
            <v>1.75</v>
          </cell>
          <cell r="J255">
            <v>0.09</v>
          </cell>
          <cell r="K255"/>
          <cell r="L255"/>
        </row>
        <row r="256">
          <cell r="A256"/>
          <cell r="B256"/>
          <cell r="C256"/>
          <cell r="D256"/>
          <cell r="E256"/>
          <cell r="F256"/>
          <cell r="G256"/>
          <cell r="H256"/>
          <cell r="I256"/>
          <cell r="J256">
            <v>12.13</v>
          </cell>
          <cell r="K256"/>
          <cell r="L256"/>
        </row>
        <row r="257">
          <cell r="A257"/>
          <cell r="B257"/>
          <cell r="C257"/>
          <cell r="D257"/>
          <cell r="E257"/>
          <cell r="F257"/>
          <cell r="G257"/>
          <cell r="H257"/>
          <cell r="I257"/>
          <cell r="J257"/>
          <cell r="K257"/>
          <cell r="L257"/>
        </row>
        <row r="258">
          <cell r="A258">
            <v>10019</v>
          </cell>
          <cell r="B258" t="str">
            <v>Partida</v>
          </cell>
          <cell r="C258">
            <v>2.09</v>
          </cell>
          <cell r="D258" t="str">
            <v>Eliminacion material roca  d&lt;1km</v>
          </cell>
          <cell r="E258"/>
          <cell r="F258"/>
          <cell r="G258"/>
          <cell r="H258"/>
          <cell r="I258"/>
          <cell r="J258"/>
          <cell r="K258">
            <v>1.66</v>
          </cell>
          <cell r="L258"/>
        </row>
        <row r="259">
          <cell r="A259"/>
          <cell r="B259" t="str">
            <v>Rendimiento:</v>
          </cell>
          <cell r="C259">
            <v>130</v>
          </cell>
          <cell r="D259" t="str">
            <v>m3-km</v>
          </cell>
          <cell r="E259" t="str">
            <v>/hr</v>
          </cell>
          <cell r="F259"/>
          <cell r="G259"/>
          <cell r="H259" t="str">
            <v>C.U. Total:</v>
          </cell>
          <cell r="I259">
            <v>1.66</v>
          </cell>
          <cell r="J259" t="str">
            <v>m3-km</v>
          </cell>
          <cell r="K259"/>
          <cell r="L259"/>
        </row>
        <row r="260">
          <cell r="A260"/>
          <cell r="B260" t="str">
            <v>Codigo</v>
          </cell>
          <cell r="C260" t="str">
            <v>Recurso</v>
          </cell>
          <cell r="D260"/>
          <cell r="E260"/>
          <cell r="F260" t="str">
            <v>UND</v>
          </cell>
          <cell r="G260" t="str">
            <v>Cuadrilla</v>
          </cell>
          <cell r="H260" t="str">
            <v>Cantidad</v>
          </cell>
          <cell r="I260" t="str">
            <v>C.U.</v>
          </cell>
          <cell r="J260" t="str">
            <v>C.Parcial</v>
          </cell>
          <cell r="K260" t="str">
            <v>SUBTOTAL</v>
          </cell>
          <cell r="L260"/>
        </row>
        <row r="261">
          <cell r="A261" t="str">
            <v>10019(C)</v>
          </cell>
          <cell r="B261" t="str">
            <v>Mano de Obra</v>
          </cell>
          <cell r="C261"/>
          <cell r="D261"/>
          <cell r="E261"/>
          <cell r="F261"/>
          <cell r="G261"/>
          <cell r="H261"/>
          <cell r="I261"/>
          <cell r="J261"/>
          <cell r="K261">
            <v>0.1</v>
          </cell>
          <cell r="L261" t="str">
            <v>(C)</v>
          </cell>
        </row>
        <row r="262">
          <cell r="A262"/>
          <cell r="B262" t="str">
            <v>TF00002</v>
          </cell>
          <cell r="C262" t="str">
            <v>Capataz</v>
          </cell>
          <cell r="D262"/>
          <cell r="E262"/>
          <cell r="F262" t="str">
            <v>hh</v>
          </cell>
          <cell r="G262">
            <v>0.35</v>
          </cell>
          <cell r="H262">
            <v>2.6999999999999997E-3</v>
          </cell>
          <cell r="I262">
            <v>9.68</v>
          </cell>
          <cell r="J262">
            <v>0.03</v>
          </cell>
          <cell r="K262"/>
          <cell r="L262"/>
        </row>
        <row r="263">
          <cell r="A263"/>
          <cell r="B263" t="str">
            <v>TF00013</v>
          </cell>
          <cell r="C263" t="str">
            <v>Cuadrador</v>
          </cell>
          <cell r="D263"/>
          <cell r="E263"/>
          <cell r="F263" t="str">
            <v>hh</v>
          </cell>
          <cell r="G263">
            <v>1</v>
          </cell>
          <cell r="H263">
            <v>7.7000000000000002E-3</v>
          </cell>
          <cell r="I263">
            <v>6.46</v>
          </cell>
          <cell r="J263">
            <v>0.05</v>
          </cell>
          <cell r="K263"/>
          <cell r="L263"/>
        </row>
        <row r="264">
          <cell r="A264"/>
          <cell r="B264" t="str">
            <v>TF00014</v>
          </cell>
          <cell r="C264" t="str">
            <v>Vigía</v>
          </cell>
          <cell r="D264"/>
          <cell r="E264"/>
          <cell r="F264" t="str">
            <v>hh</v>
          </cell>
          <cell r="G264">
            <v>0.4</v>
          </cell>
          <cell r="H264">
            <v>3.0999999999999999E-3</v>
          </cell>
          <cell r="I264">
            <v>6.46</v>
          </cell>
          <cell r="J264">
            <v>0.02</v>
          </cell>
          <cell r="K264"/>
          <cell r="L264"/>
        </row>
        <row r="265">
          <cell r="A265"/>
          <cell r="B265"/>
          <cell r="C265"/>
          <cell r="D265"/>
          <cell r="E265"/>
          <cell r="F265"/>
          <cell r="G265"/>
          <cell r="H265"/>
          <cell r="I265"/>
          <cell r="J265">
            <v>0.1</v>
          </cell>
          <cell r="K265"/>
          <cell r="L265"/>
        </row>
        <row r="266">
          <cell r="A266" t="str">
            <v>10019(D)</v>
          </cell>
          <cell r="B266" t="str">
            <v>Herramientas y Equipos</v>
          </cell>
          <cell r="C266"/>
          <cell r="D266"/>
          <cell r="E266"/>
          <cell r="F266"/>
          <cell r="G266"/>
          <cell r="H266"/>
          <cell r="I266"/>
          <cell r="J266"/>
          <cell r="K266">
            <v>1.5599999999999998</v>
          </cell>
          <cell r="L266" t="str">
            <v>(D)</v>
          </cell>
        </row>
        <row r="267">
          <cell r="A267"/>
          <cell r="B267" t="str">
            <v>TF00024</v>
          </cell>
          <cell r="C267" t="str">
            <v>Excavadora John Deere 290</v>
          </cell>
          <cell r="D267"/>
          <cell r="E267"/>
          <cell r="F267" t="str">
            <v>hm</v>
          </cell>
          <cell r="G267">
            <v>0.75</v>
          </cell>
          <cell r="H267">
            <v>5.8000000000000005E-3</v>
          </cell>
          <cell r="I267">
            <v>63</v>
          </cell>
          <cell r="J267">
            <v>0.37</v>
          </cell>
          <cell r="K267"/>
          <cell r="L267"/>
        </row>
        <row r="268">
          <cell r="A268"/>
          <cell r="B268" t="str">
            <v>TF00027</v>
          </cell>
          <cell r="C268" t="str">
            <v>Volquete de 17 m3</v>
          </cell>
          <cell r="D268"/>
          <cell r="E268"/>
          <cell r="F268" t="str">
            <v>hm</v>
          </cell>
          <cell r="G268">
            <v>4.8413468433752413</v>
          </cell>
          <cell r="H268">
            <v>3.73E-2</v>
          </cell>
          <cell r="I268">
            <v>31</v>
          </cell>
          <cell r="J268">
            <v>1.1599999999999999</v>
          </cell>
          <cell r="K268"/>
          <cell r="L268"/>
        </row>
        <row r="269">
          <cell r="A269"/>
          <cell r="B269" t="str">
            <v>TF00041</v>
          </cell>
          <cell r="C269" t="str">
            <v>Luminaria 4K</v>
          </cell>
          <cell r="D269"/>
          <cell r="E269"/>
          <cell r="F269" t="str">
            <v>hm</v>
          </cell>
          <cell r="G269">
            <v>1</v>
          </cell>
          <cell r="H269">
            <v>7.7000000000000002E-3</v>
          </cell>
          <cell r="I269">
            <v>2.2799999999999998</v>
          </cell>
          <cell r="J269">
            <v>0.02</v>
          </cell>
          <cell r="K269"/>
          <cell r="L269"/>
        </row>
        <row r="270">
          <cell r="A270"/>
          <cell r="B270" t="str">
            <v>TF00060</v>
          </cell>
          <cell r="C270" t="str">
            <v>Herramientas (% Mano Obra)</v>
          </cell>
          <cell r="D270"/>
          <cell r="E270"/>
          <cell r="F270" t="str">
            <v>%</v>
          </cell>
          <cell r="G270"/>
          <cell r="H270">
            <v>0.05</v>
          </cell>
          <cell r="I270">
            <v>0.1</v>
          </cell>
          <cell r="J270">
            <v>0.01</v>
          </cell>
          <cell r="K270"/>
          <cell r="L270"/>
        </row>
        <row r="271">
          <cell r="A271"/>
          <cell r="B271"/>
          <cell r="C271"/>
          <cell r="D271"/>
          <cell r="E271"/>
          <cell r="F271"/>
          <cell r="G271"/>
          <cell r="H271"/>
          <cell r="I271"/>
          <cell r="J271">
            <v>1.5599999999999998</v>
          </cell>
          <cell r="K271"/>
          <cell r="L271"/>
        </row>
        <row r="272">
          <cell r="A272"/>
          <cell r="B272"/>
          <cell r="C272"/>
          <cell r="D272"/>
          <cell r="E272"/>
          <cell r="F272"/>
          <cell r="G272"/>
          <cell r="H272"/>
          <cell r="I272"/>
          <cell r="J272"/>
          <cell r="K272"/>
          <cell r="L272"/>
        </row>
        <row r="273">
          <cell r="A273">
            <v>10020</v>
          </cell>
          <cell r="B273" t="str">
            <v>Partida</v>
          </cell>
          <cell r="C273">
            <v>2.1</v>
          </cell>
          <cell r="D273" t="str">
            <v>Eliminacion material roca  d&gt;1km</v>
          </cell>
          <cell r="E273"/>
          <cell r="F273"/>
          <cell r="G273"/>
          <cell r="H273"/>
          <cell r="I273"/>
          <cell r="J273"/>
          <cell r="K273">
            <v>0.47</v>
          </cell>
          <cell r="L273"/>
        </row>
        <row r="274">
          <cell r="A274"/>
          <cell r="B274" t="str">
            <v>Rendimiento:</v>
          </cell>
          <cell r="C274">
            <v>90</v>
          </cell>
          <cell r="D274" t="str">
            <v>m3-km</v>
          </cell>
          <cell r="E274" t="str">
            <v>/hr</v>
          </cell>
          <cell r="F274"/>
          <cell r="G274"/>
          <cell r="H274" t="str">
            <v>C.U. Total:</v>
          </cell>
          <cell r="I274">
            <v>0.47</v>
          </cell>
          <cell r="J274" t="str">
            <v>m3-km</v>
          </cell>
          <cell r="K274"/>
          <cell r="L274"/>
        </row>
        <row r="275">
          <cell r="A275"/>
          <cell r="B275" t="str">
            <v>Codigo</v>
          </cell>
          <cell r="C275" t="str">
            <v>Recurso</v>
          </cell>
          <cell r="D275"/>
          <cell r="E275"/>
          <cell r="F275" t="str">
            <v>UND</v>
          </cell>
          <cell r="G275" t="str">
            <v>Cuadrilla</v>
          </cell>
          <cell r="H275" t="str">
            <v>Cantidad</v>
          </cell>
          <cell r="I275" t="str">
            <v>C.U.</v>
          </cell>
          <cell r="J275" t="str">
            <v>C.Parcial</v>
          </cell>
          <cell r="K275" t="str">
            <v>SUBTOTAL</v>
          </cell>
          <cell r="L275"/>
        </row>
        <row r="276">
          <cell r="A276" t="str">
            <v>10020(C)</v>
          </cell>
          <cell r="B276" t="str">
            <v>Mano de Obra</v>
          </cell>
          <cell r="C276"/>
          <cell r="D276"/>
          <cell r="E276"/>
          <cell r="F276"/>
          <cell r="G276"/>
          <cell r="H276"/>
          <cell r="I276"/>
          <cell r="J276"/>
          <cell r="K276">
            <v>0.11000000000000001</v>
          </cell>
          <cell r="L276" t="str">
            <v>(C)</v>
          </cell>
        </row>
        <row r="277">
          <cell r="A277"/>
          <cell r="B277" t="str">
            <v>TF00002</v>
          </cell>
          <cell r="C277" t="str">
            <v>Capataz</v>
          </cell>
          <cell r="D277"/>
          <cell r="E277"/>
          <cell r="F277" t="str">
            <v>hh</v>
          </cell>
          <cell r="G277">
            <v>0.35</v>
          </cell>
          <cell r="H277">
            <v>3.8999999999999998E-3</v>
          </cell>
          <cell r="I277">
            <v>9.68</v>
          </cell>
          <cell r="J277">
            <v>0.04</v>
          </cell>
          <cell r="K277"/>
          <cell r="L277"/>
        </row>
        <row r="278">
          <cell r="A278"/>
          <cell r="B278" t="str">
            <v>TF00014</v>
          </cell>
          <cell r="C278" t="str">
            <v>Vigía</v>
          </cell>
          <cell r="D278"/>
          <cell r="E278"/>
          <cell r="F278" t="str">
            <v>hh</v>
          </cell>
          <cell r="G278">
            <v>1</v>
          </cell>
          <cell r="H278">
            <v>1.12E-2</v>
          </cell>
          <cell r="I278">
            <v>6.46</v>
          </cell>
          <cell r="J278">
            <v>7.0000000000000007E-2</v>
          </cell>
          <cell r="K278"/>
          <cell r="L278"/>
        </row>
        <row r="279">
          <cell r="A279"/>
          <cell r="B279"/>
          <cell r="C279"/>
          <cell r="D279"/>
          <cell r="E279"/>
          <cell r="F279"/>
          <cell r="G279"/>
          <cell r="H279"/>
          <cell r="I279"/>
          <cell r="J279">
            <v>0.11000000000000001</v>
          </cell>
          <cell r="K279"/>
          <cell r="L279"/>
        </row>
        <row r="280">
          <cell r="A280" t="str">
            <v>10020(D)</v>
          </cell>
          <cell r="B280" t="str">
            <v>Herramientas y Equipos</v>
          </cell>
          <cell r="C280"/>
          <cell r="D280"/>
          <cell r="E280"/>
          <cell r="F280"/>
          <cell r="G280"/>
          <cell r="H280"/>
          <cell r="I280"/>
          <cell r="J280"/>
          <cell r="K280">
            <v>0.36</v>
          </cell>
          <cell r="L280" t="str">
            <v>(D)</v>
          </cell>
        </row>
        <row r="281">
          <cell r="A281"/>
          <cell r="B281" t="str">
            <v>TF00027</v>
          </cell>
          <cell r="C281" t="str">
            <v>Volquete de 17 m3</v>
          </cell>
          <cell r="D281"/>
          <cell r="E281"/>
          <cell r="F281" t="str">
            <v>hm</v>
          </cell>
          <cell r="G281">
            <v>1</v>
          </cell>
          <cell r="H281">
            <v>1.12E-2</v>
          </cell>
          <cell r="I281">
            <v>31</v>
          </cell>
          <cell r="J281">
            <v>0.35</v>
          </cell>
          <cell r="K281"/>
          <cell r="L281"/>
        </row>
        <row r="282">
          <cell r="A282"/>
          <cell r="B282" t="str">
            <v>TF00060</v>
          </cell>
          <cell r="C282" t="str">
            <v>Herramientas (% Mano Obra)</v>
          </cell>
          <cell r="D282"/>
          <cell r="E282"/>
          <cell r="F282" t="str">
            <v>%</v>
          </cell>
          <cell r="G282"/>
          <cell r="H282">
            <v>0.05</v>
          </cell>
          <cell r="I282">
            <v>0.11000000000000001</v>
          </cell>
          <cell r="J282">
            <v>0.01</v>
          </cell>
          <cell r="K282"/>
          <cell r="L282"/>
        </row>
        <row r="283">
          <cell r="A283"/>
          <cell r="B283"/>
          <cell r="C283"/>
          <cell r="D283"/>
          <cell r="E283"/>
          <cell r="F283"/>
          <cell r="G283"/>
          <cell r="H283"/>
          <cell r="I283"/>
          <cell r="J283">
            <v>0.36</v>
          </cell>
          <cell r="K283"/>
          <cell r="L283"/>
        </row>
        <row r="284">
          <cell r="A284"/>
          <cell r="B284"/>
          <cell r="C284"/>
          <cell r="D284"/>
          <cell r="E284"/>
          <cell r="F284"/>
          <cell r="G284"/>
          <cell r="H284"/>
          <cell r="I284"/>
          <cell r="J284"/>
          <cell r="K284"/>
          <cell r="L284"/>
        </row>
        <row r="285">
          <cell r="A285">
            <v>10021</v>
          </cell>
          <cell r="B285" t="str">
            <v>Partida</v>
          </cell>
          <cell r="C285">
            <v>2.11</v>
          </cell>
          <cell r="D285" t="str">
            <v>Conformación de material en botadero</v>
          </cell>
          <cell r="E285"/>
          <cell r="F285"/>
          <cell r="G285"/>
          <cell r="H285"/>
          <cell r="I285"/>
          <cell r="J285"/>
          <cell r="K285">
            <v>0.72</v>
          </cell>
          <cell r="L285"/>
        </row>
        <row r="286">
          <cell r="A286"/>
          <cell r="B286" t="str">
            <v>Rendimiento:</v>
          </cell>
          <cell r="C286">
            <v>130</v>
          </cell>
          <cell r="D286" t="str">
            <v>m3</v>
          </cell>
          <cell r="E286" t="str">
            <v>/hr</v>
          </cell>
          <cell r="F286"/>
          <cell r="G286"/>
          <cell r="H286" t="str">
            <v>C.U. Total:</v>
          </cell>
          <cell r="I286">
            <v>0.72</v>
          </cell>
          <cell r="J286" t="str">
            <v>m3</v>
          </cell>
          <cell r="K286"/>
          <cell r="L286"/>
        </row>
        <row r="287">
          <cell r="A287"/>
          <cell r="B287" t="str">
            <v>Codigo</v>
          </cell>
          <cell r="C287" t="str">
            <v>Recurso</v>
          </cell>
          <cell r="D287"/>
          <cell r="E287"/>
          <cell r="F287" t="str">
            <v>UND</v>
          </cell>
          <cell r="G287" t="str">
            <v>Cuadrilla</v>
          </cell>
          <cell r="H287" t="str">
            <v>Cantidad</v>
          </cell>
          <cell r="I287" t="str">
            <v>C.U.</v>
          </cell>
          <cell r="J287" t="str">
            <v>C.Parcial</v>
          </cell>
          <cell r="K287" t="str">
            <v>SUBTOTAL</v>
          </cell>
          <cell r="L287"/>
        </row>
        <row r="288">
          <cell r="A288" t="str">
            <v>10021(C)</v>
          </cell>
          <cell r="B288" t="str">
            <v>Mano de Obra</v>
          </cell>
          <cell r="C288"/>
          <cell r="D288"/>
          <cell r="E288"/>
          <cell r="F288"/>
          <cell r="G288"/>
          <cell r="H288"/>
          <cell r="I288"/>
          <cell r="J288"/>
          <cell r="K288">
            <v>0.08</v>
          </cell>
          <cell r="L288" t="str">
            <v>(C)</v>
          </cell>
        </row>
        <row r="289">
          <cell r="A289"/>
          <cell r="B289" t="str">
            <v>TF00002</v>
          </cell>
          <cell r="C289" t="str">
            <v>Capataz</v>
          </cell>
          <cell r="D289"/>
          <cell r="E289"/>
          <cell r="F289" t="str">
            <v>hh</v>
          </cell>
          <cell r="G289">
            <v>0.35</v>
          </cell>
          <cell r="H289">
            <v>2.6999999999999997E-3</v>
          </cell>
          <cell r="I289">
            <v>9.68</v>
          </cell>
          <cell r="J289">
            <v>0.03</v>
          </cell>
          <cell r="K289"/>
          <cell r="L289"/>
        </row>
        <row r="290">
          <cell r="A290"/>
          <cell r="B290" t="str">
            <v>TF00014</v>
          </cell>
          <cell r="C290" t="str">
            <v>Vigía</v>
          </cell>
          <cell r="D290"/>
          <cell r="E290"/>
          <cell r="F290" t="str">
            <v>hh</v>
          </cell>
          <cell r="G290">
            <v>1</v>
          </cell>
          <cell r="H290">
            <v>7.7000000000000002E-3</v>
          </cell>
          <cell r="I290">
            <v>6.46</v>
          </cell>
          <cell r="J290">
            <v>0.05</v>
          </cell>
          <cell r="K290"/>
          <cell r="L290"/>
        </row>
        <row r="291">
          <cell r="A291"/>
          <cell r="B291"/>
          <cell r="C291"/>
          <cell r="D291"/>
          <cell r="E291"/>
          <cell r="F291"/>
          <cell r="G291"/>
          <cell r="H291"/>
          <cell r="I291"/>
          <cell r="J291">
            <v>0.08</v>
          </cell>
          <cell r="K291"/>
          <cell r="L291"/>
        </row>
        <row r="292">
          <cell r="A292" t="str">
            <v>10021(D)</v>
          </cell>
          <cell r="B292" t="str">
            <v>Herramientas y Equipos</v>
          </cell>
          <cell r="C292"/>
          <cell r="D292"/>
          <cell r="E292"/>
          <cell r="F292"/>
          <cell r="G292"/>
          <cell r="H292"/>
          <cell r="I292"/>
          <cell r="J292"/>
          <cell r="K292">
            <v>0.64</v>
          </cell>
          <cell r="L292" t="str">
            <v>(D)</v>
          </cell>
        </row>
        <row r="293">
          <cell r="A293"/>
          <cell r="B293" t="str">
            <v>TF00021</v>
          </cell>
          <cell r="C293" t="str">
            <v>Tractor sobre Orugas CAT D8T</v>
          </cell>
          <cell r="D293"/>
          <cell r="E293"/>
          <cell r="F293" t="str">
            <v>hm</v>
          </cell>
          <cell r="G293">
            <v>1</v>
          </cell>
          <cell r="H293">
            <v>7.7000000000000002E-3</v>
          </cell>
          <cell r="I293">
            <v>83</v>
          </cell>
          <cell r="J293">
            <v>0.64</v>
          </cell>
          <cell r="K293"/>
          <cell r="L293"/>
        </row>
        <row r="294">
          <cell r="A294"/>
          <cell r="B294" t="str">
            <v>TF00060</v>
          </cell>
          <cell r="C294" t="str">
            <v>Herramientas (% Mano Obra)</v>
          </cell>
          <cell r="D294"/>
          <cell r="E294"/>
          <cell r="F294" t="str">
            <v>%</v>
          </cell>
          <cell r="G294"/>
          <cell r="H294">
            <v>0.05</v>
          </cell>
          <cell r="I294">
            <v>0.08</v>
          </cell>
          <cell r="J294">
            <v>0</v>
          </cell>
          <cell r="K294"/>
          <cell r="L294"/>
        </row>
        <row r="295">
          <cell r="A295"/>
          <cell r="B295"/>
          <cell r="C295"/>
          <cell r="D295"/>
          <cell r="E295"/>
          <cell r="F295"/>
          <cell r="G295"/>
          <cell r="H295"/>
          <cell r="I295"/>
          <cell r="J295">
            <v>0.64</v>
          </cell>
          <cell r="K295"/>
          <cell r="L295"/>
        </row>
        <row r="296">
          <cell r="A296"/>
          <cell r="B296"/>
          <cell r="C296"/>
          <cell r="D296"/>
          <cell r="E296"/>
          <cell r="F296"/>
          <cell r="G296"/>
          <cell r="H296"/>
          <cell r="I296"/>
          <cell r="J296"/>
          <cell r="K296"/>
          <cell r="L296"/>
        </row>
        <row r="297">
          <cell r="A297">
            <v>10022</v>
          </cell>
          <cell r="B297" t="str">
            <v>Partida</v>
          </cell>
          <cell r="C297">
            <v>2.12</v>
          </cell>
          <cell r="D297" t="str">
            <v>Capa de rodadura (0.30m)</v>
          </cell>
          <cell r="E297"/>
          <cell r="F297"/>
          <cell r="G297"/>
          <cell r="H297"/>
          <cell r="I297"/>
          <cell r="J297"/>
          <cell r="K297">
            <v>3.32</v>
          </cell>
          <cell r="L297"/>
        </row>
        <row r="298">
          <cell r="A298"/>
          <cell r="B298" t="str">
            <v>Rendimiento:</v>
          </cell>
          <cell r="C298">
            <v>50</v>
          </cell>
          <cell r="D298" t="str">
            <v>m3</v>
          </cell>
          <cell r="E298" t="str">
            <v>/hr</v>
          </cell>
          <cell r="F298"/>
          <cell r="G298"/>
          <cell r="H298" t="str">
            <v>C.U. Total:</v>
          </cell>
          <cell r="I298">
            <v>3.32</v>
          </cell>
          <cell r="J298" t="str">
            <v>m3</v>
          </cell>
          <cell r="K298"/>
          <cell r="L298"/>
        </row>
        <row r="299">
          <cell r="A299"/>
          <cell r="B299" t="str">
            <v>Codigo</v>
          </cell>
          <cell r="C299" t="str">
            <v>Recurso</v>
          </cell>
          <cell r="D299"/>
          <cell r="E299"/>
          <cell r="F299" t="str">
            <v>UND</v>
          </cell>
          <cell r="G299" t="str">
            <v>Cuadrilla</v>
          </cell>
          <cell r="H299" t="str">
            <v>Cantidad</v>
          </cell>
          <cell r="I299" t="str">
            <v>C.U.</v>
          </cell>
          <cell r="J299" t="str">
            <v>C.Parcial</v>
          </cell>
          <cell r="K299" t="str">
            <v>SUBTOTAL</v>
          </cell>
          <cell r="L299"/>
        </row>
        <row r="300">
          <cell r="A300" t="str">
            <v>10022(C)</v>
          </cell>
          <cell r="B300" t="str">
            <v>Mano de Obra</v>
          </cell>
          <cell r="C300"/>
          <cell r="D300"/>
          <cell r="E300"/>
          <cell r="F300"/>
          <cell r="G300"/>
          <cell r="H300"/>
          <cell r="I300"/>
          <cell r="J300"/>
          <cell r="K300">
            <v>0.98000000000000009</v>
          </cell>
          <cell r="L300" t="str">
            <v>(C)</v>
          </cell>
        </row>
        <row r="301">
          <cell r="A301"/>
          <cell r="B301" t="str">
            <v>TF00002</v>
          </cell>
          <cell r="C301" t="str">
            <v>Capataz</v>
          </cell>
          <cell r="D301"/>
          <cell r="E301"/>
          <cell r="F301" t="str">
            <v>hh</v>
          </cell>
          <cell r="G301">
            <v>0.35</v>
          </cell>
          <cell r="H301">
            <v>7.0000000000000001E-3</v>
          </cell>
          <cell r="I301">
            <v>9.68</v>
          </cell>
          <cell r="J301">
            <v>7.0000000000000007E-2</v>
          </cell>
          <cell r="K301"/>
          <cell r="L301"/>
        </row>
        <row r="302">
          <cell r="A302"/>
          <cell r="B302" t="str">
            <v>TF00012</v>
          </cell>
          <cell r="C302" t="str">
            <v>Peón</v>
          </cell>
          <cell r="D302"/>
          <cell r="E302"/>
          <cell r="F302" t="str">
            <v>hh</v>
          </cell>
          <cell r="G302">
            <v>6</v>
          </cell>
          <cell r="H302">
            <v>0.12</v>
          </cell>
          <cell r="I302">
            <v>6.46</v>
          </cell>
          <cell r="J302">
            <v>0.78</v>
          </cell>
          <cell r="K302"/>
          <cell r="L302"/>
        </row>
        <row r="303">
          <cell r="A303"/>
          <cell r="B303" t="str">
            <v>TF00014</v>
          </cell>
          <cell r="C303" t="str">
            <v>Vigía</v>
          </cell>
          <cell r="D303"/>
          <cell r="E303"/>
          <cell r="F303" t="str">
            <v>hh</v>
          </cell>
          <cell r="G303">
            <v>1</v>
          </cell>
          <cell r="H303">
            <v>0.02</v>
          </cell>
          <cell r="I303">
            <v>6.46</v>
          </cell>
          <cell r="J303">
            <v>0.13</v>
          </cell>
          <cell r="K303"/>
          <cell r="L303"/>
        </row>
        <row r="304">
          <cell r="A304"/>
          <cell r="B304"/>
          <cell r="C304"/>
          <cell r="D304"/>
          <cell r="E304"/>
          <cell r="F304"/>
          <cell r="G304"/>
          <cell r="H304"/>
          <cell r="I304"/>
          <cell r="J304">
            <v>0.98000000000000009</v>
          </cell>
          <cell r="K304"/>
          <cell r="L304"/>
        </row>
        <row r="305">
          <cell r="A305" t="str">
            <v>10022(D)</v>
          </cell>
          <cell r="B305" t="str">
            <v>Herramientas y Equipos</v>
          </cell>
          <cell r="C305"/>
          <cell r="D305"/>
          <cell r="E305"/>
          <cell r="F305"/>
          <cell r="G305"/>
          <cell r="H305"/>
          <cell r="I305"/>
          <cell r="J305"/>
          <cell r="K305">
            <v>2.34</v>
          </cell>
          <cell r="L305" t="str">
            <v>(D)</v>
          </cell>
        </row>
        <row r="306">
          <cell r="A306"/>
          <cell r="B306" t="str">
            <v>TF00033</v>
          </cell>
          <cell r="C306" t="str">
            <v>Rodillo Liso Vibratorio Autopropulsado HAMM 20 Tn.</v>
          </cell>
          <cell r="D306"/>
          <cell r="E306"/>
          <cell r="F306" t="str">
            <v>hm</v>
          </cell>
          <cell r="G306">
            <v>0.7</v>
          </cell>
          <cell r="H306">
            <v>1.4E-2</v>
          </cell>
          <cell r="I306">
            <v>51</v>
          </cell>
          <cell r="J306">
            <v>0.71</v>
          </cell>
          <cell r="K306"/>
          <cell r="L306"/>
        </row>
        <row r="307">
          <cell r="A307"/>
          <cell r="B307" t="str">
            <v>TF00032</v>
          </cell>
          <cell r="C307" t="str">
            <v>Motoniveladora de 140 HP</v>
          </cell>
          <cell r="D307"/>
          <cell r="E307"/>
          <cell r="F307" t="str">
            <v>hm</v>
          </cell>
          <cell r="G307">
            <v>1</v>
          </cell>
          <cell r="H307">
            <v>0.02</v>
          </cell>
          <cell r="I307">
            <v>49</v>
          </cell>
          <cell r="J307">
            <v>0.98</v>
          </cell>
          <cell r="K307"/>
          <cell r="L307"/>
        </row>
        <row r="308">
          <cell r="A308"/>
          <cell r="B308" t="str">
            <v>TF00029</v>
          </cell>
          <cell r="C308" t="str">
            <v>Cisterna de agua 5,000 gln.</v>
          </cell>
          <cell r="D308"/>
          <cell r="E308"/>
          <cell r="F308" t="str">
            <v>hm</v>
          </cell>
          <cell r="G308">
            <v>1</v>
          </cell>
          <cell r="H308">
            <v>0.02</v>
          </cell>
          <cell r="I308">
            <v>30</v>
          </cell>
          <cell r="J308">
            <v>0.6</v>
          </cell>
          <cell r="K308"/>
          <cell r="L308"/>
        </row>
        <row r="309">
          <cell r="A309"/>
          <cell r="B309" t="str">
            <v>TF00060</v>
          </cell>
          <cell r="C309" t="str">
            <v>Herramientas (% Mano Obra)</v>
          </cell>
          <cell r="D309"/>
          <cell r="E309"/>
          <cell r="F309" t="str">
            <v>%</v>
          </cell>
          <cell r="G309"/>
          <cell r="H309">
            <v>0.05</v>
          </cell>
          <cell r="I309">
            <v>0.98000000000000009</v>
          </cell>
          <cell r="J309">
            <v>0.05</v>
          </cell>
          <cell r="K309"/>
          <cell r="L309"/>
        </row>
        <row r="310">
          <cell r="A310"/>
          <cell r="B310"/>
          <cell r="C310"/>
          <cell r="D310"/>
          <cell r="E310"/>
          <cell r="F310"/>
          <cell r="G310"/>
          <cell r="H310"/>
          <cell r="I310"/>
          <cell r="J310">
            <v>2.34</v>
          </cell>
          <cell r="K310"/>
          <cell r="L310"/>
        </row>
        <row r="311">
          <cell r="A311"/>
          <cell r="B311"/>
          <cell r="C311"/>
          <cell r="D311"/>
          <cell r="E311"/>
          <cell r="F311"/>
          <cell r="G311"/>
          <cell r="H311"/>
          <cell r="I311"/>
          <cell r="J311"/>
          <cell r="K311"/>
          <cell r="L311"/>
        </row>
        <row r="312">
          <cell r="A312">
            <v>10023</v>
          </cell>
          <cell r="B312" t="str">
            <v>Partida</v>
          </cell>
          <cell r="C312">
            <v>2.13</v>
          </cell>
          <cell r="D312" t="str">
            <v>Transporte material de rodadura d&lt;1km</v>
          </cell>
          <cell r="E312"/>
          <cell r="F312"/>
          <cell r="G312"/>
          <cell r="H312"/>
          <cell r="I312"/>
          <cell r="J312"/>
          <cell r="K312">
            <v>1.56</v>
          </cell>
          <cell r="L312"/>
        </row>
        <row r="313">
          <cell r="A313"/>
          <cell r="B313" t="str">
            <v>Rendimiento:</v>
          </cell>
          <cell r="C313">
            <v>137</v>
          </cell>
          <cell r="D313" t="str">
            <v>m3-km</v>
          </cell>
          <cell r="E313" t="str">
            <v>/hr</v>
          </cell>
          <cell r="F313"/>
          <cell r="G313"/>
          <cell r="H313" t="str">
            <v>C.U. Total:</v>
          </cell>
          <cell r="I313">
            <v>1.56</v>
          </cell>
          <cell r="J313" t="str">
            <v>m3-km</v>
          </cell>
          <cell r="K313"/>
          <cell r="L313"/>
        </row>
        <row r="314">
          <cell r="A314"/>
          <cell r="B314" t="str">
            <v>Codigo</v>
          </cell>
          <cell r="C314" t="str">
            <v>Recurso</v>
          </cell>
          <cell r="D314"/>
          <cell r="E314"/>
          <cell r="F314" t="str">
            <v>UND</v>
          </cell>
          <cell r="G314" t="str">
            <v>Cuadrilla</v>
          </cell>
          <cell r="H314" t="str">
            <v>Cantidad</v>
          </cell>
          <cell r="I314" t="str">
            <v>C.U.</v>
          </cell>
          <cell r="J314" t="str">
            <v>C.Parcial</v>
          </cell>
          <cell r="K314" t="str">
            <v>SUBTOTAL</v>
          </cell>
          <cell r="L314"/>
        </row>
        <row r="315">
          <cell r="A315" t="str">
            <v>10023(C)</v>
          </cell>
          <cell r="B315" t="str">
            <v>Mano de Obra</v>
          </cell>
          <cell r="C315"/>
          <cell r="D315"/>
          <cell r="E315"/>
          <cell r="F315"/>
          <cell r="G315"/>
          <cell r="H315"/>
          <cell r="I315"/>
          <cell r="J315"/>
          <cell r="K315">
            <v>0.05</v>
          </cell>
          <cell r="L315" t="str">
            <v>(C)</v>
          </cell>
        </row>
        <row r="316">
          <cell r="A316"/>
          <cell r="B316" t="str">
            <v>TF00002</v>
          </cell>
          <cell r="C316" t="str">
            <v>Capataz</v>
          </cell>
          <cell r="D316"/>
          <cell r="E316"/>
          <cell r="F316" t="str">
            <v>hh</v>
          </cell>
          <cell r="G316">
            <v>0.35</v>
          </cell>
          <cell r="H316">
            <v>2.5999999999999999E-3</v>
          </cell>
          <cell r="I316">
            <v>9.68</v>
          </cell>
          <cell r="J316">
            <v>0.03</v>
          </cell>
          <cell r="K316"/>
          <cell r="L316"/>
        </row>
        <row r="317">
          <cell r="A317"/>
          <cell r="B317" t="str">
            <v>TF00014</v>
          </cell>
          <cell r="C317" t="str">
            <v>Vigía</v>
          </cell>
          <cell r="D317"/>
          <cell r="E317"/>
          <cell r="F317" t="str">
            <v>hh</v>
          </cell>
          <cell r="G317">
            <v>0.33333333333333331</v>
          </cell>
          <cell r="H317">
            <v>2.4999999999999996E-3</v>
          </cell>
          <cell r="I317">
            <v>6.46</v>
          </cell>
          <cell r="J317">
            <v>0.02</v>
          </cell>
          <cell r="K317"/>
          <cell r="L317"/>
        </row>
        <row r="318">
          <cell r="A318"/>
          <cell r="B318"/>
          <cell r="C318"/>
          <cell r="D318"/>
          <cell r="E318"/>
          <cell r="F318"/>
          <cell r="G318"/>
          <cell r="H318"/>
          <cell r="I318"/>
          <cell r="J318">
            <v>0.05</v>
          </cell>
          <cell r="K318"/>
          <cell r="L318"/>
        </row>
        <row r="319">
          <cell r="A319" t="str">
            <v>10023(D)</v>
          </cell>
          <cell r="B319" t="str">
            <v>Herramientas y Equipos</v>
          </cell>
          <cell r="C319"/>
          <cell r="D319"/>
          <cell r="E319"/>
          <cell r="F319"/>
          <cell r="G319"/>
          <cell r="H319"/>
          <cell r="I319"/>
          <cell r="J319"/>
          <cell r="K319">
            <v>1.51</v>
          </cell>
          <cell r="L319" t="str">
            <v>(D)</v>
          </cell>
        </row>
        <row r="320">
          <cell r="A320"/>
          <cell r="B320" t="str">
            <v>TF00024</v>
          </cell>
          <cell r="C320" t="str">
            <v>Excavadora John Deere 290</v>
          </cell>
          <cell r="D320"/>
          <cell r="E320"/>
          <cell r="F320" t="str">
            <v>hm</v>
          </cell>
          <cell r="G320">
            <v>1</v>
          </cell>
          <cell r="H320">
            <v>7.3000000000000001E-3</v>
          </cell>
          <cell r="I320">
            <v>63</v>
          </cell>
          <cell r="J320">
            <v>0.46</v>
          </cell>
          <cell r="K320"/>
          <cell r="L320"/>
        </row>
        <row r="321">
          <cell r="A321"/>
          <cell r="B321" t="str">
            <v>TF00027</v>
          </cell>
          <cell r="C321" t="str">
            <v>Volquete de 17 m3</v>
          </cell>
          <cell r="D321"/>
          <cell r="E321"/>
          <cell r="F321" t="str">
            <v>hm</v>
          </cell>
          <cell r="G321">
            <v>4.5805669426359081</v>
          </cell>
          <cell r="H321">
            <v>3.3500000000000002E-2</v>
          </cell>
          <cell r="I321">
            <v>31</v>
          </cell>
          <cell r="J321">
            <v>1.04</v>
          </cell>
          <cell r="K321"/>
          <cell r="L321"/>
        </row>
        <row r="322">
          <cell r="A322"/>
          <cell r="B322" t="str">
            <v>TF00041</v>
          </cell>
          <cell r="C322" t="str">
            <v>Luminaria 4K</v>
          </cell>
          <cell r="D322"/>
          <cell r="E322"/>
          <cell r="F322" t="str">
            <v>hm</v>
          </cell>
          <cell r="G322">
            <v>0.5</v>
          </cell>
          <cell r="H322">
            <v>3.6999999999999997E-3</v>
          </cell>
          <cell r="I322">
            <v>2.2799999999999998</v>
          </cell>
          <cell r="J322">
            <v>0.01</v>
          </cell>
          <cell r="K322"/>
          <cell r="L322"/>
        </row>
        <row r="323">
          <cell r="A323"/>
          <cell r="B323" t="str">
            <v>TF00060</v>
          </cell>
          <cell r="C323" t="str">
            <v>Herramientas (% Mano Obra)</v>
          </cell>
          <cell r="D323"/>
          <cell r="E323"/>
          <cell r="F323" t="str">
            <v>%</v>
          </cell>
          <cell r="G323"/>
          <cell r="H323">
            <v>0.05</v>
          </cell>
          <cell r="I323">
            <v>0.05</v>
          </cell>
          <cell r="J323">
            <v>0</v>
          </cell>
          <cell r="K323"/>
          <cell r="L323"/>
        </row>
        <row r="324">
          <cell r="A324"/>
          <cell r="B324"/>
          <cell r="C324"/>
          <cell r="D324"/>
          <cell r="E324"/>
          <cell r="F324"/>
          <cell r="G324"/>
          <cell r="H324"/>
          <cell r="I324"/>
          <cell r="J324">
            <v>1.51</v>
          </cell>
          <cell r="K324"/>
          <cell r="L324"/>
        </row>
        <row r="325">
          <cell r="A325"/>
          <cell r="B325"/>
          <cell r="C325"/>
          <cell r="D325"/>
          <cell r="E325"/>
          <cell r="F325"/>
          <cell r="G325"/>
          <cell r="H325"/>
          <cell r="I325"/>
          <cell r="J325"/>
          <cell r="K325"/>
          <cell r="L325"/>
        </row>
        <row r="326">
          <cell r="A326">
            <v>10024</v>
          </cell>
          <cell r="B326" t="str">
            <v>Partida</v>
          </cell>
          <cell r="C326">
            <v>2.14</v>
          </cell>
          <cell r="D326" t="str">
            <v>Transporte material de rodadura d&gt;1km</v>
          </cell>
          <cell r="E326"/>
          <cell r="F326"/>
          <cell r="G326"/>
          <cell r="H326"/>
          <cell r="I326"/>
          <cell r="J326"/>
          <cell r="K326">
            <v>0.35</v>
          </cell>
          <cell r="L326"/>
        </row>
        <row r="327">
          <cell r="A327"/>
          <cell r="B327" t="str">
            <v>Rendimiento:</v>
          </cell>
          <cell r="C327">
            <v>104</v>
          </cell>
          <cell r="D327" t="str">
            <v>m3-km</v>
          </cell>
          <cell r="E327" t="str">
            <v>/hr</v>
          </cell>
          <cell r="F327"/>
          <cell r="G327"/>
          <cell r="H327" t="str">
            <v>C.U. Total:</v>
          </cell>
          <cell r="I327">
            <v>0.35</v>
          </cell>
          <cell r="J327" t="str">
            <v>m3-km</v>
          </cell>
          <cell r="K327"/>
          <cell r="L327"/>
        </row>
        <row r="328">
          <cell r="A328"/>
          <cell r="B328" t="str">
            <v>Codigo</v>
          </cell>
          <cell r="C328" t="str">
            <v>Recurso</v>
          </cell>
          <cell r="D328"/>
          <cell r="E328"/>
          <cell r="F328" t="str">
            <v>UND</v>
          </cell>
          <cell r="G328" t="str">
            <v>Cuadrilla</v>
          </cell>
          <cell r="H328" t="str">
            <v>Cantidad</v>
          </cell>
          <cell r="I328" t="str">
            <v>C.U.</v>
          </cell>
          <cell r="J328" t="str">
            <v>C.Parcial</v>
          </cell>
          <cell r="K328" t="str">
            <v>SUBTOTAL</v>
          </cell>
          <cell r="L328"/>
        </row>
        <row r="329">
          <cell r="A329" t="str">
            <v>10024(C)</v>
          </cell>
          <cell r="B329" t="str">
            <v>Mano de Obra</v>
          </cell>
          <cell r="C329"/>
          <cell r="D329"/>
          <cell r="E329"/>
          <cell r="F329"/>
          <cell r="G329"/>
          <cell r="H329"/>
          <cell r="I329"/>
          <cell r="J329"/>
          <cell r="K329">
            <v>0.05</v>
          </cell>
          <cell r="L329" t="str">
            <v>(C)</v>
          </cell>
        </row>
        <row r="330">
          <cell r="A330"/>
          <cell r="B330" t="str">
            <v>TF00002</v>
          </cell>
          <cell r="C330" t="str">
            <v>Capataz</v>
          </cell>
          <cell r="D330"/>
          <cell r="E330"/>
          <cell r="F330" t="str">
            <v>hh</v>
          </cell>
          <cell r="G330">
            <v>0.35</v>
          </cell>
          <cell r="H330">
            <v>3.3999999999999998E-3</v>
          </cell>
          <cell r="I330">
            <v>9.68</v>
          </cell>
          <cell r="J330">
            <v>0.03</v>
          </cell>
          <cell r="K330"/>
          <cell r="L330"/>
        </row>
        <row r="331">
          <cell r="A331"/>
          <cell r="B331" t="str">
            <v>TF00014</v>
          </cell>
          <cell r="C331" t="str">
            <v>Vigía</v>
          </cell>
          <cell r="D331"/>
          <cell r="E331"/>
          <cell r="F331" t="str">
            <v>hh</v>
          </cell>
          <cell r="G331">
            <v>0.33333333333333331</v>
          </cell>
          <cell r="H331">
            <v>3.3E-3</v>
          </cell>
          <cell r="I331">
            <v>6.46</v>
          </cell>
          <cell r="J331">
            <v>0.02</v>
          </cell>
          <cell r="K331"/>
          <cell r="L331"/>
        </row>
        <row r="332">
          <cell r="A332"/>
          <cell r="B332"/>
          <cell r="C332"/>
          <cell r="D332"/>
          <cell r="E332"/>
          <cell r="F332"/>
          <cell r="G332"/>
          <cell r="H332"/>
          <cell r="I332"/>
          <cell r="J332">
            <v>0.05</v>
          </cell>
          <cell r="K332"/>
          <cell r="L332"/>
        </row>
        <row r="333">
          <cell r="A333" t="str">
            <v>10024(D)</v>
          </cell>
          <cell r="B333" t="str">
            <v>Herramientas y Equipos</v>
          </cell>
          <cell r="C333"/>
          <cell r="D333"/>
          <cell r="E333"/>
          <cell r="F333"/>
          <cell r="G333"/>
          <cell r="H333"/>
          <cell r="I333"/>
          <cell r="J333"/>
          <cell r="K333">
            <v>0.3</v>
          </cell>
          <cell r="L333" t="str">
            <v>(D)</v>
          </cell>
        </row>
        <row r="334">
          <cell r="A334"/>
          <cell r="B334" t="str">
            <v>TF00027</v>
          </cell>
          <cell r="C334" t="str">
            <v>Volquete de 17 m3</v>
          </cell>
          <cell r="D334"/>
          <cell r="E334"/>
          <cell r="F334" t="str">
            <v>hm</v>
          </cell>
          <cell r="G334">
            <v>1</v>
          </cell>
          <cell r="H334">
            <v>9.6999999999999986E-3</v>
          </cell>
          <cell r="I334">
            <v>31</v>
          </cell>
          <cell r="J334">
            <v>0.3</v>
          </cell>
          <cell r="K334"/>
          <cell r="L334"/>
        </row>
        <row r="335">
          <cell r="A335"/>
          <cell r="B335" t="str">
            <v>TF00060</v>
          </cell>
          <cell r="C335" t="str">
            <v>Herramientas (% Mano Obra)</v>
          </cell>
          <cell r="D335"/>
          <cell r="E335"/>
          <cell r="F335" t="str">
            <v>%</v>
          </cell>
          <cell r="G335"/>
          <cell r="H335">
            <v>0.05</v>
          </cell>
          <cell r="I335">
            <v>0.05</v>
          </cell>
          <cell r="J335">
            <v>0</v>
          </cell>
          <cell r="K335"/>
          <cell r="L335"/>
        </row>
        <row r="336">
          <cell r="A336"/>
          <cell r="B336"/>
          <cell r="C336"/>
          <cell r="D336"/>
          <cell r="E336"/>
          <cell r="F336"/>
          <cell r="G336"/>
          <cell r="H336"/>
          <cell r="I336"/>
          <cell r="J336">
            <v>0.3</v>
          </cell>
          <cell r="K336"/>
          <cell r="L336"/>
        </row>
        <row r="337">
          <cell r="A337"/>
          <cell r="B337"/>
          <cell r="C337"/>
          <cell r="D337"/>
          <cell r="E337"/>
          <cell r="F337"/>
          <cell r="G337"/>
          <cell r="H337"/>
          <cell r="I337"/>
          <cell r="J337"/>
          <cell r="K337"/>
          <cell r="L337"/>
        </row>
        <row r="338">
          <cell r="A338">
            <v>10025</v>
          </cell>
          <cell r="B338" t="str">
            <v>Partida</v>
          </cell>
          <cell r="C338">
            <v>2.15</v>
          </cell>
          <cell r="D338" t="str">
            <v>Conformación de bermas de Seguridad (H=1m)</v>
          </cell>
          <cell r="E338"/>
          <cell r="F338"/>
          <cell r="G338"/>
          <cell r="H338"/>
          <cell r="I338"/>
          <cell r="J338"/>
          <cell r="K338">
            <v>2.0699999999999998</v>
          </cell>
          <cell r="L338"/>
        </row>
        <row r="339">
          <cell r="A339"/>
          <cell r="B339" t="str">
            <v>Rendimiento:</v>
          </cell>
          <cell r="C339">
            <v>39</v>
          </cell>
          <cell r="D339" t="str">
            <v>m</v>
          </cell>
          <cell r="E339" t="str">
            <v>/hr</v>
          </cell>
          <cell r="F339"/>
          <cell r="G339"/>
          <cell r="H339" t="str">
            <v>C.U. Total:</v>
          </cell>
          <cell r="I339">
            <v>2.0700000000000003</v>
          </cell>
          <cell r="J339" t="str">
            <v>m</v>
          </cell>
          <cell r="K339"/>
          <cell r="L339"/>
        </row>
        <row r="340">
          <cell r="A340"/>
          <cell r="B340" t="str">
            <v>Codigo</v>
          </cell>
          <cell r="C340" t="str">
            <v>Recurso</v>
          </cell>
          <cell r="D340"/>
          <cell r="E340"/>
          <cell r="F340" t="str">
            <v>UND</v>
          </cell>
          <cell r="G340" t="str">
            <v>Cuadrilla</v>
          </cell>
          <cell r="H340" t="str">
            <v>Cantidad</v>
          </cell>
          <cell r="I340" t="str">
            <v>C.U.</v>
          </cell>
          <cell r="J340" t="str">
            <v>C.Parcial</v>
          </cell>
          <cell r="K340" t="str">
            <v>SUBTOTAL</v>
          </cell>
          <cell r="L340"/>
        </row>
        <row r="341">
          <cell r="A341" t="str">
            <v>10025(C)</v>
          </cell>
          <cell r="B341" t="str">
            <v>Mano de Obra</v>
          </cell>
          <cell r="C341"/>
          <cell r="D341"/>
          <cell r="E341"/>
          <cell r="F341"/>
          <cell r="G341"/>
          <cell r="H341"/>
          <cell r="I341"/>
          <cell r="J341"/>
          <cell r="K341">
            <v>0.4</v>
          </cell>
          <cell r="L341" t="str">
            <v>(C)</v>
          </cell>
        </row>
        <row r="342">
          <cell r="A342"/>
          <cell r="B342" t="str">
            <v>TF00002</v>
          </cell>
          <cell r="C342" t="str">
            <v>Capataz</v>
          </cell>
          <cell r="D342"/>
          <cell r="E342"/>
          <cell r="F342" t="str">
            <v>hh</v>
          </cell>
          <cell r="G342">
            <v>0.28000000000000003</v>
          </cell>
          <cell r="H342">
            <v>7.2000000000000007E-3</v>
          </cell>
          <cell r="I342">
            <v>9.68</v>
          </cell>
          <cell r="J342">
            <v>7.0000000000000007E-2</v>
          </cell>
          <cell r="K342"/>
          <cell r="L342"/>
        </row>
        <row r="343">
          <cell r="A343"/>
          <cell r="B343" t="str">
            <v>TF00014</v>
          </cell>
          <cell r="C343" t="str">
            <v>Vigía</v>
          </cell>
          <cell r="D343"/>
          <cell r="E343"/>
          <cell r="F343" t="str">
            <v>hh</v>
          </cell>
          <cell r="G343">
            <v>2</v>
          </cell>
          <cell r="H343">
            <v>5.1300000000000005E-2</v>
          </cell>
          <cell r="I343">
            <v>6.46</v>
          </cell>
          <cell r="J343">
            <v>0.33</v>
          </cell>
          <cell r="K343"/>
          <cell r="L343"/>
        </row>
        <row r="344">
          <cell r="A344"/>
          <cell r="B344"/>
          <cell r="C344"/>
          <cell r="D344"/>
          <cell r="E344"/>
          <cell r="F344"/>
          <cell r="G344"/>
          <cell r="H344"/>
          <cell r="I344"/>
          <cell r="J344">
            <v>0.4</v>
          </cell>
          <cell r="K344"/>
          <cell r="L344"/>
        </row>
        <row r="345">
          <cell r="A345" t="str">
            <v>10025(D)</v>
          </cell>
          <cell r="B345" t="str">
            <v>Herramientas y Equipos</v>
          </cell>
          <cell r="C345"/>
          <cell r="D345"/>
          <cell r="E345"/>
          <cell r="F345"/>
          <cell r="G345"/>
          <cell r="H345"/>
          <cell r="I345"/>
          <cell r="J345"/>
          <cell r="K345">
            <v>1.6700000000000002</v>
          </cell>
          <cell r="L345" t="str">
            <v>(D)</v>
          </cell>
        </row>
        <row r="346">
          <cell r="A346"/>
          <cell r="B346" t="str">
            <v>TF00024</v>
          </cell>
          <cell r="C346" t="str">
            <v>Excavadora John Deere 290</v>
          </cell>
          <cell r="D346"/>
          <cell r="E346"/>
          <cell r="F346" t="str">
            <v>hm</v>
          </cell>
          <cell r="G346">
            <v>1</v>
          </cell>
          <cell r="H346">
            <v>2.5700000000000001E-2</v>
          </cell>
          <cell r="I346">
            <v>63</v>
          </cell>
          <cell r="J346">
            <v>1.62</v>
          </cell>
          <cell r="K346"/>
          <cell r="L346"/>
        </row>
        <row r="347">
          <cell r="A347"/>
          <cell r="B347" t="str">
            <v>TF00041</v>
          </cell>
          <cell r="C347" t="str">
            <v>Luminaria 4K</v>
          </cell>
          <cell r="D347"/>
          <cell r="E347"/>
          <cell r="F347" t="str">
            <v>hm</v>
          </cell>
          <cell r="G347">
            <v>0.5</v>
          </cell>
          <cell r="H347">
            <v>1.29E-2</v>
          </cell>
          <cell r="I347">
            <v>2.2799999999999998</v>
          </cell>
          <cell r="J347">
            <v>0.03</v>
          </cell>
          <cell r="K347"/>
          <cell r="L347"/>
        </row>
        <row r="348">
          <cell r="A348"/>
          <cell r="B348" t="str">
            <v>TF00060</v>
          </cell>
          <cell r="C348" t="str">
            <v>Herramientas (% Mano Obra)</v>
          </cell>
          <cell r="D348"/>
          <cell r="E348"/>
          <cell r="F348" t="str">
            <v>%</v>
          </cell>
          <cell r="G348"/>
          <cell r="H348">
            <v>0.05</v>
          </cell>
          <cell r="I348">
            <v>0.4</v>
          </cell>
          <cell r="J348">
            <v>0.02</v>
          </cell>
          <cell r="K348"/>
          <cell r="L348"/>
        </row>
        <row r="349">
          <cell r="A349"/>
          <cell r="B349"/>
          <cell r="C349"/>
          <cell r="D349"/>
          <cell r="E349"/>
          <cell r="F349"/>
          <cell r="G349"/>
          <cell r="H349"/>
          <cell r="I349"/>
          <cell r="J349">
            <v>1.6700000000000002</v>
          </cell>
          <cell r="K349"/>
          <cell r="L349"/>
        </row>
        <row r="350">
          <cell r="A350"/>
          <cell r="B350"/>
          <cell r="C350"/>
          <cell r="D350"/>
          <cell r="E350"/>
          <cell r="F350"/>
          <cell r="G350"/>
          <cell r="H350"/>
          <cell r="I350"/>
          <cell r="J350"/>
          <cell r="K350"/>
          <cell r="L350"/>
        </row>
        <row r="351">
          <cell r="A351">
            <v>10026</v>
          </cell>
          <cell r="B351" t="str">
            <v>Partida</v>
          </cell>
          <cell r="C351">
            <v>2.16</v>
          </cell>
          <cell r="D351" t="str">
            <v>Material 3B</v>
          </cell>
          <cell r="E351"/>
          <cell r="F351"/>
          <cell r="G351"/>
          <cell r="H351"/>
          <cell r="I351"/>
          <cell r="J351"/>
          <cell r="K351">
            <v>2.54</v>
          </cell>
          <cell r="L351"/>
        </row>
        <row r="352">
          <cell r="A352"/>
          <cell r="B352" t="str">
            <v>Rendimiento:</v>
          </cell>
          <cell r="C352">
            <v>55</v>
          </cell>
          <cell r="D352" t="str">
            <v>m3</v>
          </cell>
          <cell r="E352" t="str">
            <v>/hr</v>
          </cell>
          <cell r="F352"/>
          <cell r="G352"/>
          <cell r="H352" t="str">
            <v>C.U. Total:</v>
          </cell>
          <cell r="I352">
            <v>2.54</v>
          </cell>
          <cell r="J352" t="str">
            <v>m3</v>
          </cell>
          <cell r="K352"/>
          <cell r="L352"/>
        </row>
        <row r="353">
          <cell r="A353"/>
          <cell r="B353" t="str">
            <v>Codigo</v>
          </cell>
          <cell r="C353" t="str">
            <v>Recurso</v>
          </cell>
          <cell r="D353"/>
          <cell r="E353"/>
          <cell r="F353" t="str">
            <v>UND</v>
          </cell>
          <cell r="G353" t="str">
            <v>Cuadrilla</v>
          </cell>
          <cell r="H353" t="str">
            <v>Cantidad</v>
          </cell>
          <cell r="I353" t="str">
            <v>C.U.</v>
          </cell>
          <cell r="J353" t="str">
            <v>C.Parcial</v>
          </cell>
          <cell r="K353" t="str">
            <v>SUBTOTAL</v>
          </cell>
          <cell r="L353"/>
        </row>
        <row r="354">
          <cell r="A354" t="str">
            <v>10026(B)</v>
          </cell>
          <cell r="B354" t="str">
            <v>Mano de Obra</v>
          </cell>
          <cell r="C354"/>
          <cell r="D354"/>
          <cell r="E354"/>
          <cell r="F354"/>
          <cell r="G354"/>
          <cell r="H354"/>
          <cell r="I354"/>
          <cell r="J354"/>
          <cell r="K354">
            <v>0.04</v>
          </cell>
          <cell r="L354" t="str">
            <v>(B)</v>
          </cell>
        </row>
        <row r="355">
          <cell r="A355"/>
          <cell r="B355" t="str">
            <v>TF00051</v>
          </cell>
          <cell r="C355" t="str">
            <v>Materiales varios</v>
          </cell>
          <cell r="D355"/>
          <cell r="E355"/>
          <cell r="F355" t="str">
            <v>glb</v>
          </cell>
          <cell r="G355"/>
          <cell r="H355">
            <v>0.01</v>
          </cell>
          <cell r="I355">
            <v>4</v>
          </cell>
          <cell r="J355">
            <v>0.04</v>
          </cell>
          <cell r="K355"/>
          <cell r="L355"/>
        </row>
        <row r="356">
          <cell r="A356"/>
          <cell r="B356"/>
          <cell r="C356"/>
          <cell r="D356"/>
          <cell r="E356"/>
          <cell r="F356"/>
          <cell r="G356"/>
          <cell r="H356"/>
          <cell r="I356"/>
          <cell r="J356">
            <v>0.04</v>
          </cell>
          <cell r="K356"/>
          <cell r="L356"/>
        </row>
        <row r="357">
          <cell r="A357" t="str">
            <v>10026(C)</v>
          </cell>
          <cell r="B357" t="str">
            <v>Mano de Obra</v>
          </cell>
          <cell r="C357"/>
          <cell r="D357"/>
          <cell r="E357"/>
          <cell r="F357"/>
          <cell r="G357"/>
          <cell r="H357"/>
          <cell r="I357"/>
          <cell r="J357"/>
          <cell r="K357">
            <v>0.44999999999999996</v>
          </cell>
          <cell r="L357" t="str">
            <v>(C)</v>
          </cell>
        </row>
        <row r="358">
          <cell r="A358"/>
          <cell r="B358" t="str">
            <v>TF00002</v>
          </cell>
          <cell r="C358" t="str">
            <v>Capataz</v>
          </cell>
          <cell r="D358"/>
          <cell r="E358"/>
          <cell r="F358" t="str">
            <v>hh</v>
          </cell>
          <cell r="G358">
            <v>0.35</v>
          </cell>
          <cell r="H358">
            <v>6.4000000000000003E-3</v>
          </cell>
          <cell r="I358">
            <v>9.68</v>
          </cell>
          <cell r="J358">
            <v>0.06</v>
          </cell>
          <cell r="K358"/>
          <cell r="L358"/>
        </row>
        <row r="359">
          <cell r="A359"/>
          <cell r="B359" t="str">
            <v>TF00015</v>
          </cell>
          <cell r="C359" t="str">
            <v>Rigger</v>
          </cell>
          <cell r="D359"/>
          <cell r="E359"/>
          <cell r="F359" t="str">
            <v>hh</v>
          </cell>
          <cell r="G359">
            <v>0.1</v>
          </cell>
          <cell r="H359">
            <v>1.9E-3</v>
          </cell>
          <cell r="I359">
            <v>14</v>
          </cell>
          <cell r="J359">
            <v>0.03</v>
          </cell>
          <cell r="K359"/>
          <cell r="L359"/>
        </row>
        <row r="360">
          <cell r="A360"/>
          <cell r="B360" t="str">
            <v>TF00012</v>
          </cell>
          <cell r="C360" t="str">
            <v>Peón</v>
          </cell>
          <cell r="D360"/>
          <cell r="E360"/>
          <cell r="F360" t="str">
            <v>hh</v>
          </cell>
          <cell r="G360">
            <v>2</v>
          </cell>
          <cell r="H360">
            <v>3.6400000000000002E-2</v>
          </cell>
          <cell r="I360">
            <v>6.46</v>
          </cell>
          <cell r="J360">
            <v>0.24</v>
          </cell>
          <cell r="K360"/>
          <cell r="L360"/>
        </row>
        <row r="361">
          <cell r="A361"/>
          <cell r="B361" t="str">
            <v>TF00014</v>
          </cell>
          <cell r="C361" t="str">
            <v>Vigía</v>
          </cell>
          <cell r="D361"/>
          <cell r="E361"/>
          <cell r="F361" t="str">
            <v>hh</v>
          </cell>
          <cell r="G361">
            <v>1</v>
          </cell>
          <cell r="H361">
            <v>1.8200000000000001E-2</v>
          </cell>
          <cell r="I361">
            <v>6.46</v>
          </cell>
          <cell r="J361">
            <v>0.12</v>
          </cell>
          <cell r="K361"/>
          <cell r="L361"/>
        </row>
        <row r="362">
          <cell r="A362"/>
          <cell r="B362"/>
          <cell r="C362"/>
          <cell r="D362"/>
          <cell r="E362"/>
          <cell r="F362"/>
          <cell r="G362"/>
          <cell r="H362"/>
          <cell r="I362"/>
          <cell r="J362">
            <v>0.44999999999999996</v>
          </cell>
          <cell r="K362"/>
          <cell r="L362"/>
        </row>
        <row r="363">
          <cell r="A363" t="str">
            <v>10026(D)</v>
          </cell>
          <cell r="B363" t="str">
            <v>Herramientas y Equipos</v>
          </cell>
          <cell r="C363"/>
          <cell r="D363"/>
          <cell r="E363"/>
          <cell r="F363"/>
          <cell r="G363"/>
          <cell r="H363"/>
          <cell r="I363"/>
          <cell r="J363"/>
          <cell r="K363">
            <v>2.0500000000000003</v>
          </cell>
          <cell r="L363" t="str">
            <v>(D)</v>
          </cell>
        </row>
        <row r="364">
          <cell r="A364"/>
          <cell r="B364" t="str">
            <v>TF00021</v>
          </cell>
          <cell r="C364" t="str">
            <v>Tractor sobre Orugas CAT D8T</v>
          </cell>
          <cell r="D364"/>
          <cell r="E364"/>
          <cell r="F364" t="str">
            <v>hm</v>
          </cell>
          <cell r="G364">
            <v>0.5</v>
          </cell>
          <cell r="H364">
            <v>9.0999999999999987E-3</v>
          </cell>
          <cell r="I364">
            <v>83</v>
          </cell>
          <cell r="J364">
            <v>0.76</v>
          </cell>
          <cell r="K364"/>
          <cell r="L364"/>
        </row>
        <row r="365">
          <cell r="A365"/>
          <cell r="B365" t="str">
            <v>TF00033</v>
          </cell>
          <cell r="C365" t="str">
            <v>Rodillo Liso Vibratorio Autopropulsado HAMM 20 Tn.</v>
          </cell>
          <cell r="D365"/>
          <cell r="E365"/>
          <cell r="F365" t="str">
            <v>hm</v>
          </cell>
          <cell r="G365">
            <v>0.5</v>
          </cell>
          <cell r="H365">
            <v>9.0999999999999987E-3</v>
          </cell>
          <cell r="I365">
            <v>51</v>
          </cell>
          <cell r="J365">
            <v>0.46</v>
          </cell>
          <cell r="K365"/>
          <cell r="L365"/>
        </row>
        <row r="366">
          <cell r="A366"/>
          <cell r="B366" t="str">
            <v>TF00029</v>
          </cell>
          <cell r="C366" t="str">
            <v>Cisterna de agua 5,000 gln.</v>
          </cell>
          <cell r="D366"/>
          <cell r="E366"/>
          <cell r="F366" t="str">
            <v>hm</v>
          </cell>
          <cell r="G366">
            <v>0.6</v>
          </cell>
          <cell r="H366">
            <v>1.0999999999999999E-2</v>
          </cell>
          <cell r="I366">
            <v>30</v>
          </cell>
          <cell r="J366">
            <v>0.33</v>
          </cell>
          <cell r="K366"/>
          <cell r="L366"/>
        </row>
        <row r="367">
          <cell r="A367"/>
          <cell r="B367" t="str">
            <v>TF00024</v>
          </cell>
          <cell r="C367" t="str">
            <v>Excavadora John Deere 290</v>
          </cell>
          <cell r="D367"/>
          <cell r="E367"/>
          <cell r="F367" t="str">
            <v>hm</v>
          </cell>
          <cell r="G367">
            <v>0.2</v>
          </cell>
          <cell r="H367">
            <v>3.6999999999999997E-3</v>
          </cell>
          <cell r="I367">
            <v>63</v>
          </cell>
          <cell r="J367">
            <v>0.23</v>
          </cell>
          <cell r="K367"/>
          <cell r="L367"/>
        </row>
        <row r="368">
          <cell r="A368"/>
          <cell r="B368" t="str">
            <v>TF00026</v>
          </cell>
          <cell r="C368" t="str">
            <v>Retroexcavadora Cat 420e</v>
          </cell>
          <cell r="D368"/>
          <cell r="E368"/>
          <cell r="F368" t="str">
            <v>hm</v>
          </cell>
          <cell r="G368">
            <v>0.1</v>
          </cell>
          <cell r="H368">
            <v>1.9E-3</v>
          </cell>
          <cell r="I368">
            <v>41</v>
          </cell>
          <cell r="J368">
            <v>0.08</v>
          </cell>
          <cell r="K368"/>
          <cell r="L368"/>
        </row>
        <row r="369">
          <cell r="A369"/>
          <cell r="B369" t="str">
            <v>TF00041</v>
          </cell>
          <cell r="C369" t="str">
            <v>Luminaria 4K</v>
          </cell>
          <cell r="D369"/>
          <cell r="E369"/>
          <cell r="F369" t="str">
            <v>hm</v>
          </cell>
          <cell r="G369">
            <v>0.5</v>
          </cell>
          <cell r="H369">
            <v>9.0999999999999987E-3</v>
          </cell>
          <cell r="I369">
            <v>2.2799999999999998</v>
          </cell>
          <cell r="J369">
            <v>0.02</v>
          </cell>
          <cell r="K369"/>
          <cell r="L369"/>
        </row>
        <row r="370">
          <cell r="A370"/>
          <cell r="B370" t="str">
            <v>TF00030</v>
          </cell>
          <cell r="C370" t="str">
            <v>Camión Grúa de 20 Ton.</v>
          </cell>
          <cell r="D370"/>
          <cell r="E370"/>
          <cell r="F370" t="str">
            <v>hm</v>
          </cell>
          <cell r="G370">
            <v>0.1</v>
          </cell>
          <cell r="H370">
            <v>1.9E-3</v>
          </cell>
          <cell r="I370">
            <v>80</v>
          </cell>
          <cell r="J370">
            <v>0.15</v>
          </cell>
          <cell r="K370"/>
          <cell r="L370"/>
        </row>
        <row r="371">
          <cell r="A371"/>
          <cell r="B371" t="str">
            <v>TF00060</v>
          </cell>
          <cell r="C371" t="str">
            <v>Herramientas (% Mano Obra)</v>
          </cell>
          <cell r="D371"/>
          <cell r="E371"/>
          <cell r="F371" t="str">
            <v>%</v>
          </cell>
          <cell r="G371"/>
          <cell r="H371">
            <v>0.05</v>
          </cell>
          <cell r="I371">
            <v>0.44999999999999996</v>
          </cell>
          <cell r="J371">
            <v>0.02</v>
          </cell>
          <cell r="K371"/>
          <cell r="L371"/>
        </row>
        <row r="372">
          <cell r="A372"/>
          <cell r="B372"/>
          <cell r="C372"/>
          <cell r="D372"/>
          <cell r="E372"/>
          <cell r="F372"/>
          <cell r="G372"/>
          <cell r="H372"/>
          <cell r="I372"/>
          <cell r="J372">
            <v>2.0500000000000003</v>
          </cell>
          <cell r="K372"/>
          <cell r="L372"/>
        </row>
        <row r="373">
          <cell r="A373"/>
          <cell r="B373"/>
          <cell r="C373"/>
          <cell r="D373"/>
          <cell r="E373"/>
          <cell r="F373"/>
          <cell r="G373"/>
          <cell r="H373"/>
          <cell r="I373"/>
          <cell r="J373"/>
          <cell r="K373"/>
          <cell r="L373"/>
        </row>
        <row r="374">
          <cell r="A374">
            <v>10027</v>
          </cell>
          <cell r="B374" t="str">
            <v>Partida</v>
          </cell>
          <cell r="C374">
            <v>2.17</v>
          </cell>
          <cell r="D374" t="str">
            <v>Transporte material enrocado d&lt;1km</v>
          </cell>
          <cell r="E374"/>
          <cell r="F374"/>
          <cell r="G374"/>
          <cell r="H374"/>
          <cell r="I374"/>
          <cell r="J374"/>
          <cell r="K374">
            <v>1.65</v>
          </cell>
          <cell r="L374"/>
        </row>
        <row r="375">
          <cell r="A375"/>
          <cell r="B375" t="str">
            <v>Rendimiento:</v>
          </cell>
          <cell r="C375">
            <v>131</v>
          </cell>
          <cell r="D375" t="str">
            <v>m3-km</v>
          </cell>
          <cell r="E375" t="str">
            <v>/hr</v>
          </cell>
          <cell r="F375"/>
          <cell r="G375"/>
          <cell r="H375" t="str">
            <v>C.U. Total:</v>
          </cell>
          <cell r="I375">
            <v>1.65</v>
          </cell>
          <cell r="J375" t="str">
            <v>m3-km</v>
          </cell>
          <cell r="K375"/>
          <cell r="L375"/>
        </row>
        <row r="376">
          <cell r="A376"/>
          <cell r="B376" t="str">
            <v>Codigo</v>
          </cell>
          <cell r="C376" t="str">
            <v>Recurso</v>
          </cell>
          <cell r="D376"/>
          <cell r="E376"/>
          <cell r="F376" t="str">
            <v>UND</v>
          </cell>
          <cell r="G376" t="str">
            <v>Cuadrilla</v>
          </cell>
          <cell r="H376" t="str">
            <v>Cantidad</v>
          </cell>
          <cell r="I376" t="str">
            <v>C.U.</v>
          </cell>
          <cell r="J376" t="str">
            <v>C.Parcial</v>
          </cell>
          <cell r="K376" t="str">
            <v>SUBTOTAL</v>
          </cell>
          <cell r="L376"/>
        </row>
        <row r="377">
          <cell r="A377" t="str">
            <v>10027(C)</v>
          </cell>
          <cell r="B377" t="str">
            <v>Mano de Obra</v>
          </cell>
          <cell r="C377"/>
          <cell r="D377"/>
          <cell r="E377"/>
          <cell r="F377"/>
          <cell r="G377"/>
          <cell r="H377"/>
          <cell r="I377"/>
          <cell r="J377"/>
          <cell r="K377">
            <v>0.05</v>
          </cell>
          <cell r="L377" t="str">
            <v>(C)</v>
          </cell>
        </row>
        <row r="378">
          <cell r="A378"/>
          <cell r="B378" t="str">
            <v>TF00002</v>
          </cell>
          <cell r="C378" t="str">
            <v>Capataz</v>
          </cell>
          <cell r="D378"/>
          <cell r="E378"/>
          <cell r="F378" t="str">
            <v>hh</v>
          </cell>
          <cell r="G378">
            <v>0.35</v>
          </cell>
          <cell r="H378">
            <v>2.6999999999999997E-3</v>
          </cell>
          <cell r="I378">
            <v>9.68</v>
          </cell>
          <cell r="J378">
            <v>0.03</v>
          </cell>
          <cell r="K378"/>
          <cell r="L378"/>
        </row>
        <row r="379">
          <cell r="A379"/>
          <cell r="B379" t="str">
            <v>TF00014</v>
          </cell>
          <cell r="C379" t="str">
            <v>Vigía</v>
          </cell>
          <cell r="D379"/>
          <cell r="E379"/>
          <cell r="F379" t="str">
            <v>hh</v>
          </cell>
          <cell r="G379">
            <v>0.33333333333333331</v>
          </cell>
          <cell r="H379">
            <v>2.5999999999999999E-3</v>
          </cell>
          <cell r="I379">
            <v>6.46</v>
          </cell>
          <cell r="J379">
            <v>0.02</v>
          </cell>
          <cell r="K379"/>
          <cell r="L379"/>
        </row>
        <row r="380">
          <cell r="A380"/>
          <cell r="B380"/>
          <cell r="C380"/>
          <cell r="D380"/>
          <cell r="E380"/>
          <cell r="F380"/>
          <cell r="G380"/>
          <cell r="H380"/>
          <cell r="I380"/>
          <cell r="J380">
            <v>0.05</v>
          </cell>
          <cell r="K380"/>
          <cell r="L380"/>
        </row>
        <row r="381">
          <cell r="A381" t="str">
            <v>10027(D)</v>
          </cell>
          <cell r="B381" t="str">
            <v>Herramientas y Equipos</v>
          </cell>
          <cell r="C381"/>
          <cell r="D381"/>
          <cell r="E381"/>
          <cell r="F381"/>
          <cell r="G381"/>
          <cell r="H381"/>
          <cell r="I381"/>
          <cell r="J381"/>
          <cell r="K381">
            <v>1.5999999999999999</v>
          </cell>
          <cell r="L381" t="str">
            <v>(D)</v>
          </cell>
        </row>
        <row r="382">
          <cell r="A382"/>
          <cell r="B382" t="str">
            <v>TF00025</v>
          </cell>
          <cell r="C382" t="str">
            <v>Cargador Frontal John Deere 744 K</v>
          </cell>
          <cell r="D382"/>
          <cell r="E382"/>
          <cell r="F382" t="str">
            <v>hm</v>
          </cell>
          <cell r="G382">
            <v>1</v>
          </cell>
          <cell r="H382">
            <v>7.7000000000000002E-3</v>
          </cell>
          <cell r="I382">
            <v>56</v>
          </cell>
          <cell r="J382">
            <v>0.43</v>
          </cell>
          <cell r="K382"/>
          <cell r="L382"/>
        </row>
        <row r="383">
          <cell r="A383"/>
          <cell r="B383" t="str">
            <v>TF00027</v>
          </cell>
          <cell r="C383" t="str">
            <v>Volquete de 17 m3</v>
          </cell>
          <cell r="D383"/>
          <cell r="E383"/>
          <cell r="F383" t="str">
            <v>hm</v>
          </cell>
          <cell r="G383">
            <v>4.8819261674461796</v>
          </cell>
          <cell r="H383">
            <v>3.73E-2</v>
          </cell>
          <cell r="I383">
            <v>31</v>
          </cell>
          <cell r="J383">
            <v>1.1599999999999999</v>
          </cell>
          <cell r="K383"/>
          <cell r="L383"/>
        </row>
        <row r="384">
          <cell r="A384"/>
          <cell r="B384" t="str">
            <v>TF00041</v>
          </cell>
          <cell r="C384" t="str">
            <v>Luminaria 4K</v>
          </cell>
          <cell r="D384"/>
          <cell r="E384"/>
          <cell r="F384" t="str">
            <v>hm</v>
          </cell>
          <cell r="G384">
            <v>0.5</v>
          </cell>
          <cell r="H384">
            <v>3.8999999999999998E-3</v>
          </cell>
          <cell r="I384">
            <v>2.2799999999999998</v>
          </cell>
          <cell r="J384">
            <v>0.01</v>
          </cell>
          <cell r="K384"/>
          <cell r="L384"/>
        </row>
        <row r="385">
          <cell r="A385"/>
          <cell r="B385" t="str">
            <v>TF00060</v>
          </cell>
          <cell r="C385" t="str">
            <v>Herramientas (% Mano Obra)</v>
          </cell>
          <cell r="D385"/>
          <cell r="E385"/>
          <cell r="F385" t="str">
            <v>%</v>
          </cell>
          <cell r="G385"/>
          <cell r="H385">
            <v>0.05</v>
          </cell>
          <cell r="I385">
            <v>0.05</v>
          </cell>
          <cell r="J385">
            <v>0</v>
          </cell>
          <cell r="K385"/>
          <cell r="L385"/>
        </row>
        <row r="386">
          <cell r="A386"/>
          <cell r="B386"/>
          <cell r="C386"/>
          <cell r="D386"/>
          <cell r="E386"/>
          <cell r="F386"/>
          <cell r="G386"/>
          <cell r="H386"/>
          <cell r="I386"/>
          <cell r="J386">
            <v>1.5999999999999999</v>
          </cell>
          <cell r="K386"/>
          <cell r="L386"/>
        </row>
        <row r="387">
          <cell r="A387"/>
          <cell r="B387"/>
          <cell r="C387"/>
          <cell r="D387"/>
          <cell r="E387"/>
          <cell r="F387"/>
          <cell r="G387"/>
          <cell r="H387"/>
          <cell r="I387"/>
          <cell r="J387"/>
          <cell r="K387"/>
          <cell r="L387"/>
        </row>
        <row r="388">
          <cell r="A388">
            <v>10028</v>
          </cell>
          <cell r="B388" t="str">
            <v>Partida</v>
          </cell>
          <cell r="C388">
            <v>2.1800000000000002</v>
          </cell>
          <cell r="D388" t="str">
            <v>Transporte material enrocado d&gt;1km</v>
          </cell>
          <cell r="E388"/>
          <cell r="F388"/>
          <cell r="G388"/>
          <cell r="H388"/>
          <cell r="I388"/>
          <cell r="J388"/>
          <cell r="K388">
            <v>0.42</v>
          </cell>
          <cell r="L388"/>
        </row>
        <row r="389">
          <cell r="A389"/>
          <cell r="B389" t="str">
            <v>Rendimiento:</v>
          </cell>
          <cell r="C389">
            <v>89</v>
          </cell>
          <cell r="D389" t="str">
            <v>m3-km</v>
          </cell>
          <cell r="E389" t="str">
            <v>/hr</v>
          </cell>
          <cell r="F389"/>
          <cell r="G389"/>
          <cell r="H389" t="str">
            <v>C.U. Total:</v>
          </cell>
          <cell r="I389">
            <v>0.42</v>
          </cell>
          <cell r="J389" t="str">
            <v>m3-km</v>
          </cell>
          <cell r="K389"/>
          <cell r="L389"/>
        </row>
        <row r="390">
          <cell r="A390"/>
          <cell r="B390" t="str">
            <v>Codigo</v>
          </cell>
          <cell r="C390" t="str">
            <v>Recurso</v>
          </cell>
          <cell r="D390"/>
          <cell r="E390"/>
          <cell r="F390" t="str">
            <v>UND</v>
          </cell>
          <cell r="G390" t="str">
            <v>Cuadrilla</v>
          </cell>
          <cell r="H390" t="str">
            <v>Cantidad</v>
          </cell>
          <cell r="I390" t="str">
            <v>C.U.</v>
          </cell>
          <cell r="J390" t="str">
            <v>C.Parcial</v>
          </cell>
          <cell r="K390" t="str">
            <v>SUBTOTAL</v>
          </cell>
          <cell r="L390"/>
        </row>
        <row r="391">
          <cell r="A391" t="str">
            <v>10028(C)</v>
          </cell>
          <cell r="B391" t="str">
            <v>Mano de Obra</v>
          </cell>
          <cell r="C391"/>
          <cell r="D391"/>
          <cell r="E391"/>
          <cell r="F391"/>
          <cell r="G391"/>
          <cell r="H391"/>
          <cell r="I391"/>
          <cell r="J391"/>
          <cell r="K391">
            <v>7.0000000000000007E-2</v>
          </cell>
          <cell r="L391" t="str">
            <v>(C)</v>
          </cell>
        </row>
        <row r="392">
          <cell r="A392"/>
          <cell r="B392" t="str">
            <v>TF00002</v>
          </cell>
          <cell r="C392" t="str">
            <v>Capataz</v>
          </cell>
          <cell r="D392"/>
          <cell r="E392"/>
          <cell r="F392" t="str">
            <v>hh</v>
          </cell>
          <cell r="G392">
            <v>0.35</v>
          </cell>
          <cell r="H392">
            <v>4.0000000000000001E-3</v>
          </cell>
          <cell r="I392">
            <v>9.68</v>
          </cell>
          <cell r="J392">
            <v>0.04</v>
          </cell>
          <cell r="K392"/>
          <cell r="L392"/>
        </row>
        <row r="393">
          <cell r="A393"/>
          <cell r="B393" t="str">
            <v>TF00014</v>
          </cell>
          <cell r="C393" t="str">
            <v>Vigía</v>
          </cell>
          <cell r="D393"/>
          <cell r="E393"/>
          <cell r="F393" t="str">
            <v>hh</v>
          </cell>
          <cell r="G393">
            <v>0.4</v>
          </cell>
          <cell r="H393">
            <v>4.5000000000000005E-3</v>
          </cell>
          <cell r="I393">
            <v>6.46</v>
          </cell>
          <cell r="J393">
            <v>0.03</v>
          </cell>
          <cell r="K393"/>
          <cell r="L393"/>
        </row>
        <row r="394">
          <cell r="A394"/>
          <cell r="B394"/>
          <cell r="C394"/>
          <cell r="D394"/>
          <cell r="E394"/>
          <cell r="F394"/>
          <cell r="G394"/>
          <cell r="H394"/>
          <cell r="I394"/>
          <cell r="J394">
            <v>7.0000000000000007E-2</v>
          </cell>
          <cell r="K394"/>
          <cell r="L394"/>
        </row>
        <row r="395">
          <cell r="A395" t="str">
            <v>10028(D)</v>
          </cell>
          <cell r="B395" t="str">
            <v>Herramientas y Equipos</v>
          </cell>
          <cell r="C395"/>
          <cell r="D395"/>
          <cell r="E395"/>
          <cell r="F395"/>
          <cell r="G395"/>
          <cell r="H395"/>
          <cell r="I395"/>
          <cell r="J395"/>
          <cell r="K395">
            <v>0.35</v>
          </cell>
          <cell r="L395" t="str">
            <v>(D)</v>
          </cell>
        </row>
        <row r="396">
          <cell r="A396"/>
          <cell r="B396" t="str">
            <v>TF00027</v>
          </cell>
          <cell r="C396" t="str">
            <v>Volquete de 17 m3</v>
          </cell>
          <cell r="D396"/>
          <cell r="E396"/>
          <cell r="F396" t="str">
            <v>hm</v>
          </cell>
          <cell r="G396">
            <v>1</v>
          </cell>
          <cell r="H396">
            <v>1.1299999999999999E-2</v>
          </cell>
          <cell r="I396">
            <v>31</v>
          </cell>
          <cell r="J396">
            <v>0.35</v>
          </cell>
          <cell r="K396"/>
          <cell r="L396"/>
        </row>
        <row r="397">
          <cell r="A397"/>
          <cell r="B397" t="str">
            <v>TF00060</v>
          </cell>
          <cell r="C397" t="str">
            <v>Herramientas (% Mano Obra)</v>
          </cell>
          <cell r="D397"/>
          <cell r="E397"/>
          <cell r="F397" t="str">
            <v>%</v>
          </cell>
          <cell r="G397"/>
          <cell r="H397">
            <v>0.05</v>
          </cell>
          <cell r="I397">
            <v>7.0000000000000007E-2</v>
          </cell>
          <cell r="J397">
            <v>0</v>
          </cell>
          <cell r="K397"/>
          <cell r="L397"/>
        </row>
        <row r="398">
          <cell r="A398"/>
          <cell r="B398"/>
          <cell r="C398"/>
          <cell r="D398"/>
          <cell r="E398"/>
          <cell r="F398"/>
          <cell r="G398"/>
          <cell r="H398"/>
          <cell r="I398"/>
          <cell r="J398">
            <v>0.35</v>
          </cell>
          <cell r="K398"/>
          <cell r="L398"/>
        </row>
        <row r="399">
          <cell r="A399"/>
          <cell r="B399"/>
          <cell r="C399"/>
          <cell r="D399"/>
          <cell r="E399"/>
          <cell r="F399"/>
          <cell r="G399"/>
          <cell r="H399"/>
          <cell r="I399"/>
          <cell r="J399"/>
          <cell r="K399"/>
          <cell r="L399"/>
        </row>
        <row r="400">
          <cell r="A400">
            <v>10030</v>
          </cell>
          <cell r="B400" t="str">
            <v>Partida</v>
          </cell>
          <cell r="C400">
            <v>3.01</v>
          </cell>
          <cell r="D400" t="str">
            <v>Excavacion de Cuneta Triangular (0.5mx0.35 m )</v>
          </cell>
          <cell r="E400"/>
          <cell r="F400"/>
          <cell r="G400"/>
          <cell r="H400"/>
          <cell r="I400"/>
          <cell r="J400"/>
          <cell r="K400">
            <v>0.97000000000000008</v>
          </cell>
          <cell r="L400"/>
        </row>
        <row r="401">
          <cell r="A401"/>
          <cell r="B401" t="str">
            <v>Rendimiento:</v>
          </cell>
          <cell r="C401">
            <v>40</v>
          </cell>
          <cell r="D401" t="str">
            <v>m</v>
          </cell>
          <cell r="E401" t="str">
            <v>/hr</v>
          </cell>
          <cell r="F401"/>
          <cell r="G401"/>
          <cell r="H401" t="str">
            <v>C.U. Total:</v>
          </cell>
          <cell r="I401">
            <v>0.97000000000000008</v>
          </cell>
          <cell r="J401" t="str">
            <v>m</v>
          </cell>
          <cell r="K401"/>
          <cell r="L401"/>
        </row>
        <row r="402">
          <cell r="A402"/>
          <cell r="B402" t="str">
            <v>Codigo</v>
          </cell>
          <cell r="C402" t="str">
            <v>Recurso</v>
          </cell>
          <cell r="D402"/>
          <cell r="E402"/>
          <cell r="F402" t="str">
            <v>UND</v>
          </cell>
          <cell r="G402" t="str">
            <v>Cuadrilla</v>
          </cell>
          <cell r="H402" t="str">
            <v>Cantidad</v>
          </cell>
          <cell r="I402" t="str">
            <v>C.U.</v>
          </cell>
          <cell r="J402" t="str">
            <v>C.Parcial</v>
          </cell>
          <cell r="K402" t="str">
            <v>SUBTOTAL</v>
          </cell>
          <cell r="L402"/>
        </row>
        <row r="403">
          <cell r="A403" t="str">
            <v>10030(C)</v>
          </cell>
          <cell r="B403" t="str">
            <v>Mano de Obra</v>
          </cell>
          <cell r="C403"/>
          <cell r="D403"/>
          <cell r="E403"/>
          <cell r="F403"/>
          <cell r="G403"/>
          <cell r="H403"/>
          <cell r="I403"/>
          <cell r="J403"/>
          <cell r="K403">
            <v>0.41000000000000003</v>
          </cell>
          <cell r="L403" t="str">
            <v>(C)</v>
          </cell>
        </row>
        <row r="404">
          <cell r="A404"/>
          <cell r="B404" t="str">
            <v>TF00002</v>
          </cell>
          <cell r="C404" t="str">
            <v>Capataz</v>
          </cell>
          <cell r="D404"/>
          <cell r="E404"/>
          <cell r="F404" t="str">
            <v>hh</v>
          </cell>
          <cell r="G404">
            <v>0.35</v>
          </cell>
          <cell r="H404">
            <v>8.7999999999999988E-3</v>
          </cell>
          <cell r="I404">
            <v>9.68</v>
          </cell>
          <cell r="J404">
            <v>0.09</v>
          </cell>
          <cell r="K404"/>
          <cell r="L404"/>
        </row>
        <row r="405">
          <cell r="A405"/>
          <cell r="B405" t="str">
            <v>TF00012</v>
          </cell>
          <cell r="C405" t="str">
            <v>Peón</v>
          </cell>
          <cell r="D405"/>
          <cell r="E405"/>
          <cell r="F405" t="str">
            <v>hh</v>
          </cell>
          <cell r="G405">
            <v>1</v>
          </cell>
          <cell r="H405">
            <v>2.5000000000000001E-2</v>
          </cell>
          <cell r="I405">
            <v>6.46</v>
          </cell>
          <cell r="J405">
            <v>0.16</v>
          </cell>
          <cell r="K405"/>
          <cell r="L405"/>
        </row>
        <row r="406">
          <cell r="A406"/>
          <cell r="B406" t="str">
            <v>TF00014</v>
          </cell>
          <cell r="C406" t="str">
            <v>Vigía</v>
          </cell>
          <cell r="D406"/>
          <cell r="E406"/>
          <cell r="F406" t="str">
            <v>hh</v>
          </cell>
          <cell r="G406">
            <v>1</v>
          </cell>
          <cell r="H406">
            <v>2.5000000000000001E-2</v>
          </cell>
          <cell r="I406">
            <v>6.46</v>
          </cell>
          <cell r="J406">
            <v>0.16</v>
          </cell>
          <cell r="K406"/>
          <cell r="L406"/>
        </row>
        <row r="407">
          <cell r="A407"/>
          <cell r="B407"/>
          <cell r="C407"/>
          <cell r="D407"/>
          <cell r="E407"/>
          <cell r="F407"/>
          <cell r="G407"/>
          <cell r="H407"/>
          <cell r="I407"/>
          <cell r="J407">
            <v>0.41000000000000003</v>
          </cell>
          <cell r="K407"/>
          <cell r="L407"/>
        </row>
        <row r="408">
          <cell r="A408" t="str">
            <v>10030(D)</v>
          </cell>
          <cell r="B408" t="str">
            <v>Herramientas y Equipos</v>
          </cell>
          <cell r="C408"/>
          <cell r="D408"/>
          <cell r="E408"/>
          <cell r="F408"/>
          <cell r="G408"/>
          <cell r="H408"/>
          <cell r="I408"/>
          <cell r="J408"/>
          <cell r="K408">
            <v>0.56000000000000005</v>
          </cell>
          <cell r="L408" t="str">
            <v>(D)</v>
          </cell>
        </row>
        <row r="409">
          <cell r="A409"/>
          <cell r="B409" t="str">
            <v>TF00026</v>
          </cell>
          <cell r="C409" t="str">
            <v>Retroexcavadora Cat 420e</v>
          </cell>
          <cell r="D409"/>
          <cell r="E409"/>
          <cell r="F409" t="str">
            <v>hm</v>
          </cell>
          <cell r="G409">
            <v>0.5</v>
          </cell>
          <cell r="H409">
            <v>1.2500000000000001E-2</v>
          </cell>
          <cell r="I409">
            <v>41</v>
          </cell>
          <cell r="J409">
            <v>0.51</v>
          </cell>
          <cell r="K409"/>
          <cell r="L409"/>
        </row>
        <row r="410">
          <cell r="A410"/>
          <cell r="B410" t="str">
            <v>TF00041</v>
          </cell>
          <cell r="C410" t="str">
            <v>Luminaria 4K</v>
          </cell>
          <cell r="D410"/>
          <cell r="E410"/>
          <cell r="F410" t="str">
            <v>hm</v>
          </cell>
          <cell r="G410">
            <v>0.5</v>
          </cell>
          <cell r="H410">
            <v>1.2500000000000001E-2</v>
          </cell>
          <cell r="I410">
            <v>2.2799999999999998</v>
          </cell>
          <cell r="J410">
            <v>0.03</v>
          </cell>
          <cell r="K410"/>
          <cell r="L410"/>
        </row>
        <row r="411">
          <cell r="A411"/>
          <cell r="B411" t="str">
            <v>TF00060</v>
          </cell>
          <cell r="C411" t="str">
            <v>Herramientas (% Mano Obra)</v>
          </cell>
          <cell r="D411"/>
          <cell r="E411"/>
          <cell r="F411" t="str">
            <v>%</v>
          </cell>
          <cell r="G411"/>
          <cell r="H411">
            <v>0.05</v>
          </cell>
          <cell r="I411">
            <v>0.41000000000000003</v>
          </cell>
          <cell r="J411">
            <v>0.02</v>
          </cell>
          <cell r="K411"/>
          <cell r="L411"/>
        </row>
        <row r="412">
          <cell r="A412"/>
          <cell r="B412"/>
          <cell r="C412"/>
          <cell r="D412"/>
          <cell r="E412"/>
          <cell r="F412"/>
          <cell r="G412"/>
          <cell r="H412"/>
          <cell r="I412"/>
          <cell r="J412">
            <v>0.56000000000000005</v>
          </cell>
          <cell r="K412"/>
          <cell r="L412"/>
        </row>
        <row r="413">
          <cell r="A413"/>
          <cell r="B413"/>
          <cell r="C413"/>
          <cell r="D413"/>
          <cell r="E413"/>
          <cell r="F413"/>
          <cell r="G413"/>
          <cell r="H413"/>
          <cell r="I413"/>
          <cell r="J413"/>
          <cell r="K413"/>
          <cell r="L413"/>
        </row>
        <row r="414">
          <cell r="A414">
            <v>10031</v>
          </cell>
          <cell r="B414" t="str">
            <v>Partida</v>
          </cell>
          <cell r="C414">
            <v>3.02</v>
          </cell>
          <cell r="D414" t="str">
            <v>Perfilado de Cuneta (0.5mx0.35 m )</v>
          </cell>
          <cell r="E414"/>
          <cell r="F414"/>
          <cell r="G414"/>
          <cell r="H414"/>
          <cell r="I414"/>
          <cell r="J414"/>
          <cell r="K414">
            <v>0.65</v>
          </cell>
          <cell r="L414"/>
        </row>
        <row r="415">
          <cell r="A415"/>
          <cell r="B415" t="str">
            <v>Rendimiento:</v>
          </cell>
          <cell r="C415">
            <v>60</v>
          </cell>
          <cell r="D415" t="str">
            <v>m</v>
          </cell>
          <cell r="E415" t="str">
            <v>/hr</v>
          </cell>
          <cell r="F415"/>
          <cell r="G415"/>
          <cell r="H415" t="str">
            <v>C.U. Total:</v>
          </cell>
          <cell r="I415">
            <v>0.65</v>
          </cell>
          <cell r="J415" t="str">
            <v>m</v>
          </cell>
          <cell r="K415"/>
          <cell r="L415"/>
        </row>
        <row r="416">
          <cell r="A416"/>
          <cell r="B416" t="str">
            <v>Codigo</v>
          </cell>
          <cell r="C416" t="str">
            <v>Recurso</v>
          </cell>
          <cell r="D416"/>
          <cell r="E416"/>
          <cell r="F416" t="str">
            <v>UND</v>
          </cell>
          <cell r="G416" t="str">
            <v>Cuadrilla</v>
          </cell>
          <cell r="H416" t="str">
            <v>Cantidad</v>
          </cell>
          <cell r="I416" t="str">
            <v>C.U.</v>
          </cell>
          <cell r="J416" t="str">
            <v>C.Parcial</v>
          </cell>
          <cell r="K416" t="str">
            <v>SUBTOTAL</v>
          </cell>
          <cell r="L416"/>
        </row>
        <row r="417">
          <cell r="A417" t="str">
            <v>10031(C)</v>
          </cell>
          <cell r="B417" t="str">
            <v>Mano de Obra</v>
          </cell>
          <cell r="C417"/>
          <cell r="D417"/>
          <cell r="E417"/>
          <cell r="F417"/>
          <cell r="G417"/>
          <cell r="H417"/>
          <cell r="I417"/>
          <cell r="J417"/>
          <cell r="K417">
            <v>0.27999999999999997</v>
          </cell>
          <cell r="L417" t="str">
            <v>(C)</v>
          </cell>
        </row>
        <row r="418">
          <cell r="A418"/>
          <cell r="B418" t="str">
            <v>TF00002</v>
          </cell>
          <cell r="C418" t="str">
            <v>Capataz</v>
          </cell>
          <cell r="D418"/>
          <cell r="E418"/>
          <cell r="F418" t="str">
            <v>hh</v>
          </cell>
          <cell r="G418">
            <v>0.35</v>
          </cell>
          <cell r="H418">
            <v>5.8999999999999999E-3</v>
          </cell>
          <cell r="I418">
            <v>9.68</v>
          </cell>
          <cell r="J418">
            <v>0.06</v>
          </cell>
          <cell r="K418"/>
          <cell r="L418"/>
        </row>
        <row r="419">
          <cell r="A419"/>
          <cell r="B419" t="str">
            <v>TF00012</v>
          </cell>
          <cell r="C419" t="str">
            <v>Peón</v>
          </cell>
          <cell r="D419"/>
          <cell r="E419"/>
          <cell r="F419" t="str">
            <v>hh</v>
          </cell>
          <cell r="G419">
            <v>1</v>
          </cell>
          <cell r="H419">
            <v>1.67E-2</v>
          </cell>
          <cell r="I419">
            <v>6.46</v>
          </cell>
          <cell r="J419">
            <v>0.11</v>
          </cell>
          <cell r="K419"/>
          <cell r="L419"/>
        </row>
        <row r="420">
          <cell r="A420"/>
          <cell r="B420" t="str">
            <v>TF00014</v>
          </cell>
          <cell r="C420" t="str">
            <v>Vigía</v>
          </cell>
          <cell r="D420"/>
          <cell r="E420"/>
          <cell r="F420" t="str">
            <v>hh</v>
          </cell>
          <cell r="G420">
            <v>1</v>
          </cell>
          <cell r="H420">
            <v>1.67E-2</v>
          </cell>
          <cell r="I420">
            <v>6.46</v>
          </cell>
          <cell r="J420">
            <v>0.11</v>
          </cell>
          <cell r="K420"/>
          <cell r="L420"/>
        </row>
        <row r="421">
          <cell r="A421"/>
          <cell r="B421"/>
          <cell r="C421"/>
          <cell r="D421"/>
          <cell r="E421"/>
          <cell r="F421"/>
          <cell r="G421"/>
          <cell r="H421"/>
          <cell r="I421"/>
          <cell r="J421">
            <v>0.27999999999999997</v>
          </cell>
          <cell r="K421"/>
          <cell r="L421"/>
        </row>
        <row r="422">
          <cell r="A422" t="str">
            <v>10031(D)</v>
          </cell>
          <cell r="B422" t="str">
            <v>Herramientas y Equipos</v>
          </cell>
          <cell r="C422"/>
          <cell r="D422"/>
          <cell r="E422"/>
          <cell r="F422"/>
          <cell r="G422"/>
          <cell r="H422"/>
          <cell r="I422"/>
          <cell r="J422"/>
          <cell r="K422">
            <v>0.37000000000000005</v>
          </cell>
          <cell r="L422" t="str">
            <v>(D)</v>
          </cell>
        </row>
        <row r="423">
          <cell r="A423"/>
          <cell r="B423" t="str">
            <v>TF00026</v>
          </cell>
          <cell r="C423" t="str">
            <v>Retroexcavadora Cat 420e</v>
          </cell>
          <cell r="D423"/>
          <cell r="E423"/>
          <cell r="F423" t="str">
            <v>hm</v>
          </cell>
          <cell r="G423">
            <v>0.5</v>
          </cell>
          <cell r="H423">
            <v>8.3999999999999995E-3</v>
          </cell>
          <cell r="I423">
            <v>41</v>
          </cell>
          <cell r="J423">
            <v>0.34</v>
          </cell>
          <cell r="K423"/>
          <cell r="L423"/>
        </row>
        <row r="424">
          <cell r="A424"/>
          <cell r="B424" t="str">
            <v>TF00041</v>
          </cell>
          <cell r="C424" t="str">
            <v>Luminaria 4K</v>
          </cell>
          <cell r="D424"/>
          <cell r="E424"/>
          <cell r="F424" t="str">
            <v>hm</v>
          </cell>
          <cell r="G424">
            <v>0.5</v>
          </cell>
          <cell r="H424">
            <v>8.3999999999999995E-3</v>
          </cell>
          <cell r="I424">
            <v>2.2799999999999998</v>
          </cell>
          <cell r="J424">
            <v>0.02</v>
          </cell>
          <cell r="K424"/>
          <cell r="L424"/>
        </row>
        <row r="425">
          <cell r="A425"/>
          <cell r="B425" t="str">
            <v>TF00060</v>
          </cell>
          <cell r="C425" t="str">
            <v>Herramientas (% Mano Obra)</v>
          </cell>
          <cell r="D425"/>
          <cell r="E425"/>
          <cell r="F425" t="str">
            <v>%</v>
          </cell>
          <cell r="G425"/>
          <cell r="H425">
            <v>0.05</v>
          </cell>
          <cell r="I425">
            <v>0.27999999999999997</v>
          </cell>
          <cell r="J425">
            <v>0.01</v>
          </cell>
          <cell r="K425"/>
          <cell r="L425"/>
        </row>
        <row r="426">
          <cell r="A426"/>
          <cell r="B426"/>
          <cell r="C426"/>
          <cell r="D426"/>
          <cell r="E426"/>
          <cell r="F426"/>
          <cell r="G426"/>
          <cell r="H426"/>
          <cell r="I426"/>
          <cell r="J426">
            <v>0.37000000000000005</v>
          </cell>
          <cell r="K426"/>
          <cell r="L426"/>
        </row>
        <row r="427">
          <cell r="A427"/>
          <cell r="B427"/>
          <cell r="C427"/>
          <cell r="D427"/>
          <cell r="E427"/>
          <cell r="F427"/>
          <cell r="G427"/>
          <cell r="H427"/>
          <cell r="I427"/>
          <cell r="J427"/>
          <cell r="K427"/>
          <cell r="L427"/>
        </row>
        <row r="428">
          <cell r="A428">
            <v>10032</v>
          </cell>
          <cell r="B428" t="str">
            <v>Partida</v>
          </cell>
          <cell r="C428">
            <v>3.03</v>
          </cell>
          <cell r="D428" t="str">
            <v>Excavacion localizada para pase de tubería de cruce</v>
          </cell>
          <cell r="E428"/>
          <cell r="F428"/>
          <cell r="G428"/>
          <cell r="H428"/>
          <cell r="I428"/>
          <cell r="J428"/>
          <cell r="K428">
            <v>1.6600000000000001</v>
          </cell>
          <cell r="L428"/>
        </row>
        <row r="429">
          <cell r="A429"/>
          <cell r="B429" t="str">
            <v>Rendimiento:</v>
          </cell>
          <cell r="C429">
            <v>40</v>
          </cell>
          <cell r="D429" t="str">
            <v>m</v>
          </cell>
          <cell r="E429" t="str">
            <v>/hr</v>
          </cell>
          <cell r="F429"/>
          <cell r="G429"/>
          <cell r="H429" t="str">
            <v>C.U. Total:</v>
          </cell>
          <cell r="I429">
            <v>1.6600000000000001</v>
          </cell>
          <cell r="J429" t="str">
            <v>m</v>
          </cell>
          <cell r="K429"/>
          <cell r="L429"/>
        </row>
        <row r="430">
          <cell r="A430"/>
          <cell r="B430" t="str">
            <v>Codigo</v>
          </cell>
          <cell r="C430" t="str">
            <v>Recurso</v>
          </cell>
          <cell r="D430"/>
          <cell r="E430"/>
          <cell r="F430" t="str">
            <v>UND</v>
          </cell>
          <cell r="G430" t="str">
            <v>Cuadrilla</v>
          </cell>
          <cell r="H430" t="str">
            <v>Cantidad</v>
          </cell>
          <cell r="I430" t="str">
            <v>C.U.</v>
          </cell>
          <cell r="J430" t="str">
            <v>C.Parcial</v>
          </cell>
          <cell r="K430" t="str">
            <v>SUBTOTAL</v>
          </cell>
          <cell r="L430"/>
        </row>
        <row r="431">
          <cell r="A431" t="str">
            <v>10032(C)</v>
          </cell>
          <cell r="B431" t="str">
            <v>Mano de Obra</v>
          </cell>
          <cell r="C431"/>
          <cell r="D431"/>
          <cell r="E431"/>
          <cell r="F431"/>
          <cell r="G431"/>
          <cell r="H431"/>
          <cell r="I431"/>
          <cell r="J431"/>
          <cell r="K431">
            <v>0.57000000000000006</v>
          </cell>
          <cell r="L431" t="str">
            <v>(C)</v>
          </cell>
        </row>
        <row r="432">
          <cell r="A432"/>
          <cell r="B432" t="str">
            <v>TF00002</v>
          </cell>
          <cell r="C432" t="str">
            <v>Capataz</v>
          </cell>
          <cell r="D432"/>
          <cell r="E432"/>
          <cell r="F432" t="str">
            <v>hh</v>
          </cell>
          <cell r="G432">
            <v>0.35</v>
          </cell>
          <cell r="H432">
            <v>8.7999999999999988E-3</v>
          </cell>
          <cell r="I432">
            <v>9.68</v>
          </cell>
          <cell r="J432">
            <v>0.09</v>
          </cell>
          <cell r="K432"/>
          <cell r="L432"/>
        </row>
        <row r="433">
          <cell r="A433"/>
          <cell r="B433" t="str">
            <v>TF00012</v>
          </cell>
          <cell r="C433" t="str">
            <v>Peón</v>
          </cell>
          <cell r="D433"/>
          <cell r="E433"/>
          <cell r="F433" t="str">
            <v>hh</v>
          </cell>
          <cell r="G433">
            <v>2</v>
          </cell>
          <cell r="H433">
            <v>0.05</v>
          </cell>
          <cell r="I433">
            <v>6.46</v>
          </cell>
          <cell r="J433">
            <v>0.32</v>
          </cell>
          <cell r="K433"/>
          <cell r="L433"/>
        </row>
        <row r="434">
          <cell r="A434"/>
          <cell r="B434" t="str">
            <v>TF00014</v>
          </cell>
          <cell r="C434" t="str">
            <v>Vigía</v>
          </cell>
          <cell r="D434"/>
          <cell r="E434"/>
          <cell r="F434" t="str">
            <v>hh</v>
          </cell>
          <cell r="G434">
            <v>1</v>
          </cell>
          <cell r="H434">
            <v>2.5000000000000001E-2</v>
          </cell>
          <cell r="I434">
            <v>6.46</v>
          </cell>
          <cell r="J434">
            <v>0.16</v>
          </cell>
          <cell r="K434"/>
          <cell r="L434"/>
        </row>
        <row r="435">
          <cell r="A435"/>
          <cell r="B435"/>
          <cell r="C435"/>
          <cell r="D435"/>
          <cell r="E435"/>
          <cell r="F435"/>
          <cell r="G435"/>
          <cell r="H435"/>
          <cell r="I435"/>
          <cell r="J435">
            <v>0.57000000000000006</v>
          </cell>
          <cell r="K435"/>
          <cell r="L435"/>
        </row>
        <row r="436">
          <cell r="A436" t="str">
            <v>10032(D)</v>
          </cell>
          <cell r="B436" t="str">
            <v>Herramientas y Equipos</v>
          </cell>
          <cell r="C436"/>
          <cell r="D436"/>
          <cell r="E436"/>
          <cell r="F436"/>
          <cell r="G436"/>
          <cell r="H436"/>
          <cell r="I436"/>
          <cell r="J436"/>
          <cell r="K436">
            <v>1.0900000000000001</v>
          </cell>
          <cell r="L436" t="str">
            <v>(D)</v>
          </cell>
        </row>
        <row r="437">
          <cell r="A437"/>
          <cell r="B437" t="str">
            <v>TF00026</v>
          </cell>
          <cell r="C437" t="str">
            <v>Retroexcavadora Cat 420e</v>
          </cell>
          <cell r="D437"/>
          <cell r="E437"/>
          <cell r="F437" t="str">
            <v>hm</v>
          </cell>
          <cell r="G437">
            <v>1</v>
          </cell>
          <cell r="H437">
            <v>2.5000000000000001E-2</v>
          </cell>
          <cell r="I437">
            <v>41</v>
          </cell>
          <cell r="J437">
            <v>1.03</v>
          </cell>
          <cell r="K437"/>
          <cell r="L437"/>
        </row>
        <row r="438">
          <cell r="A438"/>
          <cell r="B438" t="str">
            <v>TF00041</v>
          </cell>
          <cell r="C438" t="str">
            <v>Luminaria 4K</v>
          </cell>
          <cell r="D438"/>
          <cell r="E438"/>
          <cell r="F438" t="str">
            <v>hm</v>
          </cell>
          <cell r="G438">
            <v>0.5</v>
          </cell>
          <cell r="H438">
            <v>1.2500000000000001E-2</v>
          </cell>
          <cell r="I438">
            <v>2.2799999999999998</v>
          </cell>
          <cell r="J438">
            <v>0.03</v>
          </cell>
          <cell r="K438"/>
          <cell r="L438"/>
        </row>
        <row r="439">
          <cell r="A439"/>
          <cell r="B439" t="str">
            <v>TF00060</v>
          </cell>
          <cell r="C439" t="str">
            <v>Herramientas (% Mano Obra)</v>
          </cell>
          <cell r="D439"/>
          <cell r="E439"/>
          <cell r="F439" t="str">
            <v>%</v>
          </cell>
          <cell r="G439"/>
          <cell r="H439">
            <v>0.05</v>
          </cell>
          <cell r="I439">
            <v>0.57000000000000006</v>
          </cell>
          <cell r="J439">
            <v>0.03</v>
          </cell>
          <cell r="K439"/>
          <cell r="L439"/>
        </row>
        <row r="440">
          <cell r="A440"/>
          <cell r="B440"/>
          <cell r="C440"/>
          <cell r="D440"/>
          <cell r="E440"/>
          <cell r="F440"/>
          <cell r="G440"/>
          <cell r="H440"/>
          <cell r="I440"/>
          <cell r="J440">
            <v>1.0900000000000001</v>
          </cell>
          <cell r="K440"/>
          <cell r="L440"/>
        </row>
        <row r="441">
          <cell r="A441"/>
          <cell r="B441"/>
          <cell r="C441"/>
          <cell r="D441"/>
          <cell r="E441"/>
          <cell r="F441"/>
          <cell r="G441"/>
          <cell r="H441"/>
          <cell r="I441"/>
          <cell r="J441"/>
          <cell r="K441"/>
          <cell r="L441"/>
        </row>
        <row r="442">
          <cell r="A442">
            <v>10033</v>
          </cell>
          <cell r="B442" t="str">
            <v>Partida</v>
          </cell>
          <cell r="C442">
            <v>3.04</v>
          </cell>
          <cell r="D442" t="str">
            <v>Cama de arena</v>
          </cell>
          <cell r="E442"/>
          <cell r="F442"/>
          <cell r="G442"/>
          <cell r="H442"/>
          <cell r="I442"/>
          <cell r="J442"/>
          <cell r="K442">
            <v>4.49</v>
          </cell>
          <cell r="L442"/>
        </row>
        <row r="443">
          <cell r="A443"/>
          <cell r="B443" t="str">
            <v>Rendimiento:</v>
          </cell>
          <cell r="C443">
            <v>6.875</v>
          </cell>
          <cell r="D443" t="str">
            <v>m3</v>
          </cell>
          <cell r="E443" t="str">
            <v>/hr</v>
          </cell>
          <cell r="F443"/>
          <cell r="G443"/>
          <cell r="H443" t="str">
            <v>C.U. Total:</v>
          </cell>
          <cell r="I443">
            <v>4.49</v>
          </cell>
          <cell r="J443" t="str">
            <v>m3</v>
          </cell>
          <cell r="K443"/>
          <cell r="L443"/>
        </row>
        <row r="444">
          <cell r="A444"/>
          <cell r="B444" t="str">
            <v>Codigo</v>
          </cell>
          <cell r="C444" t="str">
            <v>Recurso</v>
          </cell>
          <cell r="D444"/>
          <cell r="E444"/>
          <cell r="F444" t="str">
            <v>UND</v>
          </cell>
          <cell r="G444" t="str">
            <v>Cuadrilla</v>
          </cell>
          <cell r="H444" t="str">
            <v>Cantidad</v>
          </cell>
          <cell r="I444" t="str">
            <v>C.U.</v>
          </cell>
          <cell r="J444" t="str">
            <v>C.Parcial</v>
          </cell>
          <cell r="K444" t="str">
            <v>SUBTOTAL</v>
          </cell>
          <cell r="L444"/>
        </row>
        <row r="445">
          <cell r="A445" t="str">
            <v>10033(C)</v>
          </cell>
          <cell r="B445" t="str">
            <v>Mano de Obra</v>
          </cell>
          <cell r="C445"/>
          <cell r="D445"/>
          <cell r="E445"/>
          <cell r="F445"/>
          <cell r="G445"/>
          <cell r="H445"/>
          <cell r="I445"/>
          <cell r="J445"/>
          <cell r="K445">
            <v>3.7199999999999998</v>
          </cell>
          <cell r="L445" t="str">
            <v>(C)</v>
          </cell>
        </row>
        <row r="446">
          <cell r="A446"/>
          <cell r="B446" t="str">
            <v>TF00002</v>
          </cell>
          <cell r="C446" t="str">
            <v>Capataz</v>
          </cell>
          <cell r="D446"/>
          <cell r="E446"/>
          <cell r="F446" t="str">
            <v>hh</v>
          </cell>
          <cell r="G446">
            <v>0.35</v>
          </cell>
          <cell r="H446">
            <v>5.1000000000000004E-2</v>
          </cell>
          <cell r="I446">
            <v>9.68</v>
          </cell>
          <cell r="J446">
            <v>0.49</v>
          </cell>
          <cell r="K446"/>
          <cell r="L446"/>
        </row>
        <row r="447">
          <cell r="A447"/>
          <cell r="B447" t="str">
            <v>TF00004</v>
          </cell>
          <cell r="C447" t="str">
            <v>Operario</v>
          </cell>
          <cell r="D447"/>
          <cell r="E447"/>
          <cell r="F447" t="str">
            <v>hh</v>
          </cell>
          <cell r="G447">
            <v>1</v>
          </cell>
          <cell r="H447">
            <v>0.14549999999999999</v>
          </cell>
          <cell r="I447">
            <v>9.2799999999999994</v>
          </cell>
          <cell r="J447">
            <v>1.35</v>
          </cell>
          <cell r="K447"/>
          <cell r="L447"/>
        </row>
        <row r="448">
          <cell r="A448"/>
          <cell r="B448" t="str">
            <v>TF00012</v>
          </cell>
          <cell r="C448" t="str">
            <v>Peón</v>
          </cell>
          <cell r="D448"/>
          <cell r="E448"/>
          <cell r="F448" t="str">
            <v>hh</v>
          </cell>
          <cell r="G448">
            <v>2</v>
          </cell>
          <cell r="H448">
            <v>0.29099999999999998</v>
          </cell>
          <cell r="I448">
            <v>6.46</v>
          </cell>
          <cell r="J448">
            <v>1.88</v>
          </cell>
          <cell r="K448"/>
          <cell r="L448"/>
        </row>
        <row r="449">
          <cell r="A449"/>
          <cell r="B449"/>
          <cell r="C449"/>
          <cell r="D449"/>
          <cell r="E449"/>
          <cell r="F449"/>
          <cell r="G449"/>
          <cell r="H449"/>
          <cell r="I449"/>
          <cell r="J449">
            <v>3.7199999999999998</v>
          </cell>
          <cell r="K449"/>
          <cell r="L449"/>
        </row>
        <row r="450">
          <cell r="A450" t="str">
            <v>10033(D)</v>
          </cell>
          <cell r="B450" t="str">
            <v>Herramientas y Equipos</v>
          </cell>
          <cell r="C450"/>
          <cell r="D450"/>
          <cell r="E450"/>
          <cell r="F450"/>
          <cell r="G450"/>
          <cell r="H450"/>
          <cell r="I450"/>
          <cell r="J450"/>
          <cell r="K450">
            <v>0.77</v>
          </cell>
          <cell r="L450" t="str">
            <v>(D)</v>
          </cell>
        </row>
        <row r="451">
          <cell r="A451"/>
          <cell r="B451" t="str">
            <v>TF00047</v>
          </cell>
          <cell r="C451" t="str">
            <v>Plancha compactadora</v>
          </cell>
          <cell r="D451"/>
          <cell r="E451"/>
          <cell r="F451" t="str">
            <v>hm</v>
          </cell>
          <cell r="G451">
            <v>1</v>
          </cell>
          <cell r="H451">
            <v>0.14549999999999999</v>
          </cell>
          <cell r="I451">
            <v>3.9938556067588329</v>
          </cell>
          <cell r="J451">
            <v>0.57999999999999996</v>
          </cell>
          <cell r="K451"/>
          <cell r="L451"/>
        </row>
        <row r="452">
          <cell r="A452"/>
          <cell r="B452" t="str">
            <v>TF00060</v>
          </cell>
          <cell r="C452" t="str">
            <v>Herramientas (% Mano Obra)</v>
          </cell>
          <cell r="D452"/>
          <cell r="E452"/>
          <cell r="F452" t="str">
            <v>%</v>
          </cell>
          <cell r="G452"/>
          <cell r="H452">
            <v>0.05</v>
          </cell>
          <cell r="I452">
            <v>3.7199999999999998</v>
          </cell>
          <cell r="J452">
            <v>0.19</v>
          </cell>
          <cell r="K452"/>
          <cell r="L452"/>
        </row>
        <row r="453">
          <cell r="A453"/>
          <cell r="B453"/>
          <cell r="C453"/>
          <cell r="D453"/>
          <cell r="E453"/>
          <cell r="F453"/>
          <cell r="G453"/>
          <cell r="H453"/>
          <cell r="I453"/>
          <cell r="J453">
            <v>0.77</v>
          </cell>
          <cell r="K453"/>
          <cell r="L453"/>
        </row>
        <row r="454">
          <cell r="A454"/>
          <cell r="B454"/>
          <cell r="C454"/>
          <cell r="D454"/>
          <cell r="E454"/>
          <cell r="F454"/>
          <cell r="G454"/>
          <cell r="H454"/>
          <cell r="I454"/>
          <cell r="J454"/>
          <cell r="K454"/>
          <cell r="L454"/>
        </row>
        <row r="455">
          <cell r="A455">
            <v>10034</v>
          </cell>
          <cell r="B455" t="str">
            <v>Partida</v>
          </cell>
          <cell r="C455">
            <v>3.05</v>
          </cell>
          <cell r="D455" t="str">
            <v>Transporte material para cama de arena d&lt;1km</v>
          </cell>
          <cell r="E455"/>
          <cell r="F455"/>
          <cell r="G455"/>
          <cell r="H455"/>
          <cell r="I455"/>
          <cell r="J455"/>
          <cell r="K455">
            <v>1.66</v>
          </cell>
          <cell r="L455"/>
        </row>
        <row r="456">
          <cell r="A456"/>
          <cell r="B456" t="str">
            <v>Rendimiento:</v>
          </cell>
          <cell r="C456">
            <v>130</v>
          </cell>
          <cell r="D456" t="str">
            <v>m3-km</v>
          </cell>
          <cell r="E456" t="str">
            <v>/hr</v>
          </cell>
          <cell r="F456"/>
          <cell r="G456"/>
          <cell r="H456" t="str">
            <v>C.U. Total:</v>
          </cell>
          <cell r="I456">
            <v>1.66</v>
          </cell>
          <cell r="J456" t="str">
            <v>m3-km</v>
          </cell>
          <cell r="K456"/>
          <cell r="L456"/>
        </row>
        <row r="457">
          <cell r="A457"/>
          <cell r="B457" t="str">
            <v>Codigo</v>
          </cell>
          <cell r="C457" t="str">
            <v>Recurso</v>
          </cell>
          <cell r="D457"/>
          <cell r="E457"/>
          <cell r="F457" t="str">
            <v>UND</v>
          </cell>
          <cell r="G457" t="str">
            <v>Cuadrilla</v>
          </cell>
          <cell r="H457" t="str">
            <v>Cantidad</v>
          </cell>
          <cell r="I457" t="str">
            <v>C.U.</v>
          </cell>
          <cell r="J457" t="str">
            <v>C.Parcial</v>
          </cell>
          <cell r="K457" t="str">
            <v>SUBTOTAL</v>
          </cell>
          <cell r="L457"/>
        </row>
        <row r="458">
          <cell r="A458" t="str">
            <v>10034(C)</v>
          </cell>
          <cell r="B458" t="str">
            <v>Mano de Obra</v>
          </cell>
          <cell r="C458"/>
          <cell r="D458"/>
          <cell r="E458"/>
          <cell r="F458"/>
          <cell r="G458"/>
          <cell r="H458"/>
          <cell r="I458"/>
          <cell r="J458"/>
          <cell r="K458">
            <v>0.05</v>
          </cell>
          <cell r="L458" t="str">
            <v>(C)</v>
          </cell>
        </row>
        <row r="459">
          <cell r="A459"/>
          <cell r="B459" t="str">
            <v>TF00002</v>
          </cell>
          <cell r="C459" t="str">
            <v>Capataz</v>
          </cell>
          <cell r="D459"/>
          <cell r="E459"/>
          <cell r="F459" t="str">
            <v>hh</v>
          </cell>
          <cell r="G459">
            <v>0.35</v>
          </cell>
          <cell r="H459">
            <v>2.6999999999999997E-3</v>
          </cell>
          <cell r="I459">
            <v>9.68</v>
          </cell>
          <cell r="J459">
            <v>0.03</v>
          </cell>
          <cell r="K459"/>
          <cell r="L459"/>
        </row>
        <row r="460">
          <cell r="A460"/>
          <cell r="B460" t="str">
            <v>TF00014</v>
          </cell>
          <cell r="C460" t="str">
            <v>Vigía</v>
          </cell>
          <cell r="D460"/>
          <cell r="E460"/>
          <cell r="F460" t="str">
            <v>hh</v>
          </cell>
          <cell r="G460">
            <v>0.33333333333333331</v>
          </cell>
          <cell r="H460">
            <v>2.5999999999999999E-3</v>
          </cell>
          <cell r="I460">
            <v>6.46</v>
          </cell>
          <cell r="J460">
            <v>0.02</v>
          </cell>
          <cell r="K460"/>
          <cell r="L460"/>
        </row>
        <row r="461">
          <cell r="A461"/>
          <cell r="B461"/>
          <cell r="C461"/>
          <cell r="D461"/>
          <cell r="E461"/>
          <cell r="F461"/>
          <cell r="G461"/>
          <cell r="H461"/>
          <cell r="I461"/>
          <cell r="J461">
            <v>0.05</v>
          </cell>
          <cell r="K461"/>
          <cell r="L461"/>
        </row>
        <row r="462">
          <cell r="A462" t="str">
            <v>10034(D)</v>
          </cell>
          <cell r="B462" t="str">
            <v>Herramientas y Equipos</v>
          </cell>
          <cell r="C462"/>
          <cell r="D462"/>
          <cell r="E462"/>
          <cell r="F462"/>
          <cell r="G462"/>
          <cell r="H462"/>
          <cell r="I462"/>
          <cell r="J462"/>
          <cell r="K462">
            <v>1.6099999999999999</v>
          </cell>
          <cell r="L462" t="str">
            <v>(D)</v>
          </cell>
        </row>
        <row r="463">
          <cell r="A463"/>
          <cell r="B463" t="str">
            <v>TF00025</v>
          </cell>
          <cell r="C463" t="str">
            <v>Cargador Frontal John Deere 744 K</v>
          </cell>
          <cell r="D463"/>
          <cell r="E463"/>
          <cell r="F463" t="str">
            <v>hm</v>
          </cell>
          <cell r="G463">
            <v>1</v>
          </cell>
          <cell r="H463">
            <v>7.7000000000000002E-3</v>
          </cell>
          <cell r="I463">
            <v>56</v>
          </cell>
          <cell r="J463">
            <v>0.43</v>
          </cell>
          <cell r="K463"/>
          <cell r="L463"/>
        </row>
        <row r="464">
          <cell r="A464"/>
          <cell r="B464" t="str">
            <v>TF00027</v>
          </cell>
          <cell r="C464" t="str">
            <v>Volquete de 17 m3</v>
          </cell>
          <cell r="D464"/>
          <cell r="E464"/>
          <cell r="F464" t="str">
            <v>hm</v>
          </cell>
          <cell r="G464">
            <v>4.8819261674461796</v>
          </cell>
          <cell r="H464">
            <v>3.7600000000000001E-2</v>
          </cell>
          <cell r="I464">
            <v>31</v>
          </cell>
          <cell r="J464">
            <v>1.17</v>
          </cell>
          <cell r="K464"/>
          <cell r="L464"/>
        </row>
        <row r="465">
          <cell r="A465"/>
          <cell r="B465" t="str">
            <v>TF00041</v>
          </cell>
          <cell r="C465" t="str">
            <v>Luminaria 4K</v>
          </cell>
          <cell r="D465"/>
          <cell r="E465"/>
          <cell r="F465" t="str">
            <v>hm</v>
          </cell>
          <cell r="G465">
            <v>0.5</v>
          </cell>
          <cell r="H465">
            <v>3.8999999999999998E-3</v>
          </cell>
          <cell r="I465">
            <v>2.2799999999999998</v>
          </cell>
          <cell r="J465">
            <v>0.01</v>
          </cell>
          <cell r="K465"/>
          <cell r="L465"/>
        </row>
        <row r="466">
          <cell r="A466"/>
          <cell r="B466" t="str">
            <v>TF00060</v>
          </cell>
          <cell r="C466" t="str">
            <v>Herramientas (% Mano Obra)</v>
          </cell>
          <cell r="D466"/>
          <cell r="E466"/>
          <cell r="F466" t="str">
            <v>%</v>
          </cell>
          <cell r="G466"/>
          <cell r="H466">
            <v>0.05</v>
          </cell>
          <cell r="I466">
            <v>0.05</v>
          </cell>
          <cell r="J466">
            <v>0</v>
          </cell>
          <cell r="K466"/>
          <cell r="L466"/>
        </row>
        <row r="467">
          <cell r="A467"/>
          <cell r="B467"/>
          <cell r="C467"/>
          <cell r="D467"/>
          <cell r="E467"/>
          <cell r="F467"/>
          <cell r="G467"/>
          <cell r="H467"/>
          <cell r="I467"/>
          <cell r="J467">
            <v>1.6099999999999999</v>
          </cell>
          <cell r="K467"/>
          <cell r="L467"/>
        </row>
        <row r="468">
          <cell r="B468"/>
        </row>
        <row r="469">
          <cell r="A469">
            <v>10035</v>
          </cell>
          <cell r="B469" t="str">
            <v>Partida</v>
          </cell>
          <cell r="C469">
            <v>3.06</v>
          </cell>
          <cell r="D469" t="str">
            <v>Transporte material para cama de arena d&gt;1km</v>
          </cell>
          <cell r="E469"/>
          <cell r="F469"/>
          <cell r="G469"/>
          <cell r="H469"/>
          <cell r="I469"/>
          <cell r="J469"/>
          <cell r="K469">
            <v>0.42</v>
          </cell>
          <cell r="L469"/>
        </row>
        <row r="470">
          <cell r="A470"/>
          <cell r="B470" t="str">
            <v>Rendimiento:</v>
          </cell>
          <cell r="C470">
            <v>88</v>
          </cell>
          <cell r="D470" t="str">
            <v>m3-km</v>
          </cell>
          <cell r="E470" t="str">
            <v>/hr</v>
          </cell>
          <cell r="F470"/>
          <cell r="G470"/>
          <cell r="H470" t="str">
            <v>C.U. Total:</v>
          </cell>
          <cell r="I470">
            <v>0.42</v>
          </cell>
          <cell r="J470" t="str">
            <v>m3-km</v>
          </cell>
          <cell r="K470"/>
          <cell r="L470"/>
        </row>
        <row r="471">
          <cell r="A471"/>
          <cell r="B471" t="str">
            <v>Codigo</v>
          </cell>
          <cell r="C471" t="str">
            <v>Recurso</v>
          </cell>
          <cell r="D471"/>
          <cell r="E471"/>
          <cell r="F471" t="str">
            <v>UND</v>
          </cell>
          <cell r="G471" t="str">
            <v>Cuadrilla</v>
          </cell>
          <cell r="H471" t="str">
            <v>Cantidad</v>
          </cell>
          <cell r="I471" t="str">
            <v>C.U.</v>
          </cell>
          <cell r="J471" t="str">
            <v>C.Parcial</v>
          </cell>
          <cell r="K471" t="str">
            <v>SUBTOTAL</v>
          </cell>
          <cell r="L471"/>
        </row>
        <row r="472">
          <cell r="A472" t="str">
            <v>10035(C)</v>
          </cell>
          <cell r="B472" t="str">
            <v>Mano de Obra</v>
          </cell>
          <cell r="C472"/>
          <cell r="D472"/>
          <cell r="E472"/>
          <cell r="F472"/>
          <cell r="G472"/>
          <cell r="H472"/>
          <cell r="I472"/>
          <cell r="J472"/>
          <cell r="K472">
            <v>7.0000000000000007E-2</v>
          </cell>
          <cell r="L472" t="str">
            <v>(C)</v>
          </cell>
        </row>
        <row r="473">
          <cell r="A473"/>
          <cell r="B473" t="str">
            <v>TF00002</v>
          </cell>
          <cell r="C473" t="str">
            <v>Capataz</v>
          </cell>
          <cell r="D473"/>
          <cell r="E473"/>
          <cell r="F473" t="str">
            <v>hh</v>
          </cell>
          <cell r="G473">
            <v>0.35</v>
          </cell>
          <cell r="H473">
            <v>4.0000000000000001E-3</v>
          </cell>
          <cell r="I473">
            <v>9.68</v>
          </cell>
          <cell r="J473">
            <v>0.04</v>
          </cell>
          <cell r="K473"/>
          <cell r="L473"/>
        </row>
        <row r="474">
          <cell r="A474"/>
          <cell r="B474" t="str">
            <v>TF00014</v>
          </cell>
          <cell r="C474" t="str">
            <v>Vigía</v>
          </cell>
          <cell r="D474"/>
          <cell r="E474"/>
          <cell r="F474" t="str">
            <v>hh</v>
          </cell>
          <cell r="G474">
            <v>0.4</v>
          </cell>
          <cell r="H474">
            <v>4.5999999999999999E-3</v>
          </cell>
          <cell r="I474">
            <v>6.46</v>
          </cell>
          <cell r="J474">
            <v>0.03</v>
          </cell>
          <cell r="K474"/>
          <cell r="L474"/>
        </row>
        <row r="475">
          <cell r="A475"/>
          <cell r="B475"/>
          <cell r="C475"/>
          <cell r="D475"/>
          <cell r="E475"/>
          <cell r="F475"/>
          <cell r="G475"/>
          <cell r="H475"/>
          <cell r="I475"/>
          <cell r="J475">
            <v>7.0000000000000007E-2</v>
          </cell>
          <cell r="K475"/>
          <cell r="L475"/>
        </row>
        <row r="476">
          <cell r="A476" t="str">
            <v>10035(D)</v>
          </cell>
          <cell r="B476" t="str">
            <v>Herramientas y Equipos</v>
          </cell>
          <cell r="C476"/>
          <cell r="D476"/>
          <cell r="E476"/>
          <cell r="F476"/>
          <cell r="G476"/>
          <cell r="H476"/>
          <cell r="I476"/>
          <cell r="J476"/>
          <cell r="K476">
            <v>0.35</v>
          </cell>
          <cell r="L476" t="str">
            <v>(D)</v>
          </cell>
        </row>
        <row r="477">
          <cell r="A477"/>
          <cell r="B477" t="str">
            <v>TF00027</v>
          </cell>
          <cell r="C477" t="str">
            <v>Volquete de 17 m3</v>
          </cell>
          <cell r="D477"/>
          <cell r="E477"/>
          <cell r="F477" t="str">
            <v>hm</v>
          </cell>
          <cell r="G477">
            <v>1</v>
          </cell>
          <cell r="H477">
            <v>1.1399999999999999E-2</v>
          </cell>
          <cell r="I477">
            <v>31</v>
          </cell>
          <cell r="J477">
            <v>0.35</v>
          </cell>
          <cell r="K477"/>
          <cell r="L477"/>
        </row>
        <row r="478">
          <cell r="A478"/>
          <cell r="B478" t="str">
            <v>TF00060</v>
          </cell>
          <cell r="C478" t="str">
            <v>Herramientas (% Mano Obra)</v>
          </cell>
          <cell r="D478"/>
          <cell r="E478"/>
          <cell r="F478" t="str">
            <v>%</v>
          </cell>
          <cell r="G478"/>
          <cell r="H478">
            <v>0.05</v>
          </cell>
          <cell r="I478">
            <v>7.0000000000000007E-2</v>
          </cell>
          <cell r="J478">
            <v>0</v>
          </cell>
          <cell r="K478"/>
          <cell r="L478"/>
        </row>
        <row r="479">
          <cell r="A479"/>
          <cell r="B479"/>
          <cell r="C479"/>
          <cell r="D479"/>
          <cell r="E479"/>
          <cell r="F479"/>
          <cell r="G479"/>
          <cell r="H479"/>
          <cell r="I479"/>
          <cell r="J479">
            <v>0.35</v>
          </cell>
          <cell r="K479"/>
          <cell r="L479"/>
        </row>
        <row r="480">
          <cell r="B480"/>
        </row>
        <row r="481">
          <cell r="A481">
            <v>10036</v>
          </cell>
          <cell r="B481" t="str">
            <v>Partida</v>
          </cell>
          <cell r="C481">
            <v>3.07</v>
          </cell>
          <cell r="D481" t="str">
            <v>Relleno localizada en zanja con material propio</v>
          </cell>
          <cell r="E481"/>
          <cell r="F481"/>
          <cell r="G481"/>
          <cell r="H481"/>
          <cell r="I481"/>
          <cell r="J481"/>
          <cell r="K481">
            <v>2.42</v>
          </cell>
          <cell r="L481"/>
        </row>
        <row r="482">
          <cell r="A482"/>
          <cell r="B482" t="str">
            <v>Rendimiento:</v>
          </cell>
          <cell r="C482">
            <v>38</v>
          </cell>
          <cell r="D482" t="str">
            <v>m3</v>
          </cell>
          <cell r="E482" t="str">
            <v>/hr</v>
          </cell>
          <cell r="F482"/>
          <cell r="G482"/>
          <cell r="H482" t="str">
            <v>C.U. Total:</v>
          </cell>
          <cell r="I482">
            <v>2.42</v>
          </cell>
          <cell r="J482" t="str">
            <v>m3</v>
          </cell>
          <cell r="K482"/>
          <cell r="L482"/>
        </row>
        <row r="483">
          <cell r="A483"/>
          <cell r="B483" t="str">
            <v>Codigo</v>
          </cell>
          <cell r="C483" t="str">
            <v>Recurso</v>
          </cell>
          <cell r="D483"/>
          <cell r="E483"/>
          <cell r="F483" t="str">
            <v>UND</v>
          </cell>
          <cell r="G483" t="str">
            <v>Cuadrilla</v>
          </cell>
          <cell r="H483" t="str">
            <v>Cantidad</v>
          </cell>
          <cell r="I483" t="str">
            <v>C.U.</v>
          </cell>
          <cell r="J483" t="str">
            <v>C.Parcial</v>
          </cell>
          <cell r="K483" t="str">
            <v>SUBTOTAL</v>
          </cell>
          <cell r="L483"/>
        </row>
        <row r="484">
          <cell r="A484" t="str">
            <v>10036(C)</v>
          </cell>
          <cell r="B484" t="str">
            <v>Mano de Obra</v>
          </cell>
          <cell r="C484"/>
          <cell r="D484"/>
          <cell r="E484"/>
          <cell r="F484"/>
          <cell r="G484"/>
          <cell r="H484"/>
          <cell r="I484"/>
          <cell r="J484"/>
          <cell r="K484">
            <v>0.77</v>
          </cell>
          <cell r="L484" t="str">
            <v>(C)</v>
          </cell>
        </row>
        <row r="485">
          <cell r="A485"/>
          <cell r="B485" t="str">
            <v>TF00002</v>
          </cell>
          <cell r="C485" t="str">
            <v>Capataz</v>
          </cell>
          <cell r="D485"/>
          <cell r="E485"/>
          <cell r="F485" t="str">
            <v>hh</v>
          </cell>
          <cell r="G485">
            <v>0.35</v>
          </cell>
          <cell r="H485">
            <v>9.2999999999999992E-3</v>
          </cell>
          <cell r="I485">
            <v>9.68</v>
          </cell>
          <cell r="J485">
            <v>0.09</v>
          </cell>
          <cell r="K485"/>
          <cell r="L485"/>
        </row>
        <row r="486">
          <cell r="A486"/>
          <cell r="B486" t="str">
            <v>TF00012</v>
          </cell>
          <cell r="C486" t="str">
            <v>Peón</v>
          </cell>
          <cell r="D486"/>
          <cell r="E486"/>
          <cell r="F486" t="str">
            <v>hh</v>
          </cell>
          <cell r="G486">
            <v>3</v>
          </cell>
          <cell r="H486">
            <v>7.9000000000000001E-2</v>
          </cell>
          <cell r="I486">
            <v>6.46</v>
          </cell>
          <cell r="J486">
            <v>0.51</v>
          </cell>
          <cell r="K486"/>
          <cell r="L486"/>
        </row>
        <row r="487">
          <cell r="A487"/>
          <cell r="B487" t="str">
            <v>TF00014</v>
          </cell>
          <cell r="C487" t="str">
            <v>Vigía</v>
          </cell>
          <cell r="D487"/>
          <cell r="E487"/>
          <cell r="F487" t="str">
            <v>hh</v>
          </cell>
          <cell r="G487">
            <v>1</v>
          </cell>
          <cell r="H487">
            <v>2.64E-2</v>
          </cell>
          <cell r="I487">
            <v>6.46</v>
          </cell>
          <cell r="J487">
            <v>0.17</v>
          </cell>
          <cell r="K487"/>
          <cell r="L487"/>
        </row>
        <row r="488">
          <cell r="A488"/>
          <cell r="B488"/>
          <cell r="C488"/>
          <cell r="D488"/>
          <cell r="E488"/>
          <cell r="F488"/>
          <cell r="G488"/>
          <cell r="H488"/>
          <cell r="I488"/>
          <cell r="J488">
            <v>0.77</v>
          </cell>
          <cell r="K488"/>
          <cell r="L488"/>
        </row>
        <row r="489">
          <cell r="A489" t="str">
            <v>10036(D)</v>
          </cell>
          <cell r="B489" t="str">
            <v>Herramientas y Equipos</v>
          </cell>
          <cell r="C489"/>
          <cell r="D489"/>
          <cell r="E489"/>
          <cell r="F489"/>
          <cell r="G489"/>
          <cell r="H489"/>
          <cell r="I489"/>
          <cell r="J489"/>
          <cell r="K489">
            <v>1.6500000000000001</v>
          </cell>
          <cell r="L489" t="str">
            <v>(D)</v>
          </cell>
        </row>
        <row r="490">
          <cell r="A490"/>
          <cell r="B490" t="str">
            <v>TF00026</v>
          </cell>
          <cell r="C490" t="str">
            <v>Retroexcavadora Cat 420e</v>
          </cell>
          <cell r="D490"/>
          <cell r="E490"/>
          <cell r="F490" t="str">
            <v>hm</v>
          </cell>
          <cell r="G490">
            <v>0.7</v>
          </cell>
          <cell r="H490">
            <v>1.8499999999999999E-2</v>
          </cell>
          <cell r="I490">
            <v>41</v>
          </cell>
          <cell r="J490">
            <v>0.76</v>
          </cell>
          <cell r="K490"/>
          <cell r="L490"/>
        </row>
        <row r="491">
          <cell r="A491"/>
          <cell r="B491" t="str">
            <v>TF00041</v>
          </cell>
          <cell r="C491" t="str">
            <v>Luminaria 4K</v>
          </cell>
          <cell r="D491"/>
          <cell r="E491"/>
          <cell r="F491" t="str">
            <v>hm</v>
          </cell>
          <cell r="G491">
            <v>1</v>
          </cell>
          <cell r="H491">
            <v>2.64E-2</v>
          </cell>
          <cell r="I491">
            <v>2.2799999999999998</v>
          </cell>
          <cell r="J491">
            <v>0.06</v>
          </cell>
          <cell r="K491"/>
          <cell r="L491"/>
        </row>
        <row r="492">
          <cell r="A492"/>
          <cell r="B492" t="str">
            <v>TF00029</v>
          </cell>
          <cell r="C492" t="str">
            <v>Cisterna de agua 5,000 gln.</v>
          </cell>
          <cell r="D492"/>
          <cell r="E492"/>
          <cell r="F492" t="str">
            <v>hm</v>
          </cell>
          <cell r="G492">
            <v>1</v>
          </cell>
          <cell r="H492">
            <v>2.64E-2</v>
          </cell>
          <cell r="I492">
            <v>30</v>
          </cell>
          <cell r="J492">
            <v>0.79</v>
          </cell>
          <cell r="K492"/>
          <cell r="L492"/>
        </row>
        <row r="493">
          <cell r="A493"/>
          <cell r="B493" t="str">
            <v>TF00060</v>
          </cell>
          <cell r="C493" t="str">
            <v>Herramientas (% Mano Obra)</v>
          </cell>
          <cell r="D493"/>
          <cell r="E493"/>
          <cell r="F493" t="str">
            <v>%</v>
          </cell>
          <cell r="G493"/>
          <cell r="H493">
            <v>0.05</v>
          </cell>
          <cell r="I493">
            <v>0.77</v>
          </cell>
          <cell r="J493">
            <v>0.04</v>
          </cell>
          <cell r="K493"/>
          <cell r="L493"/>
        </row>
        <row r="494">
          <cell r="A494"/>
          <cell r="B494"/>
          <cell r="C494"/>
          <cell r="D494"/>
          <cell r="E494"/>
          <cell r="F494"/>
          <cell r="G494"/>
          <cell r="H494"/>
          <cell r="I494"/>
          <cell r="J494">
            <v>1.6500000000000001</v>
          </cell>
          <cell r="K494"/>
          <cell r="L494"/>
        </row>
        <row r="495">
          <cell r="A495"/>
          <cell r="B495"/>
          <cell r="C495"/>
          <cell r="D495"/>
          <cell r="E495"/>
          <cell r="F495"/>
          <cell r="G495"/>
          <cell r="H495"/>
          <cell r="I495"/>
          <cell r="J495"/>
          <cell r="K495"/>
          <cell r="L495"/>
        </row>
        <row r="496">
          <cell r="A496">
            <v>10037</v>
          </cell>
          <cell r="B496" t="str">
            <v>Partida</v>
          </cell>
          <cell r="C496">
            <v>3.08</v>
          </cell>
          <cell r="D496" t="str">
            <v>Colocación de tubería Ø10" bajo camino</v>
          </cell>
          <cell r="E496"/>
          <cell r="F496"/>
          <cell r="G496"/>
          <cell r="H496"/>
          <cell r="I496"/>
          <cell r="J496"/>
          <cell r="K496">
            <v>2.5100000000000002</v>
          </cell>
          <cell r="L496"/>
        </row>
        <row r="497">
          <cell r="A497"/>
          <cell r="B497" t="str">
            <v>Rendimiento:</v>
          </cell>
          <cell r="C497">
            <v>21</v>
          </cell>
          <cell r="D497" t="str">
            <v>m</v>
          </cell>
          <cell r="E497" t="str">
            <v>/hr</v>
          </cell>
          <cell r="F497"/>
          <cell r="G497"/>
          <cell r="H497" t="str">
            <v>C.U. Total:</v>
          </cell>
          <cell r="I497">
            <v>2.5100000000000002</v>
          </cell>
          <cell r="J497" t="str">
            <v>m</v>
          </cell>
          <cell r="K497"/>
          <cell r="L497"/>
        </row>
        <row r="498">
          <cell r="A498"/>
          <cell r="B498" t="str">
            <v>Codigo</v>
          </cell>
          <cell r="C498" t="str">
            <v>Recurso</v>
          </cell>
          <cell r="D498"/>
          <cell r="E498"/>
          <cell r="F498" t="str">
            <v>UND</v>
          </cell>
          <cell r="G498" t="str">
            <v>Cuadrilla</v>
          </cell>
          <cell r="H498" t="str">
            <v>Cantidad</v>
          </cell>
          <cell r="I498" t="str">
            <v>C.U.</v>
          </cell>
          <cell r="J498" t="str">
            <v>C.Parcial</v>
          </cell>
          <cell r="K498" t="str">
            <v>SUBTOTAL</v>
          </cell>
          <cell r="L498"/>
        </row>
        <row r="499">
          <cell r="A499" t="str">
            <v>10037(C)</v>
          </cell>
          <cell r="B499" t="str">
            <v>Mano de Obra</v>
          </cell>
          <cell r="C499"/>
          <cell r="D499"/>
          <cell r="E499"/>
          <cell r="F499"/>
          <cell r="G499"/>
          <cell r="H499"/>
          <cell r="I499"/>
          <cell r="J499"/>
          <cell r="K499">
            <v>1.2000000000000002</v>
          </cell>
          <cell r="L499" t="str">
            <v>(C)</v>
          </cell>
        </row>
        <row r="500">
          <cell r="A500"/>
          <cell r="B500" t="str">
            <v>TF00002</v>
          </cell>
          <cell r="C500" t="str">
            <v>Capataz</v>
          </cell>
          <cell r="D500"/>
          <cell r="E500"/>
          <cell r="F500" t="str">
            <v>hh</v>
          </cell>
          <cell r="G500">
            <v>0.35</v>
          </cell>
          <cell r="H500">
            <v>1.67E-2</v>
          </cell>
          <cell r="I500">
            <v>9.68</v>
          </cell>
          <cell r="J500">
            <v>0.16</v>
          </cell>
          <cell r="K500"/>
          <cell r="L500"/>
        </row>
        <row r="501">
          <cell r="A501"/>
          <cell r="B501" t="str">
            <v>TF00012</v>
          </cell>
          <cell r="C501" t="str">
            <v>Peón</v>
          </cell>
          <cell r="D501"/>
          <cell r="E501"/>
          <cell r="F501" t="str">
            <v>hh</v>
          </cell>
          <cell r="G501">
            <v>3</v>
          </cell>
          <cell r="H501">
            <v>0.1429</v>
          </cell>
          <cell r="I501">
            <v>6.46</v>
          </cell>
          <cell r="J501">
            <v>0.92</v>
          </cell>
          <cell r="K501"/>
          <cell r="L501"/>
        </row>
        <row r="502">
          <cell r="A502"/>
          <cell r="B502" t="str">
            <v>TF00014</v>
          </cell>
          <cell r="C502" t="str">
            <v>Vigía</v>
          </cell>
          <cell r="D502"/>
          <cell r="E502"/>
          <cell r="F502" t="str">
            <v>hh</v>
          </cell>
          <cell r="G502">
            <v>0.4</v>
          </cell>
          <cell r="H502">
            <v>1.9099999999999999E-2</v>
          </cell>
          <cell r="I502">
            <v>6.46</v>
          </cell>
          <cell r="J502">
            <v>0.12</v>
          </cell>
          <cell r="K502"/>
          <cell r="L502"/>
        </row>
        <row r="503">
          <cell r="A503"/>
          <cell r="B503"/>
          <cell r="C503"/>
          <cell r="D503"/>
          <cell r="E503"/>
          <cell r="F503"/>
          <cell r="G503"/>
          <cell r="H503"/>
          <cell r="I503"/>
          <cell r="J503">
            <v>1.2000000000000002</v>
          </cell>
          <cell r="K503"/>
          <cell r="L503"/>
        </row>
        <row r="504">
          <cell r="A504" t="str">
            <v>10037(D)</v>
          </cell>
          <cell r="B504" t="str">
            <v>Herramientas y Equipos</v>
          </cell>
          <cell r="C504"/>
          <cell r="D504"/>
          <cell r="E504"/>
          <cell r="F504"/>
          <cell r="G504"/>
          <cell r="H504"/>
          <cell r="I504"/>
          <cell r="J504"/>
          <cell r="K504">
            <v>1.31</v>
          </cell>
          <cell r="L504" t="str">
            <v>(D)</v>
          </cell>
        </row>
        <row r="505">
          <cell r="A505"/>
          <cell r="B505" t="str">
            <v>TF00024</v>
          </cell>
          <cell r="C505" t="str">
            <v>Excavadora John Deere 290</v>
          </cell>
          <cell r="D505"/>
          <cell r="E505"/>
          <cell r="F505" t="str">
            <v>hm</v>
          </cell>
          <cell r="G505">
            <v>0.4</v>
          </cell>
          <cell r="H505">
            <v>1.9099999999999999E-2</v>
          </cell>
          <cell r="I505">
            <v>63</v>
          </cell>
          <cell r="J505">
            <v>1.2</v>
          </cell>
          <cell r="K505"/>
          <cell r="L505"/>
        </row>
        <row r="506">
          <cell r="A506"/>
          <cell r="B506" t="str">
            <v>TF00041</v>
          </cell>
          <cell r="C506" t="str">
            <v>Luminaria 4K</v>
          </cell>
          <cell r="D506"/>
          <cell r="E506"/>
          <cell r="F506" t="str">
            <v>hm</v>
          </cell>
          <cell r="G506">
            <v>0.5</v>
          </cell>
          <cell r="H506">
            <v>2.3900000000000001E-2</v>
          </cell>
          <cell r="I506">
            <v>2.2799999999999998</v>
          </cell>
          <cell r="J506">
            <v>0.05</v>
          </cell>
          <cell r="K506"/>
          <cell r="L506"/>
        </row>
        <row r="507">
          <cell r="A507"/>
          <cell r="B507" t="str">
            <v>TF00060</v>
          </cell>
          <cell r="C507" t="str">
            <v>Herramientas (% Mano Obra)</v>
          </cell>
          <cell r="D507"/>
          <cell r="E507"/>
          <cell r="F507" t="str">
            <v>%</v>
          </cell>
          <cell r="G507"/>
          <cell r="H507">
            <v>0.05</v>
          </cell>
          <cell r="I507">
            <v>1.2000000000000002</v>
          </cell>
          <cell r="J507">
            <v>0.06</v>
          </cell>
          <cell r="K507"/>
          <cell r="L507"/>
        </row>
        <row r="508">
          <cell r="A508"/>
          <cell r="B508"/>
          <cell r="C508"/>
          <cell r="D508"/>
          <cell r="E508"/>
          <cell r="F508"/>
          <cell r="G508"/>
          <cell r="H508"/>
          <cell r="I508"/>
          <cell r="J508">
            <v>1.31</v>
          </cell>
          <cell r="K508"/>
          <cell r="L508"/>
        </row>
        <row r="509">
          <cell r="A509"/>
          <cell r="B509"/>
          <cell r="C509"/>
          <cell r="D509"/>
          <cell r="E509"/>
          <cell r="F509"/>
          <cell r="G509"/>
          <cell r="H509"/>
          <cell r="I509"/>
          <cell r="J509"/>
          <cell r="K509"/>
          <cell r="L509"/>
        </row>
        <row r="510">
          <cell r="A510">
            <v>10039</v>
          </cell>
          <cell r="B510" t="str">
            <v>Partida</v>
          </cell>
          <cell r="C510">
            <v>3.09</v>
          </cell>
          <cell r="D510" t="str">
            <v>Canal C1 revestido con concreto de sección 500x700 mm</v>
          </cell>
          <cell r="E510"/>
          <cell r="F510"/>
          <cell r="G510"/>
          <cell r="H510"/>
          <cell r="I510"/>
          <cell r="J510"/>
          <cell r="K510">
            <v>143.28</v>
          </cell>
          <cell r="L510"/>
        </row>
        <row r="511">
          <cell r="A511"/>
          <cell r="B511" t="str">
            <v>Rendimiento:</v>
          </cell>
          <cell r="C511">
            <v>0.39602191519771324</v>
          </cell>
          <cell r="D511" t="str">
            <v>m</v>
          </cell>
          <cell r="E511" t="str">
            <v>/hr</v>
          </cell>
          <cell r="F511"/>
          <cell r="G511"/>
          <cell r="H511" t="str">
            <v>C.U. Total:</v>
          </cell>
          <cell r="I511">
            <v>143.28</v>
          </cell>
          <cell r="J511" t="str">
            <v>m</v>
          </cell>
          <cell r="K511"/>
          <cell r="L511"/>
        </row>
        <row r="512">
          <cell r="A512"/>
          <cell r="B512" t="str">
            <v>Codigo</v>
          </cell>
          <cell r="C512" t="str">
            <v>Recurso</v>
          </cell>
          <cell r="D512"/>
          <cell r="E512"/>
          <cell r="F512" t="str">
            <v>UND</v>
          </cell>
          <cell r="G512" t="str">
            <v>Cuadrilla</v>
          </cell>
          <cell r="H512" t="str">
            <v>Cantidad</v>
          </cell>
          <cell r="I512" t="str">
            <v>C.U.</v>
          </cell>
          <cell r="J512" t="str">
            <v>C.Parcial</v>
          </cell>
          <cell r="K512" t="str">
            <v>SUBTOTAL</v>
          </cell>
          <cell r="L512"/>
        </row>
        <row r="513">
          <cell r="A513" t="str">
            <v>10039(B)</v>
          </cell>
          <cell r="B513" t="str">
            <v>Mano de Obra</v>
          </cell>
          <cell r="C513"/>
          <cell r="D513"/>
          <cell r="E513"/>
          <cell r="F513"/>
          <cell r="G513"/>
          <cell r="H513"/>
          <cell r="I513"/>
          <cell r="J513"/>
          <cell r="K513">
            <v>79.60799999999999</v>
          </cell>
          <cell r="L513" t="str">
            <v>(B)</v>
          </cell>
        </row>
        <row r="514">
          <cell r="A514"/>
          <cell r="B514" t="str">
            <v>TF00002</v>
          </cell>
          <cell r="C514" t="str">
            <v>Materiales para encofrado</v>
          </cell>
          <cell r="D514"/>
          <cell r="E514"/>
          <cell r="F514" t="str">
            <v>glb</v>
          </cell>
          <cell r="G514"/>
          <cell r="H514"/>
          <cell r="I514"/>
          <cell r="J514">
            <v>0</v>
          </cell>
          <cell r="K514"/>
          <cell r="L514"/>
        </row>
        <row r="515">
          <cell r="A515"/>
          <cell r="B515" t="str">
            <v>TF00014</v>
          </cell>
          <cell r="C515"/>
          <cell r="D515"/>
          <cell r="E515"/>
          <cell r="F515"/>
          <cell r="G515"/>
          <cell r="H515"/>
          <cell r="I515"/>
          <cell r="J515">
            <v>0</v>
          </cell>
          <cell r="K515"/>
          <cell r="L515"/>
        </row>
        <row r="516">
          <cell r="A516"/>
          <cell r="B516"/>
          <cell r="C516"/>
          <cell r="D516"/>
          <cell r="E516"/>
          <cell r="F516"/>
          <cell r="G516"/>
          <cell r="H516"/>
          <cell r="I516"/>
          <cell r="J516">
            <v>0</v>
          </cell>
          <cell r="K516"/>
          <cell r="L516"/>
        </row>
        <row r="517">
          <cell r="A517" t="str">
            <v>10039(C)</v>
          </cell>
          <cell r="B517" t="str">
            <v>Mano de Obra</v>
          </cell>
          <cell r="C517"/>
          <cell r="D517"/>
          <cell r="E517"/>
          <cell r="F517"/>
          <cell r="G517"/>
          <cell r="H517"/>
          <cell r="I517"/>
          <cell r="J517"/>
          <cell r="K517">
            <v>53.320999999999998</v>
          </cell>
          <cell r="L517" t="str">
            <v>(C)</v>
          </cell>
        </row>
        <row r="518">
          <cell r="A518"/>
          <cell r="B518" t="str">
            <v>TF00002</v>
          </cell>
          <cell r="C518" t="str">
            <v>Capataz</v>
          </cell>
          <cell r="D518"/>
          <cell r="E518"/>
          <cell r="F518" t="str">
            <v>hh</v>
          </cell>
          <cell r="G518"/>
          <cell r="H518"/>
          <cell r="I518"/>
          <cell r="J518">
            <v>0</v>
          </cell>
          <cell r="K518"/>
          <cell r="L518"/>
        </row>
        <row r="519">
          <cell r="A519"/>
          <cell r="B519" t="str">
            <v>TF00014</v>
          </cell>
          <cell r="C519" t="str">
            <v>Vigía</v>
          </cell>
          <cell r="D519"/>
          <cell r="E519"/>
          <cell r="F519" t="str">
            <v>hh</v>
          </cell>
          <cell r="G519"/>
          <cell r="H519"/>
          <cell r="I519"/>
          <cell r="J519">
            <v>0</v>
          </cell>
          <cell r="K519"/>
          <cell r="L519"/>
        </row>
        <row r="520">
          <cell r="A520"/>
          <cell r="B520"/>
          <cell r="C520"/>
          <cell r="D520"/>
          <cell r="E520"/>
          <cell r="F520"/>
          <cell r="G520"/>
          <cell r="H520"/>
          <cell r="I520"/>
          <cell r="J520">
            <v>0</v>
          </cell>
          <cell r="K520"/>
          <cell r="L520"/>
        </row>
        <row r="521">
          <cell r="A521" t="str">
            <v>10039(D)</v>
          </cell>
          <cell r="B521" t="str">
            <v>Herramientas y Equipos</v>
          </cell>
          <cell r="C521"/>
          <cell r="D521"/>
          <cell r="E521"/>
          <cell r="F521"/>
          <cell r="G521"/>
          <cell r="H521"/>
          <cell r="I521"/>
          <cell r="J521"/>
          <cell r="K521">
            <v>10.354200000000001</v>
          </cell>
          <cell r="L521" t="str">
            <v>(D)</v>
          </cell>
        </row>
        <row r="522">
          <cell r="A522"/>
          <cell r="B522" t="str">
            <v>TF00027</v>
          </cell>
          <cell r="C522" t="str">
            <v>Volquete de 17 m3</v>
          </cell>
          <cell r="D522"/>
          <cell r="E522"/>
          <cell r="F522" t="str">
            <v>hm</v>
          </cell>
          <cell r="G522"/>
          <cell r="H522"/>
          <cell r="I522"/>
          <cell r="J522">
            <v>0</v>
          </cell>
          <cell r="K522"/>
          <cell r="L522"/>
        </row>
        <row r="523">
          <cell r="A523"/>
          <cell r="B523" t="str">
            <v>TF00060</v>
          </cell>
          <cell r="C523" t="str">
            <v>Herramientas (% Mano Obra)</v>
          </cell>
          <cell r="D523"/>
          <cell r="E523"/>
          <cell r="F523" t="str">
            <v>%</v>
          </cell>
          <cell r="G523"/>
          <cell r="H523"/>
          <cell r="I523"/>
          <cell r="J523">
            <v>0</v>
          </cell>
          <cell r="K523"/>
          <cell r="L523"/>
        </row>
        <row r="524">
          <cell r="A524"/>
          <cell r="B524"/>
          <cell r="C524"/>
          <cell r="D524"/>
          <cell r="E524"/>
          <cell r="F524"/>
          <cell r="G524"/>
          <cell r="H524"/>
          <cell r="I524"/>
          <cell r="J524">
            <v>0</v>
          </cell>
          <cell r="K524"/>
          <cell r="L524"/>
        </row>
        <row r="525">
          <cell r="A525"/>
          <cell r="B525" t="str">
            <v>Subpartidas</v>
          </cell>
          <cell r="C525"/>
          <cell r="D525"/>
          <cell r="E525"/>
          <cell r="F525"/>
          <cell r="G525"/>
          <cell r="H525"/>
          <cell r="I525"/>
          <cell r="J525"/>
          <cell r="K525">
            <v>143.28</v>
          </cell>
          <cell r="L525" t="str">
            <v>(D)</v>
          </cell>
        </row>
        <row r="526">
          <cell r="A526"/>
          <cell r="B526" t="str">
            <v>TF00027</v>
          </cell>
          <cell r="C526" t="str">
            <v>Excavacion de canal</v>
          </cell>
          <cell r="D526"/>
          <cell r="E526"/>
          <cell r="F526" t="str">
            <v>m3</v>
          </cell>
          <cell r="G526"/>
          <cell r="H526">
            <v>0.68</v>
          </cell>
          <cell r="I526">
            <v>11.09</v>
          </cell>
          <cell r="J526">
            <v>7.54</v>
          </cell>
          <cell r="K526"/>
          <cell r="L526"/>
        </row>
        <row r="527">
          <cell r="A527"/>
          <cell r="B527" t="str">
            <v>TF00060</v>
          </cell>
          <cell r="C527" t="str">
            <v>Concreto f'c = 20 Mpa</v>
          </cell>
          <cell r="D527"/>
          <cell r="E527"/>
          <cell r="F527" t="str">
            <v>m3</v>
          </cell>
          <cell r="G527"/>
          <cell r="H527">
            <v>0.33</v>
          </cell>
          <cell r="I527">
            <v>47.7</v>
          </cell>
          <cell r="J527">
            <v>15.74</v>
          </cell>
          <cell r="K527"/>
          <cell r="L527"/>
        </row>
        <row r="528">
          <cell r="A528"/>
          <cell r="B528" t="str">
            <v>TF00060</v>
          </cell>
          <cell r="C528" t="str">
            <v>Encofrado y Desencofrado</v>
          </cell>
          <cell r="D528"/>
          <cell r="E528"/>
          <cell r="F528" t="str">
            <v>m2</v>
          </cell>
          <cell r="G528"/>
          <cell r="H528">
            <v>3.0999999999999996</v>
          </cell>
          <cell r="I528">
            <v>38.71</v>
          </cell>
          <cell r="J528">
            <v>120</v>
          </cell>
          <cell r="K528"/>
          <cell r="L528"/>
        </row>
        <row r="529">
          <cell r="A529"/>
          <cell r="B529"/>
          <cell r="C529"/>
          <cell r="D529"/>
          <cell r="E529"/>
          <cell r="F529"/>
          <cell r="G529"/>
          <cell r="H529"/>
          <cell r="I529"/>
          <cell r="J529">
            <v>143.28</v>
          </cell>
          <cell r="K529"/>
          <cell r="L529"/>
        </row>
        <row r="530">
          <cell r="A530"/>
          <cell r="B530"/>
          <cell r="C530"/>
          <cell r="D530"/>
          <cell r="E530"/>
          <cell r="F530"/>
          <cell r="G530"/>
          <cell r="H530"/>
          <cell r="I530"/>
          <cell r="J530"/>
          <cell r="K530"/>
          <cell r="L530"/>
        </row>
        <row r="531">
          <cell r="A531"/>
          <cell r="B531" t="str">
            <v>Subpartida</v>
          </cell>
          <cell r="C531"/>
          <cell r="D531" t="str">
            <v>Excavacion de canal</v>
          </cell>
          <cell r="E531"/>
          <cell r="F531"/>
          <cell r="G531"/>
          <cell r="H531"/>
          <cell r="I531"/>
          <cell r="J531"/>
          <cell r="K531">
            <v>11.09</v>
          </cell>
          <cell r="L531"/>
        </row>
        <row r="532">
          <cell r="B532" t="str">
            <v>Rendimiento:</v>
          </cell>
          <cell r="C532">
            <v>3.5</v>
          </cell>
          <cell r="D532" t="str">
            <v>m3</v>
          </cell>
          <cell r="E532" t="str">
            <v>/hr</v>
          </cell>
          <cell r="F532"/>
          <cell r="G532"/>
          <cell r="H532" t="str">
            <v>C.U. Total:</v>
          </cell>
          <cell r="I532">
            <v>11.09</v>
          </cell>
          <cell r="J532" t="str">
            <v>m3</v>
          </cell>
        </row>
        <row r="533">
          <cell r="A533"/>
          <cell r="B533" t="str">
            <v>Codigo</v>
          </cell>
          <cell r="C533" t="str">
            <v>Recurso</v>
          </cell>
          <cell r="D533"/>
          <cell r="E533"/>
          <cell r="F533" t="str">
            <v>UND</v>
          </cell>
          <cell r="G533" t="str">
            <v>Cuadrilla</v>
          </cell>
          <cell r="H533" t="str">
            <v>Cantidad</v>
          </cell>
          <cell r="I533" t="str">
            <v>C.U.</v>
          </cell>
          <cell r="J533" t="str">
            <v>C.Parcial</v>
          </cell>
          <cell r="K533" t="str">
            <v>SUBTOTAL</v>
          </cell>
          <cell r="L533"/>
        </row>
        <row r="534">
          <cell r="A534"/>
          <cell r="B534" t="str">
            <v>Mano de Obra</v>
          </cell>
          <cell r="C534"/>
          <cell r="D534"/>
          <cell r="E534"/>
          <cell r="F534"/>
          <cell r="G534"/>
          <cell r="H534"/>
          <cell r="I534"/>
          <cell r="J534"/>
          <cell r="K534">
            <v>4.67</v>
          </cell>
          <cell r="L534" t="str">
            <v>(C)</v>
          </cell>
        </row>
        <row r="535">
          <cell r="A535"/>
          <cell r="B535" t="str">
            <v>TF00002</v>
          </cell>
          <cell r="C535" t="str">
            <v>Capataz</v>
          </cell>
          <cell r="D535"/>
          <cell r="E535"/>
          <cell r="F535" t="str">
            <v>hh</v>
          </cell>
          <cell r="G535">
            <v>0.35</v>
          </cell>
          <cell r="H535">
            <v>0.1</v>
          </cell>
          <cell r="I535">
            <v>9.68</v>
          </cell>
          <cell r="J535">
            <v>0.97</v>
          </cell>
          <cell r="K535"/>
          <cell r="L535"/>
        </row>
        <row r="536">
          <cell r="A536"/>
          <cell r="B536" t="str">
            <v>TF00012</v>
          </cell>
          <cell r="C536" t="str">
            <v>Peón</v>
          </cell>
          <cell r="D536"/>
          <cell r="E536"/>
          <cell r="F536" t="str">
            <v>hh</v>
          </cell>
          <cell r="G536">
            <v>1</v>
          </cell>
          <cell r="H536">
            <v>0.2858</v>
          </cell>
          <cell r="I536">
            <v>6.46</v>
          </cell>
          <cell r="J536">
            <v>1.85</v>
          </cell>
          <cell r="K536"/>
          <cell r="L536"/>
        </row>
        <row r="537">
          <cell r="A537"/>
          <cell r="B537" t="str">
            <v>TF00014</v>
          </cell>
          <cell r="C537" t="str">
            <v>Vigía</v>
          </cell>
          <cell r="D537"/>
          <cell r="E537"/>
          <cell r="F537" t="str">
            <v>hh</v>
          </cell>
          <cell r="G537">
            <v>1</v>
          </cell>
          <cell r="H537">
            <v>0.2858</v>
          </cell>
          <cell r="I537">
            <v>6.46</v>
          </cell>
          <cell r="J537">
            <v>1.85</v>
          </cell>
          <cell r="K537"/>
          <cell r="L537"/>
        </row>
        <row r="538">
          <cell r="A538"/>
          <cell r="B538"/>
          <cell r="C538"/>
          <cell r="D538"/>
          <cell r="E538"/>
          <cell r="F538"/>
          <cell r="G538"/>
          <cell r="H538"/>
          <cell r="I538"/>
          <cell r="J538">
            <v>4.67</v>
          </cell>
          <cell r="K538"/>
          <cell r="L538"/>
        </row>
        <row r="539">
          <cell r="A539"/>
          <cell r="B539" t="str">
            <v>Herramientas y Equipos</v>
          </cell>
          <cell r="C539"/>
          <cell r="D539"/>
          <cell r="E539"/>
          <cell r="F539"/>
          <cell r="G539"/>
          <cell r="H539"/>
          <cell r="I539"/>
          <cell r="J539"/>
          <cell r="K539">
            <v>6.4200000000000008</v>
          </cell>
          <cell r="L539" t="str">
            <v>(D)</v>
          </cell>
        </row>
        <row r="540">
          <cell r="A540"/>
          <cell r="B540" t="str">
            <v>TF00026</v>
          </cell>
          <cell r="C540" t="str">
            <v>Retroexcavadora Cat 420e</v>
          </cell>
          <cell r="D540"/>
          <cell r="E540"/>
          <cell r="F540" t="str">
            <v>hm</v>
          </cell>
          <cell r="G540">
            <v>0.5</v>
          </cell>
          <cell r="H540">
            <v>0.1429</v>
          </cell>
          <cell r="I540">
            <v>41</v>
          </cell>
          <cell r="J540">
            <v>5.86</v>
          </cell>
          <cell r="K540"/>
          <cell r="L540"/>
        </row>
        <row r="541">
          <cell r="A541"/>
          <cell r="B541" t="str">
            <v>TF00041</v>
          </cell>
          <cell r="C541" t="str">
            <v>Luminaria 4K</v>
          </cell>
          <cell r="D541"/>
          <cell r="E541"/>
          <cell r="F541" t="str">
            <v>hm</v>
          </cell>
          <cell r="G541">
            <v>0.5</v>
          </cell>
          <cell r="H541">
            <v>0.1429</v>
          </cell>
          <cell r="I541">
            <v>2.2799999999999998</v>
          </cell>
          <cell r="J541">
            <v>0.33</v>
          </cell>
          <cell r="K541"/>
          <cell r="L541"/>
        </row>
        <row r="542">
          <cell r="A542"/>
          <cell r="B542" t="str">
            <v>TF00060</v>
          </cell>
          <cell r="C542" t="str">
            <v>Herramientas (% Mano Obra)</v>
          </cell>
          <cell r="D542"/>
          <cell r="E542"/>
          <cell r="F542" t="str">
            <v>%</v>
          </cell>
          <cell r="G542"/>
          <cell r="H542">
            <v>0.05</v>
          </cell>
          <cell r="I542">
            <v>4.67</v>
          </cell>
          <cell r="J542">
            <v>0.23</v>
          </cell>
          <cell r="K542"/>
          <cell r="L542"/>
        </row>
        <row r="543">
          <cell r="A543"/>
          <cell r="B543"/>
          <cell r="C543"/>
          <cell r="D543"/>
          <cell r="E543"/>
          <cell r="F543"/>
          <cell r="G543"/>
          <cell r="H543"/>
          <cell r="I543"/>
          <cell r="J543">
            <v>6.4200000000000008</v>
          </cell>
          <cell r="K543"/>
          <cell r="L543"/>
        </row>
        <row r="544">
          <cell r="A544"/>
          <cell r="B544"/>
          <cell r="C544"/>
          <cell r="D544"/>
          <cell r="E544"/>
          <cell r="F544"/>
          <cell r="G544"/>
          <cell r="H544"/>
          <cell r="I544"/>
          <cell r="J544"/>
          <cell r="K544"/>
          <cell r="L544"/>
        </row>
        <row r="545">
          <cell r="A545"/>
          <cell r="B545" t="str">
            <v>Partida</v>
          </cell>
          <cell r="C545"/>
          <cell r="D545" t="str">
            <v>Concreto f'c = 20 Mpa</v>
          </cell>
          <cell r="E545"/>
          <cell r="F545"/>
          <cell r="G545"/>
          <cell r="H545"/>
          <cell r="I545"/>
          <cell r="J545"/>
          <cell r="K545">
            <v>47.7</v>
          </cell>
          <cell r="L545"/>
        </row>
        <row r="546">
          <cell r="A546"/>
          <cell r="B546" t="str">
            <v>Rendimiento:</v>
          </cell>
          <cell r="C546">
            <v>1.33</v>
          </cell>
          <cell r="D546" t="str">
            <v>m3</v>
          </cell>
          <cell r="E546" t="str">
            <v>/hr</v>
          </cell>
          <cell r="F546"/>
          <cell r="G546"/>
          <cell r="H546" t="str">
            <v>C.U. Total:</v>
          </cell>
          <cell r="I546">
            <v>47.7</v>
          </cell>
          <cell r="J546" t="str">
            <v>m3</v>
          </cell>
          <cell r="K546"/>
          <cell r="L546"/>
        </row>
        <row r="547">
          <cell r="A547"/>
          <cell r="B547" t="str">
            <v>Codigo</v>
          </cell>
          <cell r="C547" t="str">
            <v>Recurso</v>
          </cell>
          <cell r="D547"/>
          <cell r="E547"/>
          <cell r="F547" t="str">
            <v>UND</v>
          </cell>
          <cell r="G547" t="str">
            <v>Cuadrilla</v>
          </cell>
          <cell r="H547" t="str">
            <v>Cantidad</v>
          </cell>
          <cell r="I547" t="str">
            <v>C.U.</v>
          </cell>
          <cell r="J547" t="str">
            <v>C.Parcial</v>
          </cell>
          <cell r="K547" t="str">
            <v>SUBTOTAL</v>
          </cell>
          <cell r="L547"/>
        </row>
        <row r="548">
          <cell r="A548"/>
          <cell r="B548" t="str">
            <v>Materiales</v>
          </cell>
          <cell r="C548"/>
          <cell r="D548"/>
          <cell r="E548"/>
          <cell r="F548"/>
          <cell r="G548"/>
          <cell r="H548"/>
          <cell r="I548"/>
          <cell r="J548"/>
          <cell r="K548">
            <v>0</v>
          </cell>
          <cell r="L548" t="str">
            <v>(B)</v>
          </cell>
        </row>
        <row r="549">
          <cell r="A549"/>
          <cell r="B549" t="str">
            <v>TF00090</v>
          </cell>
          <cell r="C549" t="str">
            <v>Bomba móvil con pluma</v>
          </cell>
          <cell r="D549"/>
          <cell r="E549"/>
          <cell r="F549" t="str">
            <v>hm</v>
          </cell>
          <cell r="G549"/>
          <cell r="H549" t="str">
            <v>Suministrado por Antamina a pie de obra</v>
          </cell>
          <cell r="I549"/>
          <cell r="J549"/>
          <cell r="K549"/>
          <cell r="L549"/>
        </row>
        <row r="550">
          <cell r="A550"/>
          <cell r="B550" t="str">
            <v>Mano de Obra</v>
          </cell>
          <cell r="C550"/>
          <cell r="D550"/>
          <cell r="E550"/>
          <cell r="F550"/>
          <cell r="G550"/>
          <cell r="H550"/>
          <cell r="I550"/>
          <cell r="J550"/>
          <cell r="K550">
            <v>39.980000000000004</v>
          </cell>
          <cell r="L550" t="str">
            <v>(C)</v>
          </cell>
        </row>
        <row r="551">
          <cell r="A551"/>
          <cell r="B551" t="str">
            <v>TF00002</v>
          </cell>
          <cell r="C551" t="str">
            <v>Capataz</v>
          </cell>
          <cell r="D551"/>
          <cell r="E551"/>
          <cell r="F551" t="str">
            <v>hh</v>
          </cell>
          <cell r="G551">
            <v>0.35</v>
          </cell>
          <cell r="H551">
            <v>0.26319999999999999</v>
          </cell>
          <cell r="I551">
            <v>9.68</v>
          </cell>
          <cell r="J551">
            <v>2.5499999999999998</v>
          </cell>
          <cell r="K551"/>
          <cell r="L551"/>
        </row>
        <row r="552">
          <cell r="A552"/>
          <cell r="B552" t="str">
            <v>TF00004</v>
          </cell>
          <cell r="C552" t="str">
            <v>Operario</v>
          </cell>
          <cell r="D552"/>
          <cell r="E552"/>
          <cell r="F552" t="str">
            <v>hh</v>
          </cell>
          <cell r="G552">
            <v>1</v>
          </cell>
          <cell r="H552">
            <v>0.75190000000000001</v>
          </cell>
          <cell r="I552">
            <v>9.2799999999999994</v>
          </cell>
          <cell r="J552">
            <v>6.98</v>
          </cell>
          <cell r="K552"/>
          <cell r="L552"/>
        </row>
        <row r="553">
          <cell r="A553"/>
          <cell r="B553" t="str">
            <v>TF00011</v>
          </cell>
          <cell r="C553" t="str">
            <v>Oficial</v>
          </cell>
          <cell r="D553"/>
          <cell r="E553"/>
          <cell r="F553" t="str">
            <v>hh</v>
          </cell>
          <cell r="G553">
            <v>2</v>
          </cell>
          <cell r="H553">
            <v>1.5038</v>
          </cell>
          <cell r="I553">
            <v>7.33</v>
          </cell>
          <cell r="J553">
            <v>11.02</v>
          </cell>
          <cell r="K553"/>
          <cell r="L553"/>
        </row>
        <row r="554">
          <cell r="A554"/>
          <cell r="B554" t="str">
            <v>TF00012</v>
          </cell>
          <cell r="C554" t="str">
            <v>Peón</v>
          </cell>
          <cell r="D554"/>
          <cell r="E554"/>
          <cell r="F554" t="str">
            <v>hh</v>
          </cell>
          <cell r="G554">
            <v>4</v>
          </cell>
          <cell r="H554">
            <v>3.0076000000000001</v>
          </cell>
          <cell r="I554">
            <v>6.46</v>
          </cell>
          <cell r="J554">
            <v>19.43</v>
          </cell>
          <cell r="K554"/>
          <cell r="L554"/>
        </row>
        <row r="555">
          <cell r="A555"/>
          <cell r="B555"/>
          <cell r="C555"/>
          <cell r="D555"/>
          <cell r="E555"/>
          <cell r="F555"/>
          <cell r="G555"/>
          <cell r="H555"/>
          <cell r="I555"/>
          <cell r="J555">
            <v>39.980000000000004</v>
          </cell>
          <cell r="K555"/>
          <cell r="L555"/>
        </row>
        <row r="556">
          <cell r="A556"/>
          <cell r="B556" t="str">
            <v>Herramientas y Equipos</v>
          </cell>
          <cell r="C556"/>
          <cell r="D556"/>
          <cell r="E556"/>
          <cell r="F556"/>
          <cell r="G556"/>
          <cell r="H556"/>
          <cell r="I556"/>
          <cell r="J556"/>
          <cell r="K556">
            <v>7.72</v>
          </cell>
          <cell r="L556" t="str">
            <v>(D)</v>
          </cell>
        </row>
        <row r="557">
          <cell r="A557"/>
          <cell r="B557" t="str">
            <v>TF00046</v>
          </cell>
          <cell r="C557" t="str">
            <v>Vibrador de concreto 4 HP 2.4"</v>
          </cell>
          <cell r="D557"/>
          <cell r="E557"/>
          <cell r="F557" t="str">
            <v>hm</v>
          </cell>
          <cell r="G557">
            <v>1</v>
          </cell>
          <cell r="H557">
            <v>0.75190000000000001</v>
          </cell>
          <cell r="I557">
            <v>7.61</v>
          </cell>
          <cell r="J557">
            <v>5.72</v>
          </cell>
          <cell r="K557"/>
          <cell r="L557"/>
        </row>
        <row r="558">
          <cell r="A558"/>
          <cell r="B558" t="str">
            <v>TF00045</v>
          </cell>
          <cell r="C558" t="str">
            <v>Bomba móvil con pluma</v>
          </cell>
          <cell r="D558"/>
          <cell r="E558"/>
          <cell r="F558" t="str">
            <v>hm</v>
          </cell>
          <cell r="G558"/>
          <cell r="H558" t="str">
            <v>Suministrado por Antamina a pie de obra</v>
          </cell>
          <cell r="I558"/>
          <cell r="J558"/>
          <cell r="K558"/>
          <cell r="L558"/>
        </row>
        <row r="559">
          <cell r="A559"/>
          <cell r="B559" t="str">
            <v>TF00060</v>
          </cell>
          <cell r="C559" t="str">
            <v>Herramientas (% Mano Obra)</v>
          </cell>
          <cell r="D559"/>
          <cell r="E559"/>
          <cell r="F559" t="str">
            <v>%</v>
          </cell>
          <cell r="G559"/>
          <cell r="H559">
            <v>0.05</v>
          </cell>
          <cell r="I559">
            <v>39.980000000000004</v>
          </cell>
          <cell r="J559">
            <v>2</v>
          </cell>
          <cell r="K559"/>
          <cell r="L559"/>
        </row>
        <row r="560">
          <cell r="A560"/>
          <cell r="B560"/>
          <cell r="C560"/>
          <cell r="D560"/>
          <cell r="E560"/>
          <cell r="F560"/>
          <cell r="G560"/>
          <cell r="H560"/>
          <cell r="I560"/>
          <cell r="J560">
            <v>7.72</v>
          </cell>
          <cell r="K560"/>
          <cell r="L560"/>
        </row>
        <row r="561">
          <cell r="A561"/>
          <cell r="B561"/>
          <cell r="C561"/>
          <cell r="D561"/>
          <cell r="E561"/>
          <cell r="F561"/>
          <cell r="G561"/>
          <cell r="H561"/>
          <cell r="I561"/>
          <cell r="J561"/>
          <cell r="K561"/>
          <cell r="L561"/>
        </row>
        <row r="562">
          <cell r="A562"/>
          <cell r="B562" t="str">
            <v>Subpartida</v>
          </cell>
          <cell r="C562"/>
          <cell r="D562" t="str">
            <v>Encofrado y Desencofrado</v>
          </cell>
          <cell r="E562"/>
          <cell r="F562"/>
          <cell r="G562"/>
          <cell r="H562"/>
          <cell r="I562"/>
          <cell r="J562"/>
          <cell r="K562">
            <v>38.71</v>
          </cell>
          <cell r="L562"/>
        </row>
        <row r="563">
          <cell r="A563"/>
          <cell r="B563" t="str">
            <v>Rendimiento:</v>
          </cell>
          <cell r="C563">
            <v>2.2200000000000002</v>
          </cell>
          <cell r="D563" t="str">
            <v>m2</v>
          </cell>
          <cell r="E563" t="str">
            <v>/hr</v>
          </cell>
          <cell r="F563"/>
          <cell r="G563"/>
          <cell r="H563" t="str">
            <v>C.U. Total:</v>
          </cell>
          <cell r="I563">
            <v>38.71</v>
          </cell>
          <cell r="J563" t="str">
            <v>m2</v>
          </cell>
          <cell r="K563"/>
          <cell r="L563"/>
        </row>
        <row r="564">
          <cell r="A564"/>
          <cell r="B564" t="str">
            <v>Codigo</v>
          </cell>
          <cell r="C564" t="str">
            <v>Recurso</v>
          </cell>
          <cell r="D564"/>
          <cell r="E564"/>
          <cell r="F564" t="str">
            <v>UND</v>
          </cell>
          <cell r="G564" t="str">
            <v>Cuadrilla</v>
          </cell>
          <cell r="H564" t="str">
            <v>Cantidad</v>
          </cell>
          <cell r="I564" t="str">
            <v>C.U.</v>
          </cell>
          <cell r="J564" t="str">
            <v>C.Parcial</v>
          </cell>
          <cell r="K564" t="str">
            <v>SUBTOTAL</v>
          </cell>
          <cell r="L564"/>
        </row>
        <row r="565">
          <cell r="A565" t="str">
            <v>(B)</v>
          </cell>
          <cell r="B565" t="str">
            <v>Materiales</v>
          </cell>
          <cell r="C565"/>
          <cell r="D565"/>
          <cell r="E565"/>
          <cell r="F565"/>
          <cell r="G565"/>
          <cell r="H565"/>
          <cell r="I565"/>
          <cell r="J565"/>
          <cell r="K565">
            <v>25.68</v>
          </cell>
          <cell r="L565" t="str">
            <v>(B)</v>
          </cell>
        </row>
        <row r="566">
          <cell r="A566"/>
          <cell r="B566" t="str">
            <v>TF00138</v>
          </cell>
          <cell r="C566" t="str">
            <v>Clavos C/Cabeza promedio</v>
          </cell>
          <cell r="D566"/>
          <cell r="E566"/>
          <cell r="F566" t="str">
            <v>kg</v>
          </cell>
          <cell r="G566"/>
          <cell r="H566">
            <v>0.12</v>
          </cell>
          <cell r="I566">
            <v>1.05</v>
          </cell>
          <cell r="J566">
            <v>0.13</v>
          </cell>
          <cell r="K566"/>
          <cell r="L566"/>
        </row>
        <row r="567">
          <cell r="A567"/>
          <cell r="B567" t="str">
            <v>TF00139</v>
          </cell>
          <cell r="C567" t="str">
            <v>Alambre negro N°8</v>
          </cell>
          <cell r="D567"/>
          <cell r="E567"/>
          <cell r="F567" t="str">
            <v>kg</v>
          </cell>
          <cell r="G567"/>
          <cell r="H567">
            <v>0.15</v>
          </cell>
          <cell r="I567">
            <v>1.23</v>
          </cell>
          <cell r="J567">
            <v>0.18</v>
          </cell>
          <cell r="K567"/>
          <cell r="L567"/>
        </row>
        <row r="568">
          <cell r="A568"/>
          <cell r="B568" t="str">
            <v>TF00140</v>
          </cell>
          <cell r="C568" t="str">
            <v>Madera tripley lupuna 19 mm</v>
          </cell>
          <cell r="D568"/>
          <cell r="E568"/>
          <cell r="F568" t="str">
            <v>pln</v>
          </cell>
          <cell r="G568"/>
          <cell r="H568">
            <v>0.33</v>
          </cell>
          <cell r="I568">
            <v>34</v>
          </cell>
          <cell r="J568">
            <v>11.22</v>
          </cell>
          <cell r="K568"/>
          <cell r="L568"/>
        </row>
        <row r="569">
          <cell r="A569"/>
          <cell r="B569" t="str">
            <v>TF00141</v>
          </cell>
          <cell r="C569" t="str">
            <v>Madera</v>
          </cell>
          <cell r="D569"/>
          <cell r="E569"/>
          <cell r="F569" t="str">
            <v>p2</v>
          </cell>
          <cell r="G569"/>
          <cell r="H569">
            <v>5</v>
          </cell>
          <cell r="I569">
            <v>2.83</v>
          </cell>
          <cell r="J569">
            <v>14.15</v>
          </cell>
          <cell r="K569"/>
          <cell r="L569"/>
        </row>
        <row r="570">
          <cell r="A570"/>
          <cell r="B570"/>
          <cell r="C570"/>
          <cell r="D570"/>
          <cell r="E570"/>
          <cell r="F570"/>
          <cell r="G570"/>
          <cell r="H570"/>
          <cell r="I570"/>
          <cell r="J570">
            <v>25.68</v>
          </cell>
          <cell r="K570"/>
          <cell r="L570"/>
        </row>
        <row r="571">
          <cell r="A571" t="str">
            <v>(C)</v>
          </cell>
          <cell r="B571" t="str">
            <v>Mano de Obra</v>
          </cell>
          <cell r="C571"/>
          <cell r="D571"/>
          <cell r="E571"/>
          <cell r="F571"/>
          <cell r="G571"/>
          <cell r="H571"/>
          <cell r="I571"/>
          <cell r="J571"/>
          <cell r="K571">
            <v>11.92</v>
          </cell>
          <cell r="L571" t="str">
            <v>(C)</v>
          </cell>
        </row>
        <row r="572">
          <cell r="A572"/>
          <cell r="B572" t="str">
            <v>TF00002</v>
          </cell>
          <cell r="C572" t="str">
            <v>Capataz</v>
          </cell>
          <cell r="D572"/>
          <cell r="E572"/>
          <cell r="F572" t="str">
            <v>hh</v>
          </cell>
          <cell r="G572">
            <v>0.35</v>
          </cell>
          <cell r="H572">
            <v>0.15769999999999998</v>
          </cell>
          <cell r="I572">
            <v>9.68</v>
          </cell>
          <cell r="J572">
            <v>1.53</v>
          </cell>
          <cell r="K572"/>
          <cell r="L572"/>
        </row>
        <row r="573">
          <cell r="A573"/>
          <cell r="B573" t="str">
            <v>TF00004</v>
          </cell>
          <cell r="C573" t="str">
            <v>Operario</v>
          </cell>
          <cell r="D573"/>
          <cell r="E573"/>
          <cell r="F573" t="str">
            <v>hh</v>
          </cell>
          <cell r="G573">
            <v>1</v>
          </cell>
          <cell r="H573">
            <v>0.45050000000000001</v>
          </cell>
          <cell r="I573">
            <v>9.2799999999999994</v>
          </cell>
          <cell r="J573">
            <v>4.18</v>
          </cell>
          <cell r="K573"/>
          <cell r="L573"/>
        </row>
        <row r="574">
          <cell r="A574"/>
          <cell r="B574" t="str">
            <v>TF00011</v>
          </cell>
          <cell r="C574" t="str">
            <v>Oficial</v>
          </cell>
          <cell r="D574"/>
          <cell r="E574"/>
          <cell r="F574" t="str">
            <v>hh</v>
          </cell>
          <cell r="G574">
            <v>1</v>
          </cell>
          <cell r="H574">
            <v>0.45050000000000001</v>
          </cell>
          <cell r="I574">
            <v>7.33</v>
          </cell>
          <cell r="J574">
            <v>3.3</v>
          </cell>
          <cell r="K574"/>
          <cell r="L574"/>
        </row>
        <row r="575">
          <cell r="A575"/>
          <cell r="B575" t="str">
            <v>TF00012</v>
          </cell>
          <cell r="C575" t="str">
            <v>Peón</v>
          </cell>
          <cell r="D575"/>
          <cell r="E575"/>
          <cell r="F575" t="str">
            <v>hh</v>
          </cell>
          <cell r="G575">
            <v>1</v>
          </cell>
          <cell r="H575">
            <v>0.45050000000000001</v>
          </cell>
          <cell r="I575">
            <v>6.46</v>
          </cell>
          <cell r="J575">
            <v>2.91</v>
          </cell>
          <cell r="K575"/>
          <cell r="L575"/>
        </row>
        <row r="576">
          <cell r="A576"/>
          <cell r="B576"/>
          <cell r="C576"/>
          <cell r="D576"/>
          <cell r="E576"/>
          <cell r="F576"/>
          <cell r="G576"/>
          <cell r="H576"/>
          <cell r="I576"/>
          <cell r="J576">
            <v>11.92</v>
          </cell>
          <cell r="K576"/>
          <cell r="L576"/>
        </row>
        <row r="577">
          <cell r="A577" t="str">
            <v>(D)</v>
          </cell>
          <cell r="B577" t="str">
            <v>Herramientas y Equipos</v>
          </cell>
          <cell r="C577"/>
          <cell r="D577"/>
          <cell r="E577"/>
          <cell r="F577"/>
          <cell r="G577"/>
          <cell r="H577"/>
          <cell r="I577"/>
          <cell r="J577"/>
          <cell r="K577">
            <v>1.1099999999999999</v>
          </cell>
          <cell r="L577" t="str">
            <v>(D)</v>
          </cell>
        </row>
        <row r="578">
          <cell r="A578"/>
          <cell r="B578" t="str">
            <v>TF00041</v>
          </cell>
          <cell r="C578" t="str">
            <v>Luminaria 4K</v>
          </cell>
          <cell r="D578"/>
          <cell r="E578"/>
          <cell r="F578" t="str">
            <v>hm</v>
          </cell>
          <cell r="G578">
            <v>0.5</v>
          </cell>
          <cell r="H578">
            <v>0.2253</v>
          </cell>
          <cell r="I578">
            <v>2.2799999999999998</v>
          </cell>
          <cell r="J578">
            <v>0.51</v>
          </cell>
          <cell r="K578"/>
          <cell r="L578"/>
        </row>
        <row r="579">
          <cell r="A579"/>
          <cell r="B579" t="str">
            <v>TF00060</v>
          </cell>
          <cell r="C579" t="str">
            <v>Herramientas (% Mano Obra)</v>
          </cell>
          <cell r="D579"/>
          <cell r="E579"/>
          <cell r="F579" t="str">
            <v>%</v>
          </cell>
          <cell r="G579"/>
          <cell r="H579">
            <v>0.05</v>
          </cell>
          <cell r="I579">
            <v>11.92</v>
          </cell>
          <cell r="J579">
            <v>0.6</v>
          </cell>
          <cell r="K579"/>
          <cell r="L579"/>
        </row>
        <row r="580">
          <cell r="A580"/>
          <cell r="B580"/>
          <cell r="C580"/>
          <cell r="D580"/>
          <cell r="E580"/>
          <cell r="F580"/>
          <cell r="G580"/>
          <cell r="H580"/>
          <cell r="I580"/>
          <cell r="J580">
            <v>1.1099999999999999</v>
          </cell>
          <cell r="K580"/>
          <cell r="L580"/>
        </row>
        <row r="581">
          <cell r="A581"/>
          <cell r="B581"/>
          <cell r="C581"/>
          <cell r="D581"/>
          <cell r="E581"/>
          <cell r="F581"/>
          <cell r="G581"/>
          <cell r="H581"/>
          <cell r="I581"/>
          <cell r="J581"/>
          <cell r="K581"/>
          <cell r="L581"/>
        </row>
        <row r="582">
          <cell r="A582"/>
          <cell r="B582"/>
          <cell r="C582"/>
          <cell r="D582"/>
          <cell r="E582"/>
          <cell r="F582"/>
          <cell r="G582"/>
          <cell r="H582"/>
          <cell r="I582"/>
          <cell r="J582"/>
          <cell r="K582"/>
          <cell r="L582"/>
        </row>
        <row r="583">
          <cell r="A583">
            <v>10040</v>
          </cell>
          <cell r="B583" t="str">
            <v>Partida</v>
          </cell>
          <cell r="C583">
            <v>3.1</v>
          </cell>
          <cell r="D583" t="str">
            <v>Canal C2 compactado de sección 500x700 mm</v>
          </cell>
          <cell r="E583"/>
          <cell r="F583"/>
          <cell r="G583"/>
          <cell r="H583"/>
          <cell r="I583"/>
          <cell r="J583"/>
          <cell r="K583">
            <v>2.2000000000000002</v>
          </cell>
          <cell r="L583"/>
        </row>
        <row r="584">
          <cell r="A584"/>
          <cell r="B584" t="str">
            <v>Rendimiento:</v>
          </cell>
          <cell r="C584">
            <v>9.3333333333333339</v>
          </cell>
          <cell r="D584" t="str">
            <v>m</v>
          </cell>
          <cell r="E584" t="str">
            <v>/hr</v>
          </cell>
          <cell r="F584"/>
          <cell r="G584"/>
          <cell r="H584" t="str">
            <v>C.U. Total:</v>
          </cell>
          <cell r="I584">
            <v>2.2000000000000002</v>
          </cell>
          <cell r="J584" t="str">
            <v>m</v>
          </cell>
          <cell r="K584"/>
          <cell r="L584"/>
        </row>
        <row r="585">
          <cell r="A585"/>
          <cell r="B585" t="str">
            <v>Codigo</v>
          </cell>
          <cell r="C585" t="str">
            <v>Recurso</v>
          </cell>
          <cell r="D585"/>
          <cell r="E585"/>
          <cell r="F585" t="str">
            <v>UND</v>
          </cell>
          <cell r="G585" t="str">
            <v>Cuadrilla</v>
          </cell>
          <cell r="H585" t="str">
            <v>Cantidad</v>
          </cell>
          <cell r="I585" t="str">
            <v>C.U.</v>
          </cell>
          <cell r="J585" t="str">
            <v>C.Parcial</v>
          </cell>
          <cell r="K585" t="str">
            <v>SUBTOTAL</v>
          </cell>
          <cell r="L585"/>
        </row>
        <row r="586">
          <cell r="A586" t="str">
            <v>10040(C)</v>
          </cell>
          <cell r="B586" t="str">
            <v>Mano de Obra</v>
          </cell>
          <cell r="C586"/>
          <cell r="D586"/>
          <cell r="E586"/>
          <cell r="F586"/>
          <cell r="G586"/>
          <cell r="H586"/>
          <cell r="I586"/>
          <cell r="J586"/>
          <cell r="K586">
            <v>1.0699999999999998</v>
          </cell>
          <cell r="L586" t="str">
            <v>(C)</v>
          </cell>
        </row>
        <row r="587">
          <cell r="A587"/>
          <cell r="B587" t="str">
            <v>TF00002</v>
          </cell>
          <cell r="C587" t="str">
            <v>Capataz</v>
          </cell>
          <cell r="D587"/>
          <cell r="E587"/>
          <cell r="F587" t="str">
            <v>hh</v>
          </cell>
          <cell r="G587">
            <v>0.35</v>
          </cell>
          <cell r="H587">
            <v>8.7999999999999988E-3</v>
          </cell>
          <cell r="I587">
            <v>9.68</v>
          </cell>
          <cell r="J587">
            <v>0.09</v>
          </cell>
          <cell r="K587"/>
          <cell r="L587"/>
        </row>
        <row r="588">
          <cell r="A588"/>
          <cell r="B588" t="str">
            <v>TF00004</v>
          </cell>
          <cell r="C588" t="str">
            <v>Operario</v>
          </cell>
          <cell r="D588"/>
          <cell r="E588"/>
          <cell r="F588" t="str">
            <v>hh</v>
          </cell>
          <cell r="G588">
            <v>0.5</v>
          </cell>
          <cell r="H588">
            <v>5.3600000000000002E-2</v>
          </cell>
          <cell r="I588">
            <v>9.2799999999999994</v>
          </cell>
          <cell r="J588">
            <v>0.5</v>
          </cell>
          <cell r="K588"/>
          <cell r="L588"/>
        </row>
        <row r="589">
          <cell r="A589"/>
          <cell r="B589" t="str">
            <v>TF00012</v>
          </cell>
          <cell r="C589" t="str">
            <v>Peón</v>
          </cell>
          <cell r="D589"/>
          <cell r="E589"/>
          <cell r="F589" t="str">
            <v>hh</v>
          </cell>
          <cell r="G589">
            <v>2</v>
          </cell>
          <cell r="H589">
            <v>0.05</v>
          </cell>
          <cell r="I589">
            <v>6.46</v>
          </cell>
          <cell r="J589">
            <v>0.32</v>
          </cell>
          <cell r="K589"/>
          <cell r="L589"/>
        </row>
        <row r="590">
          <cell r="A590"/>
          <cell r="B590" t="str">
            <v>TF00014</v>
          </cell>
          <cell r="C590" t="str">
            <v>Vigía</v>
          </cell>
          <cell r="D590"/>
          <cell r="E590"/>
          <cell r="F590" t="str">
            <v>hh</v>
          </cell>
          <cell r="G590">
            <v>1</v>
          </cell>
          <cell r="H590">
            <v>2.5000000000000001E-2</v>
          </cell>
          <cell r="I590">
            <v>6.46</v>
          </cell>
          <cell r="J590">
            <v>0.16</v>
          </cell>
          <cell r="K590"/>
          <cell r="L590"/>
        </row>
        <row r="591">
          <cell r="A591"/>
          <cell r="B591"/>
          <cell r="C591"/>
          <cell r="D591"/>
          <cell r="E591"/>
          <cell r="F591"/>
          <cell r="G591"/>
          <cell r="H591"/>
          <cell r="I591"/>
          <cell r="J591">
            <v>1.0699999999999998</v>
          </cell>
          <cell r="K591"/>
          <cell r="L591"/>
        </row>
        <row r="592">
          <cell r="A592" t="str">
            <v>10040(D)</v>
          </cell>
          <cell r="B592" t="str">
            <v>Herramientas y Equipos</v>
          </cell>
          <cell r="C592"/>
          <cell r="D592"/>
          <cell r="E592"/>
          <cell r="F592"/>
          <cell r="G592"/>
          <cell r="H592"/>
          <cell r="I592"/>
          <cell r="J592"/>
          <cell r="K592">
            <v>1.1300000000000001</v>
          </cell>
          <cell r="L592" t="str">
            <v>(D)</v>
          </cell>
        </row>
        <row r="593">
          <cell r="A593"/>
          <cell r="B593" t="str">
            <v>TF00026</v>
          </cell>
          <cell r="C593" t="str">
            <v>Retroexcavadora Cat 420e</v>
          </cell>
          <cell r="D593"/>
          <cell r="E593"/>
          <cell r="F593" t="str">
            <v>hm</v>
          </cell>
          <cell r="G593">
            <v>1</v>
          </cell>
          <cell r="H593">
            <v>2.5000000000000001E-2</v>
          </cell>
          <cell r="I593">
            <v>41</v>
          </cell>
          <cell r="J593">
            <v>1.03</v>
          </cell>
          <cell r="K593"/>
          <cell r="L593"/>
        </row>
        <row r="594">
          <cell r="A594"/>
          <cell r="B594" t="str">
            <v>TF00047</v>
          </cell>
          <cell r="C594" t="str">
            <v>Plancha compactadora</v>
          </cell>
          <cell r="D594"/>
          <cell r="E594"/>
          <cell r="F594" t="str">
            <v>hm</v>
          </cell>
          <cell r="G594">
            <v>0.5</v>
          </cell>
          <cell r="H594">
            <v>1.2500000000000001E-2</v>
          </cell>
          <cell r="I594">
            <v>3.9938556067588329</v>
          </cell>
          <cell r="J594">
            <v>0.05</v>
          </cell>
          <cell r="K594"/>
          <cell r="L594"/>
        </row>
        <row r="595">
          <cell r="A595"/>
          <cell r="B595" t="str">
            <v>TF00060</v>
          </cell>
          <cell r="C595" t="str">
            <v>Herramientas (% Mano Obra)</v>
          </cell>
          <cell r="D595"/>
          <cell r="E595"/>
          <cell r="F595" t="str">
            <v>%</v>
          </cell>
          <cell r="G595"/>
          <cell r="H595">
            <v>0.05</v>
          </cell>
          <cell r="I595">
            <v>1.0699999999999998</v>
          </cell>
          <cell r="J595">
            <v>0.05</v>
          </cell>
          <cell r="K595"/>
          <cell r="L595"/>
        </row>
        <row r="596">
          <cell r="A596"/>
          <cell r="B596"/>
          <cell r="C596"/>
          <cell r="D596"/>
          <cell r="E596"/>
          <cell r="F596"/>
          <cell r="G596"/>
          <cell r="H596"/>
          <cell r="I596"/>
          <cell r="J596">
            <v>1.1300000000000001</v>
          </cell>
          <cell r="K596"/>
          <cell r="L596"/>
        </row>
        <row r="597">
          <cell r="A597"/>
          <cell r="B597"/>
          <cell r="C597"/>
          <cell r="D597"/>
          <cell r="E597"/>
          <cell r="F597"/>
          <cell r="G597"/>
          <cell r="H597"/>
          <cell r="I597"/>
          <cell r="J597"/>
          <cell r="K597"/>
          <cell r="L597"/>
        </row>
        <row r="598">
          <cell r="A598">
            <v>10041</v>
          </cell>
          <cell r="B598" t="str">
            <v>Partida</v>
          </cell>
          <cell r="C598">
            <v>3.11</v>
          </cell>
          <cell r="D598" t="str">
            <v>Canal C3 o de drenaje revestido con geomembrana de sección 500x700 mm excavación con medios mecánicos</v>
          </cell>
          <cell r="E598"/>
          <cell r="F598"/>
          <cell r="G598"/>
          <cell r="H598"/>
          <cell r="I598"/>
          <cell r="J598"/>
          <cell r="K598">
            <v>43.812199999999997</v>
          </cell>
          <cell r="L598"/>
        </row>
        <row r="599">
          <cell r="A599"/>
          <cell r="B599" t="str">
            <v>Rendimiento:</v>
          </cell>
          <cell r="C599">
            <v>1.4644351464435148</v>
          </cell>
          <cell r="D599" t="str">
            <v>m</v>
          </cell>
          <cell r="E599" t="str">
            <v>/hr</v>
          </cell>
          <cell r="F599"/>
          <cell r="G599"/>
          <cell r="H599" t="str">
            <v>C.U. Total:</v>
          </cell>
          <cell r="I599">
            <v>43.812199999999997</v>
          </cell>
          <cell r="J599" t="str">
            <v>m</v>
          </cell>
          <cell r="K599"/>
          <cell r="L599"/>
        </row>
        <row r="600">
          <cell r="A600"/>
          <cell r="B600" t="str">
            <v>Codigo</v>
          </cell>
          <cell r="C600" t="str">
            <v>Recurso</v>
          </cell>
          <cell r="D600"/>
          <cell r="E600"/>
          <cell r="F600" t="str">
            <v>UND</v>
          </cell>
          <cell r="G600" t="str">
            <v>Cuadrilla</v>
          </cell>
          <cell r="H600" t="str">
            <v>Cantidad</v>
          </cell>
          <cell r="I600" t="str">
            <v>C.U.</v>
          </cell>
          <cell r="J600" t="str">
            <v>C.Parcial</v>
          </cell>
          <cell r="K600" t="str">
            <v>SUBTOTAL</v>
          </cell>
          <cell r="L600"/>
        </row>
        <row r="601">
          <cell r="A601" t="str">
            <v>10041(C)</v>
          </cell>
          <cell r="B601" t="str">
            <v>Mano de Obra</v>
          </cell>
          <cell r="C601"/>
          <cell r="D601"/>
          <cell r="E601"/>
          <cell r="F601"/>
          <cell r="G601"/>
          <cell r="H601"/>
          <cell r="I601"/>
          <cell r="J601"/>
          <cell r="K601">
            <v>19.0976</v>
          </cell>
          <cell r="L601" t="str">
            <v>(C)</v>
          </cell>
        </row>
        <row r="602">
          <cell r="A602"/>
          <cell r="B602" t="str">
            <v>TF00002</v>
          </cell>
          <cell r="C602" t="str">
            <v>Capataz</v>
          </cell>
          <cell r="D602"/>
          <cell r="E602"/>
          <cell r="F602" t="str">
            <v>hh</v>
          </cell>
          <cell r="G602"/>
          <cell r="H602"/>
          <cell r="I602"/>
          <cell r="J602">
            <v>0</v>
          </cell>
          <cell r="K602"/>
          <cell r="L602"/>
        </row>
        <row r="603">
          <cell r="A603"/>
          <cell r="B603" t="str">
            <v>TF00014</v>
          </cell>
          <cell r="C603" t="str">
            <v>Vigía</v>
          </cell>
          <cell r="D603"/>
          <cell r="E603"/>
          <cell r="F603" t="str">
            <v>hh</v>
          </cell>
          <cell r="G603"/>
          <cell r="H603"/>
          <cell r="I603"/>
          <cell r="J603">
            <v>0</v>
          </cell>
          <cell r="K603"/>
          <cell r="L603"/>
        </row>
        <row r="604">
          <cell r="A604"/>
          <cell r="B604"/>
          <cell r="C604"/>
          <cell r="D604"/>
          <cell r="E604"/>
          <cell r="F604"/>
          <cell r="G604"/>
          <cell r="H604"/>
          <cell r="I604"/>
          <cell r="J604">
            <v>0</v>
          </cell>
          <cell r="K604"/>
          <cell r="L604"/>
        </row>
        <row r="605">
          <cell r="A605" t="str">
            <v>10041(D)</v>
          </cell>
          <cell r="B605" t="str">
            <v>Herramientas y Equipos</v>
          </cell>
          <cell r="C605"/>
          <cell r="D605"/>
          <cell r="E605"/>
          <cell r="F605"/>
          <cell r="G605"/>
          <cell r="H605"/>
          <cell r="I605"/>
          <cell r="J605"/>
          <cell r="K605">
            <v>24.714599999999997</v>
          </cell>
          <cell r="L605" t="str">
            <v>(D)</v>
          </cell>
        </row>
        <row r="606">
          <cell r="A606"/>
          <cell r="B606" t="str">
            <v>TF00027</v>
          </cell>
          <cell r="C606" t="str">
            <v>Volquete de 17 m3</v>
          </cell>
          <cell r="D606"/>
          <cell r="E606"/>
          <cell r="F606" t="str">
            <v>hm</v>
          </cell>
          <cell r="G606"/>
          <cell r="H606"/>
          <cell r="I606"/>
          <cell r="J606">
            <v>0</v>
          </cell>
          <cell r="K606"/>
          <cell r="L606"/>
        </row>
        <row r="607">
          <cell r="A607"/>
          <cell r="B607" t="str">
            <v>TF00060</v>
          </cell>
          <cell r="C607" t="str">
            <v>Herramientas (% Mano Obra)</v>
          </cell>
          <cell r="D607"/>
          <cell r="E607"/>
          <cell r="F607" t="str">
            <v>%</v>
          </cell>
          <cell r="G607"/>
          <cell r="H607"/>
          <cell r="I607"/>
          <cell r="J607">
            <v>0</v>
          </cell>
          <cell r="K607"/>
          <cell r="L607"/>
        </row>
        <row r="608">
          <cell r="A608"/>
          <cell r="B608"/>
          <cell r="C608"/>
          <cell r="D608"/>
          <cell r="E608"/>
          <cell r="F608"/>
          <cell r="G608"/>
          <cell r="H608"/>
          <cell r="I608"/>
          <cell r="J608">
            <v>0</v>
          </cell>
          <cell r="K608"/>
          <cell r="L608"/>
        </row>
        <row r="609">
          <cell r="A609"/>
          <cell r="B609" t="str">
            <v>Subpartidas</v>
          </cell>
          <cell r="C609"/>
          <cell r="D609"/>
          <cell r="E609"/>
          <cell r="F609"/>
          <cell r="G609"/>
          <cell r="H609"/>
          <cell r="I609"/>
          <cell r="J609"/>
          <cell r="K609">
            <v>43.812200000000004</v>
          </cell>
          <cell r="L609" t="str">
            <v>(D)</v>
          </cell>
        </row>
        <row r="610">
          <cell r="A610"/>
          <cell r="B610" t="str">
            <v>TF00027</v>
          </cell>
          <cell r="C610" t="str">
            <v>Excavacion de canal</v>
          </cell>
          <cell r="D610"/>
          <cell r="E610"/>
          <cell r="F610" t="str">
            <v>m3</v>
          </cell>
          <cell r="G610"/>
          <cell r="H610">
            <v>0.68</v>
          </cell>
          <cell r="I610">
            <v>11.09</v>
          </cell>
          <cell r="J610">
            <v>7.5412000000000008</v>
          </cell>
          <cell r="K610"/>
          <cell r="L610"/>
        </row>
        <row r="611">
          <cell r="A611"/>
          <cell r="B611" t="str">
            <v>TF00060</v>
          </cell>
          <cell r="C611" t="str">
            <v>Instalacion de geomembrana</v>
          </cell>
          <cell r="D611"/>
          <cell r="E611"/>
          <cell r="F611" t="str">
            <v>m2</v>
          </cell>
          <cell r="G611"/>
          <cell r="H611">
            <v>1.9</v>
          </cell>
          <cell r="I611">
            <v>19.09</v>
          </cell>
          <cell r="J611">
            <v>36.271000000000001</v>
          </cell>
          <cell r="K611"/>
          <cell r="L611"/>
        </row>
        <row r="612">
          <cell r="A612"/>
          <cell r="B612"/>
          <cell r="C612"/>
          <cell r="D612"/>
          <cell r="E612"/>
          <cell r="F612"/>
          <cell r="G612"/>
          <cell r="H612"/>
          <cell r="I612"/>
          <cell r="J612">
            <v>43.812200000000004</v>
          </cell>
          <cell r="K612"/>
          <cell r="L612"/>
        </row>
        <row r="613">
          <cell r="A613"/>
          <cell r="B613"/>
          <cell r="C613"/>
          <cell r="D613"/>
          <cell r="E613"/>
          <cell r="F613"/>
          <cell r="G613"/>
          <cell r="H613"/>
          <cell r="I613"/>
          <cell r="J613"/>
          <cell r="K613"/>
          <cell r="L613"/>
        </row>
        <row r="614">
          <cell r="A614"/>
          <cell r="B614"/>
          <cell r="C614"/>
          <cell r="D614"/>
          <cell r="E614"/>
          <cell r="F614"/>
          <cell r="G614"/>
          <cell r="H614"/>
          <cell r="I614"/>
          <cell r="J614"/>
          <cell r="K614"/>
          <cell r="L614"/>
        </row>
        <row r="615">
          <cell r="A615"/>
          <cell r="B615" t="str">
            <v>Subpartida</v>
          </cell>
          <cell r="C615"/>
          <cell r="D615" t="str">
            <v>Excavacion de canal</v>
          </cell>
          <cell r="E615"/>
          <cell r="F615"/>
          <cell r="G615"/>
          <cell r="H615"/>
          <cell r="I615"/>
          <cell r="J615"/>
          <cell r="K615">
            <v>11.09</v>
          </cell>
          <cell r="L615"/>
        </row>
        <row r="616">
          <cell r="B616" t="str">
            <v>Rendimiento:</v>
          </cell>
          <cell r="C616">
            <v>3.5</v>
          </cell>
          <cell r="D616" t="str">
            <v>m3</v>
          </cell>
          <cell r="E616" t="str">
            <v>/hr</v>
          </cell>
          <cell r="F616"/>
          <cell r="G616"/>
          <cell r="H616" t="str">
            <v>C.U. Total:</v>
          </cell>
          <cell r="I616">
            <v>11.09</v>
          </cell>
          <cell r="J616" t="str">
            <v>m3</v>
          </cell>
        </row>
        <row r="617">
          <cell r="A617"/>
          <cell r="B617" t="str">
            <v>Codigo</v>
          </cell>
          <cell r="C617" t="str">
            <v>Recurso</v>
          </cell>
          <cell r="D617"/>
          <cell r="E617"/>
          <cell r="F617" t="str">
            <v>UND</v>
          </cell>
          <cell r="G617" t="str">
            <v>Cuadrilla</v>
          </cell>
          <cell r="H617" t="str">
            <v>Cantidad</v>
          </cell>
          <cell r="I617" t="str">
            <v>C.U.</v>
          </cell>
          <cell r="J617" t="str">
            <v>C.Parcial</v>
          </cell>
          <cell r="K617" t="str">
            <v>SUBTOTAL</v>
          </cell>
          <cell r="L617"/>
        </row>
        <row r="618">
          <cell r="A618"/>
          <cell r="B618" t="str">
            <v>Mano de Obra</v>
          </cell>
          <cell r="C618"/>
          <cell r="D618"/>
          <cell r="E618"/>
          <cell r="F618"/>
          <cell r="G618"/>
          <cell r="H618"/>
          <cell r="I618"/>
          <cell r="J618"/>
          <cell r="K618">
            <v>4.67</v>
          </cell>
          <cell r="L618" t="str">
            <v>(C)</v>
          </cell>
        </row>
        <row r="619">
          <cell r="A619"/>
          <cell r="B619" t="str">
            <v>TF00002</v>
          </cell>
          <cell r="C619" t="str">
            <v>Capataz</v>
          </cell>
          <cell r="D619"/>
          <cell r="E619"/>
          <cell r="F619" t="str">
            <v>hh</v>
          </cell>
          <cell r="G619">
            <v>0.35</v>
          </cell>
          <cell r="H619">
            <v>0.1</v>
          </cell>
          <cell r="I619">
            <v>9.68</v>
          </cell>
          <cell r="J619">
            <v>0.97</v>
          </cell>
          <cell r="K619"/>
          <cell r="L619"/>
        </row>
        <row r="620">
          <cell r="A620"/>
          <cell r="B620" t="str">
            <v>TF00012</v>
          </cell>
          <cell r="C620" t="str">
            <v>Peón</v>
          </cell>
          <cell r="D620"/>
          <cell r="E620"/>
          <cell r="F620" t="str">
            <v>hh</v>
          </cell>
          <cell r="G620">
            <v>1</v>
          </cell>
          <cell r="H620">
            <v>0.2858</v>
          </cell>
          <cell r="I620">
            <v>6.46</v>
          </cell>
          <cell r="J620">
            <v>1.85</v>
          </cell>
          <cell r="K620"/>
          <cell r="L620"/>
        </row>
        <row r="621">
          <cell r="A621"/>
          <cell r="B621" t="str">
            <v>TF00014</v>
          </cell>
          <cell r="C621" t="str">
            <v>Vigía</v>
          </cell>
          <cell r="D621"/>
          <cell r="E621"/>
          <cell r="F621" t="str">
            <v>hh</v>
          </cell>
          <cell r="G621">
            <v>1</v>
          </cell>
          <cell r="H621">
            <v>0.2858</v>
          </cell>
          <cell r="I621">
            <v>6.46</v>
          </cell>
          <cell r="J621">
            <v>1.85</v>
          </cell>
          <cell r="K621"/>
          <cell r="L621"/>
        </row>
        <row r="622">
          <cell r="A622"/>
          <cell r="B622"/>
          <cell r="C622"/>
          <cell r="D622"/>
          <cell r="E622"/>
          <cell r="F622"/>
          <cell r="G622"/>
          <cell r="H622"/>
          <cell r="I622"/>
          <cell r="J622">
            <v>4.67</v>
          </cell>
          <cell r="K622"/>
          <cell r="L622"/>
        </row>
        <row r="623">
          <cell r="A623"/>
          <cell r="B623" t="str">
            <v>Herramientas y Equipos</v>
          </cell>
          <cell r="C623"/>
          <cell r="D623"/>
          <cell r="E623"/>
          <cell r="F623"/>
          <cell r="G623"/>
          <cell r="H623"/>
          <cell r="I623"/>
          <cell r="J623"/>
          <cell r="K623">
            <v>6.4200000000000008</v>
          </cell>
          <cell r="L623" t="str">
            <v>(D)</v>
          </cell>
        </row>
        <row r="624">
          <cell r="A624"/>
          <cell r="B624" t="str">
            <v>TF00026</v>
          </cell>
          <cell r="C624" t="str">
            <v>Retroexcavadora Cat 420e</v>
          </cell>
          <cell r="D624"/>
          <cell r="E624"/>
          <cell r="F624" t="str">
            <v>hm</v>
          </cell>
          <cell r="G624">
            <v>0.5</v>
          </cell>
          <cell r="H624">
            <v>0.1429</v>
          </cell>
          <cell r="I624">
            <v>41</v>
          </cell>
          <cell r="J624">
            <v>5.86</v>
          </cell>
          <cell r="K624"/>
          <cell r="L624"/>
        </row>
        <row r="625">
          <cell r="A625"/>
          <cell r="B625" t="str">
            <v>TF00041</v>
          </cell>
          <cell r="C625" t="str">
            <v>Luminaria 4K</v>
          </cell>
          <cell r="D625"/>
          <cell r="E625"/>
          <cell r="F625" t="str">
            <v>hm</v>
          </cell>
          <cell r="G625">
            <v>0.5</v>
          </cell>
          <cell r="H625">
            <v>0.1429</v>
          </cell>
          <cell r="I625">
            <v>2.2799999999999998</v>
          </cell>
          <cell r="J625">
            <v>0.33</v>
          </cell>
          <cell r="K625"/>
          <cell r="L625"/>
        </row>
        <row r="626">
          <cell r="A626"/>
          <cell r="B626" t="str">
            <v>TF00060</v>
          </cell>
          <cell r="C626" t="str">
            <v>Herramientas (% Mano Obra)</v>
          </cell>
          <cell r="D626"/>
          <cell r="E626"/>
          <cell r="F626" t="str">
            <v>%</v>
          </cell>
          <cell r="G626"/>
          <cell r="H626">
            <v>0.05</v>
          </cell>
          <cell r="I626">
            <v>4.67</v>
          </cell>
          <cell r="J626">
            <v>0.23</v>
          </cell>
          <cell r="K626"/>
          <cell r="L626"/>
        </row>
        <row r="627">
          <cell r="A627"/>
          <cell r="B627"/>
          <cell r="C627"/>
          <cell r="D627"/>
          <cell r="E627"/>
          <cell r="F627"/>
          <cell r="G627"/>
          <cell r="H627"/>
          <cell r="I627"/>
          <cell r="J627">
            <v>6.4200000000000008</v>
          </cell>
          <cell r="K627"/>
          <cell r="L627"/>
        </row>
        <row r="628">
          <cell r="A628"/>
          <cell r="B628"/>
          <cell r="C628"/>
          <cell r="D628"/>
          <cell r="E628"/>
          <cell r="F628"/>
          <cell r="G628"/>
          <cell r="H628"/>
          <cell r="I628"/>
          <cell r="J628"/>
          <cell r="K628"/>
          <cell r="L628"/>
        </row>
        <row r="629">
          <cell r="A629"/>
          <cell r="B629" t="str">
            <v>Partida</v>
          </cell>
          <cell r="C629"/>
          <cell r="D629" t="str">
            <v>Instalacion de geomembrana</v>
          </cell>
          <cell r="E629"/>
          <cell r="F629"/>
          <cell r="G629"/>
          <cell r="H629"/>
          <cell r="I629"/>
          <cell r="J629"/>
          <cell r="K629">
            <v>19.09</v>
          </cell>
          <cell r="L629"/>
        </row>
        <row r="630">
          <cell r="B630" t="str">
            <v>Rendimiento:</v>
          </cell>
          <cell r="C630">
            <v>3.8888888888888888</v>
          </cell>
          <cell r="D630" t="str">
            <v>m2</v>
          </cell>
          <cell r="E630" t="str">
            <v>/hr</v>
          </cell>
          <cell r="F630"/>
          <cell r="G630"/>
          <cell r="H630" t="str">
            <v>C.U. Total:</v>
          </cell>
          <cell r="I630">
            <v>19.09</v>
          </cell>
          <cell r="J630" t="str">
            <v>m2</v>
          </cell>
        </row>
        <row r="631">
          <cell r="A631"/>
          <cell r="B631" t="str">
            <v>Codigo</v>
          </cell>
          <cell r="C631" t="str">
            <v>Recurso</v>
          </cell>
          <cell r="D631"/>
          <cell r="E631"/>
          <cell r="F631" t="str">
            <v>UND</v>
          </cell>
          <cell r="G631" t="str">
            <v>Cuadrilla</v>
          </cell>
          <cell r="H631" t="str">
            <v>Cantidad</v>
          </cell>
          <cell r="I631" t="str">
            <v>C.U.</v>
          </cell>
          <cell r="J631" t="str">
            <v>C.Parcial</v>
          </cell>
          <cell r="K631" t="str">
            <v>SUBTOTAL</v>
          </cell>
          <cell r="L631"/>
        </row>
        <row r="632">
          <cell r="A632"/>
          <cell r="B632" t="str">
            <v>Materiales</v>
          </cell>
          <cell r="C632"/>
          <cell r="D632"/>
          <cell r="E632"/>
          <cell r="F632"/>
          <cell r="G632"/>
          <cell r="H632"/>
          <cell r="I632"/>
          <cell r="J632"/>
          <cell r="K632">
            <v>0</v>
          </cell>
          <cell r="L632" t="str">
            <v>(B)</v>
          </cell>
        </row>
        <row r="633">
          <cell r="A633"/>
          <cell r="B633"/>
          <cell r="C633"/>
          <cell r="D633"/>
          <cell r="E633"/>
          <cell r="F633"/>
          <cell r="G633"/>
          <cell r="H633"/>
          <cell r="I633"/>
          <cell r="J633"/>
          <cell r="K633"/>
          <cell r="L633"/>
        </row>
        <row r="634">
          <cell r="A634"/>
          <cell r="B634" t="str">
            <v>TF00078</v>
          </cell>
          <cell r="C634" t="str">
            <v>Geotextil no tejido 400g/m2</v>
          </cell>
          <cell r="D634"/>
          <cell r="E634"/>
          <cell r="F634" t="str">
            <v>m2</v>
          </cell>
          <cell r="G634"/>
          <cell r="H634">
            <v>1</v>
          </cell>
          <cell r="I634">
            <v>0</v>
          </cell>
          <cell r="J634">
            <v>0</v>
          </cell>
          <cell r="K634"/>
          <cell r="L634"/>
        </row>
        <row r="635">
          <cell r="A635"/>
          <cell r="B635"/>
          <cell r="C635"/>
          <cell r="D635"/>
          <cell r="E635"/>
          <cell r="F635"/>
          <cell r="G635"/>
          <cell r="H635"/>
          <cell r="I635"/>
          <cell r="J635">
            <v>0</v>
          </cell>
          <cell r="K635"/>
          <cell r="L635"/>
        </row>
        <row r="636">
          <cell r="A636"/>
          <cell r="B636" t="str">
            <v>Mano de Obra</v>
          </cell>
          <cell r="C636"/>
          <cell r="D636"/>
          <cell r="E636"/>
          <cell r="F636"/>
          <cell r="G636"/>
          <cell r="H636"/>
          <cell r="I636"/>
          <cell r="J636"/>
          <cell r="K636">
            <v>8.3800000000000008</v>
          </cell>
          <cell r="L636" t="str">
            <v>(C)</v>
          </cell>
        </row>
        <row r="637">
          <cell r="A637"/>
          <cell r="B637" t="str">
            <v>TF00015</v>
          </cell>
          <cell r="C637" t="str">
            <v>Rigger</v>
          </cell>
          <cell r="D637"/>
          <cell r="E637"/>
          <cell r="F637" t="str">
            <v>hh</v>
          </cell>
          <cell r="G637">
            <v>0.5</v>
          </cell>
          <cell r="H637">
            <v>0.12859999999999999</v>
          </cell>
          <cell r="I637">
            <v>14</v>
          </cell>
          <cell r="J637">
            <v>1.8</v>
          </cell>
          <cell r="K637"/>
          <cell r="L637"/>
        </row>
        <row r="638">
          <cell r="A638"/>
          <cell r="B638" t="str">
            <v>TF00002</v>
          </cell>
          <cell r="C638" t="str">
            <v>Capataz</v>
          </cell>
          <cell r="D638"/>
          <cell r="E638"/>
          <cell r="F638" t="str">
            <v>hh</v>
          </cell>
          <cell r="G638">
            <v>0.35</v>
          </cell>
          <cell r="H638">
            <v>0.09</v>
          </cell>
          <cell r="I638">
            <v>9.68</v>
          </cell>
          <cell r="J638">
            <v>0.87</v>
          </cell>
          <cell r="K638"/>
          <cell r="L638"/>
        </row>
        <row r="639">
          <cell r="A639"/>
          <cell r="B639" t="str">
            <v>TF00004</v>
          </cell>
          <cell r="C639" t="str">
            <v>Operario</v>
          </cell>
          <cell r="D639"/>
          <cell r="E639"/>
          <cell r="F639" t="str">
            <v>hh</v>
          </cell>
          <cell r="G639">
            <v>1</v>
          </cell>
          <cell r="H639">
            <v>0.25719999999999998</v>
          </cell>
          <cell r="I639">
            <v>9.2799999999999994</v>
          </cell>
          <cell r="J639">
            <v>2.39</v>
          </cell>
          <cell r="K639"/>
          <cell r="L639"/>
        </row>
        <row r="640">
          <cell r="A640"/>
          <cell r="B640" t="str">
            <v>TF00012</v>
          </cell>
          <cell r="C640" t="str">
            <v>Peón</v>
          </cell>
          <cell r="D640"/>
          <cell r="E640"/>
          <cell r="F640" t="str">
            <v>hh</v>
          </cell>
          <cell r="G640">
            <v>2</v>
          </cell>
          <cell r="H640">
            <v>0.51429999999999998</v>
          </cell>
          <cell r="I640">
            <v>6.46</v>
          </cell>
          <cell r="J640">
            <v>3.32</v>
          </cell>
          <cell r="K640"/>
          <cell r="L640"/>
        </row>
        <row r="641">
          <cell r="A641"/>
          <cell r="B641"/>
          <cell r="C641"/>
          <cell r="D641"/>
          <cell r="E641"/>
          <cell r="F641"/>
          <cell r="G641"/>
          <cell r="H641"/>
          <cell r="I641"/>
          <cell r="J641">
            <v>8.3800000000000008</v>
          </cell>
          <cell r="K641"/>
          <cell r="L641"/>
        </row>
        <row r="642">
          <cell r="A642"/>
          <cell r="B642" t="str">
            <v>Herramientas y Equipos</v>
          </cell>
          <cell r="C642"/>
          <cell r="D642"/>
          <cell r="E642"/>
          <cell r="F642"/>
          <cell r="G642"/>
          <cell r="H642"/>
          <cell r="I642"/>
          <cell r="J642"/>
          <cell r="K642">
            <v>10.709999999999999</v>
          </cell>
          <cell r="L642" t="str">
            <v>(D)</v>
          </cell>
        </row>
        <row r="643">
          <cell r="A643"/>
          <cell r="B643" t="str">
            <v>TF00030</v>
          </cell>
          <cell r="C643" t="str">
            <v>Camión Grúa de 20 Ton.</v>
          </cell>
          <cell r="D643"/>
          <cell r="E643"/>
          <cell r="F643" t="str">
            <v>hm</v>
          </cell>
          <cell r="G643">
            <v>0.5</v>
          </cell>
          <cell r="H643">
            <v>0.12859999999999999</v>
          </cell>
          <cell r="I643">
            <v>80</v>
          </cell>
          <cell r="J643">
            <v>10.29</v>
          </cell>
          <cell r="K643"/>
          <cell r="L643"/>
        </row>
        <row r="644">
          <cell r="A644"/>
          <cell r="B644" t="str">
            <v>TF00060</v>
          </cell>
          <cell r="C644" t="str">
            <v>Herramientas (% Mano Obra)</v>
          </cell>
          <cell r="D644"/>
          <cell r="E644"/>
          <cell r="F644" t="str">
            <v>%</v>
          </cell>
          <cell r="G644"/>
          <cell r="H644">
            <v>0.05</v>
          </cell>
          <cell r="I644">
            <v>8.3800000000000008</v>
          </cell>
          <cell r="J644">
            <v>0.42</v>
          </cell>
          <cell r="K644"/>
          <cell r="L644"/>
        </row>
        <row r="645">
          <cell r="A645"/>
          <cell r="B645"/>
          <cell r="C645"/>
          <cell r="D645"/>
          <cell r="E645"/>
          <cell r="F645"/>
          <cell r="G645"/>
          <cell r="H645"/>
          <cell r="I645"/>
          <cell r="J645">
            <v>10.709999999999999</v>
          </cell>
          <cell r="K645"/>
          <cell r="L645"/>
        </row>
        <row r="646">
          <cell r="A646"/>
          <cell r="B646"/>
          <cell r="C646"/>
          <cell r="D646"/>
          <cell r="E646"/>
          <cell r="F646"/>
          <cell r="G646"/>
          <cell r="H646"/>
          <cell r="I646"/>
          <cell r="J646"/>
          <cell r="K646"/>
          <cell r="L646"/>
        </row>
        <row r="647">
          <cell r="A647">
            <v>10042</v>
          </cell>
          <cell r="B647" t="str">
            <v>Partida</v>
          </cell>
          <cell r="C647">
            <v>3.12</v>
          </cell>
          <cell r="D647" t="str">
            <v>Canal C3 o de drenaje revestido con geomembrana de sección 500x700 mm excavación con medios manuales</v>
          </cell>
          <cell r="E647"/>
          <cell r="F647"/>
          <cell r="G647"/>
          <cell r="H647"/>
          <cell r="I647"/>
          <cell r="J647"/>
          <cell r="K647">
            <v>69.0334</v>
          </cell>
          <cell r="L647"/>
        </row>
        <row r="648">
          <cell r="A648"/>
          <cell r="B648" t="str">
            <v>Rendimiento:</v>
          </cell>
          <cell r="C648">
            <v>0.73375262054507329</v>
          </cell>
          <cell r="D648" t="str">
            <v>m</v>
          </cell>
          <cell r="E648" t="str">
            <v>/hr</v>
          </cell>
          <cell r="F648"/>
          <cell r="G648"/>
          <cell r="H648" t="str">
            <v>C.U. Total:</v>
          </cell>
          <cell r="I648">
            <v>69.0334</v>
          </cell>
          <cell r="J648" t="str">
            <v>m</v>
          </cell>
          <cell r="K648"/>
          <cell r="L648"/>
        </row>
        <row r="649">
          <cell r="A649"/>
          <cell r="B649" t="str">
            <v>Codigo</v>
          </cell>
          <cell r="C649" t="str">
            <v>Recurso</v>
          </cell>
          <cell r="D649"/>
          <cell r="E649"/>
          <cell r="F649" t="str">
            <v>UND</v>
          </cell>
          <cell r="G649" t="str">
            <v>Cuadrilla</v>
          </cell>
          <cell r="H649" t="str">
            <v>Cantidad</v>
          </cell>
          <cell r="I649" t="str">
            <v>C.U.</v>
          </cell>
          <cell r="J649" t="str">
            <v>C.Parcial</v>
          </cell>
          <cell r="K649" t="str">
            <v>SUBTOTAL</v>
          </cell>
          <cell r="L649"/>
        </row>
        <row r="650">
          <cell r="A650" t="str">
            <v>10042(C)</v>
          </cell>
          <cell r="B650" t="str">
            <v>Mano de Obra</v>
          </cell>
          <cell r="C650"/>
          <cell r="D650"/>
          <cell r="E650"/>
          <cell r="F650"/>
          <cell r="G650"/>
          <cell r="H650"/>
          <cell r="I650"/>
          <cell r="J650"/>
          <cell r="K650">
            <v>47.127200000000002</v>
          </cell>
          <cell r="L650" t="str">
            <v>(C)</v>
          </cell>
        </row>
        <row r="651">
          <cell r="A651"/>
          <cell r="B651" t="str">
            <v>TF00002</v>
          </cell>
          <cell r="C651" t="str">
            <v>Capataz</v>
          </cell>
          <cell r="D651"/>
          <cell r="E651"/>
          <cell r="F651" t="str">
            <v>hh</v>
          </cell>
          <cell r="G651"/>
          <cell r="H651"/>
          <cell r="I651"/>
          <cell r="J651">
            <v>0</v>
          </cell>
          <cell r="K651"/>
          <cell r="L651"/>
        </row>
        <row r="652">
          <cell r="A652"/>
          <cell r="B652" t="str">
            <v>TF00014</v>
          </cell>
          <cell r="C652" t="str">
            <v>Vigía</v>
          </cell>
          <cell r="D652"/>
          <cell r="E652"/>
          <cell r="F652" t="str">
            <v>hh</v>
          </cell>
          <cell r="G652"/>
          <cell r="H652"/>
          <cell r="I652"/>
          <cell r="J652">
            <v>0</v>
          </cell>
          <cell r="K652"/>
          <cell r="L652"/>
        </row>
        <row r="653">
          <cell r="A653"/>
          <cell r="B653"/>
          <cell r="C653"/>
          <cell r="D653"/>
          <cell r="E653"/>
          <cell r="F653"/>
          <cell r="G653"/>
          <cell r="H653"/>
          <cell r="I653"/>
          <cell r="J653">
            <v>0</v>
          </cell>
          <cell r="K653"/>
          <cell r="L653"/>
        </row>
        <row r="654">
          <cell r="A654" t="str">
            <v>10042(D)</v>
          </cell>
          <cell r="B654" t="str">
            <v>Herramientas y Equipos</v>
          </cell>
          <cell r="C654"/>
          <cell r="D654"/>
          <cell r="E654"/>
          <cell r="F654"/>
          <cell r="G654"/>
          <cell r="H654"/>
          <cell r="I654"/>
          <cell r="J654"/>
          <cell r="K654">
            <v>21.906199999999998</v>
          </cell>
          <cell r="L654" t="str">
            <v>(D)</v>
          </cell>
        </row>
        <row r="655">
          <cell r="A655"/>
          <cell r="B655" t="str">
            <v>TF00027</v>
          </cell>
          <cell r="C655" t="str">
            <v>Volquete de 17 m3</v>
          </cell>
          <cell r="D655"/>
          <cell r="E655"/>
          <cell r="F655" t="str">
            <v>hm</v>
          </cell>
          <cell r="G655"/>
          <cell r="H655"/>
          <cell r="I655"/>
          <cell r="J655">
            <v>0</v>
          </cell>
          <cell r="K655"/>
          <cell r="L655"/>
        </row>
        <row r="656">
          <cell r="A656"/>
          <cell r="B656" t="str">
            <v>TF00060</v>
          </cell>
          <cell r="C656" t="str">
            <v>Herramientas (% Mano Obra)</v>
          </cell>
          <cell r="D656"/>
          <cell r="E656"/>
          <cell r="F656" t="str">
            <v>%</v>
          </cell>
          <cell r="G656"/>
          <cell r="H656"/>
          <cell r="I656"/>
          <cell r="J656">
            <v>0</v>
          </cell>
          <cell r="K656"/>
          <cell r="L656"/>
        </row>
        <row r="657">
          <cell r="A657"/>
          <cell r="B657"/>
          <cell r="C657"/>
          <cell r="D657"/>
          <cell r="E657"/>
          <cell r="F657"/>
          <cell r="G657"/>
          <cell r="H657"/>
          <cell r="I657"/>
          <cell r="J657">
            <v>0</v>
          </cell>
          <cell r="K657"/>
          <cell r="L657"/>
        </row>
        <row r="658">
          <cell r="A658"/>
          <cell r="B658" t="str">
            <v>Subpartidas</v>
          </cell>
          <cell r="C658"/>
          <cell r="D658"/>
          <cell r="E658"/>
          <cell r="F658"/>
          <cell r="G658"/>
          <cell r="H658"/>
          <cell r="I658"/>
          <cell r="J658"/>
          <cell r="K658">
            <v>69.0334</v>
          </cell>
          <cell r="L658" t="str">
            <v>(D)</v>
          </cell>
        </row>
        <row r="659">
          <cell r="A659"/>
          <cell r="B659" t="str">
            <v>TF00027</v>
          </cell>
          <cell r="C659" t="str">
            <v>Excavacion de canal</v>
          </cell>
          <cell r="D659"/>
          <cell r="E659"/>
          <cell r="F659" t="str">
            <v>m3</v>
          </cell>
          <cell r="G659"/>
          <cell r="H659">
            <v>0.68</v>
          </cell>
          <cell r="I659">
            <v>48.18</v>
          </cell>
          <cell r="J659">
            <v>32.7624</v>
          </cell>
          <cell r="K659"/>
          <cell r="L659"/>
        </row>
        <row r="660">
          <cell r="A660"/>
          <cell r="B660" t="str">
            <v>TF00060</v>
          </cell>
          <cell r="C660" t="str">
            <v>Instalacion de geomembrana</v>
          </cell>
          <cell r="D660"/>
          <cell r="E660"/>
          <cell r="F660" t="str">
            <v>m2</v>
          </cell>
          <cell r="G660"/>
          <cell r="H660">
            <v>1.9</v>
          </cell>
          <cell r="I660">
            <v>19.09</v>
          </cell>
          <cell r="J660">
            <v>36.271000000000001</v>
          </cell>
          <cell r="K660"/>
          <cell r="L660"/>
        </row>
        <row r="661">
          <cell r="A661"/>
          <cell r="B661"/>
          <cell r="C661"/>
          <cell r="D661"/>
          <cell r="E661"/>
          <cell r="F661"/>
          <cell r="G661"/>
          <cell r="H661"/>
          <cell r="I661"/>
          <cell r="J661">
            <v>69.0334</v>
          </cell>
          <cell r="K661"/>
          <cell r="L661"/>
        </row>
        <row r="662">
          <cell r="A662"/>
          <cell r="B662"/>
          <cell r="C662"/>
          <cell r="D662"/>
          <cell r="E662"/>
          <cell r="F662"/>
          <cell r="G662"/>
          <cell r="H662"/>
          <cell r="I662"/>
          <cell r="J662"/>
          <cell r="K662"/>
          <cell r="L662"/>
        </row>
        <row r="663">
          <cell r="A663"/>
          <cell r="B663"/>
          <cell r="C663"/>
          <cell r="D663"/>
          <cell r="E663"/>
          <cell r="F663"/>
          <cell r="G663"/>
          <cell r="H663"/>
          <cell r="I663"/>
          <cell r="J663"/>
          <cell r="K663"/>
          <cell r="L663"/>
        </row>
        <row r="664">
          <cell r="A664"/>
          <cell r="B664" t="str">
            <v>Subpartida</v>
          </cell>
          <cell r="C664"/>
          <cell r="D664" t="str">
            <v>Excavacion de canal</v>
          </cell>
          <cell r="E664"/>
          <cell r="F664"/>
          <cell r="G664"/>
          <cell r="H664"/>
          <cell r="I664"/>
          <cell r="J664"/>
          <cell r="K664">
            <v>48.18</v>
          </cell>
          <cell r="L664"/>
        </row>
        <row r="665">
          <cell r="B665" t="str">
            <v>Rendimiento:</v>
          </cell>
          <cell r="C665">
            <v>0.77777777777777779</v>
          </cell>
          <cell r="D665" t="str">
            <v>m3</v>
          </cell>
          <cell r="E665" t="str">
            <v>/hr</v>
          </cell>
          <cell r="F665"/>
          <cell r="G665"/>
          <cell r="H665" t="str">
            <v>C.U. Total:</v>
          </cell>
          <cell r="I665">
            <v>48.18</v>
          </cell>
          <cell r="J665" t="str">
            <v>m3</v>
          </cell>
        </row>
        <row r="666">
          <cell r="A666"/>
          <cell r="B666" t="str">
            <v>Codigo</v>
          </cell>
          <cell r="C666" t="str">
            <v>Recurso</v>
          </cell>
          <cell r="D666"/>
          <cell r="E666"/>
          <cell r="F666" t="str">
            <v>UND</v>
          </cell>
          <cell r="G666" t="str">
            <v>Cuadrilla</v>
          </cell>
          <cell r="H666" t="str">
            <v>Cantidad</v>
          </cell>
          <cell r="I666" t="str">
            <v>C.U.</v>
          </cell>
          <cell r="J666" t="str">
            <v>C.Parcial</v>
          </cell>
          <cell r="K666" t="str">
            <v>SUBTOTAL</v>
          </cell>
          <cell r="L666"/>
        </row>
        <row r="667">
          <cell r="A667"/>
          <cell r="B667" t="str">
            <v>Mano de Obra</v>
          </cell>
          <cell r="C667"/>
          <cell r="D667"/>
          <cell r="E667"/>
          <cell r="F667"/>
          <cell r="G667"/>
          <cell r="H667"/>
          <cell r="I667"/>
          <cell r="J667"/>
          <cell r="K667">
            <v>45.89</v>
          </cell>
          <cell r="L667" t="str">
            <v>(C)</v>
          </cell>
        </row>
        <row r="668">
          <cell r="A668"/>
          <cell r="B668" t="str">
            <v>TF00002</v>
          </cell>
          <cell r="C668" t="str">
            <v>Capataz</v>
          </cell>
          <cell r="D668"/>
          <cell r="E668"/>
          <cell r="F668" t="str">
            <v>hh</v>
          </cell>
          <cell r="G668">
            <v>0.35</v>
          </cell>
          <cell r="H668">
            <v>0.45</v>
          </cell>
          <cell r="I668">
            <v>9.68</v>
          </cell>
          <cell r="J668">
            <v>4.3600000000000003</v>
          </cell>
          <cell r="K668"/>
          <cell r="L668"/>
        </row>
        <row r="669">
          <cell r="A669"/>
          <cell r="B669" t="str">
            <v>TF00012</v>
          </cell>
          <cell r="C669" t="str">
            <v>Peón</v>
          </cell>
          <cell r="D669"/>
          <cell r="E669"/>
          <cell r="F669" t="str">
            <v>hh</v>
          </cell>
          <cell r="G669">
            <v>5</v>
          </cell>
          <cell r="H669">
            <v>6.4285999999999994</v>
          </cell>
          <cell r="I669">
            <v>6.46</v>
          </cell>
          <cell r="J669">
            <v>41.53</v>
          </cell>
          <cell r="K669"/>
          <cell r="L669"/>
        </row>
        <row r="670">
          <cell r="A670"/>
          <cell r="B670"/>
          <cell r="C670"/>
          <cell r="D670"/>
          <cell r="E670"/>
          <cell r="F670"/>
          <cell r="G670"/>
          <cell r="H670"/>
          <cell r="I670"/>
          <cell r="J670">
            <v>45.89</v>
          </cell>
          <cell r="K670"/>
          <cell r="L670"/>
        </row>
        <row r="671">
          <cell r="A671"/>
          <cell r="B671" t="str">
            <v>Herramientas y Equipos</v>
          </cell>
          <cell r="C671"/>
          <cell r="D671"/>
          <cell r="E671"/>
          <cell r="F671"/>
          <cell r="G671"/>
          <cell r="H671"/>
          <cell r="I671"/>
          <cell r="J671"/>
          <cell r="K671">
            <v>2.29</v>
          </cell>
          <cell r="L671" t="str">
            <v>(D)</v>
          </cell>
        </row>
        <row r="672">
          <cell r="A672"/>
          <cell r="B672" t="str">
            <v>TF00060</v>
          </cell>
          <cell r="C672" t="str">
            <v>Herramientas (% Mano Obra)</v>
          </cell>
          <cell r="D672"/>
          <cell r="E672"/>
          <cell r="F672" t="str">
            <v>%</v>
          </cell>
          <cell r="G672"/>
          <cell r="H672">
            <v>0.05</v>
          </cell>
          <cell r="I672">
            <v>45.89</v>
          </cell>
          <cell r="J672">
            <v>2.29</v>
          </cell>
          <cell r="K672"/>
          <cell r="L672"/>
        </row>
        <row r="673">
          <cell r="A673"/>
          <cell r="B673"/>
          <cell r="C673"/>
          <cell r="D673"/>
          <cell r="E673"/>
          <cell r="F673"/>
          <cell r="G673"/>
          <cell r="H673"/>
          <cell r="I673"/>
          <cell r="J673">
            <v>2.29</v>
          </cell>
          <cell r="K673"/>
          <cell r="L673"/>
        </row>
        <row r="674">
          <cell r="A674"/>
          <cell r="B674"/>
          <cell r="C674"/>
          <cell r="D674"/>
          <cell r="E674"/>
          <cell r="F674"/>
          <cell r="G674"/>
          <cell r="H674"/>
          <cell r="I674"/>
          <cell r="J674"/>
          <cell r="K674"/>
          <cell r="L674"/>
        </row>
        <row r="675">
          <cell r="A675"/>
          <cell r="B675" t="str">
            <v>Partida</v>
          </cell>
          <cell r="C675"/>
          <cell r="D675" t="str">
            <v>Instalacion de geomembrana</v>
          </cell>
          <cell r="E675"/>
          <cell r="F675"/>
          <cell r="G675"/>
          <cell r="H675"/>
          <cell r="I675"/>
          <cell r="J675"/>
          <cell r="K675">
            <v>19.09</v>
          </cell>
          <cell r="L675"/>
        </row>
        <row r="676">
          <cell r="B676" t="str">
            <v>Rendimiento:</v>
          </cell>
          <cell r="C676">
            <v>3.8888888888888888</v>
          </cell>
          <cell r="D676" t="str">
            <v>m2</v>
          </cell>
          <cell r="E676" t="str">
            <v>/hr</v>
          </cell>
          <cell r="F676"/>
          <cell r="G676"/>
          <cell r="H676" t="str">
            <v>C.U. Total:</v>
          </cell>
          <cell r="I676">
            <v>19.09</v>
          </cell>
          <cell r="J676" t="str">
            <v>m2</v>
          </cell>
        </row>
        <row r="677">
          <cell r="A677"/>
          <cell r="B677" t="str">
            <v>Codigo</v>
          </cell>
          <cell r="C677" t="str">
            <v>Recurso</v>
          </cell>
          <cell r="D677"/>
          <cell r="E677"/>
          <cell r="F677" t="str">
            <v>UND</v>
          </cell>
          <cell r="G677" t="str">
            <v>Cuadrilla</v>
          </cell>
          <cell r="H677" t="str">
            <v>Cantidad</v>
          </cell>
          <cell r="I677" t="str">
            <v>C.U.</v>
          </cell>
          <cell r="J677" t="str">
            <v>C.Parcial</v>
          </cell>
          <cell r="K677" t="str">
            <v>SUBTOTAL</v>
          </cell>
          <cell r="L677"/>
        </row>
        <row r="678">
          <cell r="A678"/>
          <cell r="B678" t="str">
            <v>Materiales</v>
          </cell>
          <cell r="C678"/>
          <cell r="D678"/>
          <cell r="E678"/>
          <cell r="F678"/>
          <cell r="G678"/>
          <cell r="H678"/>
          <cell r="I678"/>
          <cell r="J678"/>
          <cell r="K678">
            <v>0</v>
          </cell>
          <cell r="L678" t="str">
            <v>(B)</v>
          </cell>
        </row>
        <row r="679">
          <cell r="A679"/>
          <cell r="B679"/>
          <cell r="C679"/>
          <cell r="D679"/>
          <cell r="E679"/>
          <cell r="F679"/>
          <cell r="G679"/>
          <cell r="H679"/>
          <cell r="I679"/>
          <cell r="J679"/>
          <cell r="K679"/>
          <cell r="L679"/>
        </row>
        <row r="680">
          <cell r="A680"/>
          <cell r="B680" t="str">
            <v>TF00078</v>
          </cell>
          <cell r="C680" t="str">
            <v>Geotextil no tejido 400g/m2</v>
          </cell>
          <cell r="D680"/>
          <cell r="E680"/>
          <cell r="F680" t="str">
            <v>m2</v>
          </cell>
          <cell r="G680"/>
          <cell r="H680">
            <v>1</v>
          </cell>
          <cell r="I680">
            <v>0</v>
          </cell>
          <cell r="J680">
            <v>0</v>
          </cell>
          <cell r="K680"/>
          <cell r="L680"/>
        </row>
        <row r="681">
          <cell r="A681"/>
          <cell r="B681"/>
          <cell r="C681"/>
          <cell r="D681"/>
          <cell r="E681"/>
          <cell r="F681"/>
          <cell r="G681"/>
          <cell r="H681"/>
          <cell r="I681"/>
          <cell r="J681">
            <v>0</v>
          </cell>
          <cell r="K681"/>
          <cell r="L681"/>
        </row>
        <row r="682">
          <cell r="A682"/>
          <cell r="B682" t="str">
            <v>Mano de Obra</v>
          </cell>
          <cell r="C682"/>
          <cell r="D682"/>
          <cell r="E682"/>
          <cell r="F682"/>
          <cell r="G682"/>
          <cell r="H682"/>
          <cell r="I682"/>
          <cell r="J682"/>
          <cell r="K682">
            <v>8.3800000000000008</v>
          </cell>
          <cell r="L682" t="str">
            <v>(C)</v>
          </cell>
        </row>
        <row r="683">
          <cell r="A683"/>
          <cell r="B683" t="str">
            <v>TF00015</v>
          </cell>
          <cell r="C683" t="str">
            <v>Rigger</v>
          </cell>
          <cell r="D683"/>
          <cell r="E683"/>
          <cell r="F683" t="str">
            <v>hh</v>
          </cell>
          <cell r="G683">
            <v>0.5</v>
          </cell>
          <cell r="H683">
            <v>0.12859999999999999</v>
          </cell>
          <cell r="I683">
            <v>14</v>
          </cell>
          <cell r="J683">
            <v>1.8</v>
          </cell>
          <cell r="K683"/>
          <cell r="L683"/>
        </row>
        <row r="684">
          <cell r="A684"/>
          <cell r="B684" t="str">
            <v>TF00002</v>
          </cell>
          <cell r="C684" t="str">
            <v>Capataz</v>
          </cell>
          <cell r="D684"/>
          <cell r="E684"/>
          <cell r="F684" t="str">
            <v>hh</v>
          </cell>
          <cell r="G684">
            <v>0.35</v>
          </cell>
          <cell r="H684">
            <v>0.09</v>
          </cell>
          <cell r="I684">
            <v>9.68</v>
          </cell>
          <cell r="J684">
            <v>0.87</v>
          </cell>
          <cell r="K684"/>
          <cell r="L684"/>
        </row>
        <row r="685">
          <cell r="A685"/>
          <cell r="B685" t="str">
            <v>TF00004</v>
          </cell>
          <cell r="C685" t="str">
            <v>Operario</v>
          </cell>
          <cell r="D685"/>
          <cell r="E685"/>
          <cell r="F685" t="str">
            <v>hh</v>
          </cell>
          <cell r="G685">
            <v>1</v>
          </cell>
          <cell r="H685">
            <v>0.25719999999999998</v>
          </cell>
          <cell r="I685">
            <v>9.2799999999999994</v>
          </cell>
          <cell r="J685">
            <v>2.39</v>
          </cell>
          <cell r="K685"/>
          <cell r="L685"/>
        </row>
        <row r="686">
          <cell r="A686"/>
          <cell r="B686" t="str">
            <v>TF00012</v>
          </cell>
          <cell r="C686" t="str">
            <v>Peón</v>
          </cell>
          <cell r="D686"/>
          <cell r="E686"/>
          <cell r="F686" t="str">
            <v>hh</v>
          </cell>
          <cell r="G686">
            <v>2</v>
          </cell>
          <cell r="H686">
            <v>0.51429999999999998</v>
          </cell>
          <cell r="I686">
            <v>6.46</v>
          </cell>
          <cell r="J686">
            <v>3.32</v>
          </cell>
          <cell r="K686"/>
          <cell r="L686"/>
        </row>
        <row r="687">
          <cell r="A687"/>
          <cell r="B687"/>
          <cell r="C687"/>
          <cell r="D687"/>
          <cell r="E687"/>
          <cell r="F687"/>
          <cell r="G687"/>
          <cell r="H687"/>
          <cell r="I687"/>
          <cell r="J687">
            <v>8.3800000000000008</v>
          </cell>
          <cell r="K687"/>
          <cell r="L687"/>
        </row>
        <row r="688">
          <cell r="A688"/>
          <cell r="B688" t="str">
            <v>Herramientas y Equipos</v>
          </cell>
          <cell r="C688"/>
          <cell r="D688"/>
          <cell r="E688"/>
          <cell r="F688"/>
          <cell r="G688"/>
          <cell r="H688"/>
          <cell r="I688"/>
          <cell r="J688"/>
          <cell r="K688">
            <v>10.709999999999999</v>
          </cell>
          <cell r="L688" t="str">
            <v>(D)</v>
          </cell>
        </row>
        <row r="689">
          <cell r="A689"/>
          <cell r="B689" t="str">
            <v>TF00030</v>
          </cell>
          <cell r="C689" t="str">
            <v>Camión Grúa de 20 Ton.</v>
          </cell>
          <cell r="D689"/>
          <cell r="E689"/>
          <cell r="F689" t="str">
            <v>hm</v>
          </cell>
          <cell r="G689">
            <v>0.5</v>
          </cell>
          <cell r="H689">
            <v>0.12859999999999999</v>
          </cell>
          <cell r="I689">
            <v>80</v>
          </cell>
          <cell r="J689">
            <v>10.29</v>
          </cell>
          <cell r="K689"/>
          <cell r="L689"/>
        </row>
        <row r="690">
          <cell r="A690"/>
          <cell r="B690" t="str">
            <v>TF00060</v>
          </cell>
          <cell r="C690" t="str">
            <v>Herramientas (% Mano Obra)</v>
          </cell>
          <cell r="D690"/>
          <cell r="E690"/>
          <cell r="F690" t="str">
            <v>%</v>
          </cell>
          <cell r="G690"/>
          <cell r="H690">
            <v>0.05</v>
          </cell>
          <cell r="I690">
            <v>8.3800000000000008</v>
          </cell>
          <cell r="J690">
            <v>0.42</v>
          </cell>
          <cell r="K690"/>
          <cell r="L690"/>
        </row>
        <row r="691">
          <cell r="A691"/>
          <cell r="B691"/>
          <cell r="C691"/>
          <cell r="D691"/>
          <cell r="E691"/>
          <cell r="F691"/>
          <cell r="G691"/>
          <cell r="H691"/>
          <cell r="I691"/>
          <cell r="J691">
            <v>10.709999999999999</v>
          </cell>
          <cell r="K691"/>
          <cell r="L691"/>
        </row>
        <row r="692">
          <cell r="A692"/>
          <cell r="B692"/>
          <cell r="C692"/>
          <cell r="D692"/>
          <cell r="E692"/>
          <cell r="F692"/>
          <cell r="G692"/>
          <cell r="H692"/>
          <cell r="I692"/>
          <cell r="J692"/>
          <cell r="K692"/>
          <cell r="L692"/>
        </row>
        <row r="693">
          <cell r="A693">
            <v>10043</v>
          </cell>
          <cell r="B693" t="str">
            <v>Partida</v>
          </cell>
          <cell r="C693">
            <v>3.13</v>
          </cell>
          <cell r="D693" t="str">
            <v>Tubería Ø16" para cruce</v>
          </cell>
          <cell r="E693"/>
          <cell r="F693"/>
          <cell r="G693"/>
          <cell r="H693"/>
          <cell r="I693"/>
          <cell r="J693"/>
          <cell r="K693">
            <v>2.5100000000000002</v>
          </cell>
          <cell r="L693"/>
        </row>
        <row r="694">
          <cell r="A694"/>
          <cell r="B694" t="str">
            <v>Rendimiento:</v>
          </cell>
          <cell r="C694">
            <v>21</v>
          </cell>
          <cell r="D694" t="str">
            <v>m</v>
          </cell>
          <cell r="E694" t="str">
            <v>/hr</v>
          </cell>
          <cell r="F694"/>
          <cell r="G694"/>
          <cell r="H694" t="str">
            <v>C.U. Total:</v>
          </cell>
          <cell r="I694">
            <v>2.5100000000000002</v>
          </cell>
          <cell r="J694" t="str">
            <v>m</v>
          </cell>
          <cell r="K694"/>
          <cell r="L694"/>
        </row>
        <row r="695">
          <cell r="A695"/>
          <cell r="B695" t="str">
            <v>Codigo</v>
          </cell>
          <cell r="C695" t="str">
            <v>Recurso</v>
          </cell>
          <cell r="D695"/>
          <cell r="E695"/>
          <cell r="F695" t="str">
            <v>UND</v>
          </cell>
          <cell r="G695" t="str">
            <v>Cuadrilla</v>
          </cell>
          <cell r="H695" t="str">
            <v>Cantidad</v>
          </cell>
          <cell r="I695" t="str">
            <v>C.U.</v>
          </cell>
          <cell r="J695" t="str">
            <v>C.Parcial</v>
          </cell>
          <cell r="K695" t="str">
            <v>SUBTOTAL</v>
          </cell>
          <cell r="L695"/>
        </row>
        <row r="696">
          <cell r="A696" t="str">
            <v>10043(C)</v>
          </cell>
          <cell r="B696" t="str">
            <v>Mano de Obra</v>
          </cell>
          <cell r="C696"/>
          <cell r="D696"/>
          <cell r="E696"/>
          <cell r="F696"/>
          <cell r="G696"/>
          <cell r="H696"/>
          <cell r="I696"/>
          <cell r="J696"/>
          <cell r="K696">
            <v>1.2000000000000002</v>
          </cell>
          <cell r="L696" t="str">
            <v>(C)</v>
          </cell>
        </row>
        <row r="697">
          <cell r="A697"/>
          <cell r="B697" t="str">
            <v>TF00002</v>
          </cell>
          <cell r="C697" t="str">
            <v>Capataz</v>
          </cell>
          <cell r="D697"/>
          <cell r="E697"/>
          <cell r="F697" t="str">
            <v>hh</v>
          </cell>
          <cell r="G697">
            <v>0.35</v>
          </cell>
          <cell r="H697">
            <v>1.67E-2</v>
          </cell>
          <cell r="I697">
            <v>9.68</v>
          </cell>
          <cell r="J697">
            <v>0.16</v>
          </cell>
          <cell r="K697"/>
          <cell r="L697"/>
        </row>
        <row r="698">
          <cell r="A698"/>
          <cell r="B698" t="str">
            <v>TF00012</v>
          </cell>
          <cell r="C698" t="str">
            <v>Peón</v>
          </cell>
          <cell r="D698"/>
          <cell r="E698"/>
          <cell r="F698" t="str">
            <v>hh</v>
          </cell>
          <cell r="G698">
            <v>3</v>
          </cell>
          <cell r="H698">
            <v>0.1429</v>
          </cell>
          <cell r="I698">
            <v>6.46</v>
          </cell>
          <cell r="J698">
            <v>0.92</v>
          </cell>
          <cell r="K698"/>
          <cell r="L698"/>
        </row>
        <row r="699">
          <cell r="A699"/>
          <cell r="B699" t="str">
            <v>TF00014</v>
          </cell>
          <cell r="C699" t="str">
            <v>Vigía</v>
          </cell>
          <cell r="D699"/>
          <cell r="E699"/>
          <cell r="F699" t="str">
            <v>hh</v>
          </cell>
          <cell r="G699">
            <v>0.4</v>
          </cell>
          <cell r="H699">
            <v>1.9099999999999999E-2</v>
          </cell>
          <cell r="I699">
            <v>6.46</v>
          </cell>
          <cell r="J699">
            <v>0.12</v>
          </cell>
          <cell r="K699"/>
          <cell r="L699"/>
        </row>
        <row r="700">
          <cell r="A700"/>
          <cell r="B700"/>
          <cell r="C700"/>
          <cell r="D700"/>
          <cell r="E700"/>
          <cell r="F700"/>
          <cell r="G700"/>
          <cell r="H700"/>
          <cell r="I700"/>
          <cell r="J700">
            <v>1.2000000000000002</v>
          </cell>
          <cell r="K700"/>
          <cell r="L700"/>
        </row>
        <row r="701">
          <cell r="A701" t="str">
            <v>10043(D)</v>
          </cell>
          <cell r="B701" t="str">
            <v>Herramientas y Equipos</v>
          </cell>
          <cell r="C701"/>
          <cell r="D701"/>
          <cell r="E701"/>
          <cell r="F701"/>
          <cell r="G701"/>
          <cell r="H701"/>
          <cell r="I701"/>
          <cell r="J701"/>
          <cell r="K701">
            <v>1.31</v>
          </cell>
          <cell r="L701" t="str">
            <v>(D)</v>
          </cell>
        </row>
        <row r="702">
          <cell r="A702"/>
          <cell r="B702" t="str">
            <v>TF00024</v>
          </cell>
          <cell r="C702" t="str">
            <v>Excavadora John Deere 290</v>
          </cell>
          <cell r="D702"/>
          <cell r="E702"/>
          <cell r="F702" t="str">
            <v>hm</v>
          </cell>
          <cell r="G702">
            <v>0.4</v>
          </cell>
          <cell r="H702">
            <v>1.9099999999999999E-2</v>
          </cell>
          <cell r="I702">
            <v>63</v>
          </cell>
          <cell r="J702">
            <v>1.2</v>
          </cell>
          <cell r="K702"/>
          <cell r="L702"/>
        </row>
        <row r="703">
          <cell r="A703"/>
          <cell r="B703" t="str">
            <v>TF00041</v>
          </cell>
          <cell r="C703" t="str">
            <v>Luminaria 4K</v>
          </cell>
          <cell r="D703"/>
          <cell r="E703"/>
          <cell r="F703" t="str">
            <v>hm</v>
          </cell>
          <cell r="G703">
            <v>0.5</v>
          </cell>
          <cell r="H703">
            <v>2.3900000000000001E-2</v>
          </cell>
          <cell r="I703">
            <v>2.2799999999999998</v>
          </cell>
          <cell r="J703">
            <v>0.05</v>
          </cell>
          <cell r="K703"/>
          <cell r="L703"/>
        </row>
        <row r="704">
          <cell r="A704"/>
          <cell r="B704" t="str">
            <v>TF00060</v>
          </cell>
          <cell r="C704" t="str">
            <v>Herramientas (% Mano Obra)</v>
          </cell>
          <cell r="D704"/>
          <cell r="E704"/>
          <cell r="F704" t="str">
            <v>%</v>
          </cell>
          <cell r="G704"/>
          <cell r="H704">
            <v>0.05</v>
          </cell>
          <cell r="I704">
            <v>1.2000000000000002</v>
          </cell>
          <cell r="J704">
            <v>0.06</v>
          </cell>
          <cell r="K704"/>
          <cell r="L704"/>
        </row>
        <row r="705">
          <cell r="A705"/>
          <cell r="B705"/>
          <cell r="C705"/>
          <cell r="D705"/>
          <cell r="E705"/>
          <cell r="F705"/>
          <cell r="G705"/>
          <cell r="H705"/>
          <cell r="I705"/>
          <cell r="J705">
            <v>1.31</v>
          </cell>
          <cell r="K705"/>
          <cell r="L705"/>
        </row>
        <row r="706">
          <cell r="A706"/>
          <cell r="B706"/>
          <cell r="C706"/>
          <cell r="D706"/>
          <cell r="E706"/>
          <cell r="F706"/>
          <cell r="G706"/>
          <cell r="H706"/>
          <cell r="I706"/>
          <cell r="J706"/>
          <cell r="K706"/>
          <cell r="L706"/>
        </row>
        <row r="707">
          <cell r="A707">
            <v>10045</v>
          </cell>
          <cell r="B707" t="str">
            <v>Partida</v>
          </cell>
          <cell r="C707">
            <v>3.14</v>
          </cell>
          <cell r="D707" t="str">
            <v>Canal C1 revestido con concreto de sección 500x400 mm</v>
          </cell>
          <cell r="E707"/>
          <cell r="F707"/>
          <cell r="G707"/>
          <cell r="H707"/>
          <cell r="I707"/>
          <cell r="J707"/>
          <cell r="K707">
            <v>89.88</v>
          </cell>
          <cell r="L707"/>
        </row>
        <row r="708">
          <cell r="A708"/>
          <cell r="B708" t="str">
            <v>Rendimiento:</v>
          </cell>
          <cell r="C708">
            <v>3.2662082514734774</v>
          </cell>
          <cell r="D708" t="str">
            <v>m</v>
          </cell>
          <cell r="E708" t="str">
            <v>/hr</v>
          </cell>
          <cell r="F708"/>
          <cell r="G708"/>
          <cell r="H708" t="str">
            <v>C.U. Total:</v>
          </cell>
          <cell r="I708">
            <v>89.88</v>
          </cell>
          <cell r="J708" t="str">
            <v>m</v>
          </cell>
          <cell r="K708"/>
          <cell r="L708"/>
        </row>
        <row r="709">
          <cell r="A709"/>
          <cell r="B709" t="str">
            <v>Codigo</v>
          </cell>
          <cell r="C709" t="str">
            <v>Recurso</v>
          </cell>
          <cell r="D709"/>
          <cell r="E709"/>
          <cell r="F709" t="str">
            <v>UND</v>
          </cell>
          <cell r="G709" t="str">
            <v>Cuadrilla</v>
          </cell>
          <cell r="H709" t="str">
            <v>Cantidad</v>
          </cell>
          <cell r="I709" t="str">
            <v>C.U.</v>
          </cell>
          <cell r="J709" t="str">
            <v>C.Parcial</v>
          </cell>
          <cell r="K709" t="str">
            <v>SUBTOTAL</v>
          </cell>
          <cell r="L709"/>
        </row>
        <row r="710">
          <cell r="A710" t="str">
            <v>10045(B)</v>
          </cell>
          <cell r="B710" t="str">
            <v>Mano de Obra</v>
          </cell>
          <cell r="C710"/>
          <cell r="D710"/>
          <cell r="E710"/>
          <cell r="F710"/>
          <cell r="G710"/>
          <cell r="H710"/>
          <cell r="I710"/>
          <cell r="J710"/>
          <cell r="K710">
            <v>48.792000000000002</v>
          </cell>
          <cell r="L710" t="str">
            <v>(B)</v>
          </cell>
        </row>
        <row r="711">
          <cell r="A711"/>
          <cell r="B711" t="str">
            <v>TF00002</v>
          </cell>
          <cell r="C711" t="str">
            <v>Materiales para encofrado</v>
          </cell>
          <cell r="D711"/>
          <cell r="E711"/>
          <cell r="F711" t="str">
            <v>hh</v>
          </cell>
          <cell r="G711"/>
          <cell r="H711"/>
          <cell r="I711"/>
          <cell r="J711">
            <v>0</v>
          </cell>
          <cell r="K711"/>
          <cell r="L711"/>
        </row>
        <row r="712">
          <cell r="A712"/>
          <cell r="B712" t="str">
            <v>TF00014</v>
          </cell>
          <cell r="C712" t="str">
            <v>Vigía</v>
          </cell>
          <cell r="D712"/>
          <cell r="E712"/>
          <cell r="F712" t="str">
            <v>hh</v>
          </cell>
          <cell r="G712"/>
          <cell r="H712"/>
          <cell r="I712"/>
          <cell r="J712">
            <v>0</v>
          </cell>
          <cell r="K712"/>
          <cell r="L712"/>
        </row>
        <row r="713">
          <cell r="A713"/>
          <cell r="B713"/>
          <cell r="C713"/>
          <cell r="D713"/>
          <cell r="E713"/>
          <cell r="F713"/>
          <cell r="G713"/>
          <cell r="H713"/>
          <cell r="I713"/>
          <cell r="J713">
            <v>0</v>
          </cell>
          <cell r="K713"/>
          <cell r="L713"/>
        </row>
        <row r="714">
          <cell r="A714" t="str">
            <v>10045(C)</v>
          </cell>
          <cell r="B714" t="str">
            <v>Mano de Obra</v>
          </cell>
          <cell r="C714"/>
          <cell r="D714"/>
          <cell r="E714"/>
          <cell r="F714"/>
          <cell r="G714"/>
          <cell r="H714"/>
          <cell r="I714"/>
          <cell r="J714"/>
          <cell r="K714">
            <v>34.298000000000002</v>
          </cell>
          <cell r="L714" t="str">
            <v>(C)</v>
          </cell>
        </row>
        <row r="715">
          <cell r="A715"/>
          <cell r="B715" t="str">
            <v>TF00002</v>
          </cell>
          <cell r="C715" t="str">
            <v>Capataz</v>
          </cell>
          <cell r="D715"/>
          <cell r="E715"/>
          <cell r="F715" t="str">
            <v>hh</v>
          </cell>
          <cell r="G715"/>
          <cell r="H715"/>
          <cell r="I715"/>
          <cell r="J715">
            <v>0</v>
          </cell>
          <cell r="K715"/>
          <cell r="L715"/>
        </row>
        <row r="716">
          <cell r="A716"/>
          <cell r="B716" t="str">
            <v>TF00014</v>
          </cell>
          <cell r="C716" t="str">
            <v>Vigía</v>
          </cell>
          <cell r="D716"/>
          <cell r="E716"/>
          <cell r="F716" t="str">
            <v>hh</v>
          </cell>
          <cell r="G716"/>
          <cell r="H716"/>
          <cell r="I716"/>
          <cell r="J716">
            <v>0</v>
          </cell>
          <cell r="K716"/>
          <cell r="L716"/>
        </row>
        <row r="717">
          <cell r="A717"/>
          <cell r="B717"/>
          <cell r="C717"/>
          <cell r="D717"/>
          <cell r="E717"/>
          <cell r="F717"/>
          <cell r="G717"/>
          <cell r="H717"/>
          <cell r="I717"/>
          <cell r="J717">
            <v>0</v>
          </cell>
          <cell r="K717"/>
          <cell r="L717"/>
        </row>
        <row r="718">
          <cell r="A718" t="str">
            <v>10045(D)</v>
          </cell>
          <cell r="B718" t="str">
            <v>Herramientas y Equipos</v>
          </cell>
          <cell r="C718"/>
          <cell r="D718"/>
          <cell r="E718"/>
          <cell r="F718"/>
          <cell r="G718"/>
          <cell r="H718"/>
          <cell r="I718"/>
          <cell r="J718"/>
          <cell r="K718">
            <v>6.7866</v>
          </cell>
          <cell r="L718" t="str">
            <v>(D)</v>
          </cell>
        </row>
        <row r="719">
          <cell r="A719"/>
          <cell r="B719" t="str">
            <v>TF00027</v>
          </cell>
          <cell r="C719" t="str">
            <v>Volquete de 17 m3</v>
          </cell>
          <cell r="D719"/>
          <cell r="E719"/>
          <cell r="F719" t="str">
            <v>hm</v>
          </cell>
          <cell r="G719"/>
          <cell r="H719"/>
          <cell r="I719"/>
          <cell r="J719">
            <v>0</v>
          </cell>
          <cell r="K719"/>
          <cell r="L719"/>
        </row>
        <row r="720">
          <cell r="A720"/>
          <cell r="B720" t="str">
            <v>TF00060</v>
          </cell>
          <cell r="C720" t="str">
            <v>Herramientas (% Mano Obra)</v>
          </cell>
          <cell r="D720"/>
          <cell r="E720"/>
          <cell r="F720" t="str">
            <v>%</v>
          </cell>
          <cell r="G720"/>
          <cell r="H720"/>
          <cell r="I720"/>
          <cell r="J720">
            <v>0</v>
          </cell>
          <cell r="K720"/>
          <cell r="L720"/>
        </row>
        <row r="721">
          <cell r="A721"/>
          <cell r="B721"/>
          <cell r="C721"/>
          <cell r="D721"/>
          <cell r="E721"/>
          <cell r="F721"/>
          <cell r="G721"/>
          <cell r="H721"/>
          <cell r="I721"/>
          <cell r="J721">
            <v>0</v>
          </cell>
          <cell r="K721"/>
          <cell r="L721"/>
        </row>
        <row r="722">
          <cell r="A722"/>
          <cell r="B722" t="str">
            <v>Subpartidas</v>
          </cell>
          <cell r="C722"/>
          <cell r="D722"/>
          <cell r="E722"/>
          <cell r="F722"/>
          <cell r="G722"/>
          <cell r="H722"/>
          <cell r="I722"/>
          <cell r="J722"/>
          <cell r="K722">
            <v>89.88</v>
          </cell>
          <cell r="L722" t="str">
            <v>(D)</v>
          </cell>
        </row>
        <row r="723">
          <cell r="A723"/>
          <cell r="B723" t="str">
            <v>TF00027</v>
          </cell>
          <cell r="C723" t="str">
            <v>Excavacion de canal</v>
          </cell>
          <cell r="D723"/>
          <cell r="E723"/>
          <cell r="F723" t="str">
            <v>m3</v>
          </cell>
          <cell r="G723"/>
          <cell r="H723">
            <v>0.44000000000000006</v>
          </cell>
          <cell r="I723">
            <v>11.09</v>
          </cell>
          <cell r="J723">
            <v>4.88</v>
          </cell>
          <cell r="K723"/>
          <cell r="L723"/>
        </row>
        <row r="724">
          <cell r="A724"/>
          <cell r="B724" t="str">
            <v>TF00060</v>
          </cell>
          <cell r="C724" t="str">
            <v>Concreto f'c = 20 Mpa</v>
          </cell>
          <cell r="D724"/>
          <cell r="E724"/>
          <cell r="F724" t="str">
            <v>m3</v>
          </cell>
          <cell r="G724"/>
          <cell r="H724">
            <v>0.24</v>
          </cell>
          <cell r="I724">
            <v>47.7</v>
          </cell>
          <cell r="J724">
            <v>11.45</v>
          </cell>
          <cell r="K724"/>
          <cell r="L724"/>
        </row>
        <row r="725">
          <cell r="A725"/>
          <cell r="B725" t="str">
            <v>TF00060</v>
          </cell>
          <cell r="C725" t="str">
            <v>Encofrado y Desencofrado</v>
          </cell>
          <cell r="D725"/>
          <cell r="E725"/>
          <cell r="F725" t="str">
            <v>m2</v>
          </cell>
          <cell r="G725"/>
          <cell r="H725">
            <v>1.9000000000000001</v>
          </cell>
          <cell r="I725">
            <v>38.71</v>
          </cell>
          <cell r="J725">
            <v>73.55</v>
          </cell>
          <cell r="K725"/>
          <cell r="L725"/>
        </row>
        <row r="726">
          <cell r="A726"/>
          <cell r="B726"/>
          <cell r="C726"/>
          <cell r="D726"/>
          <cell r="E726"/>
          <cell r="F726"/>
          <cell r="G726"/>
          <cell r="H726"/>
          <cell r="I726"/>
          <cell r="J726">
            <v>89.88</v>
          </cell>
          <cell r="K726"/>
          <cell r="L726"/>
        </row>
        <row r="727">
          <cell r="A727"/>
          <cell r="B727"/>
          <cell r="C727"/>
          <cell r="D727"/>
          <cell r="E727"/>
          <cell r="F727"/>
          <cell r="G727"/>
          <cell r="H727"/>
          <cell r="I727"/>
          <cell r="J727"/>
          <cell r="K727"/>
          <cell r="L727"/>
        </row>
        <row r="728">
          <cell r="A728"/>
          <cell r="B728"/>
          <cell r="C728"/>
          <cell r="D728"/>
          <cell r="E728"/>
          <cell r="F728"/>
          <cell r="G728"/>
          <cell r="H728"/>
          <cell r="I728"/>
          <cell r="J728"/>
          <cell r="K728"/>
          <cell r="L728"/>
        </row>
        <row r="729">
          <cell r="A729"/>
          <cell r="B729" t="str">
            <v>Subpartida</v>
          </cell>
          <cell r="C729"/>
          <cell r="D729" t="str">
            <v>Excavacion de canal</v>
          </cell>
          <cell r="E729"/>
          <cell r="F729"/>
          <cell r="G729"/>
          <cell r="H729"/>
          <cell r="I729"/>
          <cell r="J729"/>
          <cell r="K729">
            <v>11.09</v>
          </cell>
          <cell r="L729"/>
        </row>
        <row r="730">
          <cell r="B730" t="str">
            <v>Rendimiento:</v>
          </cell>
          <cell r="C730">
            <v>3.5</v>
          </cell>
          <cell r="D730" t="str">
            <v>m3</v>
          </cell>
          <cell r="E730" t="str">
            <v>/hr</v>
          </cell>
          <cell r="F730"/>
          <cell r="G730"/>
          <cell r="H730" t="str">
            <v>C.U. Total:</v>
          </cell>
          <cell r="I730">
            <v>11.09</v>
          </cell>
          <cell r="J730" t="str">
            <v>m3</v>
          </cell>
        </row>
        <row r="731">
          <cell r="A731"/>
          <cell r="B731" t="str">
            <v>Codigo</v>
          </cell>
          <cell r="C731" t="str">
            <v>Recurso</v>
          </cell>
          <cell r="D731"/>
          <cell r="E731"/>
          <cell r="F731" t="str">
            <v>UND</v>
          </cell>
          <cell r="G731" t="str">
            <v>Cuadrilla</v>
          </cell>
          <cell r="H731" t="str">
            <v>Cantidad</v>
          </cell>
          <cell r="I731" t="str">
            <v>C.U.</v>
          </cell>
          <cell r="J731" t="str">
            <v>C.Parcial</v>
          </cell>
          <cell r="K731" t="str">
            <v>SUBTOTAL</v>
          </cell>
          <cell r="L731"/>
        </row>
        <row r="732">
          <cell r="A732"/>
          <cell r="B732" t="str">
            <v>Mano de Obra</v>
          </cell>
          <cell r="C732"/>
          <cell r="D732"/>
          <cell r="E732"/>
          <cell r="F732"/>
          <cell r="G732"/>
          <cell r="H732"/>
          <cell r="I732"/>
          <cell r="J732"/>
          <cell r="K732">
            <v>4.67</v>
          </cell>
          <cell r="L732" t="str">
            <v>(C)</v>
          </cell>
        </row>
        <row r="733">
          <cell r="A733"/>
          <cell r="B733" t="str">
            <v>TF00002</v>
          </cell>
          <cell r="C733" t="str">
            <v>Capataz</v>
          </cell>
          <cell r="D733"/>
          <cell r="E733"/>
          <cell r="F733" t="str">
            <v>hh</v>
          </cell>
          <cell r="G733">
            <v>0.35</v>
          </cell>
          <cell r="H733">
            <v>0.1</v>
          </cell>
          <cell r="I733">
            <v>9.68</v>
          </cell>
          <cell r="J733">
            <v>0.97</v>
          </cell>
          <cell r="K733"/>
          <cell r="L733"/>
        </row>
        <row r="734">
          <cell r="A734"/>
          <cell r="B734" t="str">
            <v>TF00012</v>
          </cell>
          <cell r="C734" t="str">
            <v>Peón</v>
          </cell>
          <cell r="D734"/>
          <cell r="E734"/>
          <cell r="F734" t="str">
            <v>hh</v>
          </cell>
          <cell r="G734">
            <v>1</v>
          </cell>
          <cell r="H734">
            <v>0.2858</v>
          </cell>
          <cell r="I734">
            <v>6.46</v>
          </cell>
          <cell r="J734">
            <v>1.85</v>
          </cell>
          <cell r="K734"/>
          <cell r="L734"/>
        </row>
        <row r="735">
          <cell r="A735"/>
          <cell r="B735" t="str">
            <v>TF00014</v>
          </cell>
          <cell r="C735" t="str">
            <v>Vigía</v>
          </cell>
          <cell r="D735"/>
          <cell r="E735"/>
          <cell r="F735" t="str">
            <v>hh</v>
          </cell>
          <cell r="G735">
            <v>1</v>
          </cell>
          <cell r="H735">
            <v>0.2858</v>
          </cell>
          <cell r="I735">
            <v>6.46</v>
          </cell>
          <cell r="J735">
            <v>1.85</v>
          </cell>
          <cell r="K735"/>
          <cell r="L735"/>
        </row>
        <row r="736">
          <cell r="A736"/>
          <cell r="B736"/>
          <cell r="C736"/>
          <cell r="D736"/>
          <cell r="E736"/>
          <cell r="F736"/>
          <cell r="G736"/>
          <cell r="H736"/>
          <cell r="I736"/>
          <cell r="J736">
            <v>4.67</v>
          </cell>
          <cell r="K736"/>
          <cell r="L736"/>
        </row>
        <row r="737">
          <cell r="A737"/>
          <cell r="B737" t="str">
            <v>Herramientas y Equipos</v>
          </cell>
          <cell r="C737"/>
          <cell r="D737"/>
          <cell r="E737"/>
          <cell r="F737"/>
          <cell r="G737"/>
          <cell r="H737"/>
          <cell r="I737"/>
          <cell r="J737"/>
          <cell r="K737">
            <v>6.4200000000000008</v>
          </cell>
          <cell r="L737" t="str">
            <v>(D)</v>
          </cell>
        </row>
        <row r="738">
          <cell r="A738"/>
          <cell r="B738" t="str">
            <v>TF00026</v>
          </cell>
          <cell r="C738" t="str">
            <v>Retroexcavadora Cat 420e</v>
          </cell>
          <cell r="D738"/>
          <cell r="E738"/>
          <cell r="F738" t="str">
            <v>hm</v>
          </cell>
          <cell r="G738">
            <v>0.5</v>
          </cell>
          <cell r="H738">
            <v>0.1429</v>
          </cell>
          <cell r="I738">
            <v>41</v>
          </cell>
          <cell r="J738">
            <v>5.86</v>
          </cell>
          <cell r="K738"/>
          <cell r="L738"/>
        </row>
        <row r="739">
          <cell r="A739"/>
          <cell r="B739" t="str">
            <v>TF00041</v>
          </cell>
          <cell r="C739" t="str">
            <v>Luminaria 4K</v>
          </cell>
          <cell r="D739"/>
          <cell r="E739"/>
          <cell r="F739" t="str">
            <v>hm</v>
          </cell>
          <cell r="G739">
            <v>0.5</v>
          </cell>
          <cell r="H739">
            <v>0.1429</v>
          </cell>
          <cell r="I739">
            <v>2.2799999999999998</v>
          </cell>
          <cell r="J739">
            <v>0.33</v>
          </cell>
          <cell r="K739"/>
          <cell r="L739"/>
        </row>
        <row r="740">
          <cell r="A740"/>
          <cell r="B740" t="str">
            <v>TF00060</v>
          </cell>
          <cell r="C740" t="str">
            <v>Herramientas (% Mano Obra)</v>
          </cell>
          <cell r="D740"/>
          <cell r="E740"/>
          <cell r="F740" t="str">
            <v>%</v>
          </cell>
          <cell r="G740"/>
          <cell r="H740">
            <v>0.05</v>
          </cell>
          <cell r="I740">
            <v>4.67</v>
          </cell>
          <cell r="J740">
            <v>0.23</v>
          </cell>
          <cell r="K740"/>
          <cell r="L740"/>
        </row>
        <row r="741">
          <cell r="A741"/>
          <cell r="B741"/>
          <cell r="C741"/>
          <cell r="D741"/>
          <cell r="E741"/>
          <cell r="F741"/>
          <cell r="G741"/>
          <cell r="H741"/>
          <cell r="I741"/>
          <cell r="J741">
            <v>6.4200000000000008</v>
          </cell>
          <cell r="K741"/>
          <cell r="L741"/>
        </row>
        <row r="742">
          <cell r="A742"/>
          <cell r="B742"/>
          <cell r="C742"/>
          <cell r="D742"/>
          <cell r="E742"/>
          <cell r="F742"/>
          <cell r="G742"/>
          <cell r="H742"/>
          <cell r="I742"/>
          <cell r="J742"/>
          <cell r="K742"/>
          <cell r="L742"/>
        </row>
        <row r="743">
          <cell r="A743"/>
          <cell r="B743" t="str">
            <v>Partida</v>
          </cell>
          <cell r="C743"/>
          <cell r="D743" t="str">
            <v>Concreto f'c = 20 Mpa</v>
          </cell>
          <cell r="E743"/>
          <cell r="F743"/>
          <cell r="G743"/>
          <cell r="H743"/>
          <cell r="I743"/>
          <cell r="J743"/>
          <cell r="K743">
            <v>47.7</v>
          </cell>
          <cell r="L743"/>
        </row>
        <row r="744">
          <cell r="A744"/>
          <cell r="B744" t="str">
            <v>Rendimiento:</v>
          </cell>
          <cell r="C744">
            <v>1.33</v>
          </cell>
          <cell r="D744" t="str">
            <v>m3</v>
          </cell>
          <cell r="E744" t="str">
            <v>/hr</v>
          </cell>
          <cell r="F744"/>
          <cell r="G744"/>
          <cell r="H744" t="str">
            <v>C.U. Total:</v>
          </cell>
          <cell r="I744">
            <v>47.7</v>
          </cell>
          <cell r="J744" t="str">
            <v>m3</v>
          </cell>
          <cell r="K744"/>
          <cell r="L744"/>
        </row>
        <row r="745">
          <cell r="A745"/>
          <cell r="B745" t="str">
            <v>Codigo</v>
          </cell>
          <cell r="C745" t="str">
            <v>Recurso</v>
          </cell>
          <cell r="D745"/>
          <cell r="E745"/>
          <cell r="F745" t="str">
            <v>UND</v>
          </cell>
          <cell r="G745" t="str">
            <v>Cuadrilla</v>
          </cell>
          <cell r="H745" t="str">
            <v>Cantidad</v>
          </cell>
          <cell r="I745" t="str">
            <v>C.U.</v>
          </cell>
          <cell r="J745" t="str">
            <v>C.Parcial</v>
          </cell>
          <cell r="K745" t="str">
            <v>SUBTOTAL</v>
          </cell>
          <cell r="L745"/>
        </row>
        <row r="746">
          <cell r="A746"/>
          <cell r="B746" t="str">
            <v>Materiales</v>
          </cell>
          <cell r="C746"/>
          <cell r="D746"/>
          <cell r="E746"/>
          <cell r="F746"/>
          <cell r="G746"/>
          <cell r="H746"/>
          <cell r="I746"/>
          <cell r="J746"/>
          <cell r="K746">
            <v>0</v>
          </cell>
          <cell r="L746" t="str">
            <v>(B)</v>
          </cell>
        </row>
        <row r="747">
          <cell r="A747"/>
          <cell r="B747" t="str">
            <v>TF00090</v>
          </cell>
          <cell r="C747" t="str">
            <v>Bomba móvil con pluma</v>
          </cell>
          <cell r="D747"/>
          <cell r="E747"/>
          <cell r="F747" t="str">
            <v>hm</v>
          </cell>
          <cell r="G747"/>
          <cell r="H747" t="str">
            <v>Suministrado por Antamina a pie de obra</v>
          </cell>
          <cell r="I747"/>
          <cell r="J747"/>
          <cell r="K747"/>
          <cell r="L747"/>
        </row>
        <row r="748">
          <cell r="A748"/>
          <cell r="B748" t="str">
            <v>Mano de Obra</v>
          </cell>
          <cell r="C748"/>
          <cell r="D748"/>
          <cell r="E748"/>
          <cell r="F748"/>
          <cell r="G748"/>
          <cell r="H748"/>
          <cell r="I748"/>
          <cell r="J748"/>
          <cell r="K748">
            <v>39.980000000000004</v>
          </cell>
          <cell r="L748" t="str">
            <v>(C)</v>
          </cell>
        </row>
        <row r="749">
          <cell r="A749"/>
          <cell r="B749" t="str">
            <v>TF00002</v>
          </cell>
          <cell r="C749" t="str">
            <v>Capataz</v>
          </cell>
          <cell r="D749"/>
          <cell r="E749"/>
          <cell r="F749" t="str">
            <v>hh</v>
          </cell>
          <cell r="G749">
            <v>0.35</v>
          </cell>
          <cell r="H749">
            <v>0.26319999999999999</v>
          </cell>
          <cell r="I749">
            <v>9.68</v>
          </cell>
          <cell r="J749">
            <v>2.5499999999999998</v>
          </cell>
          <cell r="K749"/>
          <cell r="L749"/>
        </row>
        <row r="750">
          <cell r="A750"/>
          <cell r="B750" t="str">
            <v>TF00004</v>
          </cell>
          <cell r="C750" t="str">
            <v>Operario</v>
          </cell>
          <cell r="D750"/>
          <cell r="E750"/>
          <cell r="F750" t="str">
            <v>hh</v>
          </cell>
          <cell r="G750">
            <v>1</v>
          </cell>
          <cell r="H750">
            <v>0.75190000000000001</v>
          </cell>
          <cell r="I750">
            <v>9.2799999999999994</v>
          </cell>
          <cell r="J750">
            <v>6.98</v>
          </cell>
          <cell r="K750"/>
          <cell r="L750"/>
        </row>
        <row r="751">
          <cell r="A751"/>
          <cell r="B751" t="str">
            <v>TF00011</v>
          </cell>
          <cell r="C751" t="str">
            <v>Oficial</v>
          </cell>
          <cell r="D751"/>
          <cell r="E751"/>
          <cell r="F751" t="str">
            <v>hh</v>
          </cell>
          <cell r="G751">
            <v>2</v>
          </cell>
          <cell r="H751">
            <v>1.5038</v>
          </cell>
          <cell r="I751">
            <v>7.33</v>
          </cell>
          <cell r="J751">
            <v>11.02</v>
          </cell>
          <cell r="K751"/>
          <cell r="L751"/>
        </row>
        <row r="752">
          <cell r="A752"/>
          <cell r="B752" t="str">
            <v>TF00012</v>
          </cell>
          <cell r="C752" t="str">
            <v>Peón</v>
          </cell>
          <cell r="D752"/>
          <cell r="E752"/>
          <cell r="F752" t="str">
            <v>hh</v>
          </cell>
          <cell r="G752">
            <v>4</v>
          </cell>
          <cell r="H752">
            <v>3.0076000000000001</v>
          </cell>
          <cell r="I752">
            <v>6.46</v>
          </cell>
          <cell r="J752">
            <v>19.43</v>
          </cell>
          <cell r="K752"/>
          <cell r="L752"/>
        </row>
        <row r="753">
          <cell r="A753"/>
          <cell r="B753"/>
          <cell r="C753"/>
          <cell r="D753"/>
          <cell r="E753"/>
          <cell r="F753"/>
          <cell r="G753"/>
          <cell r="H753"/>
          <cell r="I753"/>
          <cell r="J753">
            <v>39.980000000000004</v>
          </cell>
          <cell r="K753"/>
          <cell r="L753"/>
        </row>
        <row r="754">
          <cell r="A754"/>
          <cell r="B754" t="str">
            <v>Herramientas y Equipos</v>
          </cell>
          <cell r="C754"/>
          <cell r="D754"/>
          <cell r="E754"/>
          <cell r="F754"/>
          <cell r="G754"/>
          <cell r="H754"/>
          <cell r="I754"/>
          <cell r="J754"/>
          <cell r="K754">
            <v>7.72</v>
          </cell>
          <cell r="L754" t="str">
            <v>(D)</v>
          </cell>
        </row>
        <row r="755">
          <cell r="A755"/>
          <cell r="B755" t="str">
            <v>TF00046</v>
          </cell>
          <cell r="C755" t="str">
            <v>Vibrador de concreto 4 HP 2.4"</v>
          </cell>
          <cell r="D755"/>
          <cell r="E755"/>
          <cell r="F755" t="str">
            <v>hm</v>
          </cell>
          <cell r="G755">
            <v>1</v>
          </cell>
          <cell r="H755">
            <v>0.75190000000000001</v>
          </cell>
          <cell r="I755">
            <v>7.61</v>
          </cell>
          <cell r="J755">
            <v>5.72</v>
          </cell>
          <cell r="K755"/>
          <cell r="L755"/>
        </row>
        <row r="756">
          <cell r="A756"/>
          <cell r="B756" t="str">
            <v>TF00045</v>
          </cell>
          <cell r="C756" t="str">
            <v>Bomba móvil con pluma</v>
          </cell>
          <cell r="D756"/>
          <cell r="E756"/>
          <cell r="F756" t="str">
            <v>hm</v>
          </cell>
          <cell r="G756"/>
          <cell r="H756" t="str">
            <v>Suministrado por Antamina a pie de obra</v>
          </cell>
          <cell r="I756"/>
          <cell r="J756"/>
          <cell r="K756"/>
          <cell r="L756"/>
        </row>
        <row r="757">
          <cell r="A757"/>
          <cell r="B757" t="str">
            <v>TF00060</v>
          </cell>
          <cell r="C757" t="str">
            <v>Herramientas (% Mano Obra)</v>
          </cell>
          <cell r="D757"/>
          <cell r="E757"/>
          <cell r="F757" t="str">
            <v>%</v>
          </cell>
          <cell r="G757"/>
          <cell r="H757">
            <v>0.05</v>
          </cell>
          <cell r="I757">
            <v>39.980000000000004</v>
          </cell>
          <cell r="J757">
            <v>2</v>
          </cell>
          <cell r="K757"/>
          <cell r="L757"/>
        </row>
        <row r="758">
          <cell r="A758"/>
          <cell r="B758"/>
          <cell r="C758"/>
          <cell r="D758"/>
          <cell r="E758"/>
          <cell r="F758"/>
          <cell r="G758"/>
          <cell r="H758"/>
          <cell r="I758"/>
          <cell r="J758">
            <v>7.72</v>
          </cell>
          <cell r="K758"/>
          <cell r="L758"/>
        </row>
        <row r="759">
          <cell r="A759"/>
          <cell r="B759"/>
          <cell r="C759"/>
          <cell r="D759"/>
          <cell r="E759"/>
          <cell r="F759"/>
          <cell r="G759"/>
          <cell r="H759"/>
          <cell r="I759"/>
          <cell r="J759"/>
          <cell r="K759"/>
          <cell r="L759"/>
        </row>
        <row r="760">
          <cell r="A760"/>
          <cell r="B760" t="str">
            <v>Subpartida</v>
          </cell>
          <cell r="C760"/>
          <cell r="D760" t="str">
            <v>Encofrado y Desencofrado</v>
          </cell>
          <cell r="E760"/>
          <cell r="F760"/>
          <cell r="G760"/>
          <cell r="H760"/>
          <cell r="I760"/>
          <cell r="J760"/>
          <cell r="K760">
            <v>38.71</v>
          </cell>
          <cell r="L760"/>
        </row>
        <row r="761">
          <cell r="A761"/>
          <cell r="B761" t="str">
            <v>Rendimiento:</v>
          </cell>
          <cell r="C761">
            <v>2.2200000000000002</v>
          </cell>
          <cell r="D761" t="str">
            <v>m2</v>
          </cell>
          <cell r="E761" t="str">
            <v>/hr</v>
          </cell>
          <cell r="F761"/>
          <cell r="G761"/>
          <cell r="H761" t="str">
            <v>C.U. Total:</v>
          </cell>
          <cell r="I761">
            <v>38.71</v>
          </cell>
          <cell r="J761" t="str">
            <v>m2</v>
          </cell>
          <cell r="K761"/>
          <cell r="L761"/>
        </row>
        <row r="762">
          <cell r="A762"/>
          <cell r="B762" t="str">
            <v>Codigo</v>
          </cell>
          <cell r="C762" t="str">
            <v>Recurso</v>
          </cell>
          <cell r="D762"/>
          <cell r="E762"/>
          <cell r="F762" t="str">
            <v>UND</v>
          </cell>
          <cell r="G762" t="str">
            <v>Cuadrilla</v>
          </cell>
          <cell r="H762" t="str">
            <v>Cantidad</v>
          </cell>
          <cell r="I762" t="str">
            <v>C.U.</v>
          </cell>
          <cell r="J762" t="str">
            <v>C.Parcial</v>
          </cell>
          <cell r="K762" t="str">
            <v>SUBTOTAL</v>
          </cell>
          <cell r="L762"/>
        </row>
        <row r="763">
          <cell r="A763" t="str">
            <v>(B)</v>
          </cell>
          <cell r="B763" t="str">
            <v>Materiales</v>
          </cell>
          <cell r="C763"/>
          <cell r="D763"/>
          <cell r="E763"/>
          <cell r="F763"/>
          <cell r="G763"/>
          <cell r="H763"/>
          <cell r="I763"/>
          <cell r="J763"/>
          <cell r="K763">
            <v>25.68</v>
          </cell>
          <cell r="L763" t="str">
            <v>(B)</v>
          </cell>
        </row>
        <row r="764">
          <cell r="A764"/>
          <cell r="B764" t="str">
            <v>TF00138</v>
          </cell>
          <cell r="C764" t="str">
            <v>Clavos C/Cabeza promedio</v>
          </cell>
          <cell r="D764"/>
          <cell r="E764"/>
          <cell r="F764" t="str">
            <v>kg</v>
          </cell>
          <cell r="G764"/>
          <cell r="H764">
            <v>0.12</v>
          </cell>
          <cell r="I764">
            <v>1.05</v>
          </cell>
          <cell r="J764">
            <v>0.13</v>
          </cell>
          <cell r="K764"/>
          <cell r="L764"/>
        </row>
        <row r="765">
          <cell r="A765"/>
          <cell r="B765" t="str">
            <v>TF00139</v>
          </cell>
          <cell r="C765" t="str">
            <v>Alambre negro N°8</v>
          </cell>
          <cell r="D765"/>
          <cell r="E765"/>
          <cell r="F765" t="str">
            <v>kg</v>
          </cell>
          <cell r="G765"/>
          <cell r="H765">
            <v>0.15</v>
          </cell>
          <cell r="I765">
            <v>1.23</v>
          </cell>
          <cell r="J765">
            <v>0.18</v>
          </cell>
          <cell r="K765"/>
          <cell r="L765"/>
        </row>
        <row r="766">
          <cell r="A766"/>
          <cell r="B766" t="str">
            <v>TF00140</v>
          </cell>
          <cell r="C766" t="str">
            <v>Madera tripley lupuna 19 mm</v>
          </cell>
          <cell r="D766"/>
          <cell r="E766"/>
          <cell r="F766" t="str">
            <v>pln</v>
          </cell>
          <cell r="G766"/>
          <cell r="H766">
            <v>0.33</v>
          </cell>
          <cell r="I766">
            <v>34</v>
          </cell>
          <cell r="J766">
            <v>11.22</v>
          </cell>
          <cell r="K766"/>
          <cell r="L766"/>
        </row>
        <row r="767">
          <cell r="A767"/>
          <cell r="B767" t="str">
            <v>TF00141</v>
          </cell>
          <cell r="C767" t="str">
            <v>Madera</v>
          </cell>
          <cell r="D767"/>
          <cell r="E767"/>
          <cell r="F767" t="str">
            <v>p2</v>
          </cell>
          <cell r="G767"/>
          <cell r="H767">
            <v>5</v>
          </cell>
          <cell r="I767">
            <v>2.83</v>
          </cell>
          <cell r="J767">
            <v>14.15</v>
          </cell>
          <cell r="K767"/>
          <cell r="L767"/>
        </row>
        <row r="768">
          <cell r="A768"/>
          <cell r="B768"/>
          <cell r="C768"/>
          <cell r="D768"/>
          <cell r="E768"/>
          <cell r="F768"/>
          <cell r="G768"/>
          <cell r="H768"/>
          <cell r="I768"/>
          <cell r="J768">
            <v>25.68</v>
          </cell>
          <cell r="K768"/>
          <cell r="L768"/>
        </row>
        <row r="769">
          <cell r="A769" t="str">
            <v>(C)</v>
          </cell>
          <cell r="B769" t="str">
            <v>Mano de Obra</v>
          </cell>
          <cell r="C769"/>
          <cell r="D769"/>
          <cell r="E769"/>
          <cell r="F769"/>
          <cell r="G769"/>
          <cell r="H769"/>
          <cell r="I769"/>
          <cell r="J769"/>
          <cell r="K769">
            <v>11.92</v>
          </cell>
          <cell r="L769" t="str">
            <v>(C)</v>
          </cell>
        </row>
        <row r="770">
          <cell r="A770"/>
          <cell r="B770" t="str">
            <v>TF00002</v>
          </cell>
          <cell r="C770" t="str">
            <v>Capataz</v>
          </cell>
          <cell r="D770"/>
          <cell r="E770"/>
          <cell r="F770" t="str">
            <v>hh</v>
          </cell>
          <cell r="G770">
            <v>0.35</v>
          </cell>
          <cell r="H770">
            <v>0.15769999999999998</v>
          </cell>
          <cell r="I770">
            <v>9.68</v>
          </cell>
          <cell r="J770">
            <v>1.53</v>
          </cell>
          <cell r="K770"/>
          <cell r="L770"/>
        </row>
        <row r="771">
          <cell r="A771"/>
          <cell r="B771" t="str">
            <v>TF00004</v>
          </cell>
          <cell r="C771" t="str">
            <v>Operario</v>
          </cell>
          <cell r="D771"/>
          <cell r="E771"/>
          <cell r="F771" t="str">
            <v>hh</v>
          </cell>
          <cell r="G771">
            <v>1</v>
          </cell>
          <cell r="H771">
            <v>0.45050000000000001</v>
          </cell>
          <cell r="I771">
            <v>9.2799999999999994</v>
          </cell>
          <cell r="J771">
            <v>4.18</v>
          </cell>
          <cell r="K771"/>
          <cell r="L771"/>
        </row>
        <row r="772">
          <cell r="A772"/>
          <cell r="B772" t="str">
            <v>TF00011</v>
          </cell>
          <cell r="C772" t="str">
            <v>Oficial</v>
          </cell>
          <cell r="D772"/>
          <cell r="E772"/>
          <cell r="F772" t="str">
            <v>hh</v>
          </cell>
          <cell r="G772">
            <v>1</v>
          </cell>
          <cell r="H772">
            <v>0.45050000000000001</v>
          </cell>
          <cell r="I772">
            <v>7.33</v>
          </cell>
          <cell r="J772">
            <v>3.3</v>
          </cell>
          <cell r="K772"/>
          <cell r="L772"/>
        </row>
        <row r="773">
          <cell r="A773"/>
          <cell r="B773" t="str">
            <v>TF00012</v>
          </cell>
          <cell r="C773" t="str">
            <v>Peón</v>
          </cell>
          <cell r="D773"/>
          <cell r="E773"/>
          <cell r="F773" t="str">
            <v>hh</v>
          </cell>
          <cell r="G773">
            <v>1</v>
          </cell>
          <cell r="H773">
            <v>0.45050000000000001</v>
          </cell>
          <cell r="I773">
            <v>6.46</v>
          </cell>
          <cell r="J773">
            <v>2.91</v>
          </cell>
          <cell r="K773"/>
          <cell r="L773"/>
        </row>
        <row r="774">
          <cell r="A774"/>
          <cell r="B774"/>
          <cell r="C774"/>
          <cell r="D774"/>
          <cell r="E774"/>
          <cell r="F774"/>
          <cell r="G774"/>
          <cell r="H774"/>
          <cell r="I774"/>
          <cell r="J774">
            <v>11.92</v>
          </cell>
          <cell r="K774"/>
          <cell r="L774"/>
        </row>
        <row r="775">
          <cell r="A775" t="str">
            <v>(D)</v>
          </cell>
          <cell r="B775" t="str">
            <v>Herramientas y Equipos</v>
          </cell>
          <cell r="C775"/>
          <cell r="D775"/>
          <cell r="E775"/>
          <cell r="F775"/>
          <cell r="G775"/>
          <cell r="H775"/>
          <cell r="I775"/>
          <cell r="J775"/>
          <cell r="K775">
            <v>1.1099999999999999</v>
          </cell>
          <cell r="L775" t="str">
            <v>(D)</v>
          </cell>
        </row>
        <row r="776">
          <cell r="A776"/>
          <cell r="B776" t="str">
            <v>TF00041</v>
          </cell>
          <cell r="C776" t="str">
            <v>Luminaria 4K</v>
          </cell>
          <cell r="D776"/>
          <cell r="E776"/>
          <cell r="F776" t="str">
            <v>hm</v>
          </cell>
          <cell r="G776">
            <v>0.5</v>
          </cell>
          <cell r="H776">
            <v>0.2253</v>
          </cell>
          <cell r="I776">
            <v>2.2799999999999998</v>
          </cell>
          <cell r="J776">
            <v>0.51</v>
          </cell>
          <cell r="K776"/>
          <cell r="L776"/>
        </row>
        <row r="777">
          <cell r="A777"/>
          <cell r="B777" t="str">
            <v>TF00060</v>
          </cell>
          <cell r="C777" t="str">
            <v>Herramientas (% Mano Obra)</v>
          </cell>
          <cell r="D777"/>
          <cell r="E777"/>
          <cell r="F777" t="str">
            <v>%</v>
          </cell>
          <cell r="G777"/>
          <cell r="H777">
            <v>0.05</v>
          </cell>
          <cell r="I777">
            <v>11.92</v>
          </cell>
          <cell r="J777">
            <v>0.6</v>
          </cell>
          <cell r="K777"/>
          <cell r="L777"/>
        </row>
        <row r="778">
          <cell r="A778"/>
          <cell r="B778"/>
          <cell r="C778"/>
          <cell r="D778"/>
          <cell r="E778"/>
          <cell r="F778"/>
          <cell r="G778"/>
          <cell r="H778"/>
          <cell r="I778"/>
          <cell r="J778">
            <v>1.1099999999999999</v>
          </cell>
          <cell r="K778"/>
          <cell r="L778"/>
        </row>
        <row r="779">
          <cell r="A779"/>
          <cell r="B779"/>
          <cell r="C779"/>
          <cell r="D779"/>
          <cell r="E779"/>
          <cell r="F779"/>
          <cell r="G779"/>
          <cell r="H779"/>
          <cell r="I779"/>
          <cell r="J779"/>
          <cell r="K779"/>
          <cell r="L779"/>
        </row>
        <row r="780">
          <cell r="A780"/>
          <cell r="B780"/>
          <cell r="C780"/>
          <cell r="D780"/>
          <cell r="E780"/>
          <cell r="F780"/>
          <cell r="G780"/>
          <cell r="H780"/>
          <cell r="I780"/>
          <cell r="J780"/>
          <cell r="K780"/>
          <cell r="L780"/>
        </row>
        <row r="781">
          <cell r="A781">
            <v>10046</v>
          </cell>
          <cell r="B781" t="str">
            <v>Partida</v>
          </cell>
          <cell r="C781">
            <v>3.15</v>
          </cell>
          <cell r="D781" t="str">
            <v>Tubería Ø21" para cruce</v>
          </cell>
          <cell r="E781"/>
          <cell r="F781"/>
          <cell r="G781"/>
          <cell r="H781"/>
          <cell r="I781"/>
          <cell r="J781"/>
          <cell r="K781">
            <v>2.5100000000000002</v>
          </cell>
          <cell r="L781"/>
        </row>
        <row r="782">
          <cell r="A782"/>
          <cell r="B782" t="str">
            <v>Rendimiento:</v>
          </cell>
          <cell r="C782">
            <v>18</v>
          </cell>
          <cell r="D782" t="str">
            <v>m</v>
          </cell>
          <cell r="E782" t="str">
            <v>/hr</v>
          </cell>
          <cell r="F782"/>
          <cell r="G782"/>
          <cell r="H782" t="str">
            <v>C.U. Total:</v>
          </cell>
          <cell r="I782">
            <v>2.5100000000000002</v>
          </cell>
          <cell r="J782" t="str">
            <v>m</v>
          </cell>
          <cell r="K782"/>
          <cell r="L782"/>
        </row>
        <row r="783">
          <cell r="A783"/>
          <cell r="B783" t="str">
            <v>Codigo</v>
          </cell>
          <cell r="C783" t="str">
            <v>Recurso</v>
          </cell>
          <cell r="D783"/>
          <cell r="E783"/>
          <cell r="F783" t="str">
            <v>UND</v>
          </cell>
          <cell r="G783" t="str">
            <v>Cuadrilla</v>
          </cell>
          <cell r="H783" t="str">
            <v>Cantidad</v>
          </cell>
          <cell r="I783" t="str">
            <v>C.U.</v>
          </cell>
          <cell r="J783" t="str">
            <v>C.Parcial</v>
          </cell>
          <cell r="K783" t="str">
            <v>SUBTOTAL</v>
          </cell>
          <cell r="L783"/>
        </row>
        <row r="784">
          <cell r="A784" t="str">
            <v>10046(C)</v>
          </cell>
          <cell r="B784" t="str">
            <v>Mano de Obra</v>
          </cell>
          <cell r="C784"/>
          <cell r="D784"/>
          <cell r="E784"/>
          <cell r="F784"/>
          <cell r="G784"/>
          <cell r="H784"/>
          <cell r="I784"/>
          <cell r="J784"/>
          <cell r="K784">
            <v>1.2000000000000002</v>
          </cell>
          <cell r="L784" t="str">
            <v>(C)</v>
          </cell>
        </row>
        <row r="785">
          <cell r="A785"/>
          <cell r="B785" t="str">
            <v>TF00002</v>
          </cell>
          <cell r="C785" t="str">
            <v>Capataz</v>
          </cell>
          <cell r="D785"/>
          <cell r="E785"/>
          <cell r="F785" t="str">
            <v>hh</v>
          </cell>
          <cell r="G785">
            <v>0.35</v>
          </cell>
          <cell r="H785">
            <v>1.67E-2</v>
          </cell>
          <cell r="I785">
            <v>9.68</v>
          </cell>
          <cell r="J785">
            <v>0.16</v>
          </cell>
          <cell r="K785"/>
          <cell r="L785"/>
        </row>
        <row r="786">
          <cell r="A786"/>
          <cell r="B786" t="str">
            <v>TF00012</v>
          </cell>
          <cell r="C786" t="str">
            <v>Peón</v>
          </cell>
          <cell r="D786"/>
          <cell r="E786"/>
          <cell r="F786" t="str">
            <v>hh</v>
          </cell>
          <cell r="G786">
            <v>3</v>
          </cell>
          <cell r="H786">
            <v>0.1429</v>
          </cell>
          <cell r="I786">
            <v>6.46</v>
          </cell>
          <cell r="J786">
            <v>0.92</v>
          </cell>
          <cell r="K786"/>
          <cell r="L786"/>
        </row>
        <row r="787">
          <cell r="A787"/>
          <cell r="B787" t="str">
            <v>TF00014</v>
          </cell>
          <cell r="C787" t="str">
            <v>Vigía</v>
          </cell>
          <cell r="D787"/>
          <cell r="E787"/>
          <cell r="F787" t="str">
            <v>hh</v>
          </cell>
          <cell r="G787">
            <v>0.4</v>
          </cell>
          <cell r="H787">
            <v>1.9099999999999999E-2</v>
          </cell>
          <cell r="I787">
            <v>6.46</v>
          </cell>
          <cell r="J787">
            <v>0.12</v>
          </cell>
          <cell r="K787"/>
          <cell r="L787"/>
        </row>
        <row r="788">
          <cell r="A788"/>
          <cell r="B788"/>
          <cell r="C788"/>
          <cell r="D788"/>
          <cell r="E788"/>
          <cell r="F788"/>
          <cell r="G788"/>
          <cell r="H788"/>
          <cell r="I788"/>
          <cell r="J788">
            <v>1.2000000000000002</v>
          </cell>
          <cell r="K788"/>
          <cell r="L788"/>
        </row>
        <row r="789">
          <cell r="A789" t="str">
            <v>10046(D)</v>
          </cell>
          <cell r="B789" t="str">
            <v>Herramientas y Equipos</v>
          </cell>
          <cell r="C789"/>
          <cell r="D789"/>
          <cell r="E789"/>
          <cell r="F789"/>
          <cell r="G789"/>
          <cell r="H789"/>
          <cell r="I789"/>
          <cell r="J789"/>
          <cell r="K789">
            <v>1.31</v>
          </cell>
          <cell r="L789" t="str">
            <v>(D)</v>
          </cell>
        </row>
        <row r="790">
          <cell r="A790"/>
          <cell r="B790" t="str">
            <v>TF00024</v>
          </cell>
          <cell r="C790" t="str">
            <v>Excavadora John Deere 290</v>
          </cell>
          <cell r="D790"/>
          <cell r="E790"/>
          <cell r="F790" t="str">
            <v>hm</v>
          </cell>
          <cell r="G790">
            <v>0.4</v>
          </cell>
          <cell r="H790">
            <v>1.9099999999999999E-2</v>
          </cell>
          <cell r="I790">
            <v>63</v>
          </cell>
          <cell r="J790">
            <v>1.2</v>
          </cell>
          <cell r="K790"/>
          <cell r="L790"/>
        </row>
        <row r="791">
          <cell r="A791"/>
          <cell r="B791" t="str">
            <v>TF00041</v>
          </cell>
          <cell r="C791" t="str">
            <v>Luminaria 4K</v>
          </cell>
          <cell r="D791"/>
          <cell r="E791"/>
          <cell r="F791" t="str">
            <v>hm</v>
          </cell>
          <cell r="G791">
            <v>0.5</v>
          </cell>
          <cell r="H791">
            <v>2.3900000000000001E-2</v>
          </cell>
          <cell r="I791">
            <v>2.2799999999999998</v>
          </cell>
          <cell r="J791">
            <v>0.05</v>
          </cell>
          <cell r="K791"/>
          <cell r="L791"/>
        </row>
        <row r="792">
          <cell r="A792"/>
          <cell r="B792" t="str">
            <v>TF00060</v>
          </cell>
          <cell r="C792" t="str">
            <v>Herramientas (% Mano Obra)</v>
          </cell>
          <cell r="D792"/>
          <cell r="E792"/>
          <cell r="F792" t="str">
            <v>%</v>
          </cell>
          <cell r="G792"/>
          <cell r="H792">
            <v>0.05</v>
          </cell>
          <cell r="I792">
            <v>1.2000000000000002</v>
          </cell>
          <cell r="J792">
            <v>0.06</v>
          </cell>
          <cell r="K792"/>
          <cell r="L792"/>
        </row>
        <row r="793">
          <cell r="A793"/>
          <cell r="B793"/>
          <cell r="C793"/>
          <cell r="D793"/>
          <cell r="E793"/>
          <cell r="F793"/>
          <cell r="G793"/>
          <cell r="H793"/>
          <cell r="I793"/>
          <cell r="J793">
            <v>1.31</v>
          </cell>
          <cell r="K793"/>
          <cell r="L793"/>
        </row>
        <row r="794">
          <cell r="A794"/>
          <cell r="B794"/>
          <cell r="C794"/>
          <cell r="D794"/>
          <cell r="E794"/>
          <cell r="F794"/>
          <cell r="G794"/>
          <cell r="H794"/>
          <cell r="I794"/>
          <cell r="J794"/>
          <cell r="K794"/>
          <cell r="L794"/>
        </row>
        <row r="795">
          <cell r="A795">
            <v>10047</v>
          </cell>
          <cell r="B795" t="str">
            <v>Partida</v>
          </cell>
          <cell r="C795">
            <v>3.16</v>
          </cell>
          <cell r="D795" t="str">
            <v>Canal de drenaje revestido con geomembrana de sección 500x400 mm excavación con medios mecánicos</v>
          </cell>
          <cell r="E795"/>
          <cell r="F795"/>
          <cell r="G795"/>
          <cell r="H795"/>
          <cell r="I795"/>
          <cell r="J795"/>
          <cell r="K795">
            <v>29.696600000000004</v>
          </cell>
          <cell r="L795"/>
        </row>
        <row r="796">
          <cell r="A796"/>
          <cell r="B796" t="str">
            <v>Rendimiento:</v>
          </cell>
          <cell r="C796">
            <v>2.1739130434782608</v>
          </cell>
          <cell r="D796" t="str">
            <v>m</v>
          </cell>
          <cell r="E796" t="str">
            <v>/hr</v>
          </cell>
          <cell r="F796"/>
          <cell r="G796"/>
          <cell r="H796" t="str">
            <v>C.U. Total:</v>
          </cell>
          <cell r="I796">
            <v>29.696600000000004</v>
          </cell>
          <cell r="J796" t="str">
            <v>m</v>
          </cell>
          <cell r="K796"/>
          <cell r="L796"/>
        </row>
        <row r="797">
          <cell r="A797"/>
          <cell r="B797" t="str">
            <v>Codigo</v>
          </cell>
          <cell r="C797" t="str">
            <v>Recurso</v>
          </cell>
          <cell r="D797"/>
          <cell r="E797"/>
          <cell r="F797" t="str">
            <v>UND</v>
          </cell>
          <cell r="G797" t="str">
            <v>Cuadrilla</v>
          </cell>
          <cell r="H797" t="str">
            <v>Cantidad</v>
          </cell>
          <cell r="I797" t="str">
            <v>C.U.</v>
          </cell>
          <cell r="J797" t="str">
            <v>C.Parcial</v>
          </cell>
          <cell r="K797" t="str">
            <v>SUBTOTAL</v>
          </cell>
          <cell r="L797"/>
        </row>
        <row r="798">
          <cell r="A798" t="str">
            <v>10047(C)</v>
          </cell>
          <cell r="B798" t="str">
            <v>Mano de Obra</v>
          </cell>
          <cell r="C798"/>
          <cell r="D798"/>
          <cell r="E798"/>
          <cell r="F798"/>
          <cell r="G798"/>
          <cell r="H798"/>
          <cell r="I798"/>
          <cell r="J798"/>
          <cell r="K798">
            <v>12.948800000000002</v>
          </cell>
          <cell r="L798" t="str">
            <v>(C)</v>
          </cell>
        </row>
        <row r="799">
          <cell r="A799"/>
          <cell r="B799" t="str">
            <v>TF00002</v>
          </cell>
          <cell r="C799" t="str">
            <v>Capataz</v>
          </cell>
          <cell r="D799"/>
          <cell r="E799"/>
          <cell r="F799" t="str">
            <v>hh</v>
          </cell>
          <cell r="G799"/>
          <cell r="H799"/>
          <cell r="I799"/>
          <cell r="J799">
            <v>0</v>
          </cell>
          <cell r="K799"/>
          <cell r="L799"/>
        </row>
        <row r="800">
          <cell r="A800"/>
          <cell r="B800" t="str">
            <v>TF00014</v>
          </cell>
          <cell r="C800" t="str">
            <v>Vigía</v>
          </cell>
          <cell r="D800"/>
          <cell r="E800"/>
          <cell r="F800" t="str">
            <v>hh</v>
          </cell>
          <cell r="G800"/>
          <cell r="H800"/>
          <cell r="I800"/>
          <cell r="J800">
            <v>0</v>
          </cell>
          <cell r="K800"/>
          <cell r="L800"/>
        </row>
        <row r="801">
          <cell r="A801"/>
          <cell r="B801"/>
          <cell r="C801"/>
          <cell r="D801"/>
          <cell r="E801"/>
          <cell r="F801"/>
          <cell r="G801"/>
          <cell r="H801"/>
          <cell r="I801"/>
          <cell r="J801">
            <v>0</v>
          </cell>
          <cell r="K801"/>
          <cell r="L801"/>
        </row>
        <row r="802">
          <cell r="A802" t="str">
            <v>10047(D)</v>
          </cell>
          <cell r="B802" t="str">
            <v>Herramientas y Equipos</v>
          </cell>
          <cell r="C802"/>
          <cell r="D802"/>
          <cell r="E802"/>
          <cell r="F802"/>
          <cell r="G802"/>
          <cell r="H802"/>
          <cell r="I802"/>
          <cell r="J802"/>
          <cell r="K802">
            <v>16.747800000000002</v>
          </cell>
          <cell r="L802" t="str">
            <v>(D)</v>
          </cell>
        </row>
        <row r="803">
          <cell r="A803"/>
          <cell r="B803" t="str">
            <v>TF00027</v>
          </cell>
          <cell r="C803" t="str">
            <v>Volquete de 17 m3</v>
          </cell>
          <cell r="D803"/>
          <cell r="E803"/>
          <cell r="F803" t="str">
            <v>hm</v>
          </cell>
          <cell r="G803"/>
          <cell r="H803"/>
          <cell r="I803"/>
          <cell r="J803">
            <v>0</v>
          </cell>
          <cell r="K803"/>
          <cell r="L803"/>
        </row>
        <row r="804">
          <cell r="A804"/>
          <cell r="B804" t="str">
            <v>TF00060</v>
          </cell>
          <cell r="C804" t="str">
            <v>Herramientas (% Mano Obra)</v>
          </cell>
          <cell r="D804"/>
          <cell r="E804"/>
          <cell r="F804" t="str">
            <v>%</v>
          </cell>
          <cell r="G804"/>
          <cell r="H804"/>
          <cell r="I804"/>
          <cell r="J804">
            <v>0</v>
          </cell>
          <cell r="K804"/>
          <cell r="L804"/>
        </row>
        <row r="805">
          <cell r="A805"/>
          <cell r="B805"/>
          <cell r="C805"/>
          <cell r="D805"/>
          <cell r="E805"/>
          <cell r="F805"/>
          <cell r="G805"/>
          <cell r="H805"/>
          <cell r="I805"/>
          <cell r="J805">
            <v>0</v>
          </cell>
          <cell r="K805"/>
          <cell r="L805"/>
        </row>
        <row r="806">
          <cell r="A806"/>
          <cell r="B806" t="str">
            <v>Subpartidas</v>
          </cell>
          <cell r="C806"/>
          <cell r="D806"/>
          <cell r="E806"/>
          <cell r="F806"/>
          <cell r="G806"/>
          <cell r="H806"/>
          <cell r="I806"/>
          <cell r="J806"/>
          <cell r="K806">
            <v>29.6966</v>
          </cell>
          <cell r="L806" t="str">
            <v>(D)</v>
          </cell>
        </row>
        <row r="807">
          <cell r="A807"/>
          <cell r="B807" t="str">
            <v>TF00027</v>
          </cell>
          <cell r="C807" t="str">
            <v>Excavacion de canal</v>
          </cell>
          <cell r="D807"/>
          <cell r="E807"/>
          <cell r="F807" t="str">
            <v>m3</v>
          </cell>
          <cell r="G807"/>
          <cell r="H807">
            <v>0.44000000000000006</v>
          </cell>
          <cell r="I807">
            <v>11.09</v>
          </cell>
          <cell r="J807">
            <v>4.8796000000000008</v>
          </cell>
          <cell r="K807"/>
          <cell r="L807"/>
        </row>
        <row r="808">
          <cell r="A808"/>
          <cell r="B808" t="str">
            <v>TF00060</v>
          </cell>
          <cell r="C808" t="str">
            <v>Instalacion de geomembrana</v>
          </cell>
          <cell r="D808"/>
          <cell r="E808"/>
          <cell r="F808" t="str">
            <v>m2</v>
          </cell>
          <cell r="G808"/>
          <cell r="H808">
            <v>1.3</v>
          </cell>
          <cell r="I808">
            <v>19.09</v>
          </cell>
          <cell r="J808">
            <v>24.817</v>
          </cell>
          <cell r="K808"/>
          <cell r="L808"/>
        </row>
        <row r="809">
          <cell r="A809"/>
          <cell r="B809"/>
          <cell r="C809"/>
          <cell r="D809"/>
          <cell r="E809"/>
          <cell r="F809"/>
          <cell r="G809"/>
          <cell r="H809"/>
          <cell r="I809"/>
          <cell r="J809">
            <v>29.6966</v>
          </cell>
          <cell r="K809"/>
          <cell r="L809"/>
        </row>
        <row r="810">
          <cell r="A810"/>
          <cell r="B810"/>
          <cell r="C810"/>
          <cell r="D810"/>
          <cell r="E810"/>
          <cell r="F810"/>
          <cell r="G810"/>
          <cell r="H810"/>
          <cell r="I810"/>
          <cell r="J810"/>
          <cell r="K810"/>
          <cell r="L810"/>
        </row>
        <row r="811">
          <cell r="A811"/>
          <cell r="B811"/>
          <cell r="C811"/>
          <cell r="D811"/>
          <cell r="E811"/>
          <cell r="F811"/>
          <cell r="G811"/>
          <cell r="H811"/>
          <cell r="I811"/>
          <cell r="J811"/>
          <cell r="K811"/>
          <cell r="L811"/>
        </row>
        <row r="812">
          <cell r="A812"/>
          <cell r="B812" t="str">
            <v>Subpartida</v>
          </cell>
          <cell r="C812"/>
          <cell r="D812" t="str">
            <v>Excavacion de canal</v>
          </cell>
          <cell r="E812"/>
          <cell r="F812"/>
          <cell r="G812"/>
          <cell r="H812"/>
          <cell r="I812"/>
          <cell r="J812"/>
          <cell r="K812">
            <v>11.09</v>
          </cell>
          <cell r="L812"/>
        </row>
        <row r="813">
          <cell r="B813" t="str">
            <v>Rendimiento:</v>
          </cell>
          <cell r="C813">
            <v>3.5</v>
          </cell>
          <cell r="D813" t="str">
            <v>m3</v>
          </cell>
          <cell r="E813" t="str">
            <v>/hr</v>
          </cell>
          <cell r="F813"/>
          <cell r="G813"/>
          <cell r="H813" t="str">
            <v>C.U. Total:</v>
          </cell>
          <cell r="I813">
            <v>11.09</v>
          </cell>
          <cell r="J813" t="str">
            <v>m3</v>
          </cell>
        </row>
        <row r="814">
          <cell r="A814"/>
          <cell r="B814" t="str">
            <v>Codigo</v>
          </cell>
          <cell r="C814" t="str">
            <v>Recurso</v>
          </cell>
          <cell r="D814"/>
          <cell r="E814"/>
          <cell r="F814" t="str">
            <v>UND</v>
          </cell>
          <cell r="G814" t="str">
            <v>Cuadrilla</v>
          </cell>
          <cell r="H814" t="str">
            <v>Cantidad</v>
          </cell>
          <cell r="I814" t="str">
            <v>C.U.</v>
          </cell>
          <cell r="J814" t="str">
            <v>C.Parcial</v>
          </cell>
          <cell r="K814" t="str">
            <v>SUBTOTAL</v>
          </cell>
          <cell r="L814"/>
        </row>
        <row r="815">
          <cell r="A815"/>
          <cell r="B815" t="str">
            <v>Mano de Obra</v>
          </cell>
          <cell r="C815"/>
          <cell r="D815"/>
          <cell r="E815"/>
          <cell r="F815"/>
          <cell r="G815"/>
          <cell r="H815"/>
          <cell r="I815"/>
          <cell r="J815"/>
          <cell r="K815">
            <v>4.67</v>
          </cell>
          <cell r="L815" t="str">
            <v>(C)</v>
          </cell>
        </row>
        <row r="816">
          <cell r="A816"/>
          <cell r="B816" t="str">
            <v>TF00002</v>
          </cell>
          <cell r="C816" t="str">
            <v>Capataz</v>
          </cell>
          <cell r="D816"/>
          <cell r="E816"/>
          <cell r="F816" t="str">
            <v>hh</v>
          </cell>
          <cell r="G816">
            <v>0.35</v>
          </cell>
          <cell r="H816">
            <v>0.1</v>
          </cell>
          <cell r="I816">
            <v>9.68</v>
          </cell>
          <cell r="J816">
            <v>0.97</v>
          </cell>
          <cell r="K816"/>
          <cell r="L816"/>
        </row>
        <row r="817">
          <cell r="A817"/>
          <cell r="B817" t="str">
            <v>TF00012</v>
          </cell>
          <cell r="C817" t="str">
            <v>Peón</v>
          </cell>
          <cell r="D817"/>
          <cell r="E817"/>
          <cell r="F817" t="str">
            <v>hh</v>
          </cell>
          <cell r="G817">
            <v>1</v>
          </cell>
          <cell r="H817">
            <v>0.2858</v>
          </cell>
          <cell r="I817">
            <v>6.46</v>
          </cell>
          <cell r="J817">
            <v>1.85</v>
          </cell>
          <cell r="K817"/>
          <cell r="L817"/>
        </row>
        <row r="818">
          <cell r="A818"/>
          <cell r="B818" t="str">
            <v>TF00014</v>
          </cell>
          <cell r="C818" t="str">
            <v>Vigía</v>
          </cell>
          <cell r="D818"/>
          <cell r="E818"/>
          <cell r="F818" t="str">
            <v>hh</v>
          </cell>
          <cell r="G818">
            <v>1</v>
          </cell>
          <cell r="H818">
            <v>0.2858</v>
          </cell>
          <cell r="I818">
            <v>6.46</v>
          </cell>
          <cell r="J818">
            <v>1.85</v>
          </cell>
          <cell r="K818"/>
          <cell r="L818"/>
        </row>
        <row r="819">
          <cell r="A819"/>
          <cell r="B819"/>
          <cell r="C819"/>
          <cell r="D819"/>
          <cell r="E819"/>
          <cell r="F819"/>
          <cell r="G819"/>
          <cell r="H819"/>
          <cell r="I819"/>
          <cell r="J819">
            <v>4.67</v>
          </cell>
          <cell r="K819"/>
          <cell r="L819"/>
        </row>
        <row r="820">
          <cell r="A820"/>
          <cell r="B820" t="str">
            <v>Herramientas y Equipos</v>
          </cell>
          <cell r="C820"/>
          <cell r="D820"/>
          <cell r="E820"/>
          <cell r="F820"/>
          <cell r="G820"/>
          <cell r="H820"/>
          <cell r="I820"/>
          <cell r="J820"/>
          <cell r="K820">
            <v>6.4200000000000008</v>
          </cell>
          <cell r="L820" t="str">
            <v>(D)</v>
          </cell>
        </row>
        <row r="821">
          <cell r="A821"/>
          <cell r="B821" t="str">
            <v>TF00026</v>
          </cell>
          <cell r="C821" t="str">
            <v>Retroexcavadora Cat 420e</v>
          </cell>
          <cell r="D821"/>
          <cell r="E821"/>
          <cell r="F821" t="str">
            <v>hm</v>
          </cell>
          <cell r="G821">
            <v>0.5</v>
          </cell>
          <cell r="H821">
            <v>0.1429</v>
          </cell>
          <cell r="I821">
            <v>41</v>
          </cell>
          <cell r="J821">
            <v>5.86</v>
          </cell>
          <cell r="K821"/>
          <cell r="L821"/>
        </row>
        <row r="822">
          <cell r="A822"/>
          <cell r="B822" t="str">
            <v>TF00041</v>
          </cell>
          <cell r="C822" t="str">
            <v>Luminaria 4K</v>
          </cell>
          <cell r="D822"/>
          <cell r="E822"/>
          <cell r="F822" t="str">
            <v>hm</v>
          </cell>
          <cell r="G822">
            <v>0.5</v>
          </cell>
          <cell r="H822">
            <v>0.1429</v>
          </cell>
          <cell r="I822">
            <v>2.2799999999999998</v>
          </cell>
          <cell r="J822">
            <v>0.33</v>
          </cell>
          <cell r="K822"/>
          <cell r="L822"/>
        </row>
        <row r="823">
          <cell r="A823"/>
          <cell r="B823" t="str">
            <v>TF00060</v>
          </cell>
          <cell r="C823" t="str">
            <v>Herramientas (% Mano Obra)</v>
          </cell>
          <cell r="D823"/>
          <cell r="E823"/>
          <cell r="F823" t="str">
            <v>%</v>
          </cell>
          <cell r="G823"/>
          <cell r="H823">
            <v>0.05</v>
          </cell>
          <cell r="I823">
            <v>4.67</v>
          </cell>
          <cell r="J823">
            <v>0.23</v>
          </cell>
          <cell r="K823"/>
          <cell r="L823"/>
        </row>
        <row r="824">
          <cell r="A824"/>
          <cell r="B824"/>
          <cell r="C824"/>
          <cell r="D824"/>
          <cell r="E824"/>
          <cell r="F824"/>
          <cell r="G824"/>
          <cell r="H824"/>
          <cell r="I824"/>
          <cell r="J824">
            <v>6.4200000000000008</v>
          </cell>
          <cell r="K824"/>
          <cell r="L824"/>
        </row>
        <row r="825">
          <cell r="A825"/>
          <cell r="B825"/>
          <cell r="C825"/>
          <cell r="D825"/>
          <cell r="E825"/>
          <cell r="F825"/>
          <cell r="G825"/>
          <cell r="H825"/>
          <cell r="I825"/>
          <cell r="J825"/>
          <cell r="K825"/>
          <cell r="L825"/>
        </row>
        <row r="826">
          <cell r="A826"/>
          <cell r="B826" t="str">
            <v>Partida</v>
          </cell>
          <cell r="C826"/>
          <cell r="D826" t="str">
            <v>Instalacion de geomembrana</v>
          </cell>
          <cell r="E826"/>
          <cell r="F826"/>
          <cell r="G826"/>
          <cell r="H826"/>
          <cell r="I826"/>
          <cell r="J826"/>
          <cell r="K826">
            <v>19.09</v>
          </cell>
          <cell r="L826"/>
        </row>
        <row r="827">
          <cell r="B827" t="str">
            <v>Rendimiento:</v>
          </cell>
          <cell r="C827">
            <v>3.8888888888888888</v>
          </cell>
          <cell r="D827" t="str">
            <v>m2</v>
          </cell>
          <cell r="E827" t="str">
            <v>/hr</v>
          </cell>
          <cell r="F827"/>
          <cell r="G827"/>
          <cell r="H827" t="str">
            <v>C.U. Total:</v>
          </cell>
          <cell r="I827">
            <v>19.09</v>
          </cell>
          <cell r="J827" t="str">
            <v>m2</v>
          </cell>
        </row>
        <row r="828">
          <cell r="A828"/>
          <cell r="B828" t="str">
            <v>Codigo</v>
          </cell>
          <cell r="C828" t="str">
            <v>Recurso</v>
          </cell>
          <cell r="D828"/>
          <cell r="E828"/>
          <cell r="F828" t="str">
            <v>UND</v>
          </cell>
          <cell r="G828" t="str">
            <v>Cuadrilla</v>
          </cell>
          <cell r="H828" t="str">
            <v>Cantidad</v>
          </cell>
          <cell r="I828" t="str">
            <v>C.U.</v>
          </cell>
          <cell r="J828" t="str">
            <v>C.Parcial</v>
          </cell>
          <cell r="K828" t="str">
            <v>SUBTOTAL</v>
          </cell>
          <cell r="L828"/>
        </row>
        <row r="829">
          <cell r="A829"/>
          <cell r="B829" t="str">
            <v>Materiales</v>
          </cell>
          <cell r="C829"/>
          <cell r="D829"/>
          <cell r="E829"/>
          <cell r="F829"/>
          <cell r="G829"/>
          <cell r="H829"/>
          <cell r="I829"/>
          <cell r="J829"/>
          <cell r="K829">
            <v>0</v>
          </cell>
          <cell r="L829" t="str">
            <v>(B)</v>
          </cell>
        </row>
        <row r="830">
          <cell r="A830"/>
          <cell r="B830"/>
          <cell r="C830"/>
          <cell r="D830"/>
          <cell r="E830"/>
          <cell r="F830"/>
          <cell r="G830"/>
          <cell r="H830"/>
          <cell r="I830"/>
          <cell r="J830"/>
          <cell r="K830"/>
          <cell r="L830"/>
        </row>
        <row r="831">
          <cell r="A831"/>
          <cell r="B831" t="str">
            <v>TF00078</v>
          </cell>
          <cell r="C831" t="str">
            <v>Geotextil no tejido 400g/m2</v>
          </cell>
          <cell r="D831"/>
          <cell r="E831"/>
          <cell r="F831" t="str">
            <v>m2</v>
          </cell>
          <cell r="G831"/>
          <cell r="H831">
            <v>1</v>
          </cell>
          <cell r="I831">
            <v>0</v>
          </cell>
          <cell r="J831">
            <v>0</v>
          </cell>
          <cell r="K831"/>
          <cell r="L831"/>
        </row>
        <row r="832">
          <cell r="A832"/>
          <cell r="B832"/>
          <cell r="C832"/>
          <cell r="D832"/>
          <cell r="E832"/>
          <cell r="F832"/>
          <cell r="G832"/>
          <cell r="H832"/>
          <cell r="I832"/>
          <cell r="J832">
            <v>0</v>
          </cell>
          <cell r="K832"/>
          <cell r="L832"/>
        </row>
        <row r="833">
          <cell r="A833"/>
          <cell r="B833" t="str">
            <v>Mano de Obra</v>
          </cell>
          <cell r="C833"/>
          <cell r="D833"/>
          <cell r="E833"/>
          <cell r="F833"/>
          <cell r="G833"/>
          <cell r="H833"/>
          <cell r="I833"/>
          <cell r="J833"/>
          <cell r="K833">
            <v>8.3800000000000008</v>
          </cell>
          <cell r="L833" t="str">
            <v>(C)</v>
          </cell>
        </row>
        <row r="834">
          <cell r="A834"/>
          <cell r="B834" t="str">
            <v>TF00015</v>
          </cell>
          <cell r="C834" t="str">
            <v>Rigger</v>
          </cell>
          <cell r="D834"/>
          <cell r="E834"/>
          <cell r="F834" t="str">
            <v>hh</v>
          </cell>
          <cell r="G834">
            <v>0.5</v>
          </cell>
          <cell r="H834">
            <v>0.12859999999999999</v>
          </cell>
          <cell r="I834">
            <v>14</v>
          </cell>
          <cell r="J834">
            <v>1.8</v>
          </cell>
          <cell r="K834"/>
          <cell r="L834"/>
        </row>
        <row r="835">
          <cell r="A835"/>
          <cell r="B835" t="str">
            <v>TF00002</v>
          </cell>
          <cell r="C835" t="str">
            <v>Capataz</v>
          </cell>
          <cell r="D835"/>
          <cell r="E835"/>
          <cell r="F835" t="str">
            <v>hh</v>
          </cell>
          <cell r="G835">
            <v>0.35</v>
          </cell>
          <cell r="H835">
            <v>0.09</v>
          </cell>
          <cell r="I835">
            <v>9.68</v>
          </cell>
          <cell r="J835">
            <v>0.87</v>
          </cell>
          <cell r="K835"/>
          <cell r="L835"/>
        </row>
        <row r="836">
          <cell r="A836"/>
          <cell r="B836" t="str">
            <v>TF00004</v>
          </cell>
          <cell r="C836" t="str">
            <v>Operario</v>
          </cell>
          <cell r="D836"/>
          <cell r="E836"/>
          <cell r="F836" t="str">
            <v>hh</v>
          </cell>
          <cell r="G836">
            <v>1</v>
          </cell>
          <cell r="H836">
            <v>0.25719999999999998</v>
          </cell>
          <cell r="I836">
            <v>9.2799999999999994</v>
          </cell>
          <cell r="J836">
            <v>2.39</v>
          </cell>
          <cell r="K836"/>
          <cell r="L836"/>
        </row>
        <row r="837">
          <cell r="A837"/>
          <cell r="B837" t="str">
            <v>TF00012</v>
          </cell>
          <cell r="C837" t="str">
            <v>Peón</v>
          </cell>
          <cell r="D837"/>
          <cell r="E837"/>
          <cell r="F837" t="str">
            <v>hh</v>
          </cell>
          <cell r="G837">
            <v>2</v>
          </cell>
          <cell r="H837">
            <v>0.51429999999999998</v>
          </cell>
          <cell r="I837">
            <v>6.46</v>
          </cell>
          <cell r="J837">
            <v>3.32</v>
          </cell>
          <cell r="K837"/>
          <cell r="L837"/>
        </row>
        <row r="838">
          <cell r="A838"/>
          <cell r="B838"/>
          <cell r="C838"/>
          <cell r="D838"/>
          <cell r="E838"/>
          <cell r="F838"/>
          <cell r="G838"/>
          <cell r="H838"/>
          <cell r="I838"/>
          <cell r="J838">
            <v>8.3800000000000008</v>
          </cell>
          <cell r="K838"/>
          <cell r="L838"/>
        </row>
        <row r="839">
          <cell r="A839"/>
          <cell r="B839" t="str">
            <v>Herramientas y Equipos</v>
          </cell>
          <cell r="C839"/>
          <cell r="D839"/>
          <cell r="E839"/>
          <cell r="F839"/>
          <cell r="G839"/>
          <cell r="H839"/>
          <cell r="I839"/>
          <cell r="J839"/>
          <cell r="K839">
            <v>10.709999999999999</v>
          </cell>
          <cell r="L839" t="str">
            <v>(D)</v>
          </cell>
        </row>
        <row r="840">
          <cell r="A840"/>
          <cell r="B840" t="str">
            <v>TF00030</v>
          </cell>
          <cell r="C840" t="str">
            <v>Camión Grúa de 20 Ton.</v>
          </cell>
          <cell r="D840"/>
          <cell r="E840"/>
          <cell r="F840" t="str">
            <v>hm</v>
          </cell>
          <cell r="G840">
            <v>0.5</v>
          </cell>
          <cell r="H840">
            <v>0.12859999999999999</v>
          </cell>
          <cell r="I840">
            <v>80</v>
          </cell>
          <cell r="J840">
            <v>10.29</v>
          </cell>
          <cell r="K840"/>
          <cell r="L840"/>
        </row>
        <row r="841">
          <cell r="A841"/>
          <cell r="B841" t="str">
            <v>TF00060</v>
          </cell>
          <cell r="C841" t="str">
            <v>Herramientas (% Mano Obra)</v>
          </cell>
          <cell r="D841"/>
          <cell r="E841"/>
          <cell r="F841" t="str">
            <v>%</v>
          </cell>
          <cell r="G841"/>
          <cell r="H841">
            <v>0.05</v>
          </cell>
          <cell r="I841">
            <v>8.3800000000000008</v>
          </cell>
          <cell r="J841">
            <v>0.42</v>
          </cell>
          <cell r="K841"/>
          <cell r="L841"/>
        </row>
        <row r="842">
          <cell r="A842"/>
          <cell r="B842"/>
          <cell r="C842"/>
          <cell r="D842"/>
          <cell r="E842"/>
          <cell r="F842"/>
          <cell r="G842"/>
          <cell r="H842"/>
          <cell r="I842"/>
          <cell r="J842">
            <v>10.709999999999999</v>
          </cell>
          <cell r="K842"/>
          <cell r="L842"/>
        </row>
        <row r="843">
          <cell r="A843"/>
          <cell r="B843"/>
          <cell r="C843"/>
          <cell r="D843"/>
          <cell r="E843"/>
          <cell r="F843"/>
          <cell r="G843"/>
          <cell r="H843"/>
          <cell r="I843"/>
          <cell r="J843"/>
          <cell r="K843"/>
          <cell r="L843"/>
        </row>
        <row r="844">
          <cell r="A844">
            <v>10048</v>
          </cell>
          <cell r="B844" t="str">
            <v>Partida</v>
          </cell>
          <cell r="C844">
            <v>3.17</v>
          </cell>
          <cell r="D844" t="str">
            <v>Canal de drenaje revestido con geomembrana de sección 500x400 mm excavación con medios manuales</v>
          </cell>
          <cell r="E844"/>
          <cell r="F844"/>
          <cell r="G844"/>
          <cell r="H844"/>
          <cell r="I844"/>
          <cell r="J844"/>
          <cell r="K844">
            <v>46.016200000000005</v>
          </cell>
          <cell r="L844"/>
        </row>
        <row r="845">
          <cell r="A845"/>
          <cell r="B845" t="str">
            <v>Rendimiento:</v>
          </cell>
          <cell r="C845">
            <v>1.1111111111111112</v>
          </cell>
          <cell r="D845" t="str">
            <v>m</v>
          </cell>
          <cell r="E845" t="str">
            <v>/hr</v>
          </cell>
          <cell r="F845"/>
          <cell r="G845"/>
          <cell r="H845" t="str">
            <v>C.U. Total:</v>
          </cell>
          <cell r="I845">
            <v>46.016200000000005</v>
          </cell>
          <cell r="J845" t="str">
            <v>m</v>
          </cell>
          <cell r="K845"/>
          <cell r="L845"/>
        </row>
        <row r="846">
          <cell r="A846"/>
          <cell r="B846" t="str">
            <v>Codigo</v>
          </cell>
          <cell r="C846" t="str">
            <v>Recurso</v>
          </cell>
          <cell r="D846"/>
          <cell r="E846"/>
          <cell r="F846" t="str">
            <v>UND</v>
          </cell>
          <cell r="G846" t="str">
            <v>Cuadrilla</v>
          </cell>
          <cell r="H846" t="str">
            <v>Cantidad</v>
          </cell>
          <cell r="I846" t="str">
            <v>C.U.</v>
          </cell>
          <cell r="J846" t="str">
            <v>C.Parcial</v>
          </cell>
          <cell r="K846" t="str">
            <v>SUBTOTAL</v>
          </cell>
          <cell r="L846"/>
        </row>
        <row r="847">
          <cell r="A847" t="str">
            <v>10048(C)</v>
          </cell>
          <cell r="B847" t="str">
            <v>Mano de Obra</v>
          </cell>
          <cell r="C847"/>
          <cell r="D847"/>
          <cell r="E847"/>
          <cell r="F847"/>
          <cell r="G847"/>
          <cell r="H847"/>
          <cell r="I847"/>
          <cell r="J847"/>
          <cell r="K847">
            <v>31.085600000000007</v>
          </cell>
          <cell r="L847" t="str">
            <v>(C)</v>
          </cell>
        </row>
        <row r="848">
          <cell r="A848"/>
          <cell r="B848" t="str">
            <v>TF00002</v>
          </cell>
          <cell r="C848" t="str">
            <v>Capataz</v>
          </cell>
          <cell r="D848"/>
          <cell r="E848"/>
          <cell r="F848" t="str">
            <v>hh</v>
          </cell>
          <cell r="G848"/>
          <cell r="H848"/>
          <cell r="I848"/>
          <cell r="J848">
            <v>0</v>
          </cell>
          <cell r="K848"/>
          <cell r="L848"/>
        </row>
        <row r="849">
          <cell r="A849"/>
          <cell r="B849" t="str">
            <v>TF00014</v>
          </cell>
          <cell r="C849" t="str">
            <v>Vigía</v>
          </cell>
          <cell r="D849"/>
          <cell r="E849"/>
          <cell r="F849" t="str">
            <v>hh</v>
          </cell>
          <cell r="G849"/>
          <cell r="H849"/>
          <cell r="I849"/>
          <cell r="J849">
            <v>0</v>
          </cell>
          <cell r="K849"/>
          <cell r="L849"/>
        </row>
        <row r="850">
          <cell r="A850"/>
          <cell r="B850"/>
          <cell r="C850"/>
          <cell r="D850"/>
          <cell r="E850"/>
          <cell r="F850"/>
          <cell r="G850"/>
          <cell r="H850"/>
          <cell r="I850"/>
          <cell r="J850">
            <v>0</v>
          </cell>
          <cell r="K850"/>
          <cell r="L850"/>
        </row>
        <row r="851">
          <cell r="A851" t="str">
            <v>10048(D)</v>
          </cell>
          <cell r="B851" t="str">
            <v>Herramientas y Equipos</v>
          </cell>
          <cell r="C851"/>
          <cell r="D851"/>
          <cell r="E851"/>
          <cell r="F851"/>
          <cell r="G851"/>
          <cell r="H851"/>
          <cell r="I851"/>
          <cell r="J851"/>
          <cell r="K851">
            <v>14.9306</v>
          </cell>
          <cell r="L851" t="str">
            <v>(D)</v>
          </cell>
        </row>
        <row r="852">
          <cell r="A852"/>
          <cell r="B852" t="str">
            <v>TF00027</v>
          </cell>
          <cell r="C852" t="str">
            <v>Volquete de 17 m3</v>
          </cell>
          <cell r="D852"/>
          <cell r="E852"/>
          <cell r="F852" t="str">
            <v>hm</v>
          </cell>
          <cell r="G852"/>
          <cell r="H852"/>
          <cell r="I852"/>
          <cell r="J852">
            <v>0</v>
          </cell>
          <cell r="K852"/>
          <cell r="L852"/>
        </row>
        <row r="853">
          <cell r="A853"/>
          <cell r="B853" t="str">
            <v>TF00060</v>
          </cell>
          <cell r="C853" t="str">
            <v>Herramientas (% Mano Obra)</v>
          </cell>
          <cell r="D853"/>
          <cell r="E853"/>
          <cell r="F853" t="str">
            <v>%</v>
          </cell>
          <cell r="G853"/>
          <cell r="H853"/>
          <cell r="I853"/>
          <cell r="J853">
            <v>0</v>
          </cell>
          <cell r="K853"/>
          <cell r="L853"/>
        </row>
        <row r="854">
          <cell r="A854"/>
          <cell r="B854"/>
          <cell r="C854"/>
          <cell r="D854"/>
          <cell r="E854"/>
          <cell r="F854"/>
          <cell r="G854"/>
          <cell r="H854"/>
          <cell r="I854"/>
          <cell r="J854">
            <v>0</v>
          </cell>
          <cell r="K854"/>
          <cell r="L854"/>
        </row>
        <row r="855">
          <cell r="A855"/>
          <cell r="B855" t="str">
            <v>Subpartidas</v>
          </cell>
          <cell r="C855"/>
          <cell r="D855"/>
          <cell r="E855"/>
          <cell r="F855"/>
          <cell r="G855"/>
          <cell r="H855"/>
          <cell r="I855"/>
          <cell r="J855"/>
          <cell r="K855">
            <v>46.016199999999998</v>
          </cell>
          <cell r="L855" t="str">
            <v>(D)</v>
          </cell>
        </row>
        <row r="856">
          <cell r="A856"/>
          <cell r="B856" t="str">
            <v>TF00027</v>
          </cell>
          <cell r="C856" t="str">
            <v>Excavacion de canal</v>
          </cell>
          <cell r="D856"/>
          <cell r="E856"/>
          <cell r="F856" t="str">
            <v>m3</v>
          </cell>
          <cell r="G856"/>
          <cell r="H856">
            <v>0.44000000000000006</v>
          </cell>
          <cell r="I856">
            <v>48.18</v>
          </cell>
          <cell r="J856">
            <v>21.199200000000001</v>
          </cell>
          <cell r="K856"/>
          <cell r="L856"/>
        </row>
        <row r="857">
          <cell r="A857"/>
          <cell r="B857" t="str">
            <v>TF00060</v>
          </cell>
          <cell r="C857" t="str">
            <v>Instalacion de geomembrana</v>
          </cell>
          <cell r="D857"/>
          <cell r="E857"/>
          <cell r="F857" t="str">
            <v>m2</v>
          </cell>
          <cell r="G857"/>
          <cell r="H857">
            <v>1.3</v>
          </cell>
          <cell r="I857">
            <v>19.09</v>
          </cell>
          <cell r="J857">
            <v>24.817</v>
          </cell>
          <cell r="K857"/>
          <cell r="L857"/>
        </row>
        <row r="858">
          <cell r="A858"/>
          <cell r="B858"/>
          <cell r="C858"/>
          <cell r="D858"/>
          <cell r="E858"/>
          <cell r="F858"/>
          <cell r="G858"/>
          <cell r="H858"/>
          <cell r="I858"/>
          <cell r="J858">
            <v>46.016199999999998</v>
          </cell>
          <cell r="K858"/>
          <cell r="L858"/>
        </row>
        <row r="859">
          <cell r="A859"/>
          <cell r="B859"/>
          <cell r="C859"/>
          <cell r="D859"/>
          <cell r="E859"/>
          <cell r="F859"/>
          <cell r="G859"/>
          <cell r="H859"/>
          <cell r="I859"/>
          <cell r="J859"/>
          <cell r="K859"/>
          <cell r="L859"/>
        </row>
        <row r="860">
          <cell r="A860"/>
          <cell r="B860"/>
          <cell r="C860"/>
          <cell r="D860"/>
          <cell r="E860"/>
          <cell r="F860"/>
          <cell r="G860"/>
          <cell r="H860"/>
          <cell r="I860"/>
          <cell r="J860"/>
          <cell r="K860"/>
          <cell r="L860"/>
        </row>
        <row r="861">
          <cell r="A861"/>
          <cell r="B861" t="str">
            <v>Subpartida</v>
          </cell>
          <cell r="C861"/>
          <cell r="D861" t="str">
            <v>Excavacion de canal</v>
          </cell>
          <cell r="E861"/>
          <cell r="F861"/>
          <cell r="G861"/>
          <cell r="H861"/>
          <cell r="I861"/>
          <cell r="J861"/>
          <cell r="K861">
            <v>48.18</v>
          </cell>
          <cell r="L861"/>
        </row>
        <row r="862">
          <cell r="B862" t="str">
            <v>Rendimiento:</v>
          </cell>
          <cell r="C862">
            <v>0.77777777777777779</v>
          </cell>
          <cell r="D862" t="str">
            <v>m3</v>
          </cell>
          <cell r="E862" t="str">
            <v>/hr</v>
          </cell>
          <cell r="F862"/>
          <cell r="G862"/>
          <cell r="H862" t="str">
            <v>C.U. Total:</v>
          </cell>
          <cell r="I862">
            <v>48.18</v>
          </cell>
          <cell r="J862" t="str">
            <v>m3</v>
          </cell>
        </row>
        <row r="863">
          <cell r="A863"/>
          <cell r="B863" t="str">
            <v>Codigo</v>
          </cell>
          <cell r="C863" t="str">
            <v>Recurso</v>
          </cell>
          <cell r="D863"/>
          <cell r="E863"/>
          <cell r="F863" t="str">
            <v>UND</v>
          </cell>
          <cell r="G863" t="str">
            <v>Cuadrilla</v>
          </cell>
          <cell r="H863" t="str">
            <v>Cantidad</v>
          </cell>
          <cell r="I863" t="str">
            <v>C.U.</v>
          </cell>
          <cell r="J863" t="str">
            <v>C.Parcial</v>
          </cell>
          <cell r="K863" t="str">
            <v>SUBTOTAL</v>
          </cell>
          <cell r="L863"/>
        </row>
        <row r="864">
          <cell r="A864"/>
          <cell r="B864" t="str">
            <v>Mano de Obra</v>
          </cell>
          <cell r="C864"/>
          <cell r="D864"/>
          <cell r="E864"/>
          <cell r="F864"/>
          <cell r="G864"/>
          <cell r="H864"/>
          <cell r="I864"/>
          <cell r="J864"/>
          <cell r="K864">
            <v>45.89</v>
          </cell>
          <cell r="L864" t="str">
            <v>(C)</v>
          </cell>
        </row>
        <row r="865">
          <cell r="A865"/>
          <cell r="B865" t="str">
            <v>TF00002</v>
          </cell>
          <cell r="C865" t="str">
            <v>Capataz</v>
          </cell>
          <cell r="D865"/>
          <cell r="E865"/>
          <cell r="F865" t="str">
            <v>hh</v>
          </cell>
          <cell r="G865">
            <v>0.35</v>
          </cell>
          <cell r="H865">
            <v>0.45</v>
          </cell>
          <cell r="I865">
            <v>9.68</v>
          </cell>
          <cell r="J865">
            <v>4.3600000000000003</v>
          </cell>
          <cell r="K865"/>
          <cell r="L865"/>
        </row>
        <row r="866">
          <cell r="A866"/>
          <cell r="B866" t="str">
            <v>TF00012</v>
          </cell>
          <cell r="C866" t="str">
            <v>Peón</v>
          </cell>
          <cell r="D866"/>
          <cell r="E866"/>
          <cell r="F866" t="str">
            <v>hh</v>
          </cell>
          <cell r="G866">
            <v>5</v>
          </cell>
          <cell r="H866">
            <v>6.4285999999999994</v>
          </cell>
          <cell r="I866">
            <v>6.46</v>
          </cell>
          <cell r="J866">
            <v>41.53</v>
          </cell>
          <cell r="K866"/>
          <cell r="L866"/>
        </row>
        <row r="867">
          <cell r="A867"/>
          <cell r="B867"/>
          <cell r="C867"/>
          <cell r="D867"/>
          <cell r="E867"/>
          <cell r="F867"/>
          <cell r="G867"/>
          <cell r="H867"/>
          <cell r="I867"/>
          <cell r="J867">
            <v>45.89</v>
          </cell>
          <cell r="K867"/>
          <cell r="L867"/>
        </row>
        <row r="868">
          <cell r="A868"/>
          <cell r="B868" t="str">
            <v>Herramientas y Equipos</v>
          </cell>
          <cell r="C868"/>
          <cell r="D868"/>
          <cell r="E868"/>
          <cell r="F868"/>
          <cell r="G868"/>
          <cell r="H868"/>
          <cell r="I868"/>
          <cell r="J868"/>
          <cell r="K868">
            <v>2.29</v>
          </cell>
          <cell r="L868" t="str">
            <v>(D)</v>
          </cell>
        </row>
        <row r="869">
          <cell r="A869"/>
          <cell r="B869" t="str">
            <v>TF00060</v>
          </cell>
          <cell r="C869" t="str">
            <v>Herramientas (% Mano Obra)</v>
          </cell>
          <cell r="D869"/>
          <cell r="E869"/>
          <cell r="F869" t="str">
            <v>%</v>
          </cell>
          <cell r="G869"/>
          <cell r="H869">
            <v>0.05</v>
          </cell>
          <cell r="I869">
            <v>45.89</v>
          </cell>
          <cell r="J869">
            <v>2.29</v>
          </cell>
          <cell r="K869"/>
          <cell r="L869"/>
        </row>
        <row r="870">
          <cell r="A870"/>
          <cell r="B870"/>
          <cell r="C870"/>
          <cell r="D870"/>
          <cell r="E870"/>
          <cell r="F870"/>
          <cell r="G870"/>
          <cell r="H870"/>
          <cell r="I870"/>
          <cell r="J870">
            <v>2.29</v>
          </cell>
          <cell r="K870"/>
          <cell r="L870"/>
        </row>
        <row r="871">
          <cell r="A871"/>
          <cell r="B871"/>
          <cell r="C871"/>
          <cell r="D871"/>
          <cell r="E871"/>
          <cell r="F871"/>
          <cell r="G871"/>
          <cell r="H871"/>
          <cell r="I871"/>
          <cell r="J871"/>
          <cell r="K871"/>
          <cell r="L871"/>
        </row>
        <row r="872">
          <cell r="A872"/>
          <cell r="B872" t="str">
            <v>Partida</v>
          </cell>
          <cell r="C872"/>
          <cell r="D872" t="str">
            <v>Instalacion de geomembrana</v>
          </cell>
          <cell r="E872"/>
          <cell r="F872"/>
          <cell r="G872"/>
          <cell r="H872"/>
          <cell r="I872"/>
          <cell r="J872"/>
          <cell r="K872">
            <v>19.09</v>
          </cell>
          <cell r="L872"/>
        </row>
        <row r="873">
          <cell r="B873" t="str">
            <v>Rendimiento:</v>
          </cell>
          <cell r="C873">
            <v>3.8888888888888888</v>
          </cell>
          <cell r="D873" t="str">
            <v>m2</v>
          </cell>
          <cell r="E873" t="str">
            <v>/hr</v>
          </cell>
          <cell r="F873"/>
          <cell r="G873"/>
          <cell r="H873" t="str">
            <v>C.U. Total:</v>
          </cell>
          <cell r="I873">
            <v>19.09</v>
          </cell>
          <cell r="J873" t="str">
            <v>m2</v>
          </cell>
        </row>
        <row r="874">
          <cell r="A874"/>
          <cell r="B874" t="str">
            <v>Codigo</v>
          </cell>
          <cell r="C874" t="str">
            <v>Recurso</v>
          </cell>
          <cell r="D874"/>
          <cell r="E874"/>
          <cell r="F874" t="str">
            <v>UND</v>
          </cell>
          <cell r="G874" t="str">
            <v>Cuadrilla</v>
          </cell>
          <cell r="H874" t="str">
            <v>Cantidad</v>
          </cell>
          <cell r="I874" t="str">
            <v>C.U.</v>
          </cell>
          <cell r="J874" t="str">
            <v>C.Parcial</v>
          </cell>
          <cell r="K874" t="str">
            <v>SUBTOTAL</v>
          </cell>
          <cell r="L874"/>
        </row>
        <row r="875">
          <cell r="A875"/>
          <cell r="B875" t="str">
            <v>Materiales</v>
          </cell>
          <cell r="C875"/>
          <cell r="D875"/>
          <cell r="E875"/>
          <cell r="F875"/>
          <cell r="G875"/>
          <cell r="H875"/>
          <cell r="I875"/>
          <cell r="J875"/>
          <cell r="K875">
            <v>0</v>
          </cell>
          <cell r="L875" t="str">
            <v>(B)</v>
          </cell>
        </row>
        <row r="876">
          <cell r="A876"/>
          <cell r="B876"/>
          <cell r="C876"/>
          <cell r="D876"/>
          <cell r="E876"/>
          <cell r="F876"/>
          <cell r="G876"/>
          <cell r="H876"/>
          <cell r="I876"/>
          <cell r="J876"/>
          <cell r="K876"/>
          <cell r="L876"/>
        </row>
        <row r="877">
          <cell r="A877"/>
          <cell r="B877" t="str">
            <v>TF00078</v>
          </cell>
          <cell r="C877" t="str">
            <v>Geotextil no tejido 400g/m2</v>
          </cell>
          <cell r="D877"/>
          <cell r="E877"/>
          <cell r="F877" t="str">
            <v>m2</v>
          </cell>
          <cell r="G877"/>
          <cell r="H877">
            <v>1</v>
          </cell>
          <cell r="I877">
            <v>0</v>
          </cell>
          <cell r="J877">
            <v>0</v>
          </cell>
          <cell r="K877"/>
          <cell r="L877"/>
        </row>
        <row r="878">
          <cell r="A878"/>
          <cell r="B878"/>
          <cell r="C878"/>
          <cell r="D878"/>
          <cell r="E878"/>
          <cell r="F878"/>
          <cell r="G878"/>
          <cell r="H878"/>
          <cell r="I878"/>
          <cell r="J878">
            <v>0</v>
          </cell>
          <cell r="K878"/>
          <cell r="L878"/>
        </row>
        <row r="879">
          <cell r="A879"/>
          <cell r="B879" t="str">
            <v>Mano de Obra</v>
          </cell>
          <cell r="C879"/>
          <cell r="D879"/>
          <cell r="E879"/>
          <cell r="F879"/>
          <cell r="G879"/>
          <cell r="H879"/>
          <cell r="I879"/>
          <cell r="J879"/>
          <cell r="K879">
            <v>8.3800000000000008</v>
          </cell>
          <cell r="L879" t="str">
            <v>(C)</v>
          </cell>
        </row>
        <row r="880">
          <cell r="A880"/>
          <cell r="B880" t="str">
            <v>TF00015</v>
          </cell>
          <cell r="C880" t="str">
            <v>Rigger</v>
          </cell>
          <cell r="D880"/>
          <cell r="E880"/>
          <cell r="F880" t="str">
            <v>hh</v>
          </cell>
          <cell r="G880">
            <v>0.5</v>
          </cell>
          <cell r="H880">
            <v>0.12859999999999999</v>
          </cell>
          <cell r="I880">
            <v>14</v>
          </cell>
          <cell r="J880">
            <v>1.8</v>
          </cell>
          <cell r="K880"/>
          <cell r="L880"/>
        </row>
        <row r="881">
          <cell r="A881"/>
          <cell r="B881" t="str">
            <v>TF00002</v>
          </cell>
          <cell r="C881" t="str">
            <v>Capataz</v>
          </cell>
          <cell r="D881"/>
          <cell r="E881"/>
          <cell r="F881" t="str">
            <v>hh</v>
          </cell>
          <cell r="G881">
            <v>0.35</v>
          </cell>
          <cell r="H881">
            <v>0.09</v>
          </cell>
          <cell r="I881">
            <v>9.68</v>
          </cell>
          <cell r="J881">
            <v>0.87</v>
          </cell>
          <cell r="K881"/>
          <cell r="L881"/>
        </row>
        <row r="882">
          <cell r="A882"/>
          <cell r="B882" t="str">
            <v>TF00004</v>
          </cell>
          <cell r="C882" t="str">
            <v>Operario</v>
          </cell>
          <cell r="D882"/>
          <cell r="E882"/>
          <cell r="F882" t="str">
            <v>hh</v>
          </cell>
          <cell r="G882">
            <v>1</v>
          </cell>
          <cell r="H882">
            <v>0.25719999999999998</v>
          </cell>
          <cell r="I882">
            <v>9.2799999999999994</v>
          </cell>
          <cell r="J882">
            <v>2.39</v>
          </cell>
          <cell r="K882"/>
          <cell r="L882"/>
        </row>
        <row r="883">
          <cell r="A883"/>
          <cell r="B883" t="str">
            <v>TF00012</v>
          </cell>
          <cell r="C883" t="str">
            <v>Peón</v>
          </cell>
          <cell r="D883"/>
          <cell r="E883"/>
          <cell r="F883" t="str">
            <v>hh</v>
          </cell>
          <cell r="G883">
            <v>2</v>
          </cell>
          <cell r="H883">
            <v>0.51429999999999998</v>
          </cell>
          <cell r="I883">
            <v>6.46</v>
          </cell>
          <cell r="J883">
            <v>3.32</v>
          </cell>
          <cell r="K883"/>
          <cell r="L883"/>
        </row>
        <row r="884">
          <cell r="A884"/>
          <cell r="B884"/>
          <cell r="C884"/>
          <cell r="D884"/>
          <cell r="E884"/>
          <cell r="F884"/>
          <cell r="G884"/>
          <cell r="H884"/>
          <cell r="I884"/>
          <cell r="J884">
            <v>8.3800000000000008</v>
          </cell>
          <cell r="K884"/>
          <cell r="L884"/>
        </row>
        <row r="885">
          <cell r="A885"/>
          <cell r="B885" t="str">
            <v>Herramientas y Equipos</v>
          </cell>
          <cell r="C885"/>
          <cell r="D885"/>
          <cell r="E885"/>
          <cell r="F885"/>
          <cell r="G885"/>
          <cell r="H885"/>
          <cell r="I885"/>
          <cell r="J885"/>
          <cell r="K885">
            <v>10.709999999999999</v>
          </cell>
          <cell r="L885" t="str">
            <v>(D)</v>
          </cell>
        </row>
        <row r="886">
          <cell r="A886"/>
          <cell r="B886" t="str">
            <v>TF00030</v>
          </cell>
          <cell r="C886" t="str">
            <v>Camión Grúa de 20 Ton.</v>
          </cell>
          <cell r="D886"/>
          <cell r="E886"/>
          <cell r="F886" t="str">
            <v>hm</v>
          </cell>
          <cell r="G886">
            <v>0.5</v>
          </cell>
          <cell r="H886">
            <v>0.12859999999999999</v>
          </cell>
          <cell r="I886">
            <v>80</v>
          </cell>
          <cell r="J886">
            <v>10.29</v>
          </cell>
          <cell r="K886"/>
          <cell r="L886"/>
        </row>
        <row r="887">
          <cell r="A887"/>
          <cell r="B887" t="str">
            <v>TF00060</v>
          </cell>
          <cell r="C887" t="str">
            <v>Herramientas (% Mano Obra)</v>
          </cell>
          <cell r="D887"/>
          <cell r="E887"/>
          <cell r="F887" t="str">
            <v>%</v>
          </cell>
          <cell r="G887"/>
          <cell r="H887">
            <v>0.05</v>
          </cell>
          <cell r="I887">
            <v>8.3800000000000008</v>
          </cell>
          <cell r="J887">
            <v>0.42</v>
          </cell>
          <cell r="K887"/>
          <cell r="L887"/>
        </row>
        <row r="888">
          <cell r="A888"/>
          <cell r="B888"/>
          <cell r="C888"/>
          <cell r="D888"/>
          <cell r="E888"/>
          <cell r="F888"/>
          <cell r="G888"/>
          <cell r="H888"/>
          <cell r="I888"/>
          <cell r="J888">
            <v>10.709999999999999</v>
          </cell>
          <cell r="K888"/>
          <cell r="L888"/>
        </row>
        <row r="889">
          <cell r="A889"/>
          <cell r="B889"/>
          <cell r="C889"/>
          <cell r="D889"/>
          <cell r="E889"/>
          <cell r="F889"/>
          <cell r="G889"/>
          <cell r="H889"/>
          <cell r="I889"/>
          <cell r="J889"/>
          <cell r="K889"/>
          <cell r="L889"/>
        </row>
        <row r="890">
          <cell r="A890">
            <v>10049</v>
          </cell>
          <cell r="B890" t="str">
            <v>Partida</v>
          </cell>
          <cell r="C890">
            <v>3.18</v>
          </cell>
          <cell r="D890" t="str">
            <v>Caja colectora de aguas pluviales de dimensiones interiores (500x500x1000mm)</v>
          </cell>
          <cell r="E890"/>
          <cell r="F890"/>
          <cell r="G890"/>
          <cell r="H890"/>
          <cell r="I890"/>
          <cell r="J890"/>
          <cell r="K890">
            <v>131.99</v>
          </cell>
          <cell r="L890"/>
        </row>
        <row r="891">
          <cell r="A891"/>
          <cell r="B891" t="str">
            <v>Rendimiento:</v>
          </cell>
          <cell r="C891">
            <v>1</v>
          </cell>
          <cell r="D891" t="str">
            <v>m</v>
          </cell>
          <cell r="E891" t="str">
            <v>/hr</v>
          </cell>
          <cell r="F891"/>
          <cell r="G891"/>
          <cell r="H891" t="str">
            <v>C.U. Total:</v>
          </cell>
          <cell r="I891">
            <v>131.99</v>
          </cell>
          <cell r="J891" t="str">
            <v>m</v>
          </cell>
          <cell r="K891"/>
          <cell r="L891"/>
        </row>
        <row r="892">
          <cell r="A892"/>
          <cell r="B892" t="str">
            <v>Codigo</v>
          </cell>
          <cell r="C892" t="str">
            <v>Recurso</v>
          </cell>
          <cell r="D892"/>
          <cell r="E892"/>
          <cell r="F892" t="str">
            <v>UND</v>
          </cell>
          <cell r="G892" t="str">
            <v>Cuadrilla</v>
          </cell>
          <cell r="H892" t="str">
            <v>Cantidad</v>
          </cell>
          <cell r="I892" t="str">
            <v>C.U.</v>
          </cell>
          <cell r="J892" t="str">
            <v>C.Parcial</v>
          </cell>
          <cell r="K892" t="str">
            <v>SUBTOTAL</v>
          </cell>
          <cell r="L892"/>
        </row>
        <row r="893">
          <cell r="A893" t="str">
            <v>10049(B)</v>
          </cell>
          <cell r="B893" t="str">
            <v>Materiales</v>
          </cell>
          <cell r="C893"/>
          <cell r="D893"/>
          <cell r="E893"/>
          <cell r="F893"/>
          <cell r="G893"/>
          <cell r="H893"/>
          <cell r="I893"/>
          <cell r="J893"/>
          <cell r="K893">
            <v>66.768000000000001</v>
          </cell>
          <cell r="L893" t="str">
            <v>(B)</v>
          </cell>
        </row>
        <row r="894">
          <cell r="A894"/>
          <cell r="B894" t="str">
            <v>TF00002</v>
          </cell>
          <cell r="C894" t="str">
            <v>Materiales para encofrado</v>
          </cell>
          <cell r="D894"/>
          <cell r="E894"/>
          <cell r="F894" t="str">
            <v>hh</v>
          </cell>
          <cell r="G894"/>
          <cell r="H894"/>
          <cell r="I894"/>
          <cell r="J894">
            <v>0</v>
          </cell>
          <cell r="K894"/>
          <cell r="L894"/>
        </row>
        <row r="895">
          <cell r="A895"/>
          <cell r="B895"/>
          <cell r="C895"/>
          <cell r="D895"/>
          <cell r="E895"/>
          <cell r="F895"/>
          <cell r="G895"/>
          <cell r="H895"/>
          <cell r="I895"/>
          <cell r="J895">
            <v>0</v>
          </cell>
          <cell r="K895"/>
          <cell r="L895"/>
        </row>
        <row r="896">
          <cell r="A896" t="str">
            <v>10049(C)</v>
          </cell>
          <cell r="B896" t="str">
            <v>Mano de Obra</v>
          </cell>
          <cell r="C896"/>
          <cell r="D896"/>
          <cell r="E896"/>
          <cell r="F896"/>
          <cell r="G896"/>
          <cell r="H896"/>
          <cell r="I896"/>
          <cell r="J896"/>
          <cell r="K896">
            <v>53.859400000000008</v>
          </cell>
          <cell r="L896" t="str">
            <v>(C)</v>
          </cell>
        </row>
        <row r="897">
          <cell r="A897"/>
          <cell r="B897" t="str">
            <v>TF00002</v>
          </cell>
          <cell r="C897" t="str">
            <v>Capataz</v>
          </cell>
          <cell r="D897"/>
          <cell r="E897"/>
          <cell r="F897" t="str">
            <v>hh</v>
          </cell>
          <cell r="G897"/>
          <cell r="H897"/>
          <cell r="I897"/>
          <cell r="J897">
            <v>0</v>
          </cell>
          <cell r="K897"/>
          <cell r="L897"/>
        </row>
        <row r="898">
          <cell r="A898"/>
          <cell r="B898" t="str">
            <v>TF00014</v>
          </cell>
          <cell r="C898" t="str">
            <v>Vigía</v>
          </cell>
          <cell r="D898"/>
          <cell r="E898"/>
          <cell r="F898" t="str">
            <v>hh</v>
          </cell>
          <cell r="G898"/>
          <cell r="H898"/>
          <cell r="I898"/>
          <cell r="J898">
            <v>0</v>
          </cell>
          <cell r="K898"/>
          <cell r="L898"/>
        </row>
        <row r="899">
          <cell r="A899"/>
          <cell r="B899"/>
          <cell r="C899"/>
          <cell r="D899"/>
          <cell r="E899"/>
          <cell r="F899"/>
          <cell r="G899"/>
          <cell r="H899"/>
          <cell r="I899"/>
          <cell r="J899">
            <v>0</v>
          </cell>
          <cell r="K899"/>
          <cell r="L899"/>
        </row>
        <row r="900">
          <cell r="A900" t="str">
            <v>10049(D)</v>
          </cell>
          <cell r="B900" t="str">
            <v>Herramientas y Equipos</v>
          </cell>
          <cell r="C900"/>
          <cell r="D900"/>
          <cell r="E900"/>
          <cell r="F900"/>
          <cell r="G900"/>
          <cell r="H900"/>
          <cell r="I900"/>
          <cell r="J900"/>
          <cell r="K900">
            <v>11.363040000000002</v>
          </cell>
          <cell r="L900" t="str">
            <v>(D)</v>
          </cell>
        </row>
        <row r="901">
          <cell r="A901"/>
          <cell r="B901" t="str">
            <v>TF00027</v>
          </cell>
          <cell r="C901" t="str">
            <v>Volquete de 17 m3</v>
          </cell>
          <cell r="D901"/>
          <cell r="E901"/>
          <cell r="F901" t="str">
            <v>hm</v>
          </cell>
          <cell r="G901"/>
          <cell r="H901"/>
          <cell r="I901"/>
          <cell r="J901">
            <v>0</v>
          </cell>
          <cell r="K901"/>
          <cell r="L901"/>
        </row>
        <row r="902">
          <cell r="A902"/>
          <cell r="B902" t="str">
            <v>TF00060</v>
          </cell>
          <cell r="C902" t="str">
            <v>Herramientas (% Mano Obra)</v>
          </cell>
          <cell r="D902"/>
          <cell r="E902"/>
          <cell r="F902" t="str">
            <v>%</v>
          </cell>
          <cell r="G902"/>
          <cell r="H902"/>
          <cell r="I902"/>
          <cell r="J902">
            <v>0</v>
          </cell>
          <cell r="K902"/>
          <cell r="L902"/>
        </row>
        <row r="903">
          <cell r="A903"/>
          <cell r="B903"/>
          <cell r="C903"/>
          <cell r="D903"/>
          <cell r="E903"/>
          <cell r="F903"/>
          <cell r="G903"/>
          <cell r="H903"/>
          <cell r="I903"/>
          <cell r="J903">
            <v>0</v>
          </cell>
          <cell r="K903"/>
          <cell r="L903"/>
        </row>
        <row r="904">
          <cell r="A904"/>
          <cell r="B904" t="str">
            <v>Subpartidas</v>
          </cell>
          <cell r="C904"/>
          <cell r="D904"/>
          <cell r="E904"/>
          <cell r="F904"/>
          <cell r="G904"/>
          <cell r="H904"/>
          <cell r="I904"/>
          <cell r="J904"/>
          <cell r="K904">
            <v>131.99</v>
          </cell>
          <cell r="L904" t="str">
            <v>(D)</v>
          </cell>
        </row>
        <row r="905">
          <cell r="A905"/>
          <cell r="B905" t="str">
            <v>TF00027</v>
          </cell>
          <cell r="C905" t="str">
            <v>Excavacion de canal</v>
          </cell>
          <cell r="D905"/>
          <cell r="E905"/>
          <cell r="F905" t="str">
            <v>m3</v>
          </cell>
          <cell r="G905"/>
          <cell r="H905">
            <v>0.7360000000000001</v>
          </cell>
          <cell r="I905">
            <v>11.09</v>
          </cell>
          <cell r="J905">
            <v>8.16</v>
          </cell>
          <cell r="K905"/>
          <cell r="L905"/>
        </row>
        <row r="906">
          <cell r="A906"/>
          <cell r="B906" t="str">
            <v>TF00060</v>
          </cell>
          <cell r="C906" t="str">
            <v>Concreto f'c = 20 Mpa</v>
          </cell>
          <cell r="D906"/>
          <cell r="E906"/>
          <cell r="F906" t="str">
            <v>m3</v>
          </cell>
          <cell r="G906"/>
          <cell r="H906">
            <v>0.48600000000000004</v>
          </cell>
          <cell r="I906">
            <v>47.7</v>
          </cell>
          <cell r="J906">
            <v>23.18</v>
          </cell>
          <cell r="K906"/>
          <cell r="L906"/>
        </row>
        <row r="907">
          <cell r="A907"/>
          <cell r="B907" t="str">
            <v>TF00060</v>
          </cell>
          <cell r="C907" t="str">
            <v>Encofrado y Desencofrado</v>
          </cell>
          <cell r="D907"/>
          <cell r="E907"/>
          <cell r="F907" t="str">
            <v>m2</v>
          </cell>
          <cell r="G907"/>
          <cell r="H907">
            <v>2.6</v>
          </cell>
          <cell r="I907">
            <v>38.71</v>
          </cell>
          <cell r="J907">
            <v>100.65</v>
          </cell>
          <cell r="K907"/>
          <cell r="L907"/>
        </row>
        <row r="908">
          <cell r="A908"/>
          <cell r="B908"/>
          <cell r="C908"/>
          <cell r="D908"/>
          <cell r="E908"/>
          <cell r="F908"/>
          <cell r="G908"/>
          <cell r="H908"/>
          <cell r="I908"/>
          <cell r="J908">
            <v>131.99</v>
          </cell>
          <cell r="K908"/>
          <cell r="L908"/>
        </row>
        <row r="909">
          <cell r="A909"/>
          <cell r="B909"/>
          <cell r="C909"/>
          <cell r="D909"/>
          <cell r="E909"/>
          <cell r="F909"/>
          <cell r="G909"/>
          <cell r="H909"/>
          <cell r="I909"/>
          <cell r="J909"/>
          <cell r="K909"/>
          <cell r="L909"/>
        </row>
        <row r="910">
          <cell r="A910"/>
          <cell r="B910"/>
          <cell r="C910"/>
          <cell r="D910"/>
          <cell r="E910"/>
          <cell r="F910"/>
          <cell r="G910"/>
          <cell r="H910"/>
          <cell r="I910"/>
          <cell r="J910"/>
          <cell r="K910"/>
          <cell r="L910"/>
        </row>
        <row r="911">
          <cell r="A911"/>
          <cell r="B911" t="str">
            <v>Subpartida</v>
          </cell>
          <cell r="C911"/>
          <cell r="D911" t="str">
            <v>Excavacion de canal</v>
          </cell>
          <cell r="E911"/>
          <cell r="F911"/>
          <cell r="G911"/>
          <cell r="H911"/>
          <cell r="I911"/>
          <cell r="J911"/>
          <cell r="K911">
            <v>11.09</v>
          </cell>
          <cell r="L911"/>
        </row>
        <row r="912">
          <cell r="B912" t="str">
            <v>Rendimiento:</v>
          </cell>
          <cell r="C912">
            <v>3.5</v>
          </cell>
          <cell r="D912" t="str">
            <v>m3</v>
          </cell>
          <cell r="E912" t="str">
            <v>/hr</v>
          </cell>
          <cell r="F912"/>
          <cell r="G912"/>
          <cell r="H912" t="str">
            <v>C.U. Total:</v>
          </cell>
          <cell r="I912">
            <v>11.09</v>
          </cell>
          <cell r="J912" t="str">
            <v>m3</v>
          </cell>
        </row>
        <row r="913">
          <cell r="A913"/>
          <cell r="B913" t="str">
            <v>Codigo</v>
          </cell>
          <cell r="C913" t="str">
            <v>Recurso</v>
          </cell>
          <cell r="D913"/>
          <cell r="E913"/>
          <cell r="F913" t="str">
            <v>UND</v>
          </cell>
          <cell r="G913" t="str">
            <v>Cuadrilla</v>
          </cell>
          <cell r="H913" t="str">
            <v>Cantidad</v>
          </cell>
          <cell r="I913" t="str">
            <v>C.U.</v>
          </cell>
          <cell r="J913" t="str">
            <v>C.Parcial</v>
          </cell>
          <cell r="K913" t="str">
            <v>SUBTOTAL</v>
          </cell>
          <cell r="L913"/>
        </row>
        <row r="914">
          <cell r="A914"/>
          <cell r="B914" t="str">
            <v>Mano de Obra</v>
          </cell>
          <cell r="C914"/>
          <cell r="D914"/>
          <cell r="E914"/>
          <cell r="F914"/>
          <cell r="G914"/>
          <cell r="H914"/>
          <cell r="I914"/>
          <cell r="J914"/>
          <cell r="K914">
            <v>4.67</v>
          </cell>
          <cell r="L914" t="str">
            <v>(C)</v>
          </cell>
        </row>
        <row r="915">
          <cell r="A915"/>
          <cell r="B915" t="str">
            <v>TF00002</v>
          </cell>
          <cell r="C915" t="str">
            <v>Capataz</v>
          </cell>
          <cell r="D915"/>
          <cell r="E915"/>
          <cell r="F915" t="str">
            <v>hh</v>
          </cell>
          <cell r="G915">
            <v>0.35</v>
          </cell>
          <cell r="H915">
            <v>0.1</v>
          </cell>
          <cell r="I915">
            <v>9.68</v>
          </cell>
          <cell r="J915">
            <v>0.97</v>
          </cell>
          <cell r="K915"/>
          <cell r="L915"/>
        </row>
        <row r="916">
          <cell r="A916"/>
          <cell r="B916" t="str">
            <v>TF00012</v>
          </cell>
          <cell r="C916" t="str">
            <v>Peón</v>
          </cell>
          <cell r="D916"/>
          <cell r="E916"/>
          <cell r="F916" t="str">
            <v>hh</v>
          </cell>
          <cell r="G916">
            <v>1</v>
          </cell>
          <cell r="H916">
            <v>0.2858</v>
          </cell>
          <cell r="I916">
            <v>6.46</v>
          </cell>
          <cell r="J916">
            <v>1.85</v>
          </cell>
          <cell r="K916"/>
          <cell r="L916"/>
        </row>
        <row r="917">
          <cell r="A917"/>
          <cell r="B917" t="str">
            <v>TF00014</v>
          </cell>
          <cell r="C917" t="str">
            <v>Vigía</v>
          </cell>
          <cell r="D917"/>
          <cell r="E917"/>
          <cell r="F917" t="str">
            <v>hh</v>
          </cell>
          <cell r="G917">
            <v>1</v>
          </cell>
          <cell r="H917">
            <v>0.2858</v>
          </cell>
          <cell r="I917">
            <v>6.46</v>
          </cell>
          <cell r="J917">
            <v>1.85</v>
          </cell>
          <cell r="K917"/>
          <cell r="L917"/>
        </row>
        <row r="918">
          <cell r="A918"/>
          <cell r="B918"/>
          <cell r="C918"/>
          <cell r="D918"/>
          <cell r="E918"/>
          <cell r="F918"/>
          <cell r="G918"/>
          <cell r="H918"/>
          <cell r="I918"/>
          <cell r="J918">
            <v>4.67</v>
          </cell>
          <cell r="K918"/>
          <cell r="L918"/>
        </row>
        <row r="919">
          <cell r="A919"/>
          <cell r="B919" t="str">
            <v>Herramientas y Equipos</v>
          </cell>
          <cell r="C919"/>
          <cell r="D919"/>
          <cell r="E919"/>
          <cell r="F919"/>
          <cell r="G919"/>
          <cell r="H919"/>
          <cell r="I919"/>
          <cell r="J919"/>
          <cell r="K919">
            <v>6.4200000000000008</v>
          </cell>
          <cell r="L919" t="str">
            <v>(D)</v>
          </cell>
        </row>
        <row r="920">
          <cell r="A920"/>
          <cell r="B920" t="str">
            <v>TF00026</v>
          </cell>
          <cell r="C920" t="str">
            <v>Retroexcavadora Cat 420e</v>
          </cell>
          <cell r="D920"/>
          <cell r="E920"/>
          <cell r="F920" t="str">
            <v>hm</v>
          </cell>
          <cell r="G920">
            <v>0.5</v>
          </cell>
          <cell r="H920">
            <v>0.1429</v>
          </cell>
          <cell r="I920">
            <v>41</v>
          </cell>
          <cell r="J920">
            <v>5.86</v>
          </cell>
          <cell r="K920"/>
          <cell r="L920"/>
        </row>
        <row r="921">
          <cell r="A921"/>
          <cell r="B921" t="str">
            <v>TF00041</v>
          </cell>
          <cell r="C921" t="str">
            <v>Luminaria 4K</v>
          </cell>
          <cell r="D921"/>
          <cell r="E921"/>
          <cell r="F921" t="str">
            <v>hm</v>
          </cell>
          <cell r="G921">
            <v>0.5</v>
          </cell>
          <cell r="H921">
            <v>0.1429</v>
          </cell>
          <cell r="I921">
            <v>2.2799999999999998</v>
          </cell>
          <cell r="J921">
            <v>0.33</v>
          </cell>
          <cell r="K921"/>
          <cell r="L921"/>
        </row>
        <row r="922">
          <cell r="A922"/>
          <cell r="B922" t="str">
            <v>TF00060</v>
          </cell>
          <cell r="C922" t="str">
            <v>Herramientas (% Mano Obra)</v>
          </cell>
          <cell r="D922"/>
          <cell r="E922"/>
          <cell r="F922" t="str">
            <v>%</v>
          </cell>
          <cell r="G922"/>
          <cell r="H922">
            <v>0.05</v>
          </cell>
          <cell r="I922">
            <v>4.67</v>
          </cell>
          <cell r="J922">
            <v>0.23</v>
          </cell>
          <cell r="K922"/>
          <cell r="L922"/>
        </row>
        <row r="923">
          <cell r="A923"/>
          <cell r="B923"/>
          <cell r="C923"/>
          <cell r="D923"/>
          <cell r="E923"/>
          <cell r="F923"/>
          <cell r="G923"/>
          <cell r="H923"/>
          <cell r="I923"/>
          <cell r="J923">
            <v>6.4200000000000008</v>
          </cell>
          <cell r="K923"/>
          <cell r="L923"/>
        </row>
        <row r="924">
          <cell r="A924"/>
          <cell r="B924"/>
          <cell r="C924"/>
          <cell r="D924"/>
          <cell r="E924"/>
          <cell r="F924"/>
          <cell r="G924"/>
          <cell r="H924"/>
          <cell r="I924"/>
          <cell r="J924"/>
          <cell r="K924"/>
          <cell r="L924"/>
        </row>
        <row r="925">
          <cell r="A925"/>
          <cell r="B925" t="str">
            <v>Subpartida</v>
          </cell>
          <cell r="C925"/>
          <cell r="D925" t="str">
            <v>Concreto f'c = 20 Mpa</v>
          </cell>
          <cell r="E925"/>
          <cell r="F925"/>
          <cell r="G925"/>
          <cell r="H925"/>
          <cell r="I925"/>
          <cell r="J925"/>
          <cell r="K925">
            <v>47.7</v>
          </cell>
          <cell r="L925"/>
        </row>
        <row r="926">
          <cell r="A926"/>
          <cell r="B926" t="str">
            <v>Rendimiento:</v>
          </cell>
          <cell r="C926">
            <v>1.33</v>
          </cell>
          <cell r="D926" t="str">
            <v>m3</v>
          </cell>
          <cell r="E926" t="str">
            <v>/hr</v>
          </cell>
          <cell r="F926"/>
          <cell r="G926"/>
          <cell r="H926" t="str">
            <v>C.U. Total:</v>
          </cell>
          <cell r="I926">
            <v>47.7</v>
          </cell>
          <cell r="J926" t="str">
            <v>m3</v>
          </cell>
          <cell r="K926"/>
          <cell r="L926"/>
        </row>
        <row r="927">
          <cell r="A927"/>
          <cell r="B927" t="str">
            <v>Codigo</v>
          </cell>
          <cell r="C927" t="str">
            <v>Recurso</v>
          </cell>
          <cell r="D927"/>
          <cell r="E927"/>
          <cell r="F927" t="str">
            <v>UND</v>
          </cell>
          <cell r="G927" t="str">
            <v>Cuadrilla</v>
          </cell>
          <cell r="H927" t="str">
            <v>Cantidad</v>
          </cell>
          <cell r="I927" t="str">
            <v>C.U.</v>
          </cell>
          <cell r="J927" t="str">
            <v>C.Parcial</v>
          </cell>
          <cell r="K927" t="str">
            <v>SUBTOTAL</v>
          </cell>
          <cell r="L927"/>
        </row>
        <row r="928">
          <cell r="A928"/>
          <cell r="B928" t="str">
            <v>Materiales</v>
          </cell>
          <cell r="C928"/>
          <cell r="D928"/>
          <cell r="E928"/>
          <cell r="F928"/>
          <cell r="G928"/>
          <cell r="H928"/>
          <cell r="I928"/>
          <cell r="J928"/>
          <cell r="K928">
            <v>0</v>
          </cell>
          <cell r="L928" t="str">
            <v>(B)</v>
          </cell>
        </row>
        <row r="929">
          <cell r="A929"/>
          <cell r="B929" t="str">
            <v>TF00090</v>
          </cell>
          <cell r="C929" t="str">
            <v>Bomba móvil con pluma</v>
          </cell>
          <cell r="D929"/>
          <cell r="E929"/>
          <cell r="F929" t="str">
            <v>hm</v>
          </cell>
          <cell r="G929"/>
          <cell r="H929" t="str">
            <v>Suministrado por Antamina a pie de obra</v>
          </cell>
          <cell r="I929"/>
          <cell r="J929"/>
          <cell r="K929"/>
          <cell r="L929"/>
        </row>
        <row r="930">
          <cell r="A930"/>
          <cell r="B930" t="str">
            <v>Mano de Obra</v>
          </cell>
          <cell r="C930"/>
          <cell r="D930"/>
          <cell r="E930"/>
          <cell r="F930"/>
          <cell r="G930"/>
          <cell r="H930"/>
          <cell r="I930"/>
          <cell r="J930"/>
          <cell r="K930">
            <v>39.980000000000004</v>
          </cell>
          <cell r="L930" t="str">
            <v>(C)</v>
          </cell>
        </row>
        <row r="931">
          <cell r="A931"/>
          <cell r="B931" t="str">
            <v>TF00002</v>
          </cell>
          <cell r="C931" t="str">
            <v>Capataz</v>
          </cell>
          <cell r="D931"/>
          <cell r="E931"/>
          <cell r="F931" t="str">
            <v>hh</v>
          </cell>
          <cell r="G931">
            <v>0.35</v>
          </cell>
          <cell r="H931">
            <v>0.26319999999999999</v>
          </cell>
          <cell r="I931">
            <v>9.68</v>
          </cell>
          <cell r="J931">
            <v>2.5499999999999998</v>
          </cell>
          <cell r="K931"/>
          <cell r="L931"/>
        </row>
        <row r="932">
          <cell r="A932"/>
          <cell r="B932" t="str">
            <v>TF00004</v>
          </cell>
          <cell r="C932" t="str">
            <v>Operario</v>
          </cell>
          <cell r="D932"/>
          <cell r="E932"/>
          <cell r="F932" t="str">
            <v>hh</v>
          </cell>
          <cell r="G932">
            <v>1</v>
          </cell>
          <cell r="H932">
            <v>0.75190000000000001</v>
          </cell>
          <cell r="I932">
            <v>9.2799999999999994</v>
          </cell>
          <cell r="J932">
            <v>6.98</v>
          </cell>
          <cell r="K932"/>
          <cell r="L932"/>
        </row>
        <row r="933">
          <cell r="A933"/>
          <cell r="B933" t="str">
            <v>TF00011</v>
          </cell>
          <cell r="C933" t="str">
            <v>Oficial</v>
          </cell>
          <cell r="D933"/>
          <cell r="E933"/>
          <cell r="F933" t="str">
            <v>hh</v>
          </cell>
          <cell r="G933">
            <v>2</v>
          </cell>
          <cell r="H933">
            <v>1.5038</v>
          </cell>
          <cell r="I933">
            <v>7.33</v>
          </cell>
          <cell r="J933">
            <v>11.02</v>
          </cell>
          <cell r="K933"/>
          <cell r="L933"/>
        </row>
        <row r="934">
          <cell r="A934"/>
          <cell r="B934" t="str">
            <v>TF00012</v>
          </cell>
          <cell r="C934" t="str">
            <v>Peón</v>
          </cell>
          <cell r="D934"/>
          <cell r="E934"/>
          <cell r="F934" t="str">
            <v>hh</v>
          </cell>
          <cell r="G934">
            <v>4</v>
          </cell>
          <cell r="H934">
            <v>3.0076000000000001</v>
          </cell>
          <cell r="I934">
            <v>6.46</v>
          </cell>
          <cell r="J934">
            <v>19.43</v>
          </cell>
          <cell r="K934"/>
          <cell r="L934"/>
        </row>
        <row r="935">
          <cell r="A935"/>
          <cell r="B935"/>
          <cell r="C935"/>
          <cell r="D935"/>
          <cell r="E935"/>
          <cell r="F935"/>
          <cell r="G935"/>
          <cell r="H935"/>
          <cell r="I935"/>
          <cell r="J935">
            <v>39.980000000000004</v>
          </cell>
          <cell r="K935"/>
          <cell r="L935"/>
        </row>
        <row r="936">
          <cell r="A936"/>
          <cell r="B936" t="str">
            <v>Herramientas y Equipos</v>
          </cell>
          <cell r="C936"/>
          <cell r="D936"/>
          <cell r="E936"/>
          <cell r="F936"/>
          <cell r="G936"/>
          <cell r="H936"/>
          <cell r="I936"/>
          <cell r="J936"/>
          <cell r="K936">
            <v>7.72</v>
          </cell>
          <cell r="L936" t="str">
            <v>(D)</v>
          </cell>
        </row>
        <row r="937">
          <cell r="A937"/>
          <cell r="B937" t="str">
            <v>TF00046</v>
          </cell>
          <cell r="C937" t="str">
            <v>Vibrador de concreto 4 HP 2.4"</v>
          </cell>
          <cell r="D937"/>
          <cell r="E937"/>
          <cell r="F937" t="str">
            <v>hm</v>
          </cell>
          <cell r="G937">
            <v>1</v>
          </cell>
          <cell r="H937">
            <v>0.75190000000000001</v>
          </cell>
          <cell r="I937">
            <v>7.61</v>
          </cell>
          <cell r="J937">
            <v>5.72</v>
          </cell>
          <cell r="K937"/>
          <cell r="L937"/>
        </row>
        <row r="938">
          <cell r="A938"/>
          <cell r="B938" t="str">
            <v>TF00045</v>
          </cell>
          <cell r="C938" t="str">
            <v>Bomba móvil con pluma</v>
          </cell>
          <cell r="D938"/>
          <cell r="E938"/>
          <cell r="F938" t="str">
            <v>hm</v>
          </cell>
          <cell r="G938"/>
          <cell r="H938" t="str">
            <v>Suministrado por Antamina a pie de obra</v>
          </cell>
          <cell r="I938"/>
          <cell r="J938"/>
          <cell r="K938"/>
          <cell r="L938"/>
        </row>
        <row r="939">
          <cell r="A939"/>
          <cell r="B939" t="str">
            <v>TF00060</v>
          </cell>
          <cell r="C939" t="str">
            <v>Herramientas (% Mano Obra)</v>
          </cell>
          <cell r="D939"/>
          <cell r="E939"/>
          <cell r="F939" t="str">
            <v>%</v>
          </cell>
          <cell r="G939"/>
          <cell r="H939">
            <v>0.05</v>
          </cell>
          <cell r="I939">
            <v>39.980000000000004</v>
          </cell>
          <cell r="J939">
            <v>2</v>
          </cell>
          <cell r="K939"/>
          <cell r="L939"/>
        </row>
        <row r="940">
          <cell r="A940"/>
          <cell r="B940"/>
          <cell r="C940"/>
          <cell r="D940"/>
          <cell r="E940"/>
          <cell r="F940"/>
          <cell r="G940"/>
          <cell r="H940"/>
          <cell r="I940"/>
          <cell r="J940">
            <v>7.72</v>
          </cell>
          <cell r="K940"/>
          <cell r="L940"/>
        </row>
        <row r="941">
          <cell r="A941"/>
          <cell r="B941"/>
          <cell r="C941"/>
          <cell r="D941"/>
          <cell r="E941"/>
          <cell r="F941"/>
          <cell r="G941"/>
          <cell r="H941"/>
          <cell r="I941"/>
          <cell r="J941"/>
          <cell r="K941"/>
          <cell r="L941"/>
        </row>
        <row r="942">
          <cell r="A942"/>
          <cell r="B942" t="str">
            <v>Subpartida</v>
          </cell>
          <cell r="C942"/>
          <cell r="D942" t="str">
            <v>Encofrado y Desencofrado</v>
          </cell>
          <cell r="E942"/>
          <cell r="F942"/>
          <cell r="G942"/>
          <cell r="H942"/>
          <cell r="I942"/>
          <cell r="J942"/>
          <cell r="K942">
            <v>38.71</v>
          </cell>
          <cell r="L942"/>
        </row>
        <row r="943">
          <cell r="A943"/>
          <cell r="B943" t="str">
            <v>Rendimiento:</v>
          </cell>
          <cell r="C943">
            <v>2.2200000000000002</v>
          </cell>
          <cell r="D943" t="str">
            <v>m2</v>
          </cell>
          <cell r="E943" t="str">
            <v>/hr</v>
          </cell>
          <cell r="F943"/>
          <cell r="G943"/>
          <cell r="H943" t="str">
            <v>C.U. Total:</v>
          </cell>
          <cell r="I943">
            <v>38.71</v>
          </cell>
          <cell r="J943" t="str">
            <v>m2</v>
          </cell>
          <cell r="K943"/>
          <cell r="L943"/>
        </row>
        <row r="944">
          <cell r="A944"/>
          <cell r="B944" t="str">
            <v>Codigo</v>
          </cell>
          <cell r="C944" t="str">
            <v>Recurso</v>
          </cell>
          <cell r="D944"/>
          <cell r="E944"/>
          <cell r="F944" t="str">
            <v>UND</v>
          </cell>
          <cell r="G944" t="str">
            <v>Cuadrilla</v>
          </cell>
          <cell r="H944" t="str">
            <v>Cantidad</v>
          </cell>
          <cell r="I944" t="str">
            <v>C.U.</v>
          </cell>
          <cell r="J944" t="str">
            <v>C.Parcial</v>
          </cell>
          <cell r="K944" t="str">
            <v>SUBTOTAL</v>
          </cell>
          <cell r="L944"/>
        </row>
        <row r="945">
          <cell r="A945" t="str">
            <v>(B)</v>
          </cell>
          <cell r="B945" t="str">
            <v>Materiales</v>
          </cell>
          <cell r="C945"/>
          <cell r="D945"/>
          <cell r="E945"/>
          <cell r="F945"/>
          <cell r="G945"/>
          <cell r="H945"/>
          <cell r="I945"/>
          <cell r="J945"/>
          <cell r="K945">
            <v>25.68</v>
          </cell>
          <cell r="L945" t="str">
            <v>(B)</v>
          </cell>
        </row>
        <row r="946">
          <cell r="A946"/>
          <cell r="B946" t="str">
            <v>TF00138</v>
          </cell>
          <cell r="C946" t="str">
            <v>Clavos C/Cabeza promedio</v>
          </cell>
          <cell r="D946"/>
          <cell r="E946"/>
          <cell r="F946" t="str">
            <v>kg</v>
          </cell>
          <cell r="G946"/>
          <cell r="H946">
            <v>0.12</v>
          </cell>
          <cell r="I946">
            <v>1.05</v>
          </cell>
          <cell r="J946">
            <v>0.13</v>
          </cell>
          <cell r="K946"/>
          <cell r="L946"/>
        </row>
        <row r="947">
          <cell r="A947"/>
          <cell r="B947" t="str">
            <v>TF00139</v>
          </cell>
          <cell r="C947" t="str">
            <v>Alambre negro N°8</v>
          </cell>
          <cell r="D947"/>
          <cell r="E947"/>
          <cell r="F947" t="str">
            <v>kg</v>
          </cell>
          <cell r="G947"/>
          <cell r="H947">
            <v>0.15</v>
          </cell>
          <cell r="I947">
            <v>1.23</v>
          </cell>
          <cell r="J947">
            <v>0.18</v>
          </cell>
          <cell r="K947"/>
          <cell r="L947"/>
        </row>
        <row r="948">
          <cell r="A948"/>
          <cell r="B948" t="str">
            <v>TF00140</v>
          </cell>
          <cell r="C948" t="str">
            <v>Madera tripley lupuna 19 mm</v>
          </cell>
          <cell r="D948"/>
          <cell r="E948"/>
          <cell r="F948" t="str">
            <v>pln</v>
          </cell>
          <cell r="G948"/>
          <cell r="H948">
            <v>0.33</v>
          </cell>
          <cell r="I948">
            <v>34</v>
          </cell>
          <cell r="J948">
            <v>11.22</v>
          </cell>
          <cell r="K948"/>
          <cell r="L948"/>
        </row>
        <row r="949">
          <cell r="A949"/>
          <cell r="B949" t="str">
            <v>TF00141</v>
          </cell>
          <cell r="C949" t="str">
            <v>Madera</v>
          </cell>
          <cell r="D949"/>
          <cell r="E949"/>
          <cell r="F949" t="str">
            <v>p2</v>
          </cell>
          <cell r="G949"/>
          <cell r="H949">
            <v>5</v>
          </cell>
          <cell r="I949">
            <v>2.83</v>
          </cell>
          <cell r="J949">
            <v>14.15</v>
          </cell>
          <cell r="K949"/>
          <cell r="L949"/>
        </row>
        <row r="950">
          <cell r="A950"/>
          <cell r="B950"/>
          <cell r="C950"/>
          <cell r="D950"/>
          <cell r="E950"/>
          <cell r="F950"/>
          <cell r="G950"/>
          <cell r="H950"/>
          <cell r="I950"/>
          <cell r="J950">
            <v>25.68</v>
          </cell>
          <cell r="K950"/>
          <cell r="L950"/>
        </row>
        <row r="951">
          <cell r="A951" t="str">
            <v>(C)</v>
          </cell>
          <cell r="B951" t="str">
            <v>Mano de Obra</v>
          </cell>
          <cell r="C951"/>
          <cell r="D951"/>
          <cell r="E951"/>
          <cell r="F951"/>
          <cell r="G951"/>
          <cell r="H951"/>
          <cell r="I951"/>
          <cell r="J951"/>
          <cell r="K951">
            <v>11.92</v>
          </cell>
          <cell r="L951" t="str">
            <v>(C)</v>
          </cell>
        </row>
        <row r="952">
          <cell r="A952"/>
          <cell r="B952" t="str">
            <v>TF00002</v>
          </cell>
          <cell r="C952" t="str">
            <v>Capataz</v>
          </cell>
          <cell r="D952"/>
          <cell r="E952"/>
          <cell r="F952" t="str">
            <v>hh</v>
          </cell>
          <cell r="G952">
            <v>0.35</v>
          </cell>
          <cell r="H952">
            <v>0.15769999999999998</v>
          </cell>
          <cell r="I952">
            <v>9.68</v>
          </cell>
          <cell r="J952">
            <v>1.53</v>
          </cell>
          <cell r="K952"/>
          <cell r="L952"/>
        </row>
        <row r="953">
          <cell r="A953"/>
          <cell r="B953" t="str">
            <v>TF00004</v>
          </cell>
          <cell r="C953" t="str">
            <v>Operario</v>
          </cell>
          <cell r="D953"/>
          <cell r="E953"/>
          <cell r="F953" t="str">
            <v>hh</v>
          </cell>
          <cell r="G953">
            <v>1</v>
          </cell>
          <cell r="H953">
            <v>0.45050000000000001</v>
          </cell>
          <cell r="I953">
            <v>9.2799999999999994</v>
          </cell>
          <cell r="J953">
            <v>4.18</v>
          </cell>
          <cell r="K953"/>
          <cell r="L953"/>
        </row>
        <row r="954">
          <cell r="A954"/>
          <cell r="B954" t="str">
            <v>TF00011</v>
          </cell>
          <cell r="C954" t="str">
            <v>Oficial</v>
          </cell>
          <cell r="D954"/>
          <cell r="E954"/>
          <cell r="F954" t="str">
            <v>hh</v>
          </cell>
          <cell r="G954">
            <v>1</v>
          </cell>
          <cell r="H954">
            <v>0.45050000000000001</v>
          </cell>
          <cell r="I954">
            <v>7.33</v>
          </cell>
          <cell r="J954">
            <v>3.3</v>
          </cell>
          <cell r="K954"/>
          <cell r="L954"/>
        </row>
        <row r="955">
          <cell r="A955"/>
          <cell r="B955" t="str">
            <v>TF00012</v>
          </cell>
          <cell r="C955" t="str">
            <v>Peón</v>
          </cell>
          <cell r="D955"/>
          <cell r="E955"/>
          <cell r="F955" t="str">
            <v>hh</v>
          </cell>
          <cell r="G955">
            <v>1</v>
          </cell>
          <cell r="H955">
            <v>0.45050000000000001</v>
          </cell>
          <cell r="I955">
            <v>6.46</v>
          </cell>
          <cell r="J955">
            <v>2.91</v>
          </cell>
          <cell r="K955"/>
          <cell r="L955"/>
        </row>
        <row r="956">
          <cell r="A956"/>
          <cell r="B956"/>
          <cell r="C956"/>
          <cell r="D956"/>
          <cell r="E956"/>
          <cell r="F956"/>
          <cell r="G956"/>
          <cell r="H956"/>
          <cell r="I956"/>
          <cell r="J956">
            <v>11.92</v>
          </cell>
          <cell r="K956"/>
          <cell r="L956"/>
        </row>
        <row r="957">
          <cell r="A957" t="str">
            <v>(D)</v>
          </cell>
          <cell r="B957" t="str">
            <v>Herramientas y Equipos</v>
          </cell>
          <cell r="C957"/>
          <cell r="D957"/>
          <cell r="E957"/>
          <cell r="F957"/>
          <cell r="G957"/>
          <cell r="H957"/>
          <cell r="I957"/>
          <cell r="J957"/>
          <cell r="K957">
            <v>1.1099999999999999</v>
          </cell>
          <cell r="L957" t="str">
            <v>(D)</v>
          </cell>
        </row>
        <row r="958">
          <cell r="A958"/>
          <cell r="B958" t="str">
            <v>TF00041</v>
          </cell>
          <cell r="C958" t="str">
            <v>Luminaria 4K</v>
          </cell>
          <cell r="D958"/>
          <cell r="E958"/>
          <cell r="F958" t="str">
            <v>hm</v>
          </cell>
          <cell r="G958">
            <v>0.5</v>
          </cell>
          <cell r="H958">
            <v>0.2253</v>
          </cell>
          <cell r="I958">
            <v>2.2799999999999998</v>
          </cell>
          <cell r="J958">
            <v>0.51</v>
          </cell>
          <cell r="K958"/>
          <cell r="L958"/>
        </row>
        <row r="959">
          <cell r="A959"/>
          <cell r="B959" t="str">
            <v>TF00060</v>
          </cell>
          <cell r="C959" t="str">
            <v>Herramientas (% Mano Obra)</v>
          </cell>
          <cell r="D959"/>
          <cell r="E959"/>
          <cell r="F959" t="str">
            <v>%</v>
          </cell>
          <cell r="G959"/>
          <cell r="H959">
            <v>0.05</v>
          </cell>
          <cell r="I959">
            <v>11.92</v>
          </cell>
          <cell r="J959">
            <v>0.6</v>
          </cell>
          <cell r="K959"/>
          <cell r="L959"/>
        </row>
        <row r="960">
          <cell r="A960"/>
          <cell r="B960"/>
          <cell r="C960"/>
          <cell r="D960"/>
          <cell r="E960"/>
          <cell r="F960"/>
          <cell r="G960"/>
          <cell r="H960"/>
          <cell r="I960"/>
          <cell r="J960">
            <v>1.1099999999999999</v>
          </cell>
          <cell r="K960"/>
          <cell r="L960"/>
        </row>
        <row r="961">
          <cell r="A961"/>
          <cell r="B961"/>
          <cell r="C961"/>
          <cell r="D961"/>
          <cell r="E961"/>
          <cell r="F961"/>
          <cell r="G961"/>
          <cell r="H961"/>
          <cell r="I961"/>
          <cell r="J961"/>
          <cell r="K961"/>
          <cell r="L961"/>
        </row>
        <row r="962">
          <cell r="A962"/>
          <cell r="B962"/>
          <cell r="C962"/>
          <cell r="D962"/>
          <cell r="E962"/>
          <cell r="F962"/>
          <cell r="G962"/>
          <cell r="H962"/>
          <cell r="I962"/>
          <cell r="J962"/>
          <cell r="K962"/>
          <cell r="L962"/>
        </row>
        <row r="963">
          <cell r="A963">
            <v>10051</v>
          </cell>
          <cell r="B963" t="str">
            <v>Partida</v>
          </cell>
          <cell r="C963">
            <v>4.01</v>
          </cell>
          <cell r="D963" t="str">
            <v>Instalacion de silf fence en ladera (Material suministrado por Antamina)</v>
          </cell>
          <cell r="E963"/>
          <cell r="F963"/>
          <cell r="G963"/>
          <cell r="H963"/>
          <cell r="I963"/>
          <cell r="J963"/>
          <cell r="K963">
            <v>27.619999999999997</v>
          </cell>
          <cell r="L963"/>
        </row>
        <row r="964">
          <cell r="B964" t="str">
            <v>Rendimiento:</v>
          </cell>
          <cell r="C964">
            <v>2</v>
          </cell>
          <cell r="D964" t="str">
            <v>m</v>
          </cell>
          <cell r="E964" t="str">
            <v>/hr</v>
          </cell>
          <cell r="F964"/>
          <cell r="G964"/>
          <cell r="H964" t="str">
            <v>C.U. Total:</v>
          </cell>
          <cell r="I964">
            <v>27.619999999999997</v>
          </cell>
          <cell r="J964" t="str">
            <v>m</v>
          </cell>
        </row>
        <row r="965">
          <cell r="A965"/>
          <cell r="B965" t="str">
            <v>Codigo</v>
          </cell>
          <cell r="C965" t="str">
            <v>Recurso</v>
          </cell>
          <cell r="D965"/>
          <cell r="E965"/>
          <cell r="F965" t="str">
            <v>UND</v>
          </cell>
          <cell r="G965" t="str">
            <v>Cuadrilla</v>
          </cell>
          <cell r="H965" t="str">
            <v>Cantidad</v>
          </cell>
          <cell r="I965" t="str">
            <v>C.U.</v>
          </cell>
          <cell r="J965" t="str">
            <v>C.Parcial</v>
          </cell>
          <cell r="K965" t="str">
            <v>SUBTOTAL</v>
          </cell>
          <cell r="L965"/>
        </row>
        <row r="966">
          <cell r="A966" t="str">
            <v>10051(C)</v>
          </cell>
          <cell r="B966" t="str">
            <v>Mano de Obra</v>
          </cell>
          <cell r="C966"/>
          <cell r="D966"/>
          <cell r="E966"/>
          <cell r="F966"/>
          <cell r="G966"/>
          <cell r="H966"/>
          <cell r="I966"/>
          <cell r="J966"/>
          <cell r="K966">
            <v>16.02</v>
          </cell>
          <cell r="L966" t="str">
            <v>(C)</v>
          </cell>
        </row>
        <row r="967">
          <cell r="A967"/>
          <cell r="B967" t="str">
            <v>TF00002</v>
          </cell>
          <cell r="C967" t="str">
            <v>Capataz</v>
          </cell>
          <cell r="D967"/>
          <cell r="E967"/>
          <cell r="F967" t="str">
            <v>hh</v>
          </cell>
          <cell r="G967">
            <v>0.35</v>
          </cell>
          <cell r="H967">
            <v>0.17499999999999999</v>
          </cell>
          <cell r="I967">
            <v>9.68</v>
          </cell>
          <cell r="J967">
            <v>1.69</v>
          </cell>
          <cell r="K967"/>
          <cell r="L967"/>
        </row>
        <row r="968">
          <cell r="A968"/>
          <cell r="B968" t="str">
            <v>TF00004</v>
          </cell>
          <cell r="C968" t="str">
            <v>Operario</v>
          </cell>
          <cell r="D968"/>
          <cell r="E968"/>
          <cell r="F968" t="str">
            <v>hh</v>
          </cell>
          <cell r="G968">
            <v>1</v>
          </cell>
          <cell r="H968">
            <v>0.5</v>
          </cell>
          <cell r="I968">
            <v>9.2799999999999994</v>
          </cell>
          <cell r="J968">
            <v>4.6399999999999997</v>
          </cell>
          <cell r="K968"/>
          <cell r="L968"/>
        </row>
        <row r="969">
          <cell r="A969"/>
          <cell r="B969" t="str">
            <v>TF00012</v>
          </cell>
          <cell r="C969" t="str">
            <v>Peón</v>
          </cell>
          <cell r="D969"/>
          <cell r="E969"/>
          <cell r="F969" t="str">
            <v>hh</v>
          </cell>
          <cell r="G969">
            <v>3</v>
          </cell>
          <cell r="H969">
            <v>1.5</v>
          </cell>
          <cell r="I969">
            <v>6.46</v>
          </cell>
          <cell r="J969">
            <v>9.69</v>
          </cell>
          <cell r="K969"/>
          <cell r="L969"/>
        </row>
        <row r="970">
          <cell r="A970"/>
          <cell r="B970"/>
          <cell r="C970"/>
          <cell r="D970"/>
          <cell r="E970"/>
          <cell r="F970"/>
          <cell r="G970"/>
          <cell r="H970"/>
          <cell r="I970"/>
          <cell r="J970">
            <v>16.02</v>
          </cell>
          <cell r="K970"/>
          <cell r="L970"/>
        </row>
        <row r="971">
          <cell r="A971" t="str">
            <v>10051(D)</v>
          </cell>
          <cell r="B971" t="str">
            <v>Herramientas y Equipos</v>
          </cell>
          <cell r="C971"/>
          <cell r="D971"/>
          <cell r="E971"/>
          <cell r="F971"/>
          <cell r="G971"/>
          <cell r="H971"/>
          <cell r="I971"/>
          <cell r="J971"/>
          <cell r="K971">
            <v>11.6</v>
          </cell>
          <cell r="L971" t="str">
            <v>(D)</v>
          </cell>
        </row>
        <row r="972">
          <cell r="A972"/>
          <cell r="B972" t="str">
            <v>TF00030</v>
          </cell>
          <cell r="C972" t="str">
            <v>Camión Grúa de 20 Ton.</v>
          </cell>
          <cell r="D972"/>
          <cell r="E972"/>
          <cell r="F972" t="str">
            <v>hm</v>
          </cell>
          <cell r="G972">
            <v>0.25</v>
          </cell>
          <cell r="H972">
            <v>0.125</v>
          </cell>
          <cell r="I972">
            <v>80</v>
          </cell>
          <cell r="J972">
            <v>10</v>
          </cell>
          <cell r="K972"/>
          <cell r="L972"/>
        </row>
        <row r="973">
          <cell r="A973"/>
          <cell r="B973" t="str">
            <v>TF00060</v>
          </cell>
          <cell r="C973" t="str">
            <v>Herramientas (% Mano Obra)</v>
          </cell>
          <cell r="D973"/>
          <cell r="E973"/>
          <cell r="F973" t="str">
            <v>%</v>
          </cell>
          <cell r="G973"/>
          <cell r="H973">
            <v>0.1</v>
          </cell>
          <cell r="I973">
            <v>16.02</v>
          </cell>
          <cell r="J973">
            <v>1.6</v>
          </cell>
          <cell r="K973"/>
          <cell r="L973"/>
        </row>
        <row r="974">
          <cell r="A974"/>
          <cell r="B974"/>
          <cell r="C974"/>
          <cell r="D974"/>
          <cell r="E974"/>
          <cell r="F974"/>
          <cell r="G974"/>
          <cell r="H974"/>
          <cell r="I974"/>
          <cell r="J974">
            <v>11.6</v>
          </cell>
          <cell r="K974"/>
          <cell r="L974"/>
        </row>
        <row r="975">
          <cell r="B975"/>
        </row>
        <row r="976">
          <cell r="A976">
            <v>10052</v>
          </cell>
          <cell r="B976" t="str">
            <v>Partida</v>
          </cell>
          <cell r="C976">
            <v>4.0199999999999996</v>
          </cell>
          <cell r="D976" t="str">
            <v>Excavacion localizada en poza de sedimentación</v>
          </cell>
          <cell r="E976"/>
          <cell r="F976"/>
          <cell r="G976"/>
          <cell r="H976"/>
          <cell r="I976"/>
          <cell r="J976"/>
          <cell r="K976">
            <v>3.04</v>
          </cell>
          <cell r="L976"/>
        </row>
        <row r="977">
          <cell r="A977"/>
          <cell r="B977" t="str">
            <v>Rendimiento:</v>
          </cell>
          <cell r="C977">
            <v>16</v>
          </cell>
          <cell r="D977" t="str">
            <v>m</v>
          </cell>
          <cell r="E977" t="str">
            <v>/hr</v>
          </cell>
          <cell r="F977"/>
          <cell r="G977"/>
          <cell r="H977" t="str">
            <v>C.U. Total:</v>
          </cell>
          <cell r="I977">
            <v>3.04</v>
          </cell>
          <cell r="J977" t="str">
            <v>m</v>
          </cell>
          <cell r="K977"/>
          <cell r="L977"/>
        </row>
        <row r="978">
          <cell r="A978"/>
          <cell r="B978" t="str">
            <v>Codigo</v>
          </cell>
          <cell r="C978" t="str">
            <v>Recurso</v>
          </cell>
          <cell r="D978"/>
          <cell r="E978"/>
          <cell r="F978" t="str">
            <v>UND</v>
          </cell>
          <cell r="G978" t="str">
            <v>Cuadrilla</v>
          </cell>
          <cell r="H978" t="str">
            <v>Cantidad</v>
          </cell>
          <cell r="I978" t="str">
            <v>C.U.</v>
          </cell>
          <cell r="J978" t="str">
            <v>C.Parcial</v>
          </cell>
          <cell r="K978" t="str">
            <v>SUBTOTAL</v>
          </cell>
          <cell r="L978"/>
        </row>
        <row r="979">
          <cell r="A979" t="str">
            <v>10052(C)</v>
          </cell>
          <cell r="B979" t="str">
            <v>Mano de Obra</v>
          </cell>
          <cell r="C979"/>
          <cell r="D979"/>
          <cell r="E979"/>
          <cell r="F979"/>
          <cell r="G979"/>
          <cell r="H979"/>
          <cell r="I979"/>
          <cell r="J979"/>
          <cell r="K979">
            <v>1.48</v>
          </cell>
          <cell r="L979" t="str">
            <v>(C)</v>
          </cell>
        </row>
        <row r="980">
          <cell r="A980"/>
          <cell r="B980" t="str">
            <v>TF00002</v>
          </cell>
          <cell r="C980" t="str">
            <v>Capataz</v>
          </cell>
          <cell r="D980"/>
          <cell r="E980"/>
          <cell r="F980" t="str">
            <v>hh</v>
          </cell>
          <cell r="G980">
            <v>0.35</v>
          </cell>
          <cell r="H980">
            <v>2.1899999999999999E-2</v>
          </cell>
          <cell r="I980">
            <v>9.68</v>
          </cell>
          <cell r="J980">
            <v>0.21</v>
          </cell>
          <cell r="K980"/>
          <cell r="L980"/>
        </row>
        <row r="981">
          <cell r="A981"/>
          <cell r="B981" t="str">
            <v>TF00011</v>
          </cell>
          <cell r="C981" t="str">
            <v>Oficial</v>
          </cell>
          <cell r="D981"/>
          <cell r="E981"/>
          <cell r="F981" t="str">
            <v>hh</v>
          </cell>
          <cell r="G981">
            <v>1</v>
          </cell>
          <cell r="H981">
            <v>6.25E-2</v>
          </cell>
          <cell r="I981">
            <v>7.33</v>
          </cell>
          <cell r="J981">
            <v>0.46</v>
          </cell>
          <cell r="K981"/>
          <cell r="L981"/>
        </row>
        <row r="982">
          <cell r="A982"/>
          <cell r="B982" t="str">
            <v>TF00014</v>
          </cell>
          <cell r="C982" t="str">
            <v>Vigía</v>
          </cell>
          <cell r="D982"/>
          <cell r="E982"/>
          <cell r="F982" t="str">
            <v>hh</v>
          </cell>
          <cell r="G982">
            <v>2</v>
          </cell>
          <cell r="H982">
            <v>0.125</v>
          </cell>
          <cell r="I982">
            <v>6.46</v>
          </cell>
          <cell r="J982">
            <v>0.81</v>
          </cell>
          <cell r="K982"/>
          <cell r="L982"/>
        </row>
        <row r="983">
          <cell r="A983"/>
          <cell r="B983"/>
          <cell r="C983"/>
          <cell r="D983"/>
          <cell r="E983"/>
          <cell r="F983"/>
          <cell r="G983"/>
          <cell r="H983"/>
          <cell r="I983"/>
          <cell r="J983">
            <v>1.48</v>
          </cell>
          <cell r="K983"/>
          <cell r="L983"/>
        </row>
        <row r="984">
          <cell r="A984" t="str">
            <v>10052(D)</v>
          </cell>
          <cell r="B984" t="str">
            <v>Herramientas y Equipos</v>
          </cell>
          <cell r="C984"/>
          <cell r="D984"/>
          <cell r="E984"/>
          <cell r="F984"/>
          <cell r="G984"/>
          <cell r="H984"/>
          <cell r="I984"/>
          <cell r="J984"/>
          <cell r="K984">
            <v>1.56</v>
          </cell>
          <cell r="L984" t="str">
            <v>(D)</v>
          </cell>
        </row>
        <row r="985">
          <cell r="A985"/>
          <cell r="B985" t="str">
            <v>TF00026</v>
          </cell>
          <cell r="C985" t="str">
            <v>Retroexcavadora Cat 420e</v>
          </cell>
          <cell r="D985"/>
          <cell r="E985"/>
          <cell r="F985" t="str">
            <v>hm</v>
          </cell>
          <cell r="G985">
            <v>0.5</v>
          </cell>
          <cell r="H985">
            <v>3.1300000000000001E-2</v>
          </cell>
          <cell r="I985">
            <v>41</v>
          </cell>
          <cell r="J985">
            <v>1.28</v>
          </cell>
          <cell r="K985"/>
          <cell r="L985"/>
        </row>
        <row r="986">
          <cell r="A986"/>
          <cell r="B986" t="str">
            <v>TF00041</v>
          </cell>
          <cell r="C986" t="str">
            <v>Luminaria 4K</v>
          </cell>
          <cell r="D986"/>
          <cell r="E986"/>
          <cell r="F986" t="str">
            <v>hm</v>
          </cell>
          <cell r="G986">
            <v>1.5</v>
          </cell>
          <cell r="H986">
            <v>9.3800000000000008E-2</v>
          </cell>
          <cell r="I986">
            <v>2.2799999999999998</v>
          </cell>
          <cell r="J986">
            <v>0.21</v>
          </cell>
          <cell r="K986"/>
          <cell r="L986"/>
        </row>
        <row r="987">
          <cell r="A987"/>
          <cell r="B987" t="str">
            <v>TF00060</v>
          </cell>
          <cell r="C987" t="str">
            <v>Herramientas (% Mano Obra)</v>
          </cell>
          <cell r="D987"/>
          <cell r="E987"/>
          <cell r="F987" t="str">
            <v>%</v>
          </cell>
          <cell r="G987"/>
          <cell r="H987">
            <v>0.05</v>
          </cell>
          <cell r="I987">
            <v>1.48</v>
          </cell>
          <cell r="J987">
            <v>7.0000000000000007E-2</v>
          </cell>
          <cell r="K987"/>
          <cell r="L987"/>
        </row>
        <row r="988">
          <cell r="A988"/>
          <cell r="B988"/>
          <cell r="C988"/>
          <cell r="D988"/>
          <cell r="E988"/>
          <cell r="F988"/>
          <cell r="G988"/>
          <cell r="H988"/>
          <cell r="I988"/>
          <cell r="J988">
            <v>1.56</v>
          </cell>
          <cell r="K988"/>
          <cell r="L988"/>
        </row>
        <row r="989">
          <cell r="A989"/>
          <cell r="B989"/>
          <cell r="C989"/>
          <cell r="D989"/>
          <cell r="E989"/>
          <cell r="F989"/>
          <cell r="G989"/>
          <cell r="H989"/>
          <cell r="I989"/>
          <cell r="J989"/>
          <cell r="K989"/>
          <cell r="L989"/>
        </row>
        <row r="990">
          <cell r="A990">
            <v>10053</v>
          </cell>
          <cell r="B990" t="str">
            <v>Partida</v>
          </cell>
          <cell r="C990">
            <v>4.03</v>
          </cell>
          <cell r="D990" t="str">
            <v>Eliminacion material  d&lt;1km</v>
          </cell>
          <cell r="E990"/>
          <cell r="F990"/>
          <cell r="G990"/>
          <cell r="H990"/>
          <cell r="I990"/>
          <cell r="J990"/>
          <cell r="K990">
            <v>5.7999999999999989</v>
          </cell>
          <cell r="L990"/>
        </row>
        <row r="991">
          <cell r="A991"/>
          <cell r="B991" t="str">
            <v>Rendimiento:</v>
          </cell>
          <cell r="C991">
            <v>40</v>
          </cell>
          <cell r="D991" t="str">
            <v>m3-Km</v>
          </cell>
          <cell r="E991" t="str">
            <v>/hr</v>
          </cell>
          <cell r="F991"/>
          <cell r="G991"/>
          <cell r="H991" t="str">
            <v>C.U. Total:</v>
          </cell>
          <cell r="I991">
            <v>5.7999999999999989</v>
          </cell>
          <cell r="J991" t="str">
            <v>m3-Km</v>
          </cell>
          <cell r="K991"/>
          <cell r="L991"/>
        </row>
        <row r="992">
          <cell r="A992"/>
          <cell r="B992" t="str">
            <v>Codigo</v>
          </cell>
          <cell r="C992" t="str">
            <v>Recurso</v>
          </cell>
          <cell r="D992"/>
          <cell r="E992"/>
          <cell r="F992" t="str">
            <v>UND</v>
          </cell>
          <cell r="G992" t="str">
            <v>Cuadrilla</v>
          </cell>
          <cell r="H992" t="str">
            <v>Cantidad</v>
          </cell>
          <cell r="I992" t="str">
            <v>C.U.</v>
          </cell>
          <cell r="J992" t="str">
            <v>C.Parcial</v>
          </cell>
          <cell r="K992" t="str">
            <v>SUBTOTAL</v>
          </cell>
          <cell r="L992"/>
        </row>
        <row r="993">
          <cell r="A993" t="str">
            <v>10053(C)</v>
          </cell>
          <cell r="B993" t="str">
            <v>Mano de Obra</v>
          </cell>
          <cell r="C993"/>
          <cell r="D993"/>
          <cell r="E993"/>
          <cell r="F993"/>
          <cell r="G993"/>
          <cell r="H993"/>
          <cell r="I993"/>
          <cell r="J993"/>
          <cell r="K993">
            <v>1.0999999999999999</v>
          </cell>
          <cell r="L993" t="str">
            <v>(C)</v>
          </cell>
        </row>
        <row r="994">
          <cell r="A994"/>
          <cell r="B994" t="str">
            <v>TF00002</v>
          </cell>
          <cell r="C994" t="str">
            <v>Capataz</v>
          </cell>
          <cell r="D994"/>
          <cell r="E994"/>
          <cell r="F994" t="str">
            <v>hh</v>
          </cell>
          <cell r="G994">
            <v>0.35</v>
          </cell>
          <cell r="H994">
            <v>8.7999999999999988E-3</v>
          </cell>
          <cell r="I994">
            <v>9.68</v>
          </cell>
          <cell r="J994">
            <v>0.09</v>
          </cell>
          <cell r="K994"/>
          <cell r="L994"/>
        </row>
        <row r="995">
          <cell r="A995"/>
          <cell r="B995" t="str">
            <v>TF00011</v>
          </cell>
          <cell r="C995" t="str">
            <v>Oficial</v>
          </cell>
          <cell r="D995"/>
          <cell r="E995"/>
          <cell r="F995" t="str">
            <v>hh</v>
          </cell>
          <cell r="G995">
            <v>2</v>
          </cell>
          <cell r="H995">
            <v>0.05</v>
          </cell>
          <cell r="I995">
            <v>7.33</v>
          </cell>
          <cell r="J995">
            <v>0.37</v>
          </cell>
          <cell r="K995"/>
          <cell r="L995"/>
        </row>
        <row r="996">
          <cell r="A996"/>
          <cell r="B996" t="str">
            <v>TF00014</v>
          </cell>
          <cell r="C996" t="str">
            <v>Vigía</v>
          </cell>
          <cell r="D996"/>
          <cell r="E996"/>
          <cell r="F996" t="str">
            <v>hh</v>
          </cell>
          <cell r="G996">
            <v>3</v>
          </cell>
          <cell r="H996">
            <v>7.4999999999999997E-2</v>
          </cell>
          <cell r="I996">
            <v>6.46</v>
          </cell>
          <cell r="J996">
            <v>0.48</v>
          </cell>
          <cell r="K996"/>
          <cell r="L996"/>
        </row>
        <row r="997">
          <cell r="A997"/>
          <cell r="B997" t="str">
            <v>TF00013</v>
          </cell>
          <cell r="C997" t="str">
            <v>Cuadrador</v>
          </cell>
          <cell r="D997"/>
          <cell r="E997"/>
          <cell r="F997" t="str">
            <v>hh</v>
          </cell>
          <cell r="G997">
            <v>1</v>
          </cell>
          <cell r="H997">
            <v>2.5000000000000001E-2</v>
          </cell>
          <cell r="I997">
            <v>6.46</v>
          </cell>
          <cell r="J997">
            <v>0.16</v>
          </cell>
          <cell r="K997"/>
          <cell r="L997"/>
        </row>
        <row r="998">
          <cell r="A998"/>
          <cell r="B998"/>
          <cell r="C998"/>
          <cell r="D998"/>
          <cell r="E998"/>
          <cell r="F998"/>
          <cell r="G998"/>
          <cell r="H998"/>
          <cell r="I998"/>
          <cell r="J998">
            <v>1.0999999999999999</v>
          </cell>
          <cell r="K998"/>
          <cell r="L998"/>
        </row>
        <row r="999">
          <cell r="A999" t="str">
            <v>10053(D)</v>
          </cell>
          <cell r="B999" t="str">
            <v>Herramientas y Equipos</v>
          </cell>
          <cell r="C999"/>
          <cell r="D999"/>
          <cell r="E999"/>
          <cell r="F999"/>
          <cell r="G999"/>
          <cell r="H999"/>
          <cell r="I999"/>
          <cell r="J999"/>
          <cell r="K999">
            <v>4.6999999999999993</v>
          </cell>
          <cell r="L999" t="str">
            <v>(D)</v>
          </cell>
        </row>
        <row r="1000">
          <cell r="A1000"/>
          <cell r="B1000" t="str">
            <v>TF00024</v>
          </cell>
          <cell r="C1000" t="str">
            <v>Excavadora John Deere 290</v>
          </cell>
          <cell r="D1000"/>
          <cell r="E1000"/>
          <cell r="F1000" t="str">
            <v>hm</v>
          </cell>
          <cell r="G1000">
            <v>0.5</v>
          </cell>
          <cell r="H1000">
            <v>1.2500000000000001E-2</v>
          </cell>
          <cell r="I1000">
            <v>63</v>
          </cell>
          <cell r="J1000">
            <v>0.79</v>
          </cell>
          <cell r="K1000"/>
          <cell r="L1000"/>
        </row>
        <row r="1001">
          <cell r="A1001"/>
          <cell r="B1001" t="str">
            <v>TF00027</v>
          </cell>
          <cell r="C1001" t="str">
            <v>Volquete de 17 m3</v>
          </cell>
          <cell r="D1001"/>
          <cell r="E1001"/>
          <cell r="F1001" t="str">
            <v>hm</v>
          </cell>
          <cell r="G1001">
            <v>4.8819261674461796</v>
          </cell>
          <cell r="H1001">
            <v>0.1221</v>
          </cell>
          <cell r="I1001">
            <v>31</v>
          </cell>
          <cell r="J1001">
            <v>3.79</v>
          </cell>
          <cell r="K1001"/>
          <cell r="L1001"/>
        </row>
        <row r="1002">
          <cell r="A1002"/>
          <cell r="B1002" t="str">
            <v>TF00041</v>
          </cell>
          <cell r="C1002" t="str">
            <v>Luminaria 4K</v>
          </cell>
          <cell r="D1002"/>
          <cell r="E1002"/>
          <cell r="F1002" t="str">
            <v>hm</v>
          </cell>
          <cell r="G1002">
            <v>1</v>
          </cell>
          <cell r="H1002">
            <v>2.5000000000000001E-2</v>
          </cell>
          <cell r="I1002">
            <v>2.2799999999999998</v>
          </cell>
          <cell r="J1002">
            <v>0.06</v>
          </cell>
          <cell r="K1002"/>
          <cell r="L1002"/>
        </row>
        <row r="1003">
          <cell r="A1003"/>
          <cell r="B1003" t="str">
            <v>TF00060</v>
          </cell>
          <cell r="C1003" t="str">
            <v>Herramientas (% Mano Obra)</v>
          </cell>
          <cell r="D1003"/>
          <cell r="E1003"/>
          <cell r="F1003" t="str">
            <v>%</v>
          </cell>
          <cell r="G1003"/>
          <cell r="H1003">
            <v>0.05</v>
          </cell>
          <cell r="I1003">
            <v>1.0999999999999999</v>
          </cell>
          <cell r="J1003">
            <v>0.06</v>
          </cell>
          <cell r="K1003"/>
          <cell r="L1003"/>
        </row>
        <row r="1004">
          <cell r="A1004"/>
          <cell r="B1004"/>
          <cell r="C1004"/>
          <cell r="D1004"/>
          <cell r="E1004"/>
          <cell r="F1004"/>
          <cell r="G1004"/>
          <cell r="H1004"/>
          <cell r="I1004"/>
          <cell r="J1004">
            <v>4.6999999999999993</v>
          </cell>
          <cell r="K1004"/>
          <cell r="L1004"/>
        </row>
        <row r="1005">
          <cell r="A1005"/>
          <cell r="B1005"/>
          <cell r="C1005"/>
          <cell r="D1005"/>
          <cell r="E1005"/>
          <cell r="F1005"/>
          <cell r="G1005"/>
          <cell r="H1005"/>
          <cell r="I1005"/>
          <cell r="J1005"/>
          <cell r="K1005"/>
          <cell r="L1005"/>
        </row>
        <row r="1006">
          <cell r="A1006">
            <v>10054</v>
          </cell>
          <cell r="B1006" t="str">
            <v>Partida</v>
          </cell>
          <cell r="C1006">
            <v>4.04</v>
          </cell>
          <cell r="D1006" t="str">
            <v>Eliminacion material  d&gt;1km</v>
          </cell>
          <cell r="E1006"/>
          <cell r="F1006"/>
          <cell r="G1006"/>
          <cell r="H1006"/>
          <cell r="I1006"/>
          <cell r="J1006"/>
          <cell r="K1006">
            <v>0.47</v>
          </cell>
          <cell r="L1006"/>
        </row>
        <row r="1007">
          <cell r="A1007"/>
          <cell r="B1007" t="str">
            <v>Rendimiento:</v>
          </cell>
          <cell r="C1007">
            <v>90</v>
          </cell>
          <cell r="D1007" t="str">
            <v>m3-Km</v>
          </cell>
          <cell r="E1007" t="str">
            <v>/hr</v>
          </cell>
          <cell r="F1007"/>
          <cell r="G1007"/>
          <cell r="H1007" t="str">
            <v>C.U. Total:</v>
          </cell>
          <cell r="I1007">
            <v>0.47</v>
          </cell>
          <cell r="J1007" t="str">
            <v>m3-Km</v>
          </cell>
          <cell r="K1007"/>
          <cell r="L1007"/>
        </row>
        <row r="1008">
          <cell r="A1008"/>
          <cell r="B1008" t="str">
            <v>Codigo</v>
          </cell>
          <cell r="C1008" t="str">
            <v>Recurso</v>
          </cell>
          <cell r="D1008"/>
          <cell r="E1008"/>
          <cell r="F1008" t="str">
            <v>UND</v>
          </cell>
          <cell r="G1008" t="str">
            <v>Cuadrilla</v>
          </cell>
          <cell r="H1008" t="str">
            <v>Cantidad</v>
          </cell>
          <cell r="I1008" t="str">
            <v>C.U.</v>
          </cell>
          <cell r="J1008" t="str">
            <v>C.Parcial</v>
          </cell>
          <cell r="K1008" t="str">
            <v>SUBTOTAL</v>
          </cell>
          <cell r="L1008"/>
        </row>
        <row r="1009">
          <cell r="A1009" t="str">
            <v>10054(C)</v>
          </cell>
          <cell r="B1009" t="str">
            <v>Mano de Obra</v>
          </cell>
          <cell r="C1009"/>
          <cell r="D1009"/>
          <cell r="E1009"/>
          <cell r="F1009"/>
          <cell r="G1009"/>
          <cell r="H1009"/>
          <cell r="I1009"/>
          <cell r="J1009"/>
          <cell r="K1009">
            <v>0.11000000000000001</v>
          </cell>
          <cell r="L1009" t="str">
            <v>(C)</v>
          </cell>
        </row>
        <row r="1010">
          <cell r="A1010"/>
          <cell r="B1010" t="str">
            <v>TF00002</v>
          </cell>
          <cell r="C1010" t="str">
            <v>Capataz</v>
          </cell>
          <cell r="D1010"/>
          <cell r="E1010"/>
          <cell r="F1010" t="str">
            <v>hh</v>
          </cell>
          <cell r="G1010">
            <v>0.35</v>
          </cell>
          <cell r="H1010">
            <v>3.8999999999999998E-3</v>
          </cell>
          <cell r="I1010">
            <v>9.68</v>
          </cell>
          <cell r="J1010">
            <v>0.04</v>
          </cell>
          <cell r="K1010"/>
          <cell r="L1010"/>
        </row>
        <row r="1011">
          <cell r="A1011"/>
          <cell r="B1011" t="str">
            <v>TF00014</v>
          </cell>
          <cell r="C1011" t="str">
            <v>Vigía</v>
          </cell>
          <cell r="D1011"/>
          <cell r="E1011"/>
          <cell r="F1011" t="str">
            <v>hh</v>
          </cell>
          <cell r="G1011">
            <v>1</v>
          </cell>
          <cell r="H1011">
            <v>1.12E-2</v>
          </cell>
          <cell r="I1011">
            <v>6.46</v>
          </cell>
          <cell r="J1011">
            <v>7.0000000000000007E-2</v>
          </cell>
          <cell r="K1011"/>
          <cell r="L1011"/>
        </row>
        <row r="1012">
          <cell r="A1012"/>
          <cell r="B1012"/>
          <cell r="C1012"/>
          <cell r="D1012"/>
          <cell r="E1012"/>
          <cell r="F1012"/>
          <cell r="G1012"/>
          <cell r="H1012"/>
          <cell r="I1012"/>
          <cell r="J1012">
            <v>0.11000000000000001</v>
          </cell>
          <cell r="K1012"/>
          <cell r="L1012"/>
        </row>
        <row r="1013">
          <cell r="A1013" t="str">
            <v>10054(D)</v>
          </cell>
          <cell r="B1013" t="str">
            <v>Herramientas y Equipos</v>
          </cell>
          <cell r="C1013"/>
          <cell r="D1013"/>
          <cell r="E1013"/>
          <cell r="F1013"/>
          <cell r="G1013"/>
          <cell r="H1013"/>
          <cell r="I1013"/>
          <cell r="J1013"/>
          <cell r="K1013">
            <v>0.36</v>
          </cell>
          <cell r="L1013" t="str">
            <v>(D)</v>
          </cell>
        </row>
        <row r="1014">
          <cell r="A1014"/>
          <cell r="B1014" t="str">
            <v>TF00027</v>
          </cell>
          <cell r="C1014" t="str">
            <v>Volquete de 17 m3</v>
          </cell>
          <cell r="D1014"/>
          <cell r="E1014"/>
          <cell r="F1014" t="str">
            <v>hm</v>
          </cell>
          <cell r="G1014">
            <v>1</v>
          </cell>
          <cell r="H1014">
            <v>1.12E-2</v>
          </cell>
          <cell r="I1014">
            <v>31</v>
          </cell>
          <cell r="J1014">
            <v>0.35</v>
          </cell>
          <cell r="K1014"/>
          <cell r="L1014"/>
        </row>
        <row r="1015">
          <cell r="A1015"/>
          <cell r="B1015" t="str">
            <v>TF00060</v>
          </cell>
          <cell r="C1015" t="str">
            <v>Herramientas (% Mano Obra)</v>
          </cell>
          <cell r="D1015"/>
          <cell r="E1015"/>
          <cell r="F1015" t="str">
            <v>%</v>
          </cell>
          <cell r="G1015"/>
          <cell r="H1015">
            <v>0.05</v>
          </cell>
          <cell r="I1015">
            <v>0.11000000000000001</v>
          </cell>
          <cell r="J1015">
            <v>0.01</v>
          </cell>
          <cell r="K1015"/>
          <cell r="L1015"/>
        </row>
        <row r="1016">
          <cell r="A1016"/>
          <cell r="B1016"/>
          <cell r="C1016"/>
          <cell r="D1016"/>
          <cell r="E1016"/>
          <cell r="F1016"/>
          <cell r="G1016"/>
          <cell r="H1016"/>
          <cell r="I1016"/>
          <cell r="J1016">
            <v>0.36</v>
          </cell>
          <cell r="K1016"/>
          <cell r="L1016"/>
        </row>
        <row r="1017">
          <cell r="B1017"/>
        </row>
        <row r="1018">
          <cell r="A1018">
            <v>10055</v>
          </cell>
          <cell r="B1018" t="str">
            <v>Partida</v>
          </cell>
          <cell r="C1018">
            <v>4.05</v>
          </cell>
          <cell r="D1018" t="str">
            <v>Instalacion de geotextil en poza de sedimentación (Material suministrado por Antamina)</v>
          </cell>
          <cell r="E1018"/>
          <cell r="F1018"/>
          <cell r="G1018"/>
          <cell r="H1018"/>
          <cell r="I1018"/>
          <cell r="J1018"/>
          <cell r="K1018">
            <v>19.09</v>
          </cell>
          <cell r="L1018"/>
        </row>
        <row r="1019">
          <cell r="B1019" t="str">
            <v>Rendimiento:</v>
          </cell>
          <cell r="C1019">
            <v>3.8888888888888888</v>
          </cell>
          <cell r="D1019" t="str">
            <v>m2</v>
          </cell>
          <cell r="E1019" t="str">
            <v>/hr</v>
          </cell>
          <cell r="F1019"/>
          <cell r="G1019"/>
          <cell r="H1019" t="str">
            <v>C.U. Total:</v>
          </cell>
          <cell r="I1019">
            <v>19.09</v>
          </cell>
          <cell r="J1019" t="str">
            <v>m2</v>
          </cell>
        </row>
        <row r="1020">
          <cell r="A1020"/>
          <cell r="B1020" t="str">
            <v>Codigo</v>
          </cell>
          <cell r="C1020" t="str">
            <v>Recurso</v>
          </cell>
          <cell r="D1020"/>
          <cell r="E1020"/>
          <cell r="F1020" t="str">
            <v>UND</v>
          </cell>
          <cell r="G1020" t="str">
            <v>Cuadrilla</v>
          </cell>
          <cell r="H1020" t="str">
            <v>Cantidad</v>
          </cell>
          <cell r="I1020" t="str">
            <v>C.U.</v>
          </cell>
          <cell r="J1020" t="str">
            <v>C.Parcial</v>
          </cell>
          <cell r="K1020" t="str">
            <v>SUBTOTAL</v>
          </cell>
          <cell r="L1020"/>
        </row>
        <row r="1021">
          <cell r="A1021" t="str">
            <v>10055(B)</v>
          </cell>
          <cell r="B1021" t="str">
            <v>Materiales</v>
          </cell>
          <cell r="C1021"/>
          <cell r="D1021"/>
          <cell r="E1021"/>
          <cell r="F1021"/>
          <cell r="G1021"/>
          <cell r="H1021"/>
          <cell r="I1021"/>
          <cell r="J1021"/>
          <cell r="K1021">
            <v>0</v>
          </cell>
          <cell r="L1021" t="str">
            <v>(B)</v>
          </cell>
        </row>
        <row r="1022">
          <cell r="A1022"/>
          <cell r="B1022"/>
          <cell r="C1022"/>
          <cell r="D1022"/>
          <cell r="E1022"/>
          <cell r="F1022"/>
          <cell r="G1022"/>
          <cell r="H1022"/>
          <cell r="I1022"/>
          <cell r="J1022"/>
          <cell r="K1022"/>
          <cell r="L1022"/>
        </row>
        <row r="1023">
          <cell r="A1023"/>
          <cell r="B1023" t="str">
            <v>TF00078</v>
          </cell>
          <cell r="C1023" t="str">
            <v>Geotextil no tejido 400g/m2</v>
          </cell>
          <cell r="D1023"/>
          <cell r="E1023"/>
          <cell r="F1023" t="str">
            <v>m2</v>
          </cell>
          <cell r="G1023"/>
          <cell r="H1023">
            <v>1</v>
          </cell>
          <cell r="I1023">
            <v>0</v>
          </cell>
          <cell r="J1023">
            <v>0</v>
          </cell>
          <cell r="K1023"/>
          <cell r="L1023"/>
        </row>
        <row r="1024">
          <cell r="A1024"/>
          <cell r="B1024"/>
          <cell r="C1024"/>
          <cell r="D1024"/>
          <cell r="E1024"/>
          <cell r="F1024"/>
          <cell r="G1024"/>
          <cell r="H1024"/>
          <cell r="I1024"/>
          <cell r="J1024">
            <v>0</v>
          </cell>
          <cell r="K1024"/>
          <cell r="L1024"/>
        </row>
        <row r="1025">
          <cell r="A1025" t="str">
            <v>10055(C)</v>
          </cell>
          <cell r="B1025" t="str">
            <v>Mano de Obra</v>
          </cell>
          <cell r="C1025"/>
          <cell r="D1025"/>
          <cell r="E1025"/>
          <cell r="F1025"/>
          <cell r="G1025"/>
          <cell r="H1025"/>
          <cell r="I1025"/>
          <cell r="J1025"/>
          <cell r="K1025">
            <v>8.3800000000000008</v>
          </cell>
          <cell r="L1025" t="str">
            <v>(C)</v>
          </cell>
        </row>
        <row r="1026">
          <cell r="A1026"/>
          <cell r="B1026" t="str">
            <v>TF00015</v>
          </cell>
          <cell r="C1026" t="str">
            <v>Rigger</v>
          </cell>
          <cell r="D1026"/>
          <cell r="E1026"/>
          <cell r="F1026" t="str">
            <v>hh</v>
          </cell>
          <cell r="G1026">
            <v>0.5</v>
          </cell>
          <cell r="H1026">
            <v>0.12859999999999999</v>
          </cell>
          <cell r="I1026">
            <v>14</v>
          </cell>
          <cell r="J1026">
            <v>1.8</v>
          </cell>
          <cell r="K1026"/>
          <cell r="L1026"/>
        </row>
        <row r="1027">
          <cell r="A1027"/>
          <cell r="B1027" t="str">
            <v>TF00002</v>
          </cell>
          <cell r="C1027" t="str">
            <v>Capataz</v>
          </cell>
          <cell r="D1027"/>
          <cell r="E1027"/>
          <cell r="F1027" t="str">
            <v>hh</v>
          </cell>
          <cell r="G1027">
            <v>0.35</v>
          </cell>
          <cell r="H1027">
            <v>0.09</v>
          </cell>
          <cell r="I1027">
            <v>9.68</v>
          </cell>
          <cell r="J1027">
            <v>0.87</v>
          </cell>
          <cell r="K1027"/>
          <cell r="L1027"/>
        </row>
        <row r="1028">
          <cell r="A1028"/>
          <cell r="B1028" t="str">
            <v>TF00004</v>
          </cell>
          <cell r="C1028" t="str">
            <v>Operario</v>
          </cell>
          <cell r="D1028"/>
          <cell r="E1028"/>
          <cell r="F1028" t="str">
            <v>hh</v>
          </cell>
          <cell r="G1028">
            <v>1</v>
          </cell>
          <cell r="H1028">
            <v>0.25719999999999998</v>
          </cell>
          <cell r="I1028">
            <v>9.2799999999999994</v>
          </cell>
          <cell r="J1028">
            <v>2.39</v>
          </cell>
          <cell r="K1028"/>
          <cell r="L1028"/>
        </row>
        <row r="1029">
          <cell r="A1029"/>
          <cell r="B1029" t="str">
            <v>TF00012</v>
          </cell>
          <cell r="C1029" t="str">
            <v>Peón</v>
          </cell>
          <cell r="D1029"/>
          <cell r="E1029"/>
          <cell r="F1029" t="str">
            <v>hh</v>
          </cell>
          <cell r="G1029">
            <v>2</v>
          </cell>
          <cell r="H1029">
            <v>0.51429999999999998</v>
          </cell>
          <cell r="I1029">
            <v>6.46</v>
          </cell>
          <cell r="J1029">
            <v>3.32</v>
          </cell>
          <cell r="K1029"/>
          <cell r="L1029"/>
        </row>
        <row r="1030">
          <cell r="A1030"/>
          <cell r="B1030"/>
          <cell r="C1030"/>
          <cell r="D1030"/>
          <cell r="E1030"/>
          <cell r="F1030"/>
          <cell r="G1030"/>
          <cell r="H1030"/>
          <cell r="I1030"/>
          <cell r="J1030">
            <v>8.3800000000000008</v>
          </cell>
          <cell r="K1030"/>
          <cell r="L1030"/>
        </row>
        <row r="1031">
          <cell r="A1031" t="str">
            <v>10055(D)</v>
          </cell>
          <cell r="B1031" t="str">
            <v>Herramientas y Equipos</v>
          </cell>
          <cell r="C1031"/>
          <cell r="D1031"/>
          <cell r="E1031"/>
          <cell r="F1031"/>
          <cell r="G1031"/>
          <cell r="H1031"/>
          <cell r="I1031"/>
          <cell r="J1031"/>
          <cell r="K1031">
            <v>10.709999999999999</v>
          </cell>
          <cell r="L1031" t="str">
            <v>(D)</v>
          </cell>
        </row>
        <row r="1032">
          <cell r="A1032"/>
          <cell r="B1032" t="str">
            <v>TF00030</v>
          </cell>
          <cell r="C1032" t="str">
            <v>Camión Grúa de 20 Ton.</v>
          </cell>
          <cell r="D1032"/>
          <cell r="E1032"/>
          <cell r="F1032" t="str">
            <v>hm</v>
          </cell>
          <cell r="G1032">
            <v>0.5</v>
          </cell>
          <cell r="H1032">
            <v>0.12859999999999999</v>
          </cell>
          <cell r="I1032">
            <v>80</v>
          </cell>
          <cell r="J1032">
            <v>10.29</v>
          </cell>
          <cell r="K1032"/>
          <cell r="L1032"/>
        </row>
        <row r="1033">
          <cell r="A1033"/>
          <cell r="B1033" t="str">
            <v>TF00060</v>
          </cell>
          <cell r="C1033" t="str">
            <v>Herramientas (% Mano Obra)</v>
          </cell>
          <cell r="D1033"/>
          <cell r="E1033"/>
          <cell r="F1033" t="str">
            <v>%</v>
          </cell>
          <cell r="G1033"/>
          <cell r="H1033">
            <v>0.05</v>
          </cell>
          <cell r="I1033">
            <v>8.3800000000000008</v>
          </cell>
          <cell r="J1033">
            <v>0.42</v>
          </cell>
          <cell r="K1033"/>
          <cell r="L1033"/>
        </row>
        <row r="1034">
          <cell r="A1034"/>
          <cell r="B1034"/>
          <cell r="C1034"/>
          <cell r="D1034"/>
          <cell r="E1034"/>
          <cell r="F1034"/>
          <cell r="G1034"/>
          <cell r="H1034"/>
          <cell r="I1034"/>
          <cell r="J1034">
            <v>10.709999999999999</v>
          </cell>
          <cell r="K1034"/>
          <cell r="L1034"/>
        </row>
        <row r="1035">
          <cell r="B1035"/>
        </row>
        <row r="1036">
          <cell r="A1036">
            <v>10056</v>
          </cell>
          <cell r="B1036" t="str">
            <v>Partida</v>
          </cell>
          <cell r="C1036">
            <v>4.0599999999999996</v>
          </cell>
          <cell r="D1036" t="str">
            <v xml:space="preserve">Selección de Roca para ejecución de medias lunas </v>
          </cell>
          <cell r="E1036"/>
          <cell r="F1036"/>
          <cell r="G1036"/>
          <cell r="H1036"/>
          <cell r="I1036"/>
          <cell r="J1036"/>
          <cell r="K1036">
            <v>9.8000000000000007</v>
          </cell>
          <cell r="L1036"/>
        </row>
        <row r="1037">
          <cell r="A1037"/>
          <cell r="B1037" t="str">
            <v>Rendimiento:</v>
          </cell>
          <cell r="C1037">
            <v>7.7272727272727275</v>
          </cell>
          <cell r="D1037" t="str">
            <v>m3</v>
          </cell>
          <cell r="E1037" t="str">
            <v>/hr</v>
          </cell>
          <cell r="F1037"/>
          <cell r="G1037"/>
          <cell r="H1037" t="str">
            <v>C.U. Total:</v>
          </cell>
          <cell r="I1037">
            <v>9.8000000000000007</v>
          </cell>
          <cell r="J1037" t="str">
            <v>m3</v>
          </cell>
          <cell r="K1037"/>
          <cell r="L1037"/>
        </row>
        <row r="1038">
          <cell r="A1038"/>
          <cell r="B1038" t="str">
            <v>Codigo</v>
          </cell>
          <cell r="C1038" t="str">
            <v>Recurso</v>
          </cell>
          <cell r="D1038"/>
          <cell r="E1038"/>
          <cell r="F1038" t="str">
            <v>UND</v>
          </cell>
          <cell r="G1038" t="str">
            <v>Cuadrilla</v>
          </cell>
          <cell r="H1038" t="str">
            <v>Cantidad</v>
          </cell>
          <cell r="I1038" t="str">
            <v>C.U.</v>
          </cell>
          <cell r="J1038" t="str">
            <v>C.Parcial</v>
          </cell>
          <cell r="K1038" t="str">
            <v>SUBTOTAL</v>
          </cell>
          <cell r="L1038"/>
        </row>
        <row r="1039">
          <cell r="A1039" t="str">
            <v>10056(C)</v>
          </cell>
          <cell r="B1039" t="str">
            <v>Mano de Obra</v>
          </cell>
          <cell r="C1039"/>
          <cell r="D1039"/>
          <cell r="E1039"/>
          <cell r="F1039"/>
          <cell r="G1039"/>
          <cell r="H1039"/>
          <cell r="I1039"/>
          <cell r="J1039"/>
          <cell r="K1039">
            <v>1.28</v>
          </cell>
          <cell r="L1039" t="str">
            <v>(C)</v>
          </cell>
        </row>
        <row r="1040">
          <cell r="A1040"/>
          <cell r="B1040" t="str">
            <v>TF00002</v>
          </cell>
          <cell r="C1040" t="str">
            <v>Capataz</v>
          </cell>
          <cell r="D1040"/>
          <cell r="E1040"/>
          <cell r="F1040" t="str">
            <v>hh</v>
          </cell>
          <cell r="G1040">
            <v>0.35</v>
          </cell>
          <cell r="H1040">
            <v>4.53E-2</v>
          </cell>
          <cell r="I1040">
            <v>9.68</v>
          </cell>
          <cell r="J1040">
            <v>0.44</v>
          </cell>
          <cell r="K1040"/>
          <cell r="L1040"/>
        </row>
        <row r="1041">
          <cell r="A1041"/>
          <cell r="B1041" t="str">
            <v>TF00014</v>
          </cell>
          <cell r="C1041" t="str">
            <v>Vigía</v>
          </cell>
          <cell r="D1041"/>
          <cell r="E1041"/>
          <cell r="F1041" t="str">
            <v>hh</v>
          </cell>
          <cell r="G1041">
            <v>1</v>
          </cell>
          <cell r="H1041">
            <v>0.12949999999999998</v>
          </cell>
          <cell r="I1041">
            <v>6.46</v>
          </cell>
          <cell r="J1041">
            <v>0.84</v>
          </cell>
          <cell r="K1041"/>
          <cell r="L1041"/>
        </row>
        <row r="1042">
          <cell r="A1042"/>
          <cell r="B1042"/>
          <cell r="C1042"/>
          <cell r="D1042"/>
          <cell r="E1042"/>
          <cell r="F1042"/>
          <cell r="G1042"/>
          <cell r="H1042"/>
          <cell r="I1042"/>
          <cell r="J1042">
            <v>1.28</v>
          </cell>
          <cell r="K1042"/>
          <cell r="L1042"/>
        </row>
        <row r="1043">
          <cell r="A1043" t="str">
            <v>10056(D)</v>
          </cell>
          <cell r="B1043" t="str">
            <v>Herramientas y Equipos</v>
          </cell>
          <cell r="C1043"/>
          <cell r="D1043"/>
          <cell r="E1043"/>
          <cell r="F1043"/>
          <cell r="G1043"/>
          <cell r="H1043"/>
          <cell r="I1043"/>
          <cell r="J1043"/>
          <cell r="K1043">
            <v>8.5200000000000014</v>
          </cell>
          <cell r="L1043" t="str">
            <v>(D)</v>
          </cell>
        </row>
        <row r="1044">
          <cell r="A1044"/>
          <cell r="B1044" t="str">
            <v>TF00024</v>
          </cell>
          <cell r="C1044" t="str">
            <v>Excavadora John Deere 290</v>
          </cell>
          <cell r="D1044"/>
          <cell r="E1044"/>
          <cell r="F1044" t="str">
            <v>hm</v>
          </cell>
          <cell r="G1044">
            <v>1</v>
          </cell>
          <cell r="H1044">
            <v>0.12949999999999998</v>
          </cell>
          <cell r="I1044">
            <v>63</v>
          </cell>
          <cell r="J1044">
            <v>8.16</v>
          </cell>
          <cell r="K1044"/>
          <cell r="L1044"/>
        </row>
        <row r="1045">
          <cell r="A1045"/>
          <cell r="B1045" t="str">
            <v>TF00041</v>
          </cell>
          <cell r="C1045" t="str">
            <v>Luminaria 4K</v>
          </cell>
          <cell r="D1045"/>
          <cell r="E1045"/>
          <cell r="F1045" t="str">
            <v>hm</v>
          </cell>
          <cell r="G1045">
            <v>1</v>
          </cell>
          <cell r="H1045">
            <v>0.12949999999999998</v>
          </cell>
          <cell r="I1045">
            <v>2.2799999999999998</v>
          </cell>
          <cell r="J1045">
            <v>0.3</v>
          </cell>
          <cell r="K1045"/>
          <cell r="L1045"/>
        </row>
        <row r="1046">
          <cell r="A1046"/>
          <cell r="B1046" t="str">
            <v>TF00060</v>
          </cell>
          <cell r="C1046" t="str">
            <v>Herramientas (% Mano Obra)</v>
          </cell>
          <cell r="D1046"/>
          <cell r="E1046"/>
          <cell r="F1046" t="str">
            <v>%</v>
          </cell>
          <cell r="G1046"/>
          <cell r="H1046">
            <v>0.05</v>
          </cell>
          <cell r="I1046">
            <v>1.28</v>
          </cell>
          <cell r="J1046">
            <v>0.06</v>
          </cell>
          <cell r="K1046"/>
          <cell r="L1046"/>
        </row>
        <row r="1047">
          <cell r="A1047"/>
          <cell r="B1047"/>
          <cell r="C1047"/>
          <cell r="D1047"/>
          <cell r="E1047"/>
          <cell r="F1047"/>
          <cell r="G1047"/>
          <cell r="H1047"/>
          <cell r="I1047"/>
          <cell r="J1047">
            <v>8.5200000000000014</v>
          </cell>
          <cell r="K1047"/>
          <cell r="L1047"/>
        </row>
        <row r="1048">
          <cell r="A1048"/>
          <cell r="B1048"/>
          <cell r="C1048"/>
          <cell r="D1048"/>
          <cell r="E1048"/>
          <cell r="F1048"/>
          <cell r="G1048"/>
          <cell r="H1048"/>
          <cell r="I1048"/>
          <cell r="J1048"/>
          <cell r="K1048"/>
          <cell r="L1048"/>
        </row>
        <row r="1049">
          <cell r="A1049">
            <v>10057</v>
          </cell>
          <cell r="B1049" t="str">
            <v>Partida</v>
          </cell>
          <cell r="C1049">
            <v>4.07</v>
          </cell>
          <cell r="D1049" t="str">
            <v>Transporte material enrocado d&lt;1km</v>
          </cell>
          <cell r="E1049"/>
          <cell r="F1049"/>
          <cell r="G1049"/>
          <cell r="H1049"/>
          <cell r="I1049"/>
          <cell r="J1049"/>
          <cell r="K1049">
            <v>1.72</v>
          </cell>
          <cell r="L1049"/>
        </row>
        <row r="1050">
          <cell r="A1050"/>
          <cell r="B1050" t="str">
            <v>Rendimiento:</v>
          </cell>
          <cell r="C1050">
            <v>130</v>
          </cell>
          <cell r="D1050" t="str">
            <v>m3-km</v>
          </cell>
          <cell r="E1050" t="str">
            <v>/hr</v>
          </cell>
          <cell r="F1050"/>
          <cell r="G1050"/>
          <cell r="H1050" t="str">
            <v>C.U. Total:</v>
          </cell>
          <cell r="I1050">
            <v>1.72</v>
          </cell>
          <cell r="J1050" t="str">
            <v>m3-km</v>
          </cell>
          <cell r="K1050"/>
          <cell r="L1050"/>
        </row>
        <row r="1051">
          <cell r="A1051"/>
          <cell r="B1051" t="str">
            <v>Codigo</v>
          </cell>
          <cell r="C1051" t="str">
            <v>Recurso</v>
          </cell>
          <cell r="D1051"/>
          <cell r="E1051"/>
          <cell r="F1051" t="str">
            <v>UND</v>
          </cell>
          <cell r="G1051" t="str">
            <v>Cuadrilla</v>
          </cell>
          <cell r="H1051" t="str">
            <v>Cantidad</v>
          </cell>
          <cell r="I1051" t="str">
            <v>C.U.</v>
          </cell>
          <cell r="J1051" t="str">
            <v>C.Parcial</v>
          </cell>
          <cell r="K1051" t="str">
            <v>SUBTOTAL</v>
          </cell>
          <cell r="L1051"/>
        </row>
        <row r="1052">
          <cell r="A1052" t="str">
            <v>10057(C)</v>
          </cell>
          <cell r="B1052" t="str">
            <v>Mano de Obra</v>
          </cell>
          <cell r="C1052"/>
          <cell r="D1052"/>
          <cell r="E1052"/>
          <cell r="F1052"/>
          <cell r="G1052"/>
          <cell r="H1052"/>
          <cell r="I1052"/>
          <cell r="J1052"/>
          <cell r="K1052">
            <v>0.05</v>
          </cell>
          <cell r="L1052" t="str">
            <v>(C)</v>
          </cell>
        </row>
        <row r="1053">
          <cell r="A1053"/>
          <cell r="B1053" t="str">
            <v>TF00002</v>
          </cell>
          <cell r="C1053" t="str">
            <v>Capataz</v>
          </cell>
          <cell r="D1053"/>
          <cell r="E1053"/>
          <cell r="F1053" t="str">
            <v>hh</v>
          </cell>
          <cell r="G1053">
            <v>0.35</v>
          </cell>
          <cell r="H1053">
            <v>2.6999999999999997E-3</v>
          </cell>
          <cell r="I1053">
            <v>9.68</v>
          </cell>
          <cell r="J1053">
            <v>0.03</v>
          </cell>
          <cell r="K1053"/>
          <cell r="L1053"/>
        </row>
        <row r="1054">
          <cell r="A1054"/>
          <cell r="B1054" t="str">
            <v>TF00014</v>
          </cell>
          <cell r="C1054" t="str">
            <v>Vigía</v>
          </cell>
          <cell r="D1054"/>
          <cell r="E1054"/>
          <cell r="F1054" t="str">
            <v>hh</v>
          </cell>
          <cell r="G1054">
            <v>0.33333333333333331</v>
          </cell>
          <cell r="H1054">
            <v>2.5999999999999999E-3</v>
          </cell>
          <cell r="I1054">
            <v>6.46</v>
          </cell>
          <cell r="J1054">
            <v>0.02</v>
          </cell>
          <cell r="K1054"/>
          <cell r="L1054"/>
        </row>
        <row r="1055">
          <cell r="A1055"/>
          <cell r="B1055"/>
          <cell r="C1055"/>
          <cell r="D1055"/>
          <cell r="E1055"/>
          <cell r="F1055"/>
          <cell r="G1055"/>
          <cell r="H1055"/>
          <cell r="I1055"/>
          <cell r="J1055">
            <v>0.05</v>
          </cell>
          <cell r="K1055"/>
          <cell r="L1055"/>
        </row>
        <row r="1056">
          <cell r="A1056" t="str">
            <v>10057(D)</v>
          </cell>
          <cell r="B1056" t="str">
            <v>Herramientas y Equipos</v>
          </cell>
          <cell r="C1056"/>
          <cell r="D1056"/>
          <cell r="E1056"/>
          <cell r="F1056"/>
          <cell r="G1056"/>
          <cell r="H1056"/>
          <cell r="I1056"/>
          <cell r="J1056"/>
          <cell r="K1056">
            <v>1.67</v>
          </cell>
          <cell r="L1056" t="str">
            <v>(D)</v>
          </cell>
        </row>
        <row r="1057">
          <cell r="A1057"/>
          <cell r="B1057" t="str">
            <v>TF00024</v>
          </cell>
          <cell r="C1057" t="str">
            <v>Excavadora John Deere 290</v>
          </cell>
          <cell r="D1057"/>
          <cell r="E1057"/>
          <cell r="F1057" t="str">
            <v>hm</v>
          </cell>
          <cell r="G1057">
            <v>1</v>
          </cell>
          <cell r="H1057">
            <v>7.7000000000000002E-3</v>
          </cell>
          <cell r="I1057">
            <v>63</v>
          </cell>
          <cell r="J1057">
            <v>0.49</v>
          </cell>
          <cell r="K1057"/>
          <cell r="L1057"/>
        </row>
        <row r="1058">
          <cell r="A1058"/>
          <cell r="B1058" t="str">
            <v>TF00027</v>
          </cell>
          <cell r="C1058" t="str">
            <v>Volquete de 17 m3</v>
          </cell>
          <cell r="D1058"/>
          <cell r="E1058"/>
          <cell r="F1058" t="str">
            <v>hm</v>
          </cell>
          <cell r="G1058">
            <v>4.8819261674461796</v>
          </cell>
          <cell r="H1058">
            <v>3.7600000000000001E-2</v>
          </cell>
          <cell r="I1058">
            <v>31</v>
          </cell>
          <cell r="J1058">
            <v>1.17</v>
          </cell>
          <cell r="K1058"/>
          <cell r="L1058"/>
        </row>
        <row r="1059">
          <cell r="A1059"/>
          <cell r="B1059" t="str">
            <v>TF00041</v>
          </cell>
          <cell r="C1059" t="str">
            <v>Luminaria 4K</v>
          </cell>
          <cell r="D1059"/>
          <cell r="E1059"/>
          <cell r="F1059" t="str">
            <v>hm</v>
          </cell>
          <cell r="G1059">
            <v>0.5</v>
          </cell>
          <cell r="H1059">
            <v>3.8999999999999998E-3</v>
          </cell>
          <cell r="I1059">
            <v>2.2799999999999998</v>
          </cell>
          <cell r="J1059">
            <v>0.01</v>
          </cell>
          <cell r="K1059"/>
          <cell r="L1059"/>
        </row>
        <row r="1060">
          <cell r="A1060"/>
          <cell r="B1060" t="str">
            <v>TF00060</v>
          </cell>
          <cell r="C1060" t="str">
            <v>Herramientas (% Mano Obra)</v>
          </cell>
          <cell r="D1060"/>
          <cell r="E1060"/>
          <cell r="F1060" t="str">
            <v>%</v>
          </cell>
          <cell r="G1060"/>
          <cell r="H1060">
            <v>0.05</v>
          </cell>
          <cell r="I1060">
            <v>0.05</v>
          </cell>
          <cell r="J1060">
            <v>0</v>
          </cell>
          <cell r="K1060"/>
          <cell r="L1060"/>
        </row>
        <row r="1061">
          <cell r="A1061"/>
          <cell r="B1061"/>
          <cell r="C1061"/>
          <cell r="D1061"/>
          <cell r="E1061"/>
          <cell r="F1061"/>
          <cell r="G1061"/>
          <cell r="H1061"/>
          <cell r="I1061"/>
          <cell r="J1061">
            <v>1.67</v>
          </cell>
          <cell r="K1061"/>
          <cell r="L1061"/>
        </row>
        <row r="1062">
          <cell r="A1062"/>
          <cell r="B1062"/>
          <cell r="C1062"/>
          <cell r="D1062"/>
          <cell r="E1062"/>
          <cell r="F1062"/>
          <cell r="G1062"/>
          <cell r="H1062"/>
          <cell r="I1062"/>
          <cell r="J1062"/>
          <cell r="K1062"/>
          <cell r="L1062"/>
        </row>
        <row r="1063">
          <cell r="A1063">
            <v>10058</v>
          </cell>
          <cell r="B1063" t="str">
            <v>Partida</v>
          </cell>
          <cell r="C1063">
            <v>4.08</v>
          </cell>
          <cell r="D1063" t="str">
            <v>Transporte material enrocado d&gt;1km</v>
          </cell>
          <cell r="E1063"/>
          <cell r="F1063"/>
          <cell r="G1063"/>
          <cell r="H1063"/>
          <cell r="I1063"/>
          <cell r="J1063"/>
          <cell r="K1063">
            <v>0.42</v>
          </cell>
          <cell r="L1063"/>
        </row>
        <row r="1064">
          <cell r="A1064"/>
          <cell r="B1064" t="str">
            <v>Rendimiento:</v>
          </cell>
          <cell r="C1064">
            <v>88</v>
          </cell>
          <cell r="D1064" t="str">
            <v>m3-km</v>
          </cell>
          <cell r="E1064" t="str">
            <v>/hr</v>
          </cell>
          <cell r="F1064"/>
          <cell r="G1064"/>
          <cell r="H1064" t="str">
            <v>C.U. Total:</v>
          </cell>
          <cell r="I1064">
            <v>0.42</v>
          </cell>
          <cell r="J1064" t="str">
            <v>m3-km</v>
          </cell>
          <cell r="K1064"/>
          <cell r="L1064"/>
        </row>
        <row r="1065">
          <cell r="A1065"/>
          <cell r="B1065" t="str">
            <v>Codigo</v>
          </cell>
          <cell r="C1065" t="str">
            <v>Recurso</v>
          </cell>
          <cell r="D1065"/>
          <cell r="E1065"/>
          <cell r="F1065" t="str">
            <v>UND</v>
          </cell>
          <cell r="G1065" t="str">
            <v>Cuadrilla</v>
          </cell>
          <cell r="H1065" t="str">
            <v>Cantidad</v>
          </cell>
          <cell r="I1065" t="str">
            <v>C.U.</v>
          </cell>
          <cell r="J1065" t="str">
            <v>C.Parcial</v>
          </cell>
          <cell r="K1065" t="str">
            <v>SUBTOTAL</v>
          </cell>
          <cell r="L1065"/>
        </row>
        <row r="1066">
          <cell r="A1066" t="str">
            <v>10058(C)</v>
          </cell>
          <cell r="B1066" t="str">
            <v>Mano de Obra</v>
          </cell>
          <cell r="C1066"/>
          <cell r="D1066"/>
          <cell r="E1066"/>
          <cell r="F1066"/>
          <cell r="G1066"/>
          <cell r="H1066"/>
          <cell r="I1066"/>
          <cell r="J1066"/>
          <cell r="K1066">
            <v>7.0000000000000007E-2</v>
          </cell>
          <cell r="L1066" t="str">
            <v>(C)</v>
          </cell>
        </row>
        <row r="1067">
          <cell r="A1067"/>
          <cell r="B1067" t="str">
            <v>TF00002</v>
          </cell>
          <cell r="C1067" t="str">
            <v>Capataz</v>
          </cell>
          <cell r="D1067"/>
          <cell r="E1067"/>
          <cell r="F1067" t="str">
            <v>hh</v>
          </cell>
          <cell r="G1067">
            <v>0.35</v>
          </cell>
          <cell r="H1067">
            <v>4.0000000000000001E-3</v>
          </cell>
          <cell r="I1067">
            <v>9.68</v>
          </cell>
          <cell r="J1067">
            <v>0.04</v>
          </cell>
          <cell r="K1067"/>
          <cell r="L1067"/>
        </row>
        <row r="1068">
          <cell r="A1068"/>
          <cell r="B1068" t="str">
            <v>TF00014</v>
          </cell>
          <cell r="C1068" t="str">
            <v>Vigía</v>
          </cell>
          <cell r="D1068"/>
          <cell r="E1068"/>
          <cell r="F1068" t="str">
            <v>hh</v>
          </cell>
          <cell r="G1068">
            <v>0.4</v>
          </cell>
          <cell r="H1068">
            <v>4.5999999999999999E-3</v>
          </cell>
          <cell r="I1068">
            <v>6.46</v>
          </cell>
          <cell r="J1068">
            <v>0.03</v>
          </cell>
          <cell r="K1068"/>
          <cell r="L1068"/>
        </row>
        <row r="1069">
          <cell r="A1069"/>
          <cell r="B1069"/>
          <cell r="C1069"/>
          <cell r="D1069"/>
          <cell r="E1069"/>
          <cell r="F1069"/>
          <cell r="G1069"/>
          <cell r="H1069"/>
          <cell r="I1069"/>
          <cell r="J1069">
            <v>7.0000000000000007E-2</v>
          </cell>
          <cell r="K1069"/>
          <cell r="L1069"/>
        </row>
        <row r="1070">
          <cell r="A1070" t="str">
            <v>10058(D)</v>
          </cell>
          <cell r="B1070" t="str">
            <v>Herramientas y Equipos</v>
          </cell>
          <cell r="C1070"/>
          <cell r="D1070"/>
          <cell r="E1070"/>
          <cell r="F1070"/>
          <cell r="G1070"/>
          <cell r="H1070"/>
          <cell r="I1070"/>
          <cell r="J1070"/>
          <cell r="K1070">
            <v>0.35</v>
          </cell>
          <cell r="L1070" t="str">
            <v>(D)</v>
          </cell>
        </row>
        <row r="1071">
          <cell r="A1071"/>
          <cell r="B1071" t="str">
            <v>TF00027</v>
          </cell>
          <cell r="C1071" t="str">
            <v>Volquete de 17 m3</v>
          </cell>
          <cell r="D1071"/>
          <cell r="E1071"/>
          <cell r="F1071" t="str">
            <v>hm</v>
          </cell>
          <cell r="G1071">
            <v>1</v>
          </cell>
          <cell r="H1071">
            <v>1.1399999999999999E-2</v>
          </cell>
          <cell r="I1071">
            <v>31</v>
          </cell>
          <cell r="J1071">
            <v>0.35</v>
          </cell>
          <cell r="K1071"/>
          <cell r="L1071"/>
        </row>
        <row r="1072">
          <cell r="A1072"/>
          <cell r="B1072" t="str">
            <v>TF00060</v>
          </cell>
          <cell r="C1072" t="str">
            <v>Herramientas (% Mano Obra)</v>
          </cell>
          <cell r="D1072"/>
          <cell r="E1072"/>
          <cell r="F1072" t="str">
            <v>%</v>
          </cell>
          <cell r="G1072"/>
          <cell r="H1072">
            <v>0.05</v>
          </cell>
          <cell r="I1072">
            <v>7.0000000000000007E-2</v>
          </cell>
          <cell r="J1072">
            <v>0</v>
          </cell>
          <cell r="K1072"/>
          <cell r="L1072"/>
        </row>
        <row r="1073">
          <cell r="A1073"/>
          <cell r="B1073"/>
          <cell r="C1073"/>
          <cell r="D1073"/>
          <cell r="E1073"/>
          <cell r="F1073"/>
          <cell r="G1073"/>
          <cell r="H1073"/>
          <cell r="I1073"/>
          <cell r="J1073">
            <v>0.35</v>
          </cell>
          <cell r="K1073"/>
          <cell r="L1073"/>
        </row>
        <row r="1074">
          <cell r="A1074"/>
          <cell r="B1074"/>
          <cell r="C1074"/>
          <cell r="D1074"/>
          <cell r="E1074"/>
          <cell r="F1074"/>
          <cell r="G1074"/>
          <cell r="H1074"/>
          <cell r="I1074"/>
          <cell r="J1074"/>
          <cell r="K1074"/>
          <cell r="L1074"/>
        </row>
        <row r="1075">
          <cell r="A1075">
            <v>10059</v>
          </cell>
          <cell r="B1075" t="str">
            <v>Partida</v>
          </cell>
          <cell r="C1075">
            <v>4.09</v>
          </cell>
          <cell r="D1075" t="str">
            <v>Colocación de  enrocado de protección en media luna</v>
          </cell>
          <cell r="E1075"/>
          <cell r="F1075"/>
          <cell r="G1075"/>
          <cell r="H1075"/>
          <cell r="I1075"/>
          <cell r="J1075"/>
          <cell r="K1075">
            <v>4.6599999999999993</v>
          </cell>
          <cell r="L1075"/>
        </row>
        <row r="1076">
          <cell r="B1076" t="str">
            <v>Rendimiento:</v>
          </cell>
          <cell r="C1076">
            <v>36</v>
          </cell>
          <cell r="D1076" t="str">
            <v>m3</v>
          </cell>
          <cell r="E1076" t="str">
            <v>/hr</v>
          </cell>
          <cell r="F1076"/>
          <cell r="G1076"/>
          <cell r="H1076" t="str">
            <v>C.U. Total:</v>
          </cell>
          <cell r="I1076">
            <v>4.6599999999999993</v>
          </cell>
          <cell r="J1076" t="str">
            <v>m3</v>
          </cell>
        </row>
        <row r="1077">
          <cell r="A1077"/>
          <cell r="B1077" t="str">
            <v>Codigo</v>
          </cell>
          <cell r="C1077" t="str">
            <v>Recurso</v>
          </cell>
          <cell r="D1077"/>
          <cell r="E1077"/>
          <cell r="F1077" t="str">
            <v>UND</v>
          </cell>
          <cell r="G1077" t="str">
            <v>Cuadrilla</v>
          </cell>
          <cell r="H1077" t="str">
            <v>Cantidad</v>
          </cell>
          <cell r="I1077" t="str">
            <v>C.U.</v>
          </cell>
          <cell r="J1077" t="str">
            <v>C.Parcial</v>
          </cell>
          <cell r="K1077" t="str">
            <v>SUBTOTAL</v>
          </cell>
          <cell r="L1077"/>
        </row>
        <row r="1078">
          <cell r="A1078" t="str">
            <v>10059(C)</v>
          </cell>
          <cell r="B1078" t="str">
            <v>Mano de Obra</v>
          </cell>
          <cell r="C1078"/>
          <cell r="D1078"/>
          <cell r="E1078"/>
          <cell r="F1078"/>
          <cell r="G1078"/>
          <cell r="H1078"/>
          <cell r="I1078"/>
          <cell r="J1078"/>
          <cell r="K1078">
            <v>0.63</v>
          </cell>
          <cell r="L1078" t="str">
            <v>(C)</v>
          </cell>
        </row>
        <row r="1079">
          <cell r="A1079"/>
          <cell r="B1079" t="str">
            <v>TF00002</v>
          </cell>
          <cell r="C1079" t="str">
            <v>Capataz</v>
          </cell>
          <cell r="D1079"/>
          <cell r="E1079"/>
          <cell r="F1079" t="str">
            <v>hh</v>
          </cell>
          <cell r="G1079">
            <v>0.35</v>
          </cell>
          <cell r="H1079">
            <v>9.7999999999999997E-3</v>
          </cell>
          <cell r="I1079">
            <v>9.68</v>
          </cell>
          <cell r="J1079">
            <v>0.09</v>
          </cell>
          <cell r="K1079"/>
          <cell r="L1079"/>
        </row>
        <row r="1080">
          <cell r="A1080"/>
          <cell r="B1080" t="str">
            <v>TF00014</v>
          </cell>
          <cell r="C1080" t="str">
            <v>Vigía</v>
          </cell>
          <cell r="D1080"/>
          <cell r="E1080"/>
          <cell r="F1080" t="str">
            <v>hh</v>
          </cell>
          <cell r="G1080">
            <v>3</v>
          </cell>
          <cell r="H1080">
            <v>8.3400000000000002E-2</v>
          </cell>
          <cell r="I1080">
            <v>6.46</v>
          </cell>
          <cell r="J1080">
            <v>0.54</v>
          </cell>
          <cell r="K1080"/>
          <cell r="L1080"/>
        </row>
        <row r="1081">
          <cell r="A1081"/>
          <cell r="B1081"/>
          <cell r="C1081"/>
          <cell r="D1081"/>
          <cell r="E1081"/>
          <cell r="F1081"/>
          <cell r="G1081"/>
          <cell r="H1081"/>
          <cell r="I1081"/>
          <cell r="J1081">
            <v>0.63</v>
          </cell>
          <cell r="K1081"/>
          <cell r="L1081"/>
        </row>
        <row r="1082">
          <cell r="A1082" t="str">
            <v>10059(D)</v>
          </cell>
          <cell r="B1082" t="str">
            <v>Herramientas y Equipos</v>
          </cell>
          <cell r="C1082"/>
          <cell r="D1082"/>
          <cell r="E1082"/>
          <cell r="F1082"/>
          <cell r="G1082"/>
          <cell r="H1082"/>
          <cell r="I1082"/>
          <cell r="J1082"/>
          <cell r="K1082">
            <v>4.0299999999999994</v>
          </cell>
          <cell r="L1082" t="str">
            <v>(D)</v>
          </cell>
        </row>
        <row r="1083">
          <cell r="A1083"/>
          <cell r="B1083" t="str">
            <v>TF00021</v>
          </cell>
          <cell r="C1083" t="str">
            <v>Tractor sobre Orugas CAT D8T</v>
          </cell>
          <cell r="D1083"/>
          <cell r="E1083"/>
          <cell r="F1083" t="str">
            <v>hm</v>
          </cell>
          <cell r="G1083">
            <v>0.5</v>
          </cell>
          <cell r="H1083">
            <v>1.3899999999999999E-2</v>
          </cell>
          <cell r="I1083">
            <v>83</v>
          </cell>
          <cell r="J1083">
            <v>1.1499999999999999</v>
          </cell>
          <cell r="K1083"/>
          <cell r="L1083"/>
        </row>
        <row r="1084">
          <cell r="A1084"/>
          <cell r="B1084" t="str">
            <v>TF00033</v>
          </cell>
          <cell r="C1084" t="str">
            <v>Rodillo Liso Vibratorio Autopropulsado HAMM 20 Tn.</v>
          </cell>
          <cell r="D1084"/>
          <cell r="E1084"/>
          <cell r="F1084" t="str">
            <v>hm</v>
          </cell>
          <cell r="G1084">
            <v>0.75</v>
          </cell>
          <cell r="H1084">
            <v>2.0899999999999998E-2</v>
          </cell>
          <cell r="I1084">
            <v>51</v>
          </cell>
          <cell r="J1084">
            <v>1.07</v>
          </cell>
          <cell r="K1084"/>
          <cell r="L1084"/>
        </row>
        <row r="1085">
          <cell r="A1085"/>
          <cell r="B1085" t="str">
            <v>TF00024</v>
          </cell>
          <cell r="C1085" t="str">
            <v>Excavadora John Deere 290</v>
          </cell>
          <cell r="D1085"/>
          <cell r="E1085"/>
          <cell r="F1085" t="str">
            <v>hm</v>
          </cell>
          <cell r="G1085">
            <v>1</v>
          </cell>
          <cell r="H1085">
            <v>2.7799999999999998E-2</v>
          </cell>
          <cell r="I1085">
            <v>63</v>
          </cell>
          <cell r="J1085">
            <v>1.75</v>
          </cell>
          <cell r="K1085"/>
          <cell r="L1085"/>
        </row>
        <row r="1086">
          <cell r="A1086"/>
          <cell r="B1086" t="str">
            <v>TF00041</v>
          </cell>
          <cell r="C1086" t="str">
            <v>Luminaria 4K</v>
          </cell>
          <cell r="D1086"/>
          <cell r="E1086"/>
          <cell r="F1086" t="str">
            <v>hm</v>
          </cell>
          <cell r="G1086">
            <v>0.5</v>
          </cell>
          <cell r="H1086">
            <v>1.3899999999999999E-2</v>
          </cell>
          <cell r="I1086">
            <v>2.2799999999999998</v>
          </cell>
          <cell r="J1086">
            <v>0.03</v>
          </cell>
          <cell r="K1086"/>
          <cell r="L1086"/>
        </row>
        <row r="1087">
          <cell r="A1087"/>
          <cell r="B1087" t="str">
            <v>TF00060</v>
          </cell>
          <cell r="C1087" t="str">
            <v>Herramientas (% Mano Obra)</v>
          </cell>
          <cell r="D1087"/>
          <cell r="E1087"/>
          <cell r="F1087" t="str">
            <v>%</v>
          </cell>
          <cell r="G1087"/>
          <cell r="H1087">
            <v>0.05</v>
          </cell>
          <cell r="I1087">
            <v>0.63</v>
          </cell>
          <cell r="J1087">
            <v>0.03</v>
          </cell>
          <cell r="K1087"/>
          <cell r="L1087"/>
        </row>
        <row r="1088">
          <cell r="A1088"/>
          <cell r="B1088"/>
          <cell r="C1088"/>
          <cell r="D1088"/>
          <cell r="E1088"/>
          <cell r="F1088"/>
          <cell r="G1088"/>
          <cell r="H1088"/>
          <cell r="I1088"/>
          <cell r="J1088">
            <v>4.0299999999999994</v>
          </cell>
          <cell r="K1088"/>
          <cell r="L1088"/>
        </row>
        <row r="1089">
          <cell r="A1089"/>
          <cell r="B1089"/>
          <cell r="C1089"/>
          <cell r="F1089"/>
          <cell r="G1089"/>
          <cell r="H1089"/>
          <cell r="I1089"/>
          <cell r="J1089"/>
        </row>
        <row r="1090">
          <cell r="A1090">
            <v>10060</v>
          </cell>
          <cell r="B1090" t="str">
            <v>Partida</v>
          </cell>
          <cell r="C1090">
            <v>4.0999999999999996</v>
          </cell>
          <cell r="D1090" t="str">
            <v>Ejecución de check dam con material enrocado y revestidos de geotextil</v>
          </cell>
          <cell r="E1090"/>
          <cell r="F1090"/>
          <cell r="G1090"/>
          <cell r="H1090"/>
          <cell r="I1090"/>
          <cell r="J1090"/>
          <cell r="K1090">
            <v>679.46999999999991</v>
          </cell>
          <cell r="L1090"/>
        </row>
        <row r="1091">
          <cell r="B1091" t="str">
            <v>Rendimiento:</v>
          </cell>
          <cell r="C1091">
            <v>1</v>
          </cell>
          <cell r="D1091" t="str">
            <v>und</v>
          </cell>
          <cell r="E1091" t="str">
            <v>/día</v>
          </cell>
          <cell r="F1091"/>
          <cell r="G1091"/>
          <cell r="H1091" t="str">
            <v>C.U. Total:</v>
          </cell>
          <cell r="I1091">
            <v>679.46999999999991</v>
          </cell>
          <cell r="J1091" t="str">
            <v>und</v>
          </cell>
        </row>
        <row r="1092">
          <cell r="A1092"/>
          <cell r="B1092" t="str">
            <v>Codigo</v>
          </cell>
          <cell r="C1092" t="str">
            <v>Recurso</v>
          </cell>
          <cell r="D1092"/>
          <cell r="E1092"/>
          <cell r="F1092" t="str">
            <v>UND</v>
          </cell>
          <cell r="G1092" t="str">
            <v>Cuadrilla</v>
          </cell>
          <cell r="H1092" t="str">
            <v>Cantidad</v>
          </cell>
          <cell r="I1092" t="str">
            <v>C.U.</v>
          </cell>
          <cell r="J1092" t="str">
            <v>C.Parcial</v>
          </cell>
          <cell r="K1092" t="str">
            <v>SUBTOTAL</v>
          </cell>
          <cell r="L1092"/>
        </row>
        <row r="1093">
          <cell r="A1093" t="str">
            <v>10060(C)</v>
          </cell>
          <cell r="B1093" t="str">
            <v>Mano de Obra</v>
          </cell>
          <cell r="C1093"/>
          <cell r="D1093"/>
          <cell r="E1093"/>
          <cell r="F1093"/>
          <cell r="G1093"/>
          <cell r="H1093"/>
          <cell r="I1093"/>
          <cell r="J1093"/>
          <cell r="K1093">
            <v>606.29999999999995</v>
          </cell>
          <cell r="L1093" t="str">
            <v>(C)</v>
          </cell>
        </row>
        <row r="1094">
          <cell r="A1094"/>
          <cell r="B1094" t="str">
            <v>TF00002</v>
          </cell>
          <cell r="C1094" t="str">
            <v>Capataz</v>
          </cell>
          <cell r="D1094"/>
          <cell r="E1094"/>
          <cell r="F1094" t="str">
            <v>hh</v>
          </cell>
          <cell r="G1094">
            <v>0.35</v>
          </cell>
          <cell r="H1094">
            <v>3.85</v>
          </cell>
          <cell r="I1094">
            <v>9.68</v>
          </cell>
          <cell r="J1094">
            <v>37.270000000000003</v>
          </cell>
          <cell r="K1094"/>
          <cell r="L1094"/>
        </row>
        <row r="1095">
          <cell r="A1095"/>
          <cell r="B1095" t="str">
            <v>TF00004</v>
          </cell>
          <cell r="C1095" t="str">
            <v>Operario</v>
          </cell>
          <cell r="D1095"/>
          <cell r="E1095"/>
          <cell r="F1095" t="str">
            <v>hh</v>
          </cell>
          <cell r="G1095">
            <v>2</v>
          </cell>
          <cell r="H1095">
            <v>22</v>
          </cell>
          <cell r="I1095">
            <v>9.2799999999999994</v>
          </cell>
          <cell r="J1095">
            <v>204.16</v>
          </cell>
          <cell r="K1095"/>
          <cell r="L1095"/>
        </row>
        <row r="1096">
          <cell r="A1096"/>
          <cell r="B1096" t="str">
            <v>TF00011</v>
          </cell>
          <cell r="C1096" t="str">
            <v>Oficial</v>
          </cell>
          <cell r="D1096"/>
          <cell r="E1096"/>
          <cell r="F1096" t="str">
            <v>hh</v>
          </cell>
          <cell r="G1096">
            <v>1</v>
          </cell>
          <cell r="H1096">
            <v>11</v>
          </cell>
          <cell r="I1096">
            <v>7.33</v>
          </cell>
          <cell r="J1096">
            <v>80.63</v>
          </cell>
          <cell r="K1096"/>
          <cell r="L1096"/>
        </row>
        <row r="1097">
          <cell r="A1097"/>
          <cell r="B1097" t="str">
            <v>TF00012</v>
          </cell>
          <cell r="C1097" t="str">
            <v>Peón</v>
          </cell>
          <cell r="D1097"/>
          <cell r="E1097"/>
          <cell r="F1097" t="str">
            <v>hh</v>
          </cell>
          <cell r="G1097">
            <v>3</v>
          </cell>
          <cell r="H1097">
            <v>33</v>
          </cell>
          <cell r="I1097">
            <v>6.46</v>
          </cell>
          <cell r="J1097">
            <v>213.18</v>
          </cell>
          <cell r="K1097"/>
          <cell r="L1097"/>
        </row>
        <row r="1098">
          <cell r="A1098"/>
          <cell r="B1098" t="str">
            <v>TF00014</v>
          </cell>
          <cell r="C1098" t="str">
            <v>Vigía</v>
          </cell>
          <cell r="D1098"/>
          <cell r="E1098"/>
          <cell r="F1098" t="str">
            <v>hh</v>
          </cell>
          <cell r="G1098">
            <v>1</v>
          </cell>
          <cell r="H1098">
            <v>11</v>
          </cell>
          <cell r="I1098">
            <v>6.46</v>
          </cell>
          <cell r="J1098">
            <v>71.06</v>
          </cell>
          <cell r="K1098"/>
          <cell r="L1098"/>
        </row>
        <row r="1099">
          <cell r="A1099"/>
          <cell r="B1099"/>
          <cell r="C1099"/>
          <cell r="D1099"/>
          <cell r="E1099"/>
          <cell r="F1099"/>
          <cell r="G1099"/>
          <cell r="H1099"/>
          <cell r="I1099"/>
          <cell r="J1099">
            <v>606.29999999999995</v>
          </cell>
          <cell r="K1099"/>
          <cell r="L1099"/>
        </row>
        <row r="1100">
          <cell r="A1100" t="str">
            <v>10060(D)</v>
          </cell>
          <cell r="B1100" t="str">
            <v>Herramientas y Equipos</v>
          </cell>
          <cell r="C1100"/>
          <cell r="D1100"/>
          <cell r="E1100"/>
          <cell r="F1100"/>
          <cell r="G1100"/>
          <cell r="H1100"/>
          <cell r="I1100"/>
          <cell r="J1100"/>
          <cell r="K1100">
            <v>73.17</v>
          </cell>
          <cell r="L1100" t="str">
            <v>(D)</v>
          </cell>
        </row>
        <row r="1101">
          <cell r="A1101"/>
          <cell r="B1101" t="str">
            <v>TF00026</v>
          </cell>
          <cell r="C1101" t="str">
            <v>Retroexcavadora Cat 420e</v>
          </cell>
          <cell r="D1101"/>
          <cell r="E1101"/>
          <cell r="F1101" t="str">
            <v>hm</v>
          </cell>
          <cell r="G1101">
            <v>0</v>
          </cell>
          <cell r="H1101">
            <v>0</v>
          </cell>
          <cell r="I1101">
            <v>41</v>
          </cell>
          <cell r="J1101">
            <v>0</v>
          </cell>
          <cell r="K1101"/>
          <cell r="L1101"/>
        </row>
        <row r="1102">
          <cell r="A1102"/>
          <cell r="B1102" t="str">
            <v>TF00041</v>
          </cell>
          <cell r="C1102" t="str">
            <v>Luminaria 4K</v>
          </cell>
          <cell r="D1102"/>
          <cell r="E1102"/>
          <cell r="F1102" t="str">
            <v>hm</v>
          </cell>
          <cell r="G1102">
            <v>0.5</v>
          </cell>
          <cell r="H1102">
            <v>5.5</v>
          </cell>
          <cell r="I1102">
            <v>2.2799999999999998</v>
          </cell>
          <cell r="J1102">
            <v>12.54</v>
          </cell>
          <cell r="K1102"/>
          <cell r="L1102"/>
        </row>
        <row r="1103">
          <cell r="A1103"/>
          <cell r="B1103" t="str">
            <v>TF00060</v>
          </cell>
          <cell r="C1103" t="str">
            <v>Herramientas (% Mano Obra)</v>
          </cell>
          <cell r="D1103"/>
          <cell r="E1103"/>
          <cell r="F1103" t="str">
            <v>%</v>
          </cell>
          <cell r="G1103"/>
          <cell r="H1103">
            <v>0.1</v>
          </cell>
          <cell r="I1103">
            <v>606.29999999999995</v>
          </cell>
          <cell r="J1103">
            <v>60.63</v>
          </cell>
          <cell r="K1103"/>
          <cell r="L1103"/>
        </row>
        <row r="1104">
          <cell r="A1104"/>
          <cell r="B1104"/>
          <cell r="C1104"/>
          <cell r="D1104"/>
          <cell r="E1104"/>
          <cell r="F1104"/>
          <cell r="G1104"/>
          <cell r="H1104"/>
          <cell r="I1104"/>
          <cell r="J1104">
            <v>73.17</v>
          </cell>
          <cell r="K1104"/>
          <cell r="L1104"/>
        </row>
        <row r="1105">
          <cell r="A1105"/>
          <cell r="B1105"/>
          <cell r="C1105"/>
          <cell r="F1105"/>
          <cell r="G1105"/>
          <cell r="H1105"/>
          <cell r="I1105"/>
          <cell r="J1105"/>
        </row>
        <row r="1106">
          <cell r="A1106">
            <v>10061</v>
          </cell>
          <cell r="B1106" t="str">
            <v>Partida</v>
          </cell>
          <cell r="C1106">
            <v>4.1100000000000003</v>
          </cell>
          <cell r="D1106" t="str">
            <v>Instalacion de biomanta en talud (Material suministrado por Antamina)</v>
          </cell>
          <cell r="E1106"/>
          <cell r="F1106"/>
          <cell r="G1106"/>
          <cell r="H1106"/>
          <cell r="I1106"/>
          <cell r="J1106"/>
          <cell r="K1106">
            <v>4.22</v>
          </cell>
          <cell r="L1106"/>
        </row>
        <row r="1107">
          <cell r="B1107" t="str">
            <v>Rendimiento:</v>
          </cell>
          <cell r="C1107">
            <v>26.666666666666668</v>
          </cell>
          <cell r="D1107" t="str">
            <v>m2</v>
          </cell>
          <cell r="E1107" t="str">
            <v>/hr</v>
          </cell>
          <cell r="F1107"/>
          <cell r="G1107"/>
          <cell r="H1107" t="str">
            <v>C.U. Total:</v>
          </cell>
          <cell r="I1107">
            <v>4.22</v>
          </cell>
          <cell r="J1107" t="str">
            <v>m2</v>
          </cell>
        </row>
        <row r="1108">
          <cell r="A1108"/>
          <cell r="B1108" t="str">
            <v>Codigo</v>
          </cell>
          <cell r="C1108" t="str">
            <v>Recurso</v>
          </cell>
          <cell r="D1108"/>
          <cell r="E1108"/>
          <cell r="F1108" t="str">
            <v>UND</v>
          </cell>
          <cell r="G1108" t="str">
            <v>Cuadrilla</v>
          </cell>
          <cell r="H1108" t="str">
            <v>Cantidad</v>
          </cell>
          <cell r="I1108" t="str">
            <v>C.U.</v>
          </cell>
          <cell r="J1108" t="str">
            <v>C.Parcial</v>
          </cell>
          <cell r="K1108" t="str">
            <v>SUBTOTAL</v>
          </cell>
          <cell r="L1108"/>
        </row>
        <row r="1109">
          <cell r="A1109" t="str">
            <v>10061(B)</v>
          </cell>
          <cell r="B1109" t="str">
            <v>Materiales</v>
          </cell>
          <cell r="C1109"/>
          <cell r="D1109"/>
          <cell r="E1109"/>
          <cell r="F1109"/>
          <cell r="G1109"/>
          <cell r="H1109"/>
          <cell r="I1109"/>
          <cell r="J1109"/>
          <cell r="K1109">
            <v>0.54</v>
          </cell>
          <cell r="L1109" t="str">
            <v>(B)</v>
          </cell>
        </row>
        <row r="1110">
          <cell r="A1110"/>
          <cell r="B1110" t="str">
            <v>TF00086</v>
          </cell>
          <cell r="C1110" t="str">
            <v>Geomanta</v>
          </cell>
          <cell r="D1110"/>
          <cell r="E1110"/>
          <cell r="F1110" t="str">
            <v>m2</v>
          </cell>
          <cell r="G1110"/>
          <cell r="H1110">
            <v>1</v>
          </cell>
          <cell r="I1110">
            <v>0</v>
          </cell>
          <cell r="J1110">
            <v>0</v>
          </cell>
          <cell r="K1110"/>
          <cell r="L1110"/>
        </row>
        <row r="1111">
          <cell r="A1111"/>
          <cell r="B1111" t="str">
            <v>TF00073</v>
          </cell>
          <cell r="C1111" t="str">
            <v>Materiales varios (estacas, soga)</v>
          </cell>
          <cell r="D1111"/>
          <cell r="E1111"/>
          <cell r="F1111" t="str">
            <v>glb</v>
          </cell>
          <cell r="G1111"/>
          <cell r="H1111">
            <v>1</v>
          </cell>
          <cell r="I1111">
            <v>0.54451962110960761</v>
          </cell>
          <cell r="J1111">
            <v>0.54</v>
          </cell>
          <cell r="K1111"/>
          <cell r="L1111"/>
        </row>
        <row r="1112">
          <cell r="A1112"/>
          <cell r="B1112"/>
          <cell r="C1112"/>
          <cell r="D1112"/>
          <cell r="E1112"/>
          <cell r="F1112"/>
          <cell r="G1112"/>
          <cell r="H1112"/>
          <cell r="I1112"/>
          <cell r="J1112">
            <v>0.54</v>
          </cell>
          <cell r="K1112"/>
          <cell r="L1112"/>
        </row>
        <row r="1113">
          <cell r="A1113" t="str">
            <v>10061(C)</v>
          </cell>
          <cell r="B1113" t="str">
            <v>Mano de Obra</v>
          </cell>
          <cell r="C1113"/>
          <cell r="D1113"/>
          <cell r="E1113"/>
          <cell r="F1113"/>
          <cell r="G1113"/>
          <cell r="H1113"/>
          <cell r="I1113"/>
          <cell r="J1113"/>
          <cell r="K1113">
            <v>2.9299999999999997</v>
          </cell>
          <cell r="L1113" t="str">
            <v>(C)</v>
          </cell>
        </row>
        <row r="1114">
          <cell r="A1114"/>
          <cell r="B1114" t="str">
            <v>TF00015</v>
          </cell>
          <cell r="C1114" t="str">
            <v>Rigger</v>
          </cell>
          <cell r="D1114"/>
          <cell r="E1114"/>
          <cell r="F1114" t="str">
            <v>hh</v>
          </cell>
          <cell r="G1114">
            <v>0.15</v>
          </cell>
          <cell r="H1114">
            <v>5.7000000000000002E-3</v>
          </cell>
          <cell r="I1114">
            <v>14</v>
          </cell>
          <cell r="J1114">
            <v>0.08</v>
          </cell>
          <cell r="K1114"/>
          <cell r="L1114"/>
        </row>
        <row r="1115">
          <cell r="A1115"/>
          <cell r="B1115" t="str">
            <v>TF00002</v>
          </cell>
          <cell r="C1115" t="str">
            <v>Capataz</v>
          </cell>
          <cell r="D1115"/>
          <cell r="E1115"/>
          <cell r="F1115" t="str">
            <v>hh</v>
          </cell>
          <cell r="G1115">
            <v>0.35</v>
          </cell>
          <cell r="H1115">
            <v>1.32E-2</v>
          </cell>
          <cell r="I1115">
            <v>9.68</v>
          </cell>
          <cell r="J1115">
            <v>0.13</v>
          </cell>
          <cell r="K1115"/>
          <cell r="L1115"/>
        </row>
        <row r="1116">
          <cell r="A1116"/>
          <cell r="B1116" t="str">
            <v>TF00004</v>
          </cell>
          <cell r="C1116" t="str">
            <v>Operario</v>
          </cell>
          <cell r="D1116"/>
          <cell r="E1116"/>
          <cell r="F1116" t="str">
            <v>hh</v>
          </cell>
          <cell r="G1116">
            <v>2</v>
          </cell>
          <cell r="H1116">
            <v>7.4999999999999997E-2</v>
          </cell>
          <cell r="I1116">
            <v>9.2799999999999994</v>
          </cell>
          <cell r="J1116">
            <v>0.7</v>
          </cell>
          <cell r="K1116"/>
          <cell r="L1116"/>
        </row>
        <row r="1117">
          <cell r="A1117"/>
          <cell r="B1117" t="str">
            <v>TF00011</v>
          </cell>
          <cell r="C1117" t="str">
            <v>Oficial</v>
          </cell>
          <cell r="D1117"/>
          <cell r="E1117"/>
          <cell r="F1117" t="str">
            <v>hh</v>
          </cell>
          <cell r="G1117">
            <v>1</v>
          </cell>
          <cell r="H1117">
            <v>0.24339999999999998</v>
          </cell>
          <cell r="I1117">
            <v>7.33</v>
          </cell>
          <cell r="J1117">
            <v>1.78</v>
          </cell>
          <cell r="K1117"/>
          <cell r="L1117"/>
        </row>
        <row r="1118">
          <cell r="A1118"/>
          <cell r="B1118" t="str">
            <v>TF00014</v>
          </cell>
          <cell r="C1118" t="str">
            <v>Vigía</v>
          </cell>
          <cell r="D1118"/>
          <cell r="E1118"/>
          <cell r="F1118" t="str">
            <v>hh</v>
          </cell>
          <cell r="G1118">
            <v>1</v>
          </cell>
          <cell r="H1118">
            <v>3.7499999999999999E-2</v>
          </cell>
          <cell r="I1118">
            <v>6.46</v>
          </cell>
          <cell r="J1118">
            <v>0.24</v>
          </cell>
          <cell r="K1118"/>
          <cell r="L1118"/>
        </row>
        <row r="1119">
          <cell r="A1119"/>
          <cell r="B1119"/>
          <cell r="C1119"/>
          <cell r="D1119"/>
          <cell r="E1119"/>
          <cell r="F1119"/>
          <cell r="G1119"/>
          <cell r="H1119"/>
          <cell r="I1119"/>
          <cell r="J1119">
            <v>2.9299999999999997</v>
          </cell>
          <cell r="K1119"/>
          <cell r="L1119"/>
        </row>
        <row r="1120">
          <cell r="A1120" t="str">
            <v>10061(D)</v>
          </cell>
          <cell r="B1120" t="str">
            <v>Herramientas y Equipos</v>
          </cell>
          <cell r="C1120"/>
          <cell r="D1120"/>
          <cell r="E1120"/>
          <cell r="F1120"/>
          <cell r="G1120"/>
          <cell r="H1120"/>
          <cell r="I1120"/>
          <cell r="J1120"/>
          <cell r="K1120">
            <v>0.75</v>
          </cell>
          <cell r="L1120" t="str">
            <v>(D)</v>
          </cell>
        </row>
        <row r="1121">
          <cell r="A1121"/>
          <cell r="B1121" t="str">
            <v>TF00030</v>
          </cell>
          <cell r="C1121" t="str">
            <v>Camión Grúa de 20 Ton.</v>
          </cell>
          <cell r="D1121"/>
          <cell r="E1121"/>
          <cell r="F1121" t="str">
            <v>hm</v>
          </cell>
          <cell r="G1121">
            <v>0.15</v>
          </cell>
          <cell r="H1121">
            <v>5.7000000000000002E-3</v>
          </cell>
          <cell r="I1121">
            <v>80</v>
          </cell>
          <cell r="J1121">
            <v>0.46</v>
          </cell>
          <cell r="K1121"/>
          <cell r="L1121"/>
        </row>
        <row r="1122">
          <cell r="A1122"/>
          <cell r="B1122" t="str">
            <v>TF00060</v>
          </cell>
          <cell r="C1122" t="str">
            <v>Herramientas (% Mano Obra)</v>
          </cell>
          <cell r="D1122"/>
          <cell r="E1122"/>
          <cell r="F1122" t="str">
            <v>%</v>
          </cell>
          <cell r="G1122"/>
          <cell r="H1122">
            <v>0.1</v>
          </cell>
          <cell r="I1122">
            <v>2.9299999999999997</v>
          </cell>
          <cell r="J1122">
            <v>0.28999999999999998</v>
          </cell>
          <cell r="K1122"/>
          <cell r="L1122"/>
        </row>
        <row r="1123">
          <cell r="A1123"/>
          <cell r="B1123"/>
          <cell r="C1123"/>
          <cell r="D1123"/>
          <cell r="E1123"/>
          <cell r="F1123"/>
          <cell r="G1123"/>
          <cell r="H1123"/>
          <cell r="I1123"/>
          <cell r="J1123">
            <v>0.75</v>
          </cell>
          <cell r="K1123"/>
          <cell r="L1123"/>
        </row>
        <row r="1124">
          <cell r="B1124"/>
        </row>
        <row r="1125">
          <cell r="A1125">
            <v>10062</v>
          </cell>
          <cell r="B1125" t="str">
            <v>Partida</v>
          </cell>
          <cell r="C1125">
            <v>4.12</v>
          </cell>
          <cell r="D1125" t="str">
            <v>Excavacion de Cuneta de coronación o derivación con medios mecánicos ( No incluye revestimiento)</v>
          </cell>
          <cell r="E1125"/>
          <cell r="F1125"/>
          <cell r="G1125"/>
          <cell r="H1125"/>
          <cell r="I1125"/>
          <cell r="J1125"/>
          <cell r="K1125">
            <v>11.09</v>
          </cell>
          <cell r="L1125"/>
        </row>
        <row r="1126">
          <cell r="B1126" t="str">
            <v>Rendimiento:</v>
          </cell>
          <cell r="C1126">
            <v>3.5</v>
          </cell>
          <cell r="D1126" t="str">
            <v>m3</v>
          </cell>
          <cell r="E1126" t="str">
            <v>/hr</v>
          </cell>
          <cell r="F1126"/>
          <cell r="G1126"/>
          <cell r="H1126" t="str">
            <v>C.U. Total:</v>
          </cell>
          <cell r="I1126">
            <v>11.09</v>
          </cell>
          <cell r="J1126" t="str">
            <v>m3</v>
          </cell>
        </row>
        <row r="1127">
          <cell r="A1127"/>
          <cell r="B1127" t="str">
            <v>Codigo</v>
          </cell>
          <cell r="C1127" t="str">
            <v>Recurso</v>
          </cell>
          <cell r="D1127"/>
          <cell r="E1127"/>
          <cell r="F1127" t="str">
            <v>UND</v>
          </cell>
          <cell r="G1127" t="str">
            <v>Cuadrilla</v>
          </cell>
          <cell r="H1127" t="str">
            <v>Cantidad</v>
          </cell>
          <cell r="I1127" t="str">
            <v>C.U.</v>
          </cell>
          <cell r="J1127" t="str">
            <v>C.Parcial</v>
          </cell>
          <cell r="K1127" t="str">
            <v>SUBTOTAL</v>
          </cell>
          <cell r="L1127"/>
        </row>
        <row r="1128">
          <cell r="A1128" t="str">
            <v>10062(C)</v>
          </cell>
          <cell r="B1128" t="str">
            <v>Mano de Obra</v>
          </cell>
          <cell r="C1128"/>
          <cell r="D1128"/>
          <cell r="E1128"/>
          <cell r="F1128"/>
          <cell r="G1128"/>
          <cell r="H1128"/>
          <cell r="I1128"/>
          <cell r="J1128"/>
          <cell r="K1128">
            <v>4.67</v>
          </cell>
          <cell r="L1128" t="str">
            <v>(C)</v>
          </cell>
        </row>
        <row r="1129">
          <cell r="A1129"/>
          <cell r="B1129" t="str">
            <v>TF00002</v>
          </cell>
          <cell r="C1129" t="str">
            <v>Capataz</v>
          </cell>
          <cell r="D1129"/>
          <cell r="E1129"/>
          <cell r="F1129" t="str">
            <v>hh</v>
          </cell>
          <cell r="G1129">
            <v>0.35</v>
          </cell>
          <cell r="H1129">
            <v>0.1</v>
          </cell>
          <cell r="I1129">
            <v>9.68</v>
          </cell>
          <cell r="J1129">
            <v>0.97</v>
          </cell>
          <cell r="K1129"/>
          <cell r="L1129"/>
        </row>
        <row r="1130">
          <cell r="A1130"/>
          <cell r="B1130" t="str">
            <v>TF00012</v>
          </cell>
          <cell r="C1130" t="str">
            <v>Peón</v>
          </cell>
          <cell r="D1130"/>
          <cell r="E1130"/>
          <cell r="F1130" t="str">
            <v>hh</v>
          </cell>
          <cell r="G1130">
            <v>1</v>
          </cell>
          <cell r="H1130">
            <v>0.2858</v>
          </cell>
          <cell r="I1130">
            <v>6.46</v>
          </cell>
          <cell r="J1130">
            <v>1.85</v>
          </cell>
          <cell r="K1130"/>
          <cell r="L1130"/>
        </row>
        <row r="1131">
          <cell r="A1131"/>
          <cell r="B1131" t="str">
            <v>TF00014</v>
          </cell>
          <cell r="C1131" t="str">
            <v>Vigía</v>
          </cell>
          <cell r="D1131"/>
          <cell r="E1131"/>
          <cell r="F1131" t="str">
            <v>hh</v>
          </cell>
          <cell r="G1131">
            <v>1</v>
          </cell>
          <cell r="H1131">
            <v>0.2858</v>
          </cell>
          <cell r="I1131">
            <v>6.46</v>
          </cell>
          <cell r="J1131">
            <v>1.85</v>
          </cell>
          <cell r="K1131"/>
          <cell r="L1131"/>
        </row>
        <row r="1132">
          <cell r="A1132"/>
          <cell r="B1132"/>
          <cell r="C1132"/>
          <cell r="D1132"/>
          <cell r="E1132"/>
          <cell r="F1132"/>
          <cell r="G1132"/>
          <cell r="H1132"/>
          <cell r="I1132"/>
          <cell r="J1132">
            <v>4.67</v>
          </cell>
          <cell r="K1132"/>
          <cell r="L1132"/>
        </row>
        <row r="1133">
          <cell r="A1133" t="str">
            <v>10062(D)</v>
          </cell>
          <cell r="B1133" t="str">
            <v>Herramientas y Equipos</v>
          </cell>
          <cell r="C1133"/>
          <cell r="D1133"/>
          <cell r="E1133"/>
          <cell r="F1133"/>
          <cell r="G1133"/>
          <cell r="H1133"/>
          <cell r="I1133"/>
          <cell r="J1133"/>
          <cell r="K1133">
            <v>6.4200000000000008</v>
          </cell>
          <cell r="L1133" t="str">
            <v>(D)</v>
          </cell>
        </row>
        <row r="1134">
          <cell r="A1134"/>
          <cell r="B1134" t="str">
            <v>TF00026</v>
          </cell>
          <cell r="C1134" t="str">
            <v>Retroexcavadora Cat 420e</v>
          </cell>
          <cell r="D1134"/>
          <cell r="E1134"/>
          <cell r="F1134" t="str">
            <v>hm</v>
          </cell>
          <cell r="G1134">
            <v>0.5</v>
          </cell>
          <cell r="H1134">
            <v>0.1429</v>
          </cell>
          <cell r="I1134">
            <v>41</v>
          </cell>
          <cell r="J1134">
            <v>5.86</v>
          </cell>
          <cell r="K1134"/>
          <cell r="L1134"/>
        </row>
        <row r="1135">
          <cell r="A1135"/>
          <cell r="B1135" t="str">
            <v>TF00041</v>
          </cell>
          <cell r="C1135" t="str">
            <v>Luminaria 4K</v>
          </cell>
          <cell r="D1135"/>
          <cell r="E1135"/>
          <cell r="F1135" t="str">
            <v>hm</v>
          </cell>
          <cell r="G1135">
            <v>0.5</v>
          </cell>
          <cell r="H1135">
            <v>0.1429</v>
          </cell>
          <cell r="I1135">
            <v>2.2799999999999998</v>
          </cell>
          <cell r="J1135">
            <v>0.33</v>
          </cell>
          <cell r="K1135"/>
          <cell r="L1135"/>
        </row>
        <row r="1136">
          <cell r="A1136"/>
          <cell r="B1136" t="str">
            <v>TF00060</v>
          </cell>
          <cell r="C1136" t="str">
            <v>Herramientas (% Mano Obra)</v>
          </cell>
          <cell r="D1136"/>
          <cell r="E1136"/>
          <cell r="F1136" t="str">
            <v>%</v>
          </cell>
          <cell r="G1136"/>
          <cell r="H1136">
            <v>0.05</v>
          </cell>
          <cell r="I1136">
            <v>4.67</v>
          </cell>
          <cell r="J1136">
            <v>0.23</v>
          </cell>
          <cell r="K1136"/>
          <cell r="L1136"/>
        </row>
        <row r="1137">
          <cell r="A1137"/>
          <cell r="B1137"/>
          <cell r="C1137"/>
          <cell r="D1137"/>
          <cell r="E1137"/>
          <cell r="F1137"/>
          <cell r="G1137"/>
          <cell r="H1137"/>
          <cell r="I1137"/>
          <cell r="J1137">
            <v>6.4200000000000008</v>
          </cell>
          <cell r="K1137"/>
          <cell r="L1137"/>
        </row>
        <row r="1138">
          <cell r="B1138"/>
          <cell r="C1138"/>
          <cell r="F1138"/>
          <cell r="G1138"/>
          <cell r="H1138"/>
          <cell r="I1138"/>
          <cell r="J1138"/>
        </row>
        <row r="1139">
          <cell r="A1139">
            <v>10063</v>
          </cell>
          <cell r="B1139" t="str">
            <v>Partida</v>
          </cell>
          <cell r="C1139">
            <v>4.13</v>
          </cell>
          <cell r="D1139" t="str">
            <v>Excavacion de Cuneta de coronación o derivación con medios manuales ( No incluye revestimiento)</v>
          </cell>
          <cell r="E1139"/>
          <cell r="F1139"/>
          <cell r="G1139"/>
          <cell r="H1139"/>
          <cell r="I1139"/>
          <cell r="J1139"/>
          <cell r="K1139">
            <v>48.18</v>
          </cell>
          <cell r="L1139"/>
        </row>
        <row r="1140">
          <cell r="B1140" t="str">
            <v>Rendimiento:</v>
          </cell>
          <cell r="C1140">
            <v>0.77777777777777779</v>
          </cell>
          <cell r="D1140" t="str">
            <v>m3</v>
          </cell>
          <cell r="E1140" t="str">
            <v>/hr</v>
          </cell>
          <cell r="F1140"/>
          <cell r="G1140"/>
          <cell r="H1140" t="str">
            <v>C.U. Total:</v>
          </cell>
          <cell r="I1140">
            <v>48.18</v>
          </cell>
          <cell r="J1140" t="str">
            <v>m3</v>
          </cell>
        </row>
        <row r="1141">
          <cell r="A1141"/>
          <cell r="B1141" t="str">
            <v>Codigo</v>
          </cell>
          <cell r="C1141" t="str">
            <v>Recurso</v>
          </cell>
          <cell r="D1141"/>
          <cell r="E1141"/>
          <cell r="F1141" t="str">
            <v>UND</v>
          </cell>
          <cell r="G1141" t="str">
            <v>Cuadrilla</v>
          </cell>
          <cell r="H1141" t="str">
            <v>Cantidad</v>
          </cell>
          <cell r="I1141" t="str">
            <v>C.U.</v>
          </cell>
          <cell r="J1141" t="str">
            <v>C.Parcial</v>
          </cell>
          <cell r="K1141" t="str">
            <v>SUBTOTAL</v>
          </cell>
          <cell r="L1141"/>
        </row>
        <row r="1142">
          <cell r="A1142" t="str">
            <v>10063(C)</v>
          </cell>
          <cell r="B1142" t="str">
            <v>Mano de Obra</v>
          </cell>
          <cell r="C1142"/>
          <cell r="D1142"/>
          <cell r="E1142"/>
          <cell r="F1142"/>
          <cell r="G1142"/>
          <cell r="H1142"/>
          <cell r="I1142"/>
          <cell r="J1142"/>
          <cell r="K1142">
            <v>45.89</v>
          </cell>
          <cell r="L1142" t="str">
            <v>(C)</v>
          </cell>
        </row>
        <row r="1143">
          <cell r="A1143"/>
          <cell r="B1143" t="str">
            <v>TF00002</v>
          </cell>
          <cell r="C1143" t="str">
            <v>Capataz</v>
          </cell>
          <cell r="D1143"/>
          <cell r="E1143"/>
          <cell r="F1143" t="str">
            <v>hh</v>
          </cell>
          <cell r="G1143">
            <v>0.35</v>
          </cell>
          <cell r="H1143">
            <v>0.45</v>
          </cell>
          <cell r="I1143">
            <v>9.68</v>
          </cell>
          <cell r="J1143">
            <v>4.3600000000000003</v>
          </cell>
          <cell r="K1143"/>
          <cell r="L1143"/>
        </row>
        <row r="1144">
          <cell r="A1144"/>
          <cell r="B1144" t="str">
            <v>TF00012</v>
          </cell>
          <cell r="C1144" t="str">
            <v>Peón</v>
          </cell>
          <cell r="D1144"/>
          <cell r="E1144"/>
          <cell r="F1144" t="str">
            <v>hh</v>
          </cell>
          <cell r="G1144">
            <v>5</v>
          </cell>
          <cell r="H1144">
            <v>6.4285999999999994</v>
          </cell>
          <cell r="I1144">
            <v>6.46</v>
          </cell>
          <cell r="J1144">
            <v>41.53</v>
          </cell>
          <cell r="K1144"/>
          <cell r="L1144"/>
        </row>
        <row r="1145">
          <cell r="A1145"/>
          <cell r="B1145"/>
          <cell r="C1145"/>
          <cell r="D1145"/>
          <cell r="E1145"/>
          <cell r="F1145"/>
          <cell r="G1145"/>
          <cell r="H1145"/>
          <cell r="I1145"/>
          <cell r="J1145">
            <v>45.89</v>
          </cell>
          <cell r="K1145"/>
          <cell r="L1145"/>
        </row>
        <row r="1146">
          <cell r="A1146" t="str">
            <v>10063(D)</v>
          </cell>
          <cell r="B1146" t="str">
            <v>Herramientas y Equipos</v>
          </cell>
          <cell r="C1146"/>
          <cell r="D1146"/>
          <cell r="E1146"/>
          <cell r="F1146"/>
          <cell r="G1146"/>
          <cell r="H1146"/>
          <cell r="I1146"/>
          <cell r="J1146"/>
          <cell r="K1146">
            <v>2.29</v>
          </cell>
          <cell r="L1146" t="str">
            <v>(D)</v>
          </cell>
        </row>
        <row r="1147">
          <cell r="A1147"/>
          <cell r="B1147" t="str">
            <v>TF00060</v>
          </cell>
          <cell r="C1147" t="str">
            <v>Herramientas (% Mano Obra)</v>
          </cell>
          <cell r="D1147"/>
          <cell r="E1147"/>
          <cell r="F1147" t="str">
            <v>%</v>
          </cell>
          <cell r="G1147"/>
          <cell r="H1147">
            <v>0.05</v>
          </cell>
          <cell r="I1147">
            <v>45.89</v>
          </cell>
          <cell r="J1147">
            <v>2.29</v>
          </cell>
          <cell r="K1147"/>
          <cell r="L1147"/>
        </row>
        <row r="1148">
          <cell r="A1148"/>
          <cell r="B1148"/>
          <cell r="C1148"/>
          <cell r="D1148"/>
          <cell r="E1148"/>
          <cell r="F1148"/>
          <cell r="G1148"/>
          <cell r="H1148"/>
          <cell r="I1148"/>
          <cell r="J1148">
            <v>2.29</v>
          </cell>
          <cell r="K1148"/>
          <cell r="L1148"/>
        </row>
        <row r="1149">
          <cell r="B1149"/>
          <cell r="C1149"/>
          <cell r="F1149"/>
          <cell r="G1149"/>
          <cell r="H1149"/>
          <cell r="I1149"/>
          <cell r="J1149"/>
        </row>
        <row r="1150">
          <cell r="A1150">
            <v>10064</v>
          </cell>
          <cell r="B1150" t="str">
            <v>Partida</v>
          </cell>
          <cell r="C1150">
            <v>4.1399999999999997</v>
          </cell>
          <cell r="D1150" t="str">
            <v>Perfilado de Cuneta de coronación o derivación</v>
          </cell>
          <cell r="E1150"/>
          <cell r="F1150"/>
          <cell r="G1150"/>
          <cell r="H1150"/>
          <cell r="I1150"/>
          <cell r="J1150"/>
          <cell r="K1150">
            <v>0.77</v>
          </cell>
          <cell r="L1150"/>
        </row>
        <row r="1151">
          <cell r="A1151"/>
          <cell r="B1151" t="str">
            <v>Rendimiento:</v>
          </cell>
          <cell r="C1151">
            <v>51.61395160225576</v>
          </cell>
          <cell r="D1151" t="str">
            <v>m2</v>
          </cell>
          <cell r="E1151" t="str">
            <v>/hr</v>
          </cell>
          <cell r="F1151"/>
          <cell r="G1151"/>
          <cell r="H1151" t="str">
            <v>C.U. Total:</v>
          </cell>
          <cell r="I1151">
            <v>0.77</v>
          </cell>
          <cell r="J1151" t="str">
            <v>m2</v>
          </cell>
          <cell r="K1151"/>
          <cell r="L1151"/>
        </row>
        <row r="1152">
          <cell r="A1152"/>
          <cell r="B1152" t="str">
            <v>Codigo</v>
          </cell>
          <cell r="C1152" t="str">
            <v>Recurso</v>
          </cell>
          <cell r="D1152"/>
          <cell r="E1152"/>
          <cell r="F1152" t="str">
            <v>UND</v>
          </cell>
          <cell r="G1152" t="str">
            <v>Cuadrilla</v>
          </cell>
          <cell r="H1152" t="str">
            <v>Cantidad</v>
          </cell>
          <cell r="I1152" t="str">
            <v>C.U.</v>
          </cell>
          <cell r="J1152" t="str">
            <v>C.Parcial</v>
          </cell>
          <cell r="K1152" t="str">
            <v>SUBTOTAL</v>
          </cell>
          <cell r="L1152"/>
        </row>
        <row r="1153">
          <cell r="A1153" t="str">
            <v>10064(C)</v>
          </cell>
          <cell r="B1153" t="str">
            <v>Mano de Obra</v>
          </cell>
          <cell r="C1153"/>
          <cell r="D1153"/>
          <cell r="E1153"/>
          <cell r="F1153"/>
          <cell r="G1153"/>
          <cell r="H1153"/>
          <cell r="I1153"/>
          <cell r="J1153"/>
          <cell r="K1153">
            <v>0.33</v>
          </cell>
          <cell r="L1153" t="str">
            <v>(C)</v>
          </cell>
        </row>
        <row r="1154">
          <cell r="A1154"/>
          <cell r="B1154" t="str">
            <v>TF00002</v>
          </cell>
          <cell r="C1154" t="str">
            <v>Capataz</v>
          </cell>
          <cell r="D1154"/>
          <cell r="E1154"/>
          <cell r="F1154" t="str">
            <v>hh</v>
          </cell>
          <cell r="G1154">
            <v>0.35</v>
          </cell>
          <cell r="H1154">
            <v>6.8000000000000005E-3</v>
          </cell>
          <cell r="I1154">
            <v>9.68</v>
          </cell>
          <cell r="J1154">
            <v>7.0000000000000007E-2</v>
          </cell>
          <cell r="K1154"/>
          <cell r="L1154"/>
        </row>
        <row r="1155">
          <cell r="A1155"/>
          <cell r="B1155" t="str">
            <v>TF00012</v>
          </cell>
          <cell r="C1155" t="str">
            <v>Peón</v>
          </cell>
          <cell r="D1155"/>
          <cell r="E1155"/>
          <cell r="F1155" t="str">
            <v>hh</v>
          </cell>
          <cell r="G1155">
            <v>1</v>
          </cell>
          <cell r="H1155">
            <v>1.9400000000000001E-2</v>
          </cell>
          <cell r="I1155">
            <v>6.46</v>
          </cell>
          <cell r="J1155">
            <v>0.13</v>
          </cell>
          <cell r="K1155"/>
          <cell r="L1155"/>
        </row>
        <row r="1156">
          <cell r="A1156"/>
          <cell r="B1156" t="str">
            <v>TF00014</v>
          </cell>
          <cell r="C1156" t="str">
            <v>Vigía</v>
          </cell>
          <cell r="D1156"/>
          <cell r="E1156"/>
          <cell r="F1156" t="str">
            <v>hh</v>
          </cell>
          <cell r="G1156">
            <v>1</v>
          </cell>
          <cell r="H1156">
            <v>1.9400000000000001E-2</v>
          </cell>
          <cell r="I1156">
            <v>6.46</v>
          </cell>
          <cell r="J1156">
            <v>0.13</v>
          </cell>
          <cell r="K1156"/>
          <cell r="L1156"/>
        </row>
        <row r="1157">
          <cell r="A1157"/>
          <cell r="B1157"/>
          <cell r="C1157"/>
          <cell r="D1157"/>
          <cell r="E1157"/>
          <cell r="F1157"/>
          <cell r="G1157"/>
          <cell r="H1157"/>
          <cell r="I1157"/>
          <cell r="J1157">
            <v>0.33</v>
          </cell>
          <cell r="K1157"/>
          <cell r="L1157"/>
        </row>
        <row r="1158">
          <cell r="A1158" t="str">
            <v>10064(D)</v>
          </cell>
          <cell r="B1158" t="str">
            <v>Herramientas y Equipos</v>
          </cell>
          <cell r="C1158"/>
          <cell r="D1158"/>
          <cell r="E1158"/>
          <cell r="F1158"/>
          <cell r="G1158"/>
          <cell r="H1158"/>
          <cell r="I1158"/>
          <cell r="J1158"/>
          <cell r="K1158">
            <v>0.44000000000000006</v>
          </cell>
          <cell r="L1158" t="str">
            <v>(D)</v>
          </cell>
        </row>
        <row r="1159">
          <cell r="A1159"/>
          <cell r="B1159" t="str">
            <v>TF00026</v>
          </cell>
          <cell r="C1159" t="str">
            <v>Retroexcavadora Cat 420e</v>
          </cell>
          <cell r="D1159"/>
          <cell r="E1159"/>
          <cell r="F1159" t="str">
            <v>hm</v>
          </cell>
          <cell r="G1159">
            <v>0.5</v>
          </cell>
          <cell r="H1159">
            <v>9.6999999999999986E-3</v>
          </cell>
          <cell r="I1159">
            <v>41</v>
          </cell>
          <cell r="J1159">
            <v>0.4</v>
          </cell>
          <cell r="K1159"/>
          <cell r="L1159"/>
        </row>
        <row r="1160">
          <cell r="A1160"/>
          <cell r="B1160" t="str">
            <v>TF00041</v>
          </cell>
          <cell r="C1160" t="str">
            <v>Luminaria 4K</v>
          </cell>
          <cell r="D1160"/>
          <cell r="E1160"/>
          <cell r="F1160" t="str">
            <v>hm</v>
          </cell>
          <cell r="G1160">
            <v>0.5</v>
          </cell>
          <cell r="H1160">
            <v>9.6999999999999986E-3</v>
          </cell>
          <cell r="I1160">
            <v>2.2799999999999998</v>
          </cell>
          <cell r="J1160">
            <v>0.02</v>
          </cell>
          <cell r="K1160"/>
          <cell r="L1160"/>
        </row>
        <row r="1161">
          <cell r="A1161"/>
          <cell r="B1161" t="str">
            <v>TF00060</v>
          </cell>
          <cell r="C1161" t="str">
            <v>Herramientas (% Mano Obra)</v>
          </cell>
          <cell r="D1161"/>
          <cell r="E1161"/>
          <cell r="F1161" t="str">
            <v>%</v>
          </cell>
          <cell r="G1161"/>
          <cell r="H1161">
            <v>0.05</v>
          </cell>
          <cell r="I1161">
            <v>0.33</v>
          </cell>
          <cell r="J1161">
            <v>0.02</v>
          </cell>
          <cell r="K1161"/>
          <cell r="L1161"/>
        </row>
        <row r="1162">
          <cell r="A1162"/>
          <cell r="B1162"/>
          <cell r="C1162"/>
          <cell r="D1162"/>
          <cell r="E1162"/>
          <cell r="F1162"/>
          <cell r="G1162"/>
          <cell r="H1162"/>
          <cell r="I1162"/>
          <cell r="J1162">
            <v>0.44000000000000006</v>
          </cell>
          <cell r="K1162"/>
          <cell r="L1162"/>
        </row>
        <row r="1163">
          <cell r="A1163"/>
          <cell r="B1163"/>
          <cell r="C1163"/>
          <cell r="D1163"/>
          <cell r="E1163"/>
          <cell r="F1163"/>
          <cell r="G1163"/>
          <cell r="H1163"/>
          <cell r="I1163"/>
          <cell r="J1163"/>
          <cell r="K1163"/>
          <cell r="L1163"/>
        </row>
        <row r="1164">
          <cell r="A1164">
            <v>10065</v>
          </cell>
          <cell r="B1164" t="str">
            <v>Partida</v>
          </cell>
          <cell r="C1164">
            <v>4.1500000000000004</v>
          </cell>
          <cell r="D1164" t="str">
            <v>Revestimiento de cunetas con geotextil (Material suministrado por Antamina)</v>
          </cell>
          <cell r="E1164"/>
          <cell r="F1164"/>
          <cell r="G1164"/>
          <cell r="H1164"/>
          <cell r="I1164"/>
          <cell r="J1164"/>
          <cell r="K1164">
            <v>19.09</v>
          </cell>
          <cell r="L1164"/>
        </row>
        <row r="1165">
          <cell r="B1165" t="str">
            <v>Rendimiento:</v>
          </cell>
          <cell r="C1165">
            <v>3.8888888888888888</v>
          </cell>
          <cell r="D1165" t="str">
            <v>m2</v>
          </cell>
          <cell r="E1165" t="str">
            <v>/hr</v>
          </cell>
          <cell r="F1165"/>
          <cell r="G1165"/>
          <cell r="H1165" t="str">
            <v>C.U. Total:</v>
          </cell>
          <cell r="I1165">
            <v>19.09</v>
          </cell>
          <cell r="J1165" t="str">
            <v>m2</v>
          </cell>
        </row>
        <row r="1166">
          <cell r="A1166"/>
          <cell r="B1166" t="str">
            <v>Codigo</v>
          </cell>
          <cell r="C1166" t="str">
            <v>Recurso</v>
          </cell>
          <cell r="D1166"/>
          <cell r="E1166"/>
          <cell r="F1166" t="str">
            <v>UND</v>
          </cell>
          <cell r="G1166" t="str">
            <v>Cuadrilla</v>
          </cell>
          <cell r="H1166" t="str">
            <v>Cantidad</v>
          </cell>
          <cell r="I1166" t="str">
            <v>C.U.</v>
          </cell>
          <cell r="J1166" t="str">
            <v>C.Parcial</v>
          </cell>
          <cell r="K1166" t="str">
            <v>SUBTOTAL</v>
          </cell>
          <cell r="L1166"/>
        </row>
        <row r="1167">
          <cell r="A1167" t="str">
            <v>10065(B)</v>
          </cell>
          <cell r="B1167" t="str">
            <v>Materiales</v>
          </cell>
          <cell r="C1167"/>
          <cell r="D1167"/>
          <cell r="E1167"/>
          <cell r="F1167"/>
          <cell r="G1167"/>
          <cell r="H1167"/>
          <cell r="I1167"/>
          <cell r="J1167"/>
          <cell r="K1167">
            <v>0</v>
          </cell>
          <cell r="L1167" t="str">
            <v>(B)</v>
          </cell>
        </row>
        <row r="1168">
          <cell r="A1168"/>
          <cell r="B1168"/>
          <cell r="C1168"/>
          <cell r="D1168"/>
          <cell r="E1168"/>
          <cell r="F1168"/>
          <cell r="G1168"/>
          <cell r="H1168"/>
          <cell r="I1168"/>
          <cell r="J1168"/>
          <cell r="K1168"/>
          <cell r="L1168"/>
        </row>
        <row r="1169">
          <cell r="A1169"/>
          <cell r="B1169" t="str">
            <v>TF00078</v>
          </cell>
          <cell r="C1169" t="str">
            <v>Geotextil no tejido 400g/m2</v>
          </cell>
          <cell r="D1169"/>
          <cell r="E1169"/>
          <cell r="F1169" t="str">
            <v>m2</v>
          </cell>
          <cell r="G1169"/>
          <cell r="H1169">
            <v>1</v>
          </cell>
          <cell r="I1169">
            <v>0</v>
          </cell>
          <cell r="J1169">
            <v>0</v>
          </cell>
          <cell r="K1169"/>
          <cell r="L1169"/>
        </row>
        <row r="1170">
          <cell r="A1170"/>
          <cell r="B1170"/>
          <cell r="C1170"/>
          <cell r="D1170"/>
          <cell r="E1170"/>
          <cell r="F1170"/>
          <cell r="G1170"/>
          <cell r="H1170"/>
          <cell r="I1170"/>
          <cell r="J1170">
            <v>0</v>
          </cell>
          <cell r="K1170"/>
          <cell r="L1170"/>
        </row>
        <row r="1171">
          <cell r="A1171" t="str">
            <v>10065(C)</v>
          </cell>
          <cell r="B1171" t="str">
            <v>Mano de Obra</v>
          </cell>
          <cell r="C1171"/>
          <cell r="D1171"/>
          <cell r="E1171"/>
          <cell r="F1171"/>
          <cell r="G1171"/>
          <cell r="H1171"/>
          <cell r="I1171"/>
          <cell r="J1171"/>
          <cell r="K1171">
            <v>8.3800000000000008</v>
          </cell>
          <cell r="L1171" t="str">
            <v>(C)</v>
          </cell>
        </row>
        <row r="1172">
          <cell r="A1172"/>
          <cell r="B1172" t="str">
            <v>TF00015</v>
          </cell>
          <cell r="C1172" t="str">
            <v>Rigger</v>
          </cell>
          <cell r="D1172"/>
          <cell r="E1172"/>
          <cell r="F1172" t="str">
            <v>hh</v>
          </cell>
          <cell r="G1172">
            <v>0.5</v>
          </cell>
          <cell r="H1172">
            <v>0.12859999999999999</v>
          </cell>
          <cell r="I1172">
            <v>14</v>
          </cell>
          <cell r="J1172">
            <v>1.8</v>
          </cell>
          <cell r="K1172"/>
          <cell r="L1172"/>
        </row>
        <row r="1173">
          <cell r="A1173"/>
          <cell r="B1173" t="str">
            <v>TF00002</v>
          </cell>
          <cell r="C1173" t="str">
            <v>Capataz</v>
          </cell>
          <cell r="D1173"/>
          <cell r="E1173"/>
          <cell r="F1173" t="str">
            <v>hh</v>
          </cell>
          <cell r="G1173">
            <v>0.35</v>
          </cell>
          <cell r="H1173">
            <v>0.09</v>
          </cell>
          <cell r="I1173">
            <v>9.68</v>
          </cell>
          <cell r="J1173">
            <v>0.87</v>
          </cell>
          <cell r="K1173"/>
          <cell r="L1173"/>
        </row>
        <row r="1174">
          <cell r="A1174"/>
          <cell r="B1174" t="str">
            <v>TF00004</v>
          </cell>
          <cell r="C1174" t="str">
            <v>Operario</v>
          </cell>
          <cell r="D1174"/>
          <cell r="E1174"/>
          <cell r="F1174" t="str">
            <v>hh</v>
          </cell>
          <cell r="G1174">
            <v>1</v>
          </cell>
          <cell r="H1174">
            <v>0.25719999999999998</v>
          </cell>
          <cell r="I1174">
            <v>9.2799999999999994</v>
          </cell>
          <cell r="J1174">
            <v>2.39</v>
          </cell>
          <cell r="K1174"/>
          <cell r="L1174"/>
        </row>
        <row r="1175">
          <cell r="A1175"/>
          <cell r="B1175" t="str">
            <v>TF00012</v>
          </cell>
          <cell r="C1175" t="str">
            <v>Peón</v>
          </cell>
          <cell r="D1175"/>
          <cell r="E1175"/>
          <cell r="F1175" t="str">
            <v>hh</v>
          </cell>
          <cell r="G1175">
            <v>2</v>
          </cell>
          <cell r="H1175">
            <v>0.51429999999999998</v>
          </cell>
          <cell r="I1175">
            <v>6.46</v>
          </cell>
          <cell r="J1175">
            <v>3.32</v>
          </cell>
          <cell r="K1175"/>
          <cell r="L1175"/>
        </row>
        <row r="1176">
          <cell r="A1176"/>
          <cell r="B1176"/>
          <cell r="C1176"/>
          <cell r="D1176"/>
          <cell r="E1176"/>
          <cell r="F1176"/>
          <cell r="G1176"/>
          <cell r="H1176"/>
          <cell r="I1176"/>
          <cell r="J1176">
            <v>8.3800000000000008</v>
          </cell>
          <cell r="K1176"/>
          <cell r="L1176"/>
        </row>
        <row r="1177">
          <cell r="A1177" t="str">
            <v>10065(D)</v>
          </cell>
          <cell r="B1177" t="str">
            <v>Herramientas y Equipos</v>
          </cell>
          <cell r="C1177"/>
          <cell r="D1177"/>
          <cell r="E1177"/>
          <cell r="F1177"/>
          <cell r="G1177"/>
          <cell r="H1177"/>
          <cell r="I1177"/>
          <cell r="J1177"/>
          <cell r="K1177">
            <v>10.709999999999999</v>
          </cell>
          <cell r="L1177" t="str">
            <v>(D)</v>
          </cell>
        </row>
        <row r="1178">
          <cell r="A1178"/>
          <cell r="B1178" t="str">
            <v>TF00030</v>
          </cell>
          <cell r="C1178" t="str">
            <v>Camión Grúa de 20 Ton.</v>
          </cell>
          <cell r="D1178"/>
          <cell r="E1178"/>
          <cell r="F1178" t="str">
            <v>hm</v>
          </cell>
          <cell r="G1178">
            <v>0.5</v>
          </cell>
          <cell r="H1178">
            <v>0.12859999999999999</v>
          </cell>
          <cell r="I1178">
            <v>80</v>
          </cell>
          <cell r="J1178">
            <v>10.29</v>
          </cell>
          <cell r="K1178"/>
          <cell r="L1178"/>
        </row>
        <row r="1179">
          <cell r="A1179"/>
          <cell r="B1179" t="str">
            <v>TF00060</v>
          </cell>
          <cell r="C1179" t="str">
            <v>Herramientas (% Mano Obra)</v>
          </cell>
          <cell r="D1179"/>
          <cell r="E1179"/>
          <cell r="F1179" t="str">
            <v>%</v>
          </cell>
          <cell r="G1179"/>
          <cell r="H1179">
            <v>0.05</v>
          </cell>
          <cell r="I1179">
            <v>8.3800000000000008</v>
          </cell>
          <cell r="J1179">
            <v>0.42</v>
          </cell>
          <cell r="K1179"/>
          <cell r="L1179"/>
        </row>
        <row r="1180">
          <cell r="A1180"/>
          <cell r="B1180"/>
          <cell r="C1180"/>
          <cell r="D1180"/>
          <cell r="E1180"/>
          <cell r="F1180"/>
          <cell r="G1180"/>
          <cell r="H1180"/>
          <cell r="I1180"/>
          <cell r="J1180">
            <v>10.709999999999999</v>
          </cell>
          <cell r="K1180"/>
          <cell r="L1180"/>
        </row>
        <row r="1181">
          <cell r="B1181"/>
        </row>
        <row r="1182">
          <cell r="A1182"/>
          <cell r="B1182"/>
          <cell r="C1182"/>
          <cell r="D1182"/>
          <cell r="E1182"/>
          <cell r="F1182"/>
          <cell r="G1182"/>
          <cell r="H1182"/>
          <cell r="I1182"/>
          <cell r="J1182"/>
          <cell r="K1182"/>
          <cell r="L1182"/>
        </row>
        <row r="1183">
          <cell r="A1183"/>
          <cell r="B1183"/>
          <cell r="C1183"/>
          <cell r="D1183"/>
          <cell r="E1183"/>
          <cell r="F1183"/>
          <cell r="G1183"/>
          <cell r="H1183"/>
          <cell r="I1183"/>
          <cell r="J1183"/>
          <cell r="K1183"/>
          <cell r="L1183"/>
        </row>
      </sheetData>
      <sheetData sheetId="2"/>
      <sheetData sheetId="3"/>
      <sheetData sheetId="4"/>
      <sheetData sheetId="5"/>
      <sheetData sheetId="6"/>
      <sheetData sheetId="7">
        <row r="128">
          <cell r="D128">
            <v>7.33</v>
          </cell>
        </row>
        <row r="133">
          <cell r="D133">
            <v>9.2799999999999994</v>
          </cell>
        </row>
        <row r="135">
          <cell r="D135">
            <v>7.33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1.1 Formato C-1"/>
      <sheetName val="1.2 Rendimiento"/>
      <sheetName val="1.3 APU"/>
      <sheetName val="1.4 Insumos"/>
      <sheetName val="Roster"/>
      <sheetName val="1.9 # viajes de mov. y desmov."/>
      <sheetName val="1.6 Formato Alim&amp;Hosp Rev.1"/>
      <sheetName val="1.5 Gastos Generales"/>
      <sheetName val="1.8 Estimado del tiempo"/>
      <sheetName val="1.6 Formato Alim&amp;Hosp"/>
      <sheetName val="ALIMENTACIÓN Y HOSPEDAJE"/>
      <sheetName val="1.7 Cantidad de recursos"/>
    </sheetNames>
    <sheetDataSet>
      <sheetData sheetId="0" refreshError="1"/>
      <sheetData sheetId="1"/>
      <sheetData sheetId="2">
        <row r="216">
          <cell r="G216">
            <v>0.85</v>
          </cell>
        </row>
      </sheetData>
      <sheetData sheetId="3">
        <row r="3">
          <cell r="B3" t="str">
            <v>Proyecto:</v>
          </cell>
          <cell r="C3" t="str">
            <v>16062 CONSTRUCCIÓN DE LA FASE VI-B DE LA PRESA DE RELAVES Y OBRAS COMPLEMENTARIAS</v>
          </cell>
        </row>
        <row r="4">
          <cell r="B4" t="str">
            <v>Contrato:</v>
          </cell>
          <cell r="C4" t="str">
            <v>MOB01318</v>
          </cell>
        </row>
        <row r="5">
          <cell r="B5" t="str">
            <v>Obra:</v>
          </cell>
          <cell r="C5" t="str">
            <v>CONSTRUCCION DE DIQUE CORREDOR CON NUCLEO HASTA LA COTA 4135 Y HUACACOCHA 2</v>
          </cell>
        </row>
        <row r="6">
          <cell r="B6" t="str">
            <v>SDC Nº98:</v>
          </cell>
          <cell r="C6" t="str">
            <v>ELEVACIÓN DEL DIQUE DE MORRENA A LA COTA 4132 MSNM PARA PROTECCIÓN DE PTAR</v>
          </cell>
        </row>
        <row r="7">
          <cell r="B7" t="str">
            <v>Fecha:</v>
          </cell>
          <cell r="C7">
            <v>44176</v>
          </cell>
        </row>
        <row r="9">
          <cell r="A9">
            <v>10796</v>
          </cell>
          <cell r="B9" t="str">
            <v>Partida</v>
          </cell>
          <cell r="C9">
            <v>1.01</v>
          </cell>
          <cell r="D9" t="str">
            <v>Movilización de equipos y herramientas (SDC N°98)</v>
          </cell>
          <cell r="K9">
            <v>5330.2579999999998</v>
          </cell>
        </row>
        <row r="10">
          <cell r="B10" t="str">
            <v>Rendimiento:</v>
          </cell>
          <cell r="C10">
            <v>0.5</v>
          </cell>
          <cell r="D10" t="str">
            <v>glb</v>
          </cell>
          <cell r="E10" t="str">
            <v>/día</v>
          </cell>
          <cell r="H10" t="str">
            <v>C.U. Total:</v>
          </cell>
          <cell r="I10">
            <v>5330.2579999999998</v>
          </cell>
          <cell r="J10" t="str">
            <v>glb</v>
          </cell>
        </row>
        <row r="11">
          <cell r="B11" t="str">
            <v>Codigo</v>
          </cell>
          <cell r="C11" t="str">
            <v>Recurso</v>
          </cell>
          <cell r="F11" t="str">
            <v>UND</v>
          </cell>
          <cell r="G11" t="str">
            <v>Cuadrilla</v>
          </cell>
          <cell r="H11" t="str">
            <v>Cantidad</v>
          </cell>
          <cell r="I11" t="str">
            <v>C.U.</v>
          </cell>
          <cell r="J11" t="str">
            <v>C.Parcial</v>
          </cell>
          <cell r="K11" t="str">
            <v>SUBTOTAL</v>
          </cell>
        </row>
        <row r="12">
          <cell r="A12" t="str">
            <v>10796(B)</v>
          </cell>
          <cell r="B12" t="str">
            <v>Materiales</v>
          </cell>
          <cell r="K12">
            <v>32.648000000000003</v>
          </cell>
          <cell r="L12" t="str">
            <v>(B)</v>
          </cell>
        </row>
        <row r="13">
          <cell r="B13" t="str">
            <v>TF00091</v>
          </cell>
          <cell r="C13" t="str">
            <v>Consumibles</v>
          </cell>
          <cell r="F13" t="str">
            <v>%</v>
          </cell>
          <cell r="H13">
            <v>0.05</v>
          </cell>
          <cell r="I13">
            <v>652.96</v>
          </cell>
          <cell r="J13">
            <v>32.648000000000003</v>
          </cell>
        </row>
        <row r="14">
          <cell r="J14">
            <v>32.648000000000003</v>
          </cell>
        </row>
        <row r="15">
          <cell r="A15" t="str">
            <v>10796(C)</v>
          </cell>
          <cell r="B15" t="str">
            <v>Mano de Obra</v>
          </cell>
          <cell r="K15">
            <v>652.96</v>
          </cell>
          <cell r="L15" t="str">
            <v>(C)</v>
          </cell>
        </row>
        <row r="16">
          <cell r="B16" t="str">
            <v>TF00002</v>
          </cell>
          <cell r="C16" t="str">
            <v>Capataz</v>
          </cell>
          <cell r="F16" t="str">
            <v>hh</v>
          </cell>
          <cell r="G16">
            <v>1</v>
          </cell>
          <cell r="H16">
            <v>16</v>
          </cell>
          <cell r="I16">
            <v>7.0299999999999994</v>
          </cell>
          <cell r="J16">
            <v>112.48</v>
          </cell>
        </row>
        <row r="17">
          <cell r="B17" t="str">
            <v>TF00015</v>
          </cell>
          <cell r="C17" t="str">
            <v>Rigger</v>
          </cell>
          <cell r="F17" t="str">
            <v>hh</v>
          </cell>
          <cell r="G17">
            <v>1</v>
          </cell>
          <cell r="H17">
            <v>16</v>
          </cell>
          <cell r="I17">
            <v>12</v>
          </cell>
          <cell r="J17">
            <v>192</v>
          </cell>
        </row>
        <row r="18">
          <cell r="B18" t="str">
            <v>TF00004</v>
          </cell>
          <cell r="C18" t="str">
            <v>Operario</v>
          </cell>
          <cell r="F18" t="str">
            <v>hh</v>
          </cell>
          <cell r="G18">
            <v>1</v>
          </cell>
          <cell r="H18">
            <v>16</v>
          </cell>
          <cell r="I18">
            <v>6.6899999999999995</v>
          </cell>
          <cell r="J18">
            <v>107.04</v>
          </cell>
        </row>
        <row r="19">
          <cell r="B19" t="str">
            <v>TF00011</v>
          </cell>
          <cell r="C19" t="str">
            <v>Oficial</v>
          </cell>
          <cell r="F19" t="str">
            <v>hh</v>
          </cell>
          <cell r="G19">
            <v>1</v>
          </cell>
          <cell r="H19">
            <v>16</v>
          </cell>
          <cell r="I19">
            <v>5.41</v>
          </cell>
          <cell r="J19">
            <v>86.56</v>
          </cell>
        </row>
        <row r="20">
          <cell r="B20" t="str">
            <v>TF00012</v>
          </cell>
          <cell r="C20" t="str">
            <v>Peón</v>
          </cell>
          <cell r="F20" t="str">
            <v>hh</v>
          </cell>
          <cell r="G20">
            <v>1</v>
          </cell>
          <cell r="H20">
            <v>16</v>
          </cell>
          <cell r="I20">
            <v>4.84</v>
          </cell>
          <cell r="J20">
            <v>77.44</v>
          </cell>
        </row>
        <row r="21">
          <cell r="B21" t="str">
            <v>TF00014</v>
          </cell>
          <cell r="C21" t="str">
            <v>Vigía</v>
          </cell>
          <cell r="F21" t="str">
            <v>hh</v>
          </cell>
          <cell r="G21">
            <v>1</v>
          </cell>
          <cell r="H21">
            <v>16</v>
          </cell>
          <cell r="I21">
            <v>4.84</v>
          </cell>
          <cell r="J21">
            <v>77.44</v>
          </cell>
        </row>
        <row r="22">
          <cell r="J22">
            <v>652.96</v>
          </cell>
        </row>
        <row r="23">
          <cell r="A23" t="str">
            <v>10796(D)</v>
          </cell>
          <cell r="B23" t="str">
            <v>Herramientas y Equipos</v>
          </cell>
          <cell r="K23">
            <v>4644.6499999999996</v>
          </cell>
          <cell r="L23" t="str">
            <v>(D)</v>
          </cell>
        </row>
        <row r="24">
          <cell r="B24" t="str">
            <v>TF00060</v>
          </cell>
          <cell r="C24" t="str">
            <v>Herramientas (% Mano Obra)</v>
          </cell>
          <cell r="F24" t="str">
            <v>%</v>
          </cell>
          <cell r="H24">
            <v>0.05</v>
          </cell>
          <cell r="I24">
            <v>652.96</v>
          </cell>
          <cell r="J24">
            <v>32.65</v>
          </cell>
        </row>
        <row r="25">
          <cell r="B25" t="str">
            <v>TF00105</v>
          </cell>
          <cell r="C25" t="str">
            <v>Servicio de camión camabaja Lima-Mina</v>
          </cell>
          <cell r="F25" t="str">
            <v>Viaje</v>
          </cell>
          <cell r="H25">
            <v>2</v>
          </cell>
          <cell r="I25">
            <v>1650</v>
          </cell>
          <cell r="J25">
            <v>3300</v>
          </cell>
        </row>
        <row r="26">
          <cell r="B26" t="str">
            <v>TF00037</v>
          </cell>
          <cell r="C26" t="str">
            <v>Camión Grúa de 12-20 Ton.</v>
          </cell>
          <cell r="F26" t="str">
            <v>hm</v>
          </cell>
          <cell r="G26">
            <v>1</v>
          </cell>
          <cell r="H26">
            <v>16</v>
          </cell>
          <cell r="I26">
            <v>82</v>
          </cell>
          <cell r="J26">
            <v>1312</v>
          </cell>
        </row>
        <row r="27">
          <cell r="J27">
            <v>4644.6499999999996</v>
          </cell>
        </row>
        <row r="30">
          <cell r="A30">
            <v>10797</v>
          </cell>
          <cell r="B30" t="str">
            <v>Partida</v>
          </cell>
          <cell r="C30">
            <v>1.02</v>
          </cell>
          <cell r="D30" t="str">
            <v>Desmovilización de equipos y herramientas  (SDC N°98)</v>
          </cell>
          <cell r="K30">
            <v>6091.6009999999997</v>
          </cell>
        </row>
        <row r="31">
          <cell r="B31" t="str">
            <v>Rendimiento:</v>
          </cell>
          <cell r="C31">
            <v>0.5</v>
          </cell>
          <cell r="D31" t="str">
            <v>glb</v>
          </cell>
          <cell r="E31" t="str">
            <v>/día</v>
          </cell>
          <cell r="H31" t="str">
            <v>C.U. Total:</v>
          </cell>
          <cell r="I31">
            <v>6091.6009999999997</v>
          </cell>
          <cell r="J31" t="str">
            <v>glb</v>
          </cell>
        </row>
        <row r="32">
          <cell r="B32" t="str">
            <v>Codigo</v>
          </cell>
          <cell r="C32" t="str">
            <v>Recurso</v>
          </cell>
          <cell r="F32" t="str">
            <v>UND</v>
          </cell>
          <cell r="G32" t="str">
            <v>Cuadrilla</v>
          </cell>
          <cell r="H32" t="str">
            <v>Cantidad</v>
          </cell>
          <cell r="I32" t="str">
            <v>C.U.</v>
          </cell>
          <cell r="J32" t="str">
            <v>C.Parcial</v>
          </cell>
          <cell r="K32" t="str">
            <v>SUBTOTAL</v>
          </cell>
        </row>
        <row r="33">
          <cell r="A33" t="str">
            <v>10797(B)</v>
          </cell>
          <cell r="B33" t="str">
            <v>Materiales</v>
          </cell>
          <cell r="K33">
            <v>44.890999999999998</v>
          </cell>
          <cell r="L33" t="str">
            <v>(B)</v>
          </cell>
        </row>
        <row r="34">
          <cell r="B34" t="str">
            <v>TF00091</v>
          </cell>
          <cell r="C34" t="str">
            <v>Consumibles</v>
          </cell>
          <cell r="F34" t="str">
            <v>%</v>
          </cell>
          <cell r="H34">
            <v>0.05</v>
          </cell>
          <cell r="I34">
            <v>897.81999999999994</v>
          </cell>
          <cell r="J34">
            <v>44.890999999999998</v>
          </cell>
        </row>
        <row r="35">
          <cell r="J35">
            <v>44.890999999999998</v>
          </cell>
        </row>
        <row r="36">
          <cell r="A36" t="str">
            <v>10797(C)</v>
          </cell>
          <cell r="B36" t="str">
            <v>Mano de Obra</v>
          </cell>
          <cell r="K36">
            <v>897.81999999999994</v>
          </cell>
          <cell r="L36" t="str">
            <v>(C)</v>
          </cell>
        </row>
        <row r="37">
          <cell r="B37" t="str">
            <v>TF00002</v>
          </cell>
          <cell r="C37" t="str">
            <v>Capataz</v>
          </cell>
          <cell r="F37" t="str">
            <v>hh</v>
          </cell>
          <cell r="G37">
            <v>1</v>
          </cell>
          <cell r="H37">
            <v>22</v>
          </cell>
          <cell r="I37">
            <v>7.0299999999999994</v>
          </cell>
          <cell r="J37">
            <v>154.66</v>
          </cell>
        </row>
        <row r="38">
          <cell r="B38" t="str">
            <v>TF00015</v>
          </cell>
          <cell r="C38" t="str">
            <v>Rigger</v>
          </cell>
          <cell r="F38" t="str">
            <v>hh</v>
          </cell>
          <cell r="G38">
            <v>1</v>
          </cell>
          <cell r="H38">
            <v>22</v>
          </cell>
          <cell r="I38">
            <v>12</v>
          </cell>
          <cell r="J38">
            <v>264</v>
          </cell>
        </row>
        <row r="39">
          <cell r="B39" t="str">
            <v>TF00004</v>
          </cell>
          <cell r="C39" t="str">
            <v>Operario</v>
          </cell>
          <cell r="F39" t="str">
            <v>hh</v>
          </cell>
          <cell r="G39">
            <v>1</v>
          </cell>
          <cell r="H39">
            <v>22</v>
          </cell>
          <cell r="I39">
            <v>6.6899999999999995</v>
          </cell>
          <cell r="J39">
            <v>147.18</v>
          </cell>
        </row>
        <row r="40">
          <cell r="B40" t="str">
            <v>TF00011</v>
          </cell>
          <cell r="C40" t="str">
            <v>Oficial</v>
          </cell>
          <cell r="F40" t="str">
            <v>hh</v>
          </cell>
          <cell r="G40">
            <v>1</v>
          </cell>
          <cell r="H40">
            <v>22</v>
          </cell>
          <cell r="I40">
            <v>5.41</v>
          </cell>
          <cell r="J40">
            <v>119.02</v>
          </cell>
        </row>
        <row r="41">
          <cell r="B41" t="str">
            <v>TF00012</v>
          </cell>
          <cell r="C41" t="str">
            <v>Peón</v>
          </cell>
          <cell r="F41" t="str">
            <v>hh</v>
          </cell>
          <cell r="G41">
            <v>1</v>
          </cell>
          <cell r="H41">
            <v>22</v>
          </cell>
          <cell r="I41">
            <v>4.84</v>
          </cell>
          <cell r="J41">
            <v>106.48</v>
          </cell>
        </row>
        <row r="42">
          <cell r="B42" t="str">
            <v>TF00014</v>
          </cell>
          <cell r="C42" t="str">
            <v>Vigía</v>
          </cell>
          <cell r="F42" t="str">
            <v>hh</v>
          </cell>
          <cell r="G42">
            <v>1</v>
          </cell>
          <cell r="H42">
            <v>22</v>
          </cell>
          <cell r="I42">
            <v>4.84</v>
          </cell>
          <cell r="J42">
            <v>106.48</v>
          </cell>
        </row>
        <row r="43">
          <cell r="J43">
            <v>897.81999999999994</v>
          </cell>
        </row>
        <row r="44">
          <cell r="A44" t="str">
            <v>10797(D)</v>
          </cell>
          <cell r="B44" t="str">
            <v>Herramientas y Equipos</v>
          </cell>
          <cell r="K44">
            <v>5148.8899999999994</v>
          </cell>
          <cell r="L44" t="str">
            <v>(D)</v>
          </cell>
        </row>
        <row r="45">
          <cell r="B45" t="str">
            <v>TF00060</v>
          </cell>
          <cell r="C45" t="str">
            <v>Herramientas (% Mano Obra)</v>
          </cell>
          <cell r="F45" t="str">
            <v>%</v>
          </cell>
          <cell r="H45">
            <v>0.05</v>
          </cell>
          <cell r="I45">
            <v>897.81999999999994</v>
          </cell>
          <cell r="J45">
            <v>44.89</v>
          </cell>
        </row>
        <row r="46">
          <cell r="B46" t="str">
            <v>TF00106</v>
          </cell>
          <cell r="C46" t="str">
            <v>Servicio de camión camabaja Lima-Mina</v>
          </cell>
          <cell r="F46" t="str">
            <v>Viaje</v>
          </cell>
          <cell r="H46">
            <v>2</v>
          </cell>
          <cell r="I46">
            <v>1650</v>
          </cell>
          <cell r="J46">
            <v>3300</v>
          </cell>
        </row>
        <row r="47">
          <cell r="B47" t="str">
            <v>TF00037</v>
          </cell>
          <cell r="C47" t="str">
            <v>Camión Grúa de 12-20 Ton.</v>
          </cell>
          <cell r="F47" t="str">
            <v>hm</v>
          </cell>
          <cell r="G47">
            <v>1</v>
          </cell>
          <cell r="H47">
            <v>22</v>
          </cell>
          <cell r="I47">
            <v>82</v>
          </cell>
          <cell r="J47">
            <v>1804</v>
          </cell>
        </row>
        <row r="48">
          <cell r="J48">
            <v>5148.8899999999994</v>
          </cell>
        </row>
        <row r="51">
          <cell r="A51">
            <v>10798</v>
          </cell>
          <cell r="B51" t="str">
            <v>Partida</v>
          </cell>
          <cell r="C51">
            <v>1.03</v>
          </cell>
          <cell r="D51" t="str">
            <v>Trazo y replanteo durante obra</v>
          </cell>
          <cell r="K51">
            <v>3027.4300000000003</v>
          </cell>
        </row>
        <row r="52">
          <cell r="B52" t="str">
            <v>Rendimiento:</v>
          </cell>
          <cell r="C52">
            <v>0.1</v>
          </cell>
          <cell r="D52" t="str">
            <v>glb</v>
          </cell>
          <cell r="H52" t="str">
            <v>C.U. Total:</v>
          </cell>
          <cell r="I52">
            <v>3027.4300000000003</v>
          </cell>
          <cell r="J52" t="str">
            <v>glb</v>
          </cell>
        </row>
        <row r="53">
          <cell r="B53" t="str">
            <v>Codigo</v>
          </cell>
          <cell r="C53" t="str">
            <v>Recurso</v>
          </cell>
          <cell r="F53" t="str">
            <v>UND</v>
          </cell>
          <cell r="G53" t="str">
            <v>Cuadrilla</v>
          </cell>
          <cell r="H53" t="str">
            <v>Cantidad</v>
          </cell>
          <cell r="I53" t="str">
            <v>C.U.</v>
          </cell>
          <cell r="J53" t="str">
            <v>C.Parcial</v>
          </cell>
          <cell r="K53" t="str">
            <v>SUBTOTAL</v>
          </cell>
        </row>
        <row r="54">
          <cell r="A54" t="str">
            <v>10798(B)</v>
          </cell>
          <cell r="B54" t="str">
            <v>Materiales</v>
          </cell>
          <cell r="K54">
            <v>50</v>
          </cell>
          <cell r="L54" t="str">
            <v>(B)</v>
          </cell>
        </row>
        <row r="55">
          <cell r="B55" t="str">
            <v>TF00053</v>
          </cell>
          <cell r="C55" t="str">
            <v>Materiales de campo</v>
          </cell>
          <cell r="F55" t="str">
            <v>glb</v>
          </cell>
          <cell r="H55">
            <v>0.1</v>
          </cell>
          <cell r="I55">
            <v>500</v>
          </cell>
          <cell r="J55">
            <v>50</v>
          </cell>
        </row>
        <row r="56">
          <cell r="J56">
            <v>50</v>
          </cell>
        </row>
        <row r="57">
          <cell r="A57" t="str">
            <v>10798(C)</v>
          </cell>
          <cell r="B57" t="str">
            <v>Mano de Obra</v>
          </cell>
          <cell r="K57">
            <v>2458.5</v>
          </cell>
          <cell r="L57" t="str">
            <v>(C)</v>
          </cell>
        </row>
        <row r="58">
          <cell r="B58" t="str">
            <v>TF00005</v>
          </cell>
          <cell r="C58" t="str">
            <v>Topógrafo</v>
          </cell>
          <cell r="F58" t="str">
            <v>hh</v>
          </cell>
          <cell r="G58">
            <v>1</v>
          </cell>
          <cell r="H58">
            <v>110</v>
          </cell>
          <cell r="I58">
            <v>6.6899999999999995</v>
          </cell>
          <cell r="J58">
            <v>735.9</v>
          </cell>
        </row>
        <row r="59">
          <cell r="B59" t="str">
            <v>TF00007</v>
          </cell>
          <cell r="C59" t="str">
            <v>Cadista</v>
          </cell>
          <cell r="F59" t="str">
            <v>hh</v>
          </cell>
          <cell r="G59">
            <v>1</v>
          </cell>
          <cell r="H59">
            <v>110</v>
          </cell>
          <cell r="I59">
            <v>5.41</v>
          </cell>
          <cell r="J59">
            <v>595.1</v>
          </cell>
        </row>
        <row r="60">
          <cell r="B60" t="str">
            <v>TF00006</v>
          </cell>
          <cell r="C60" t="str">
            <v>Auxiliar de Topógrafo</v>
          </cell>
          <cell r="F60" t="str">
            <v>hh</v>
          </cell>
          <cell r="G60">
            <v>1</v>
          </cell>
          <cell r="H60">
            <v>110</v>
          </cell>
          <cell r="I60">
            <v>5.41</v>
          </cell>
          <cell r="J60">
            <v>595.1</v>
          </cell>
        </row>
        <row r="61">
          <cell r="B61" t="str">
            <v>TF00012</v>
          </cell>
          <cell r="C61" t="str">
            <v>Peón</v>
          </cell>
          <cell r="F61" t="str">
            <v>hh</v>
          </cell>
          <cell r="G61">
            <v>1</v>
          </cell>
          <cell r="H61">
            <v>110</v>
          </cell>
          <cell r="I61">
            <v>4.84</v>
          </cell>
          <cell r="J61">
            <v>532.4</v>
          </cell>
        </row>
        <row r="62">
          <cell r="J62">
            <v>2458.5</v>
          </cell>
        </row>
        <row r="63">
          <cell r="A63" t="str">
            <v>10798(D)</v>
          </cell>
          <cell r="B63" t="str">
            <v>Herramientas y Equipos</v>
          </cell>
          <cell r="K63">
            <v>518.93000000000006</v>
          </cell>
          <cell r="L63" t="str">
            <v>(D)</v>
          </cell>
        </row>
        <row r="64">
          <cell r="B64" t="str">
            <v>TF00060</v>
          </cell>
          <cell r="C64" t="str">
            <v>Herramientas (% Mano Obra)</v>
          </cell>
          <cell r="F64" t="str">
            <v>%</v>
          </cell>
          <cell r="H64">
            <v>0.05</v>
          </cell>
          <cell r="I64">
            <v>2458.5</v>
          </cell>
          <cell r="J64">
            <v>122.93</v>
          </cell>
        </row>
        <row r="65">
          <cell r="B65" t="str">
            <v>TF00043</v>
          </cell>
          <cell r="C65" t="str">
            <v>Nivel óptico</v>
          </cell>
          <cell r="F65" t="str">
            <v>hm</v>
          </cell>
          <cell r="G65">
            <v>1</v>
          </cell>
          <cell r="H65">
            <v>110</v>
          </cell>
          <cell r="I65">
            <v>0.6</v>
          </cell>
          <cell r="J65">
            <v>66</v>
          </cell>
        </row>
        <row r="66">
          <cell r="B66" t="str">
            <v>TF00044</v>
          </cell>
          <cell r="C66" t="str">
            <v>Estación total</v>
          </cell>
          <cell r="F66" t="str">
            <v>hm</v>
          </cell>
          <cell r="G66">
            <v>1</v>
          </cell>
          <cell r="H66">
            <v>110</v>
          </cell>
          <cell r="I66">
            <v>3</v>
          </cell>
          <cell r="J66">
            <v>330</v>
          </cell>
        </row>
        <row r="67">
          <cell r="J67">
            <v>518.93000000000006</v>
          </cell>
        </row>
        <row r="70">
          <cell r="A70">
            <v>10799</v>
          </cell>
          <cell r="B70" t="str">
            <v>Partida</v>
          </cell>
          <cell r="C70">
            <v>1.04</v>
          </cell>
          <cell r="D70" t="str">
            <v xml:space="preserve">Desmontaje y montaje de barandas de madera, limpieza general </v>
          </cell>
          <cell r="K70">
            <v>1119.9099999999999</v>
          </cell>
        </row>
        <row r="71">
          <cell r="B71" t="str">
            <v>Rendimiento:</v>
          </cell>
          <cell r="C71">
            <v>0.25</v>
          </cell>
          <cell r="D71" t="str">
            <v>glb</v>
          </cell>
          <cell r="H71" t="str">
            <v>C.U. Total:</v>
          </cell>
          <cell r="I71">
            <v>1119.9099999999999</v>
          </cell>
          <cell r="J71" t="str">
            <v>glb</v>
          </cell>
        </row>
        <row r="72">
          <cell r="B72" t="str">
            <v>Codigo</v>
          </cell>
          <cell r="C72" t="str">
            <v>Recurso</v>
          </cell>
          <cell r="F72" t="str">
            <v>UND</v>
          </cell>
          <cell r="G72" t="str">
            <v>Cuadrilla</v>
          </cell>
          <cell r="H72" t="str">
            <v>Cantidad</v>
          </cell>
          <cell r="I72" t="str">
            <v>C.U.</v>
          </cell>
          <cell r="J72" t="str">
            <v>C.Parcial</v>
          </cell>
          <cell r="K72" t="str">
            <v>SUBTOTAL</v>
          </cell>
        </row>
        <row r="73">
          <cell r="A73" t="str">
            <v>10799(B)</v>
          </cell>
          <cell r="B73" t="str">
            <v>Materiales</v>
          </cell>
          <cell r="K73">
            <v>210.6</v>
          </cell>
          <cell r="L73" t="str">
            <v>(B)</v>
          </cell>
        </row>
        <row r="74">
          <cell r="B74" t="str">
            <v>TF00203</v>
          </cell>
          <cell r="C74" t="str">
            <v>Caja de clavos 3"</v>
          </cell>
          <cell r="F74" t="str">
            <v>kg</v>
          </cell>
          <cell r="H74">
            <v>15</v>
          </cell>
          <cell r="I74">
            <v>1.54</v>
          </cell>
          <cell r="J74">
            <v>23.1</v>
          </cell>
        </row>
        <row r="75">
          <cell r="B75" t="str">
            <v>TF00207</v>
          </cell>
          <cell r="C75" t="str">
            <v>Liston de madera 3"x2"x10pies</v>
          </cell>
          <cell r="F75" t="str">
            <v>und</v>
          </cell>
          <cell r="H75">
            <v>15</v>
          </cell>
          <cell r="I75">
            <v>12.5</v>
          </cell>
          <cell r="J75">
            <v>187.5</v>
          </cell>
        </row>
        <row r="76">
          <cell r="A76" t="str">
            <v>10799(C)</v>
          </cell>
          <cell r="B76" t="str">
            <v>Mano de Obra</v>
          </cell>
          <cell r="K76">
            <v>1066.58</v>
          </cell>
          <cell r="L76" t="str">
            <v>(C)</v>
          </cell>
        </row>
        <row r="77">
          <cell r="B77" t="str">
            <v>TF00002</v>
          </cell>
          <cell r="C77" t="str">
            <v>Capataz</v>
          </cell>
          <cell r="F77" t="str">
            <v>hh</v>
          </cell>
          <cell r="G77">
            <v>0.35</v>
          </cell>
          <cell r="H77">
            <v>15.4</v>
          </cell>
          <cell r="I77">
            <v>7.0299999999999994</v>
          </cell>
          <cell r="J77">
            <v>108.26</v>
          </cell>
        </row>
        <row r="78">
          <cell r="B78" t="str">
            <v>TF00004</v>
          </cell>
          <cell r="C78" t="str">
            <v>Operario</v>
          </cell>
          <cell r="F78" t="str">
            <v>hh</v>
          </cell>
          <cell r="G78">
            <v>1</v>
          </cell>
          <cell r="H78">
            <v>44</v>
          </cell>
          <cell r="I78">
            <v>6.6899999999999995</v>
          </cell>
          <cell r="J78">
            <v>294.36</v>
          </cell>
        </row>
        <row r="79">
          <cell r="B79" t="str">
            <v>TF00011</v>
          </cell>
          <cell r="C79" t="str">
            <v>Oficial</v>
          </cell>
          <cell r="F79" t="str">
            <v>hh</v>
          </cell>
          <cell r="G79">
            <v>1</v>
          </cell>
          <cell r="H79">
            <v>44</v>
          </cell>
          <cell r="I79">
            <v>5.41</v>
          </cell>
          <cell r="J79">
            <v>238.04</v>
          </cell>
        </row>
        <row r="80">
          <cell r="B80" t="str">
            <v>TF00012</v>
          </cell>
          <cell r="C80" t="str">
            <v>Peón</v>
          </cell>
          <cell r="F80" t="str">
            <v>hh</v>
          </cell>
          <cell r="G80">
            <v>2</v>
          </cell>
          <cell r="H80">
            <v>88</v>
          </cell>
          <cell r="I80">
            <v>4.84</v>
          </cell>
          <cell r="J80">
            <v>425.92</v>
          </cell>
        </row>
        <row r="81">
          <cell r="J81">
            <v>1066.58</v>
          </cell>
        </row>
        <row r="82">
          <cell r="A82" t="str">
            <v>10799(D)</v>
          </cell>
          <cell r="B82" t="str">
            <v>Herramientas y Equipos</v>
          </cell>
          <cell r="K82">
            <v>53.33</v>
          </cell>
          <cell r="L82" t="str">
            <v>(D)</v>
          </cell>
        </row>
        <row r="83">
          <cell r="B83" t="str">
            <v>TF00060</v>
          </cell>
          <cell r="C83" t="str">
            <v>Herramientas (% Mano Obra)</v>
          </cell>
          <cell r="F83" t="str">
            <v>%</v>
          </cell>
          <cell r="H83">
            <v>0.05</v>
          </cell>
          <cell r="I83">
            <v>1066.58</v>
          </cell>
          <cell r="J83">
            <v>53.33</v>
          </cell>
        </row>
        <row r="84">
          <cell r="J84">
            <v>53.33</v>
          </cell>
        </row>
        <row r="87">
          <cell r="A87">
            <v>10800</v>
          </cell>
          <cell r="B87" t="str">
            <v>Partida</v>
          </cell>
          <cell r="C87">
            <v>1.05</v>
          </cell>
          <cell r="D87" t="str">
            <v>Reubicación de oficina en PTAR</v>
          </cell>
          <cell r="K87">
            <v>542.28</v>
          </cell>
        </row>
        <row r="88">
          <cell r="B88" t="str">
            <v>Rendimiento:</v>
          </cell>
          <cell r="C88">
            <v>1</v>
          </cell>
          <cell r="D88" t="str">
            <v>glb</v>
          </cell>
          <cell r="H88" t="str">
            <v>C.U. Total:</v>
          </cell>
          <cell r="I88">
            <v>542.28</v>
          </cell>
          <cell r="J88" t="str">
            <v>glb</v>
          </cell>
        </row>
        <row r="89">
          <cell r="B89" t="str">
            <v>Codigo</v>
          </cell>
          <cell r="C89" t="str">
            <v>Recurso</v>
          </cell>
          <cell r="F89" t="str">
            <v>UND</v>
          </cell>
          <cell r="G89" t="str">
            <v>Cuadrilla</v>
          </cell>
          <cell r="H89" t="str">
            <v>Cantidad</v>
          </cell>
          <cell r="I89" t="str">
            <v>C.U.</v>
          </cell>
          <cell r="J89" t="str">
            <v>C.Parcial</v>
          </cell>
          <cell r="K89" t="str">
            <v>SUBTOTAL</v>
          </cell>
        </row>
        <row r="90">
          <cell r="A90" t="str">
            <v>10800(C)</v>
          </cell>
          <cell r="B90" t="str">
            <v>Mano de Obra</v>
          </cell>
          <cell r="K90">
            <v>125.97999999999999</v>
          </cell>
          <cell r="L90" t="str">
            <v>(C)</v>
          </cell>
        </row>
        <row r="91">
          <cell r="B91" t="str">
            <v>TF00002</v>
          </cell>
          <cell r="C91" t="str">
            <v>Capataz</v>
          </cell>
          <cell r="F91" t="str">
            <v>hh</v>
          </cell>
          <cell r="G91">
            <v>0.22727272727272727</v>
          </cell>
          <cell r="H91">
            <v>2.5</v>
          </cell>
          <cell r="I91">
            <v>7.0299999999999994</v>
          </cell>
          <cell r="J91">
            <v>17.579999999999998</v>
          </cell>
        </row>
        <row r="92">
          <cell r="B92" t="str">
            <v>TF00015</v>
          </cell>
          <cell r="C92" t="str">
            <v>Rigger</v>
          </cell>
          <cell r="F92" t="str">
            <v>hh</v>
          </cell>
          <cell r="G92">
            <v>0.45454545454545453</v>
          </cell>
          <cell r="H92">
            <v>5</v>
          </cell>
          <cell r="I92">
            <v>12</v>
          </cell>
          <cell r="J92">
            <v>60</v>
          </cell>
        </row>
        <row r="93">
          <cell r="B93" t="str">
            <v>TF00120</v>
          </cell>
          <cell r="C93" t="str">
            <v>Vientero</v>
          </cell>
          <cell r="F93" t="str">
            <v>hh</v>
          </cell>
          <cell r="G93">
            <v>0.90909090909090906</v>
          </cell>
          <cell r="H93">
            <v>10</v>
          </cell>
          <cell r="I93">
            <v>4.84</v>
          </cell>
          <cell r="J93">
            <v>48.4</v>
          </cell>
        </row>
        <row r="94">
          <cell r="J94">
            <v>125.97999999999999</v>
          </cell>
        </row>
        <row r="95">
          <cell r="A95" t="str">
            <v>10800(D)</v>
          </cell>
          <cell r="B95" t="str">
            <v>Herramientas y Equipos</v>
          </cell>
          <cell r="K95">
            <v>416.3</v>
          </cell>
          <cell r="L95" t="str">
            <v>(D)</v>
          </cell>
        </row>
        <row r="96">
          <cell r="B96" t="str">
            <v>TF00060</v>
          </cell>
          <cell r="C96" t="str">
            <v>Herramientas (% Mano Obra)</v>
          </cell>
          <cell r="F96" t="str">
            <v>%</v>
          </cell>
          <cell r="H96">
            <v>0.05</v>
          </cell>
          <cell r="I96">
            <v>125.97999999999999</v>
          </cell>
          <cell r="J96">
            <v>6.3</v>
          </cell>
        </row>
        <row r="97">
          <cell r="B97" t="str">
            <v>TF00037</v>
          </cell>
          <cell r="C97" t="str">
            <v>Camión Grúa de 12-20 Ton.</v>
          </cell>
          <cell r="F97" t="str">
            <v>hm</v>
          </cell>
          <cell r="G97">
            <v>0.45454545454545453</v>
          </cell>
          <cell r="H97">
            <v>5</v>
          </cell>
          <cell r="I97">
            <v>82</v>
          </cell>
          <cell r="J97">
            <v>410</v>
          </cell>
        </row>
        <row r="98">
          <cell r="J98">
            <v>416.3</v>
          </cell>
        </row>
        <row r="101">
          <cell r="A101">
            <v>10801</v>
          </cell>
          <cell r="B101" t="str">
            <v>Partida</v>
          </cell>
          <cell r="C101">
            <v>1.06</v>
          </cell>
          <cell r="D101" t="str">
            <v>Perfilado de material 3B en los taludes interiores del dique de morrena</v>
          </cell>
          <cell r="K101">
            <v>1.55</v>
          </cell>
        </row>
        <row r="102">
          <cell r="B102" t="str">
            <v>Rendimiento:</v>
          </cell>
          <cell r="C102">
            <v>58.5</v>
          </cell>
          <cell r="D102" t="str">
            <v>m3</v>
          </cell>
          <cell r="E102" t="str">
            <v>/hr</v>
          </cell>
          <cell r="H102" t="str">
            <v>C.U. Total:</v>
          </cell>
          <cell r="I102">
            <v>1.55</v>
          </cell>
          <cell r="J102" t="str">
            <v>m3</v>
          </cell>
        </row>
        <row r="103">
          <cell r="B103" t="str">
            <v>Codigo</v>
          </cell>
          <cell r="C103" t="str">
            <v>Recurso</v>
          </cell>
          <cell r="F103" t="str">
            <v>UND</v>
          </cell>
          <cell r="G103" t="str">
            <v>Cuadrilla</v>
          </cell>
          <cell r="H103" t="str">
            <v>Cantidad</v>
          </cell>
          <cell r="I103" t="str">
            <v>C.U.</v>
          </cell>
          <cell r="J103" t="str">
            <v>C.Parcial</v>
          </cell>
          <cell r="K103" t="str">
            <v>SUBTOTAL</v>
          </cell>
        </row>
        <row r="104">
          <cell r="A104" t="str">
            <v>10801(C)</v>
          </cell>
          <cell r="B104" t="str">
            <v>Mano de Obra</v>
          </cell>
          <cell r="K104">
            <v>0.45</v>
          </cell>
          <cell r="L104" t="str">
            <v>(C)</v>
          </cell>
        </row>
        <row r="105">
          <cell r="B105" t="str">
            <v>TF00002</v>
          </cell>
          <cell r="C105" t="str">
            <v>Capataz</v>
          </cell>
          <cell r="F105" t="str">
            <v>hh</v>
          </cell>
          <cell r="G105">
            <v>0.35</v>
          </cell>
          <cell r="H105">
            <v>6.0000000000000001E-3</v>
          </cell>
          <cell r="I105">
            <v>7.0299999999999994</v>
          </cell>
          <cell r="J105">
            <v>0.04</v>
          </cell>
        </row>
        <row r="106">
          <cell r="B106" t="str">
            <v>TF00012</v>
          </cell>
          <cell r="C106" t="str">
            <v>Peón</v>
          </cell>
          <cell r="F106" t="str">
            <v>hh</v>
          </cell>
          <cell r="G106">
            <v>4</v>
          </cell>
          <cell r="H106">
            <v>6.8400000000000002E-2</v>
          </cell>
          <cell r="I106">
            <v>4.84</v>
          </cell>
          <cell r="J106">
            <v>0.33</v>
          </cell>
        </row>
        <row r="107">
          <cell r="B107" t="str">
            <v>TF00014</v>
          </cell>
          <cell r="C107" t="str">
            <v>Vigía</v>
          </cell>
          <cell r="F107" t="str">
            <v>hh</v>
          </cell>
          <cell r="G107">
            <v>1</v>
          </cell>
          <cell r="H107">
            <v>1.7100000000000001E-2</v>
          </cell>
          <cell r="I107">
            <v>4.84</v>
          </cell>
          <cell r="J107">
            <v>0.08</v>
          </cell>
        </row>
        <row r="108">
          <cell r="J108">
            <v>0.45</v>
          </cell>
        </row>
        <row r="109">
          <cell r="A109" t="str">
            <v>10801(D)</v>
          </cell>
          <cell r="B109" t="str">
            <v>Herramientas y Equipos</v>
          </cell>
          <cell r="K109">
            <v>1.1000000000000001</v>
          </cell>
          <cell r="L109" t="str">
            <v>(D)</v>
          </cell>
        </row>
        <row r="110">
          <cell r="B110" t="str">
            <v>TF00060</v>
          </cell>
          <cell r="C110" t="str">
            <v>Herramientas (% Mano Obra)</v>
          </cell>
          <cell r="F110" t="str">
            <v>%</v>
          </cell>
          <cell r="H110">
            <v>0.05</v>
          </cell>
          <cell r="I110">
            <v>0.45</v>
          </cell>
          <cell r="J110">
            <v>0.02</v>
          </cell>
        </row>
        <row r="111">
          <cell r="B111" t="str">
            <v>TF00024</v>
          </cell>
          <cell r="C111" t="str">
            <v>Excavadora John Deere 290</v>
          </cell>
          <cell r="F111" t="str">
            <v>hm</v>
          </cell>
          <cell r="G111">
            <v>1</v>
          </cell>
          <cell r="H111">
            <v>1.7100000000000001E-2</v>
          </cell>
          <cell r="I111">
            <v>62</v>
          </cell>
          <cell r="J111">
            <v>1.06</v>
          </cell>
        </row>
        <row r="112">
          <cell r="B112" t="str">
            <v>TF00041</v>
          </cell>
          <cell r="C112" t="str">
            <v>Luminaria 4K</v>
          </cell>
          <cell r="F112" t="str">
            <v>hm</v>
          </cell>
          <cell r="G112">
            <v>0.5</v>
          </cell>
          <cell r="H112">
            <v>8.6E-3</v>
          </cell>
          <cell r="I112">
            <v>2.2799999999999998</v>
          </cell>
          <cell r="J112">
            <v>0.02</v>
          </cell>
        </row>
        <row r="113">
          <cell r="J113">
            <v>1.1000000000000001</v>
          </cell>
        </row>
        <row r="116">
          <cell r="A116">
            <v>10802</v>
          </cell>
          <cell r="B116" t="str">
            <v>Partida</v>
          </cell>
          <cell r="C116">
            <v>1.07</v>
          </cell>
          <cell r="D116" t="str">
            <v>Conformación de cunetas interiores provisionales</v>
          </cell>
          <cell r="K116">
            <v>4.96</v>
          </cell>
        </row>
        <row r="117">
          <cell r="B117" t="str">
            <v>Rendimiento:</v>
          </cell>
          <cell r="C117">
            <v>16</v>
          </cell>
          <cell r="D117" t="str">
            <v>m</v>
          </cell>
          <cell r="E117" t="str">
            <v>/hr</v>
          </cell>
          <cell r="H117" t="str">
            <v>C.U. Total:</v>
          </cell>
          <cell r="I117">
            <v>4.96</v>
          </cell>
          <cell r="J117" t="str">
            <v>m</v>
          </cell>
        </row>
        <row r="118">
          <cell r="B118" t="str">
            <v>Codigo</v>
          </cell>
          <cell r="C118" t="str">
            <v>Recurso</v>
          </cell>
          <cell r="F118" t="str">
            <v>UND</v>
          </cell>
          <cell r="G118" t="str">
            <v>Cuadrilla</v>
          </cell>
          <cell r="H118" t="str">
            <v>Cantidad</v>
          </cell>
          <cell r="I118" t="str">
            <v>C.U.</v>
          </cell>
          <cell r="J118" t="str">
            <v>C.Parcial</v>
          </cell>
          <cell r="K118" t="str">
            <v>SUBTOTAL</v>
          </cell>
        </row>
        <row r="119">
          <cell r="A119" t="str">
            <v>10802(C)</v>
          </cell>
          <cell r="B119" t="str">
            <v>Mano de Obra</v>
          </cell>
          <cell r="K119">
            <v>1.06</v>
          </cell>
          <cell r="L119" t="str">
            <v>(C)</v>
          </cell>
        </row>
        <row r="120">
          <cell r="B120" t="str">
            <v>TF00002</v>
          </cell>
          <cell r="C120" t="str">
            <v>Capataz</v>
          </cell>
          <cell r="F120" t="str">
            <v>hh</v>
          </cell>
          <cell r="G120">
            <v>0.35</v>
          </cell>
          <cell r="H120">
            <v>2.1899999999999999E-2</v>
          </cell>
          <cell r="I120">
            <v>7.0299999999999994</v>
          </cell>
          <cell r="J120">
            <v>0.15</v>
          </cell>
        </row>
        <row r="121">
          <cell r="B121" t="str">
            <v>TF00014</v>
          </cell>
          <cell r="C121" t="str">
            <v>Vigía</v>
          </cell>
          <cell r="F121" t="str">
            <v>hh</v>
          </cell>
          <cell r="G121">
            <v>1</v>
          </cell>
          <cell r="H121">
            <v>6.25E-2</v>
          </cell>
          <cell r="I121">
            <v>4.84</v>
          </cell>
          <cell r="J121">
            <v>0.3</v>
          </cell>
        </row>
        <row r="122">
          <cell r="B122" t="str">
            <v>TF00012</v>
          </cell>
          <cell r="C122" t="str">
            <v>Peón</v>
          </cell>
          <cell r="F122" t="str">
            <v>hh</v>
          </cell>
          <cell r="G122">
            <v>2</v>
          </cell>
          <cell r="H122">
            <v>0.125</v>
          </cell>
          <cell r="I122">
            <v>4.84</v>
          </cell>
          <cell r="J122">
            <v>0.61</v>
          </cell>
        </row>
        <row r="123">
          <cell r="J123">
            <v>1.06</v>
          </cell>
        </row>
        <row r="124">
          <cell r="A124" t="str">
            <v>10802(D)</v>
          </cell>
          <cell r="B124" t="str">
            <v>Herramientas y Equipos</v>
          </cell>
          <cell r="K124">
            <v>3.9</v>
          </cell>
          <cell r="L124" t="str">
            <v>(D)</v>
          </cell>
        </row>
        <row r="125">
          <cell r="B125" t="str">
            <v>TF00060</v>
          </cell>
          <cell r="C125" t="str">
            <v>Herramientas (% Mano Obra)</v>
          </cell>
          <cell r="F125" t="str">
            <v>%</v>
          </cell>
          <cell r="H125">
            <v>0.02</v>
          </cell>
          <cell r="I125">
            <v>1.06</v>
          </cell>
          <cell r="J125">
            <v>0.02</v>
          </cell>
        </row>
        <row r="126">
          <cell r="B126" t="str">
            <v>TF00024</v>
          </cell>
          <cell r="C126" t="str">
            <v>Excavadora John Deere 290</v>
          </cell>
          <cell r="F126" t="str">
            <v>hm</v>
          </cell>
          <cell r="G126">
            <v>1</v>
          </cell>
          <cell r="H126">
            <v>6.25E-2</v>
          </cell>
          <cell r="I126">
            <v>62</v>
          </cell>
          <cell r="J126">
            <v>3.88</v>
          </cell>
        </row>
        <row r="127">
          <cell r="J127">
            <v>3.9</v>
          </cell>
        </row>
        <row r="130">
          <cell r="A130">
            <v>10854</v>
          </cell>
          <cell r="B130" t="str">
            <v>Partida</v>
          </cell>
          <cell r="C130" t="str">
            <v>2.1.01</v>
          </cell>
          <cell r="D130" t="str">
            <v>Excavación en relleno enrocado de 3B</v>
          </cell>
          <cell r="K130">
            <v>1.4900000000000002</v>
          </cell>
        </row>
        <row r="131">
          <cell r="B131" t="str">
            <v>Rendimiento:</v>
          </cell>
          <cell r="C131">
            <v>48.65</v>
          </cell>
          <cell r="D131" t="str">
            <v>m3</v>
          </cell>
          <cell r="H131" t="str">
            <v>C.U. Total:</v>
          </cell>
          <cell r="I131">
            <v>1.4900000000000002</v>
          </cell>
          <cell r="J131" t="str">
            <v>m3</v>
          </cell>
        </row>
        <row r="132">
          <cell r="B132" t="str">
            <v>Codigo</v>
          </cell>
          <cell r="C132" t="str">
            <v>Recurso</v>
          </cell>
          <cell r="F132" t="str">
            <v>UND</v>
          </cell>
          <cell r="G132" t="str">
            <v>Cuadrilla</v>
          </cell>
          <cell r="H132" t="str">
            <v>Cantidad</v>
          </cell>
          <cell r="I132" t="str">
            <v>C.U.</v>
          </cell>
          <cell r="J132" t="str">
            <v>C.Parcial</v>
          </cell>
          <cell r="K132" t="str">
            <v>SUBTOTAL</v>
          </cell>
        </row>
        <row r="133">
          <cell r="A133" t="str">
            <v>10854(C)</v>
          </cell>
          <cell r="B133" t="str">
            <v>Mano de Obra</v>
          </cell>
          <cell r="K133">
            <v>0.15000000000000002</v>
          </cell>
          <cell r="L133" t="str">
            <v>(C)</v>
          </cell>
        </row>
        <row r="134">
          <cell r="B134" t="str">
            <v>TF00002</v>
          </cell>
          <cell r="C134" t="str">
            <v>Capataz</v>
          </cell>
          <cell r="F134" t="str">
            <v>hh</v>
          </cell>
          <cell r="G134">
            <v>0.35</v>
          </cell>
          <cell r="H134">
            <v>7.2000000000000007E-3</v>
          </cell>
          <cell r="I134">
            <v>7.0299999999999994</v>
          </cell>
          <cell r="J134">
            <v>0.05</v>
          </cell>
        </row>
        <row r="135">
          <cell r="B135" t="str">
            <v>TF00014</v>
          </cell>
          <cell r="C135" t="str">
            <v>Vigía</v>
          </cell>
          <cell r="F135" t="str">
            <v>hh</v>
          </cell>
          <cell r="G135">
            <v>1</v>
          </cell>
          <cell r="H135">
            <v>2.06E-2</v>
          </cell>
          <cell r="I135">
            <v>4.84</v>
          </cell>
          <cell r="J135">
            <v>0.1</v>
          </cell>
        </row>
        <row r="136">
          <cell r="J136">
            <v>0.15000000000000002</v>
          </cell>
        </row>
        <row r="137">
          <cell r="A137" t="str">
            <v>10854(D)</v>
          </cell>
          <cell r="B137" t="str">
            <v>Herramientas y Equipos</v>
          </cell>
          <cell r="K137">
            <v>1.34</v>
          </cell>
          <cell r="L137" t="str">
            <v>(D)</v>
          </cell>
        </row>
        <row r="138">
          <cell r="B138" t="str">
            <v>TF00060</v>
          </cell>
          <cell r="C138" t="str">
            <v>Herramientas (% Mano Obra)</v>
          </cell>
          <cell r="F138" t="str">
            <v>%</v>
          </cell>
          <cell r="H138">
            <v>0.05</v>
          </cell>
          <cell r="I138">
            <v>0.15000000000000002</v>
          </cell>
          <cell r="J138">
            <v>0.01</v>
          </cell>
        </row>
        <row r="139">
          <cell r="B139" t="str">
            <v>TF00024</v>
          </cell>
          <cell r="C139" t="str">
            <v>Excavadora John Deere 290</v>
          </cell>
          <cell r="F139" t="str">
            <v>hm</v>
          </cell>
          <cell r="G139">
            <v>1</v>
          </cell>
          <cell r="H139">
            <v>2.06E-2</v>
          </cell>
          <cell r="I139">
            <v>62</v>
          </cell>
          <cell r="J139">
            <v>1.28</v>
          </cell>
        </row>
        <row r="140">
          <cell r="B140" t="str">
            <v>TF00041</v>
          </cell>
          <cell r="C140" t="str">
            <v>Luminaria 4K</v>
          </cell>
          <cell r="F140" t="str">
            <v>hm</v>
          </cell>
          <cell r="G140">
            <v>1</v>
          </cell>
          <cell r="H140">
            <v>2.06E-2</v>
          </cell>
          <cell r="I140">
            <v>2.2799999999999998</v>
          </cell>
          <cell r="J140">
            <v>0.05</v>
          </cell>
        </row>
        <row r="141">
          <cell r="J141">
            <v>1.34</v>
          </cell>
        </row>
        <row r="144">
          <cell r="A144">
            <v>10855</v>
          </cell>
          <cell r="B144" t="str">
            <v>Partida</v>
          </cell>
          <cell r="C144" t="str">
            <v>2.1.02</v>
          </cell>
          <cell r="D144" t="str">
            <v>Transporte y eliminación de material enrocado d&lt;1km</v>
          </cell>
          <cell r="K144">
            <v>2.83</v>
          </cell>
        </row>
        <row r="145">
          <cell r="B145" t="str">
            <v>Rendimiento:</v>
          </cell>
          <cell r="C145">
            <v>48.65</v>
          </cell>
          <cell r="D145" t="str">
            <v>m3-km</v>
          </cell>
          <cell r="H145" t="str">
            <v>C.U. Total:</v>
          </cell>
          <cell r="I145">
            <v>2.83</v>
          </cell>
          <cell r="J145" t="str">
            <v>m3-km</v>
          </cell>
        </row>
        <row r="146">
          <cell r="B146" t="str">
            <v>Codigo</v>
          </cell>
          <cell r="C146" t="str">
            <v>Recurso</v>
          </cell>
          <cell r="F146" t="str">
            <v>UND</v>
          </cell>
          <cell r="G146" t="str">
            <v>Cuadrilla</v>
          </cell>
          <cell r="H146" t="str">
            <v>Cantidad</v>
          </cell>
          <cell r="I146" t="str">
            <v>C.U.</v>
          </cell>
          <cell r="J146" t="str">
            <v>C.Parcial</v>
          </cell>
          <cell r="K146" t="str">
            <v>SUBTOTAL</v>
          </cell>
        </row>
        <row r="147">
          <cell r="A147" t="str">
            <v>10855(C)</v>
          </cell>
          <cell r="B147" t="str">
            <v>Mano de Obra</v>
          </cell>
          <cell r="K147">
            <v>0.35000000000000003</v>
          </cell>
          <cell r="L147" t="str">
            <v>(C)</v>
          </cell>
        </row>
        <row r="148">
          <cell r="B148" t="str">
            <v>TF00002</v>
          </cell>
          <cell r="C148" t="str">
            <v>Capataz</v>
          </cell>
          <cell r="F148" t="str">
            <v>hh</v>
          </cell>
          <cell r="G148">
            <v>0.35</v>
          </cell>
          <cell r="H148">
            <v>7.2000000000000007E-3</v>
          </cell>
          <cell r="I148">
            <v>7.0299999999999994</v>
          </cell>
          <cell r="J148">
            <v>0.05</v>
          </cell>
        </row>
        <row r="149">
          <cell r="B149" t="str">
            <v>TF00013</v>
          </cell>
          <cell r="C149" t="str">
            <v>Cuadrador</v>
          </cell>
          <cell r="F149" t="str">
            <v>hh</v>
          </cell>
          <cell r="G149">
            <v>1</v>
          </cell>
          <cell r="H149">
            <v>2.06E-2</v>
          </cell>
          <cell r="I149">
            <v>4.84</v>
          </cell>
          <cell r="J149">
            <v>0.1</v>
          </cell>
        </row>
        <row r="150">
          <cell r="B150" t="str">
            <v>TF00014</v>
          </cell>
          <cell r="C150" t="str">
            <v>Vigía</v>
          </cell>
          <cell r="F150" t="str">
            <v>hh</v>
          </cell>
          <cell r="G150">
            <v>2</v>
          </cell>
          <cell r="H150">
            <v>4.1200000000000001E-2</v>
          </cell>
          <cell r="I150">
            <v>4.84</v>
          </cell>
          <cell r="J150">
            <v>0.2</v>
          </cell>
        </row>
        <row r="151">
          <cell r="J151">
            <v>0.35000000000000003</v>
          </cell>
        </row>
        <row r="152">
          <cell r="A152" t="str">
            <v>10855(D)</v>
          </cell>
          <cell r="B152" t="str">
            <v>Herramientas y Equipos</v>
          </cell>
          <cell r="K152">
            <v>2.48</v>
          </cell>
          <cell r="L152" t="str">
            <v>(D)</v>
          </cell>
        </row>
        <row r="153">
          <cell r="B153" t="str">
            <v>TF00060</v>
          </cell>
          <cell r="C153" t="str">
            <v>Herramientas (% Mano Obra)</v>
          </cell>
          <cell r="F153" t="str">
            <v>%</v>
          </cell>
          <cell r="H153">
            <v>0.05</v>
          </cell>
          <cell r="I153">
            <v>0.35000000000000003</v>
          </cell>
          <cell r="J153">
            <v>0.02</v>
          </cell>
        </row>
        <row r="154">
          <cell r="B154" t="str">
            <v>TF00021</v>
          </cell>
          <cell r="C154" t="str">
            <v>Tractor sobre Orugas CAT D8T</v>
          </cell>
          <cell r="F154" t="str">
            <v>hm</v>
          </cell>
          <cell r="G154">
            <v>0.6</v>
          </cell>
          <cell r="H154">
            <v>1.24E-2</v>
          </cell>
          <cell r="I154">
            <v>87</v>
          </cell>
          <cell r="J154">
            <v>1.08</v>
          </cell>
        </row>
        <row r="155">
          <cell r="B155" t="str">
            <v>TF00027</v>
          </cell>
          <cell r="C155" t="str">
            <v>Volquete de 17 m3</v>
          </cell>
          <cell r="F155" t="str">
            <v>hm</v>
          </cell>
          <cell r="G155">
            <v>2</v>
          </cell>
          <cell r="H155">
            <v>4.1200000000000001E-2</v>
          </cell>
          <cell r="I155">
            <v>33</v>
          </cell>
          <cell r="J155">
            <v>1.36</v>
          </cell>
        </row>
        <row r="156">
          <cell r="B156" t="str">
            <v>TF00041</v>
          </cell>
          <cell r="C156" t="str">
            <v>Luminaria 4K</v>
          </cell>
          <cell r="F156" t="str">
            <v>hm</v>
          </cell>
          <cell r="G156">
            <v>0.5</v>
          </cell>
          <cell r="H156">
            <v>1.03E-2</v>
          </cell>
          <cell r="I156">
            <v>2.2799999999999998</v>
          </cell>
          <cell r="J156">
            <v>0.02</v>
          </cell>
        </row>
        <row r="157">
          <cell r="J157">
            <v>2.48</v>
          </cell>
        </row>
        <row r="160">
          <cell r="A160">
            <v>10856</v>
          </cell>
          <cell r="B160" t="str">
            <v>Partida</v>
          </cell>
          <cell r="C160" t="str">
            <v>2.1.03</v>
          </cell>
          <cell r="D160" t="str">
            <v>Conformación de botadero de material enrocado 3B</v>
          </cell>
          <cell r="K160">
            <v>0.43</v>
          </cell>
        </row>
        <row r="161">
          <cell r="B161" t="str">
            <v>Rendimiento:</v>
          </cell>
          <cell r="C161">
            <v>160</v>
          </cell>
          <cell r="D161" t="str">
            <v>m3</v>
          </cell>
          <cell r="H161" t="str">
            <v>C.U. Total:</v>
          </cell>
          <cell r="I161">
            <v>0.43</v>
          </cell>
          <cell r="J161" t="str">
            <v>m3</v>
          </cell>
        </row>
        <row r="162">
          <cell r="B162" t="str">
            <v>Codigo</v>
          </cell>
          <cell r="C162" t="str">
            <v>Recurso</v>
          </cell>
          <cell r="F162" t="str">
            <v>UND</v>
          </cell>
          <cell r="G162" t="str">
            <v>Cuadrilla</v>
          </cell>
          <cell r="H162" t="str">
            <v>Cantidad</v>
          </cell>
          <cell r="I162" t="str">
            <v>C.U.</v>
          </cell>
          <cell r="J162" t="str">
            <v>C.Parcial</v>
          </cell>
          <cell r="K162" t="str">
            <v>SUBTOTAL</v>
          </cell>
        </row>
        <row r="163">
          <cell r="A163" t="str">
            <v>10856(C)</v>
          </cell>
          <cell r="B163" t="str">
            <v>Mano de Obra</v>
          </cell>
          <cell r="K163">
            <v>0.05</v>
          </cell>
          <cell r="L163" t="str">
            <v>(C)</v>
          </cell>
        </row>
        <row r="164">
          <cell r="B164" t="str">
            <v>TF00002</v>
          </cell>
          <cell r="C164" t="str">
            <v>Capataz</v>
          </cell>
          <cell r="F164" t="str">
            <v>hh</v>
          </cell>
          <cell r="G164">
            <v>0.35</v>
          </cell>
          <cell r="H164">
            <v>2.1999999999999997E-3</v>
          </cell>
          <cell r="I164">
            <v>7.0299999999999994</v>
          </cell>
          <cell r="J164">
            <v>0.02</v>
          </cell>
        </row>
        <row r="165">
          <cell r="B165" t="str">
            <v>TF00014</v>
          </cell>
          <cell r="C165" t="str">
            <v>Vigía</v>
          </cell>
          <cell r="F165" t="str">
            <v>hh</v>
          </cell>
          <cell r="G165">
            <v>1</v>
          </cell>
          <cell r="H165">
            <v>6.3E-3</v>
          </cell>
          <cell r="I165">
            <v>4.84</v>
          </cell>
          <cell r="J165">
            <v>0.03</v>
          </cell>
        </row>
        <row r="166">
          <cell r="J166">
            <v>0.05</v>
          </cell>
        </row>
        <row r="167">
          <cell r="A167" t="str">
            <v>10856(D)</v>
          </cell>
          <cell r="B167" t="str">
            <v>Herramientas y Equipos</v>
          </cell>
          <cell r="K167">
            <v>0.38</v>
          </cell>
          <cell r="L167" t="str">
            <v>(D)</v>
          </cell>
        </row>
        <row r="168">
          <cell r="B168" t="str">
            <v>TF00060</v>
          </cell>
          <cell r="C168" t="str">
            <v>Herramientas (% Mano Obra)</v>
          </cell>
          <cell r="F168" t="str">
            <v>%</v>
          </cell>
          <cell r="H168">
            <v>0.05</v>
          </cell>
          <cell r="I168">
            <v>0.05</v>
          </cell>
          <cell r="J168">
            <v>0</v>
          </cell>
        </row>
        <row r="169">
          <cell r="B169" t="str">
            <v>TF00022</v>
          </cell>
          <cell r="C169" t="str">
            <v>Tractor sobre Orugas CAT D6T</v>
          </cell>
          <cell r="F169" t="str">
            <v>hm</v>
          </cell>
          <cell r="G169">
            <v>1</v>
          </cell>
          <cell r="H169">
            <v>6.3E-3</v>
          </cell>
          <cell r="I169">
            <v>59</v>
          </cell>
          <cell r="J169">
            <v>0.37</v>
          </cell>
        </row>
        <row r="170">
          <cell r="B170" t="str">
            <v>TF00041</v>
          </cell>
          <cell r="C170" t="str">
            <v>Luminaria 4K</v>
          </cell>
          <cell r="F170" t="str">
            <v>hm</v>
          </cell>
          <cell r="G170">
            <v>0.5</v>
          </cell>
          <cell r="H170">
            <v>3.1999999999999997E-3</v>
          </cell>
          <cell r="I170">
            <v>2.2799999999999998</v>
          </cell>
          <cell r="J170">
            <v>0.01</v>
          </cell>
        </row>
        <row r="171">
          <cell r="J171">
            <v>0.38</v>
          </cell>
        </row>
        <row r="174">
          <cell r="A174">
            <v>10807</v>
          </cell>
          <cell r="B174" t="str">
            <v>Partida</v>
          </cell>
          <cell r="C174" t="str">
            <v>2.2.01</v>
          </cell>
          <cell r="D174" t="str">
            <v>Extracción de Morrena</v>
          </cell>
          <cell r="K174">
            <v>2.25</v>
          </cell>
        </row>
        <row r="175">
          <cell r="B175" t="str">
            <v>Rendimiento:</v>
          </cell>
          <cell r="C175">
            <v>97</v>
          </cell>
          <cell r="D175" t="str">
            <v>m3</v>
          </cell>
          <cell r="H175" t="str">
            <v>C.U. Total:</v>
          </cell>
          <cell r="I175">
            <v>2.25</v>
          </cell>
          <cell r="J175" t="str">
            <v>m3</v>
          </cell>
        </row>
        <row r="176">
          <cell r="B176" t="str">
            <v>Codigo</v>
          </cell>
          <cell r="C176" t="str">
            <v>Recurso</v>
          </cell>
          <cell r="F176" t="str">
            <v>UND</v>
          </cell>
          <cell r="G176" t="str">
            <v>Cuadrilla</v>
          </cell>
          <cell r="H176" t="str">
            <v>Cantidad</v>
          </cell>
          <cell r="I176" t="str">
            <v>C.U.</v>
          </cell>
          <cell r="J176" t="str">
            <v>C.Parcial</v>
          </cell>
          <cell r="K176" t="str">
            <v>SUBTOTAL</v>
          </cell>
        </row>
        <row r="177">
          <cell r="A177" t="str">
            <v>10807(C)</v>
          </cell>
          <cell r="B177" t="str">
            <v>Mano de Obra</v>
          </cell>
          <cell r="K177">
            <v>0.18</v>
          </cell>
          <cell r="L177" t="str">
            <v>(C)</v>
          </cell>
        </row>
        <row r="178">
          <cell r="B178" t="str">
            <v>TF00002</v>
          </cell>
          <cell r="C178" t="str">
            <v>Capataz</v>
          </cell>
          <cell r="F178" t="str">
            <v>hh</v>
          </cell>
          <cell r="G178">
            <v>0.35</v>
          </cell>
          <cell r="H178">
            <v>3.6999999999999997E-3</v>
          </cell>
          <cell r="I178">
            <v>7.0299999999999994</v>
          </cell>
          <cell r="J178">
            <v>0.03</v>
          </cell>
        </row>
        <row r="179">
          <cell r="B179" t="str">
            <v>TF00013</v>
          </cell>
          <cell r="C179" t="str">
            <v>Cuadrador</v>
          </cell>
          <cell r="F179" t="str">
            <v>hh</v>
          </cell>
          <cell r="G179">
            <v>1</v>
          </cell>
          <cell r="H179">
            <v>1.04E-2</v>
          </cell>
          <cell r="I179">
            <v>4.84</v>
          </cell>
          <cell r="J179">
            <v>0.05</v>
          </cell>
        </row>
        <row r="180">
          <cell r="B180" t="str">
            <v>TF00014</v>
          </cell>
          <cell r="C180" t="str">
            <v>Vigía</v>
          </cell>
          <cell r="F180" t="str">
            <v>hh</v>
          </cell>
          <cell r="G180">
            <v>2</v>
          </cell>
          <cell r="H180">
            <v>2.07E-2</v>
          </cell>
          <cell r="I180">
            <v>4.84</v>
          </cell>
          <cell r="J180">
            <v>0.1</v>
          </cell>
        </row>
        <row r="181">
          <cell r="J181">
            <v>0.18</v>
          </cell>
        </row>
        <row r="182">
          <cell r="A182" t="str">
            <v>10807(D)</v>
          </cell>
          <cell r="B182" t="str">
            <v>Herramientas y Equipos</v>
          </cell>
          <cell r="K182">
            <v>2.0699999999999998</v>
          </cell>
          <cell r="L182" t="str">
            <v>(D)</v>
          </cell>
        </row>
        <row r="183">
          <cell r="B183" t="str">
            <v>TF00060</v>
          </cell>
          <cell r="C183" t="str">
            <v>Herramientas (% Mano Obra)</v>
          </cell>
          <cell r="F183" t="str">
            <v>%</v>
          </cell>
          <cell r="H183">
            <v>0.05</v>
          </cell>
          <cell r="I183">
            <v>0.18</v>
          </cell>
          <cell r="J183">
            <v>0.01</v>
          </cell>
        </row>
        <row r="184">
          <cell r="B184" t="str">
            <v>TF00023</v>
          </cell>
          <cell r="C184" t="str">
            <v>Excavadora EC 380D</v>
          </cell>
          <cell r="F184" t="str">
            <v>hm</v>
          </cell>
          <cell r="G184">
            <v>1</v>
          </cell>
          <cell r="H184">
            <v>1.04E-2</v>
          </cell>
          <cell r="I184">
            <v>67</v>
          </cell>
          <cell r="J184">
            <v>0.7</v>
          </cell>
        </row>
        <row r="185">
          <cell r="B185" t="str">
            <v>TF00027</v>
          </cell>
          <cell r="C185" t="str">
            <v>Volquete de 17 m3</v>
          </cell>
          <cell r="F185" t="str">
            <v>hm</v>
          </cell>
          <cell r="G185">
            <v>3.9323406478578895</v>
          </cell>
          <cell r="H185">
            <v>4.0600000000000004E-2</v>
          </cell>
          <cell r="I185">
            <v>33</v>
          </cell>
          <cell r="J185">
            <v>1.34</v>
          </cell>
        </row>
        <row r="186">
          <cell r="B186" t="str">
            <v>TF00041</v>
          </cell>
          <cell r="C186" t="str">
            <v>Luminaria 4K</v>
          </cell>
          <cell r="F186" t="str">
            <v>hm</v>
          </cell>
          <cell r="G186">
            <v>1</v>
          </cell>
          <cell r="H186">
            <v>1.04E-2</v>
          </cell>
          <cell r="I186">
            <v>2.2799999999999998</v>
          </cell>
          <cell r="J186">
            <v>0.02</v>
          </cell>
        </row>
        <row r="187">
          <cell r="J187">
            <v>2.0699999999999998</v>
          </cell>
        </row>
        <row r="190">
          <cell r="A190">
            <v>10808</v>
          </cell>
          <cell r="B190" t="str">
            <v>Partida</v>
          </cell>
          <cell r="C190" t="str">
            <v>2.2.02</v>
          </cell>
          <cell r="D190" t="str">
            <v>Preparación y homogenización de material morrena</v>
          </cell>
          <cell r="K190">
            <v>1.6300000000000001</v>
          </cell>
        </row>
        <row r="191">
          <cell r="B191" t="str">
            <v>Rendimiento:</v>
          </cell>
          <cell r="C191">
            <v>87</v>
          </cell>
          <cell r="D191" t="str">
            <v>m3</v>
          </cell>
          <cell r="H191" t="str">
            <v>C.U. Total:</v>
          </cell>
          <cell r="I191">
            <v>1.6300000000000001</v>
          </cell>
          <cell r="J191" t="str">
            <v>m3</v>
          </cell>
        </row>
        <row r="192">
          <cell r="B192" t="str">
            <v>Codigo</v>
          </cell>
          <cell r="C192" t="str">
            <v>Recurso</v>
          </cell>
          <cell r="F192" t="str">
            <v>UND</v>
          </cell>
          <cell r="G192" t="str">
            <v>Cuadrilla</v>
          </cell>
          <cell r="H192" t="str">
            <v>Cantidad</v>
          </cell>
          <cell r="I192" t="str">
            <v>C.U.</v>
          </cell>
          <cell r="J192" t="str">
            <v>C.Parcial</v>
          </cell>
          <cell r="K192" t="str">
            <v>SUBTOTAL</v>
          </cell>
        </row>
        <row r="193">
          <cell r="A193" t="str">
            <v>10808(B)</v>
          </cell>
          <cell r="B193" t="str">
            <v>Materiales</v>
          </cell>
          <cell r="K193">
            <v>0.18</v>
          </cell>
          <cell r="L193" t="str">
            <v>(B)</v>
          </cell>
        </row>
        <row r="194">
          <cell r="B194" t="str">
            <v>TF00049</v>
          </cell>
          <cell r="C194" t="str">
            <v>Manta plastica</v>
          </cell>
          <cell r="F194" t="str">
            <v>glb</v>
          </cell>
          <cell r="H194">
            <v>0.12</v>
          </cell>
          <cell r="I194">
            <v>1.5</v>
          </cell>
          <cell r="J194">
            <v>0.18</v>
          </cell>
        </row>
        <row r="195">
          <cell r="J195">
            <v>0.18</v>
          </cell>
        </row>
        <row r="196">
          <cell r="A196" t="str">
            <v>10808(C)</v>
          </cell>
          <cell r="B196" t="str">
            <v>Mano de Obra</v>
          </cell>
          <cell r="K196">
            <v>0.14000000000000001</v>
          </cell>
          <cell r="L196" t="str">
            <v>(C)</v>
          </cell>
        </row>
        <row r="197">
          <cell r="B197" t="str">
            <v>TF00002</v>
          </cell>
          <cell r="C197" t="str">
            <v>Capataz</v>
          </cell>
          <cell r="F197" t="str">
            <v>hh</v>
          </cell>
          <cell r="G197">
            <v>0.35</v>
          </cell>
          <cell r="H197">
            <v>4.1000000000000003E-3</v>
          </cell>
          <cell r="I197">
            <v>7.0299999999999994</v>
          </cell>
          <cell r="J197">
            <v>0.03</v>
          </cell>
        </row>
        <row r="198">
          <cell r="B198" t="str">
            <v>TF00014</v>
          </cell>
          <cell r="C198" t="str">
            <v>Vigía</v>
          </cell>
          <cell r="F198" t="str">
            <v>hh</v>
          </cell>
          <cell r="G198">
            <v>2</v>
          </cell>
          <cell r="H198">
            <v>2.3E-2</v>
          </cell>
          <cell r="I198">
            <v>4.84</v>
          </cell>
          <cell r="J198">
            <v>0.11</v>
          </cell>
        </row>
        <row r="199">
          <cell r="J199">
            <v>0.14000000000000001</v>
          </cell>
        </row>
        <row r="200">
          <cell r="A200" t="str">
            <v>10808(D)</v>
          </cell>
          <cell r="B200" t="str">
            <v>Herramientas y Equipos</v>
          </cell>
          <cell r="K200">
            <v>1.31</v>
          </cell>
          <cell r="L200" t="str">
            <v>(D)</v>
          </cell>
        </row>
        <row r="201">
          <cell r="B201" t="str">
            <v>TF00060</v>
          </cell>
          <cell r="C201" t="str">
            <v>Herramientas (% Mano Obra)</v>
          </cell>
          <cell r="F201" t="str">
            <v>%</v>
          </cell>
          <cell r="H201">
            <v>0.05</v>
          </cell>
          <cell r="I201">
            <v>0.14000000000000001</v>
          </cell>
          <cell r="J201">
            <v>0.01</v>
          </cell>
        </row>
        <row r="202">
          <cell r="B202" t="str">
            <v>TF00025</v>
          </cell>
          <cell r="C202" t="str">
            <v>Cargador Frontal John Deere 744 K</v>
          </cell>
          <cell r="F202" t="str">
            <v>hm</v>
          </cell>
          <cell r="G202">
            <v>1.4</v>
          </cell>
          <cell r="H202">
            <v>1.61E-2</v>
          </cell>
          <cell r="I202">
            <v>57</v>
          </cell>
          <cell r="J202">
            <v>0.92</v>
          </cell>
        </row>
        <row r="203">
          <cell r="B203" t="str">
            <v>TF00029</v>
          </cell>
          <cell r="C203" t="str">
            <v>Cisterna de agua 5,000 gln.</v>
          </cell>
          <cell r="F203" t="str">
            <v>hm</v>
          </cell>
          <cell r="G203">
            <v>0.5</v>
          </cell>
          <cell r="H203">
            <v>5.8000000000000005E-3</v>
          </cell>
          <cell r="I203">
            <v>32</v>
          </cell>
          <cell r="J203">
            <v>0.19</v>
          </cell>
        </row>
        <row r="204">
          <cell r="B204" t="str">
            <v>TF00050</v>
          </cell>
          <cell r="C204" t="str">
            <v>Zaranda estática con malla de 6"</v>
          </cell>
          <cell r="G204">
            <v>1</v>
          </cell>
          <cell r="H204">
            <v>1.15E-2</v>
          </cell>
          <cell r="I204">
            <v>16</v>
          </cell>
          <cell r="J204">
            <v>0.18</v>
          </cell>
        </row>
        <row r="205">
          <cell r="B205" t="str">
            <v>TF00041</v>
          </cell>
          <cell r="C205" t="str">
            <v>Luminaria 4K</v>
          </cell>
          <cell r="F205" t="str">
            <v>hm</v>
          </cell>
          <cell r="G205">
            <v>0.5</v>
          </cell>
          <cell r="H205">
            <v>5.8000000000000005E-3</v>
          </cell>
          <cell r="I205">
            <v>2.2799999999999998</v>
          </cell>
          <cell r="J205">
            <v>0.01</v>
          </cell>
        </row>
        <row r="206">
          <cell r="J206">
            <v>1.31</v>
          </cell>
        </row>
        <row r="209">
          <cell r="A209">
            <v>10810</v>
          </cell>
          <cell r="B209" t="str">
            <v>Subpartida</v>
          </cell>
          <cell r="C209" t="str">
            <v>2.3.01</v>
          </cell>
          <cell r="D209" t="str">
            <v>Carguío y transporte d&lt;1km de morrena</v>
          </cell>
          <cell r="K209">
            <v>2.29</v>
          </cell>
        </row>
        <row r="210">
          <cell r="B210" t="str">
            <v>Rendimiento:</v>
          </cell>
          <cell r="C210">
            <v>56</v>
          </cell>
          <cell r="D210" t="str">
            <v>m3-km</v>
          </cell>
          <cell r="H210" t="str">
            <v>C.U. Total:</v>
          </cell>
          <cell r="I210">
            <v>2.29</v>
          </cell>
          <cell r="J210" t="str">
            <v>m3-km</v>
          </cell>
        </row>
        <row r="211">
          <cell r="B211" t="str">
            <v>Codigo</v>
          </cell>
          <cell r="C211" t="str">
            <v>Recurso</v>
          </cell>
          <cell r="F211" t="str">
            <v>UND</v>
          </cell>
          <cell r="G211" t="str">
            <v>Cuadrilla</v>
          </cell>
          <cell r="H211" t="str">
            <v>Cantidad</v>
          </cell>
          <cell r="I211" t="str">
            <v>C.U.</v>
          </cell>
          <cell r="J211" t="str">
            <v>C.Parcial</v>
          </cell>
          <cell r="K211" t="str">
            <v>SUBTOTAL</v>
          </cell>
        </row>
        <row r="212">
          <cell r="A212" t="str">
            <v>10810(C)</v>
          </cell>
          <cell r="B212" t="str">
            <v>Mano de Obra</v>
          </cell>
          <cell r="K212">
            <v>7.0000000000000007E-2</v>
          </cell>
          <cell r="L212" t="str">
            <v>(C)</v>
          </cell>
        </row>
        <row r="213">
          <cell r="B213" t="str">
            <v>TF00002</v>
          </cell>
          <cell r="C213" t="str">
            <v>Capataz</v>
          </cell>
          <cell r="F213" t="str">
            <v>hh</v>
          </cell>
          <cell r="G213">
            <v>0.35</v>
          </cell>
          <cell r="H213">
            <v>6.3E-3</v>
          </cell>
          <cell r="I213">
            <v>7.0299999999999994</v>
          </cell>
          <cell r="J213">
            <v>0.04</v>
          </cell>
        </row>
        <row r="214">
          <cell r="B214" t="str">
            <v>TF00014</v>
          </cell>
          <cell r="C214" t="str">
            <v>Vigía</v>
          </cell>
          <cell r="F214" t="str">
            <v>hh</v>
          </cell>
          <cell r="G214">
            <v>0.33333333333333331</v>
          </cell>
          <cell r="H214">
            <v>6.0000000000000001E-3</v>
          </cell>
          <cell r="I214">
            <v>4.84</v>
          </cell>
          <cell r="J214">
            <v>0.03</v>
          </cell>
        </row>
        <row r="215">
          <cell r="J215">
            <v>7.0000000000000007E-2</v>
          </cell>
        </row>
        <row r="216">
          <cell r="A216" t="str">
            <v>10810(D)</v>
          </cell>
          <cell r="B216" t="str">
            <v>Herramientas y Equipos</v>
          </cell>
          <cell r="K216">
            <v>2.2200000000000002</v>
          </cell>
          <cell r="L216" t="str">
            <v>(D)</v>
          </cell>
        </row>
        <row r="217">
          <cell r="B217" t="str">
            <v>TF00060</v>
          </cell>
          <cell r="C217" t="str">
            <v>Herramientas (% Mano Obra)</v>
          </cell>
          <cell r="F217" t="str">
            <v>%</v>
          </cell>
          <cell r="H217">
            <v>0.05</v>
          </cell>
          <cell r="I217">
            <v>7.0000000000000007E-2</v>
          </cell>
          <cell r="J217">
            <v>0</v>
          </cell>
        </row>
        <row r="218">
          <cell r="B218" t="str">
            <v>TF00025</v>
          </cell>
          <cell r="C218" t="str">
            <v>Cargador Frontal John Deere 744 K</v>
          </cell>
          <cell r="F218" t="str">
            <v>hm</v>
          </cell>
          <cell r="G218">
            <v>1</v>
          </cell>
          <cell r="H218">
            <v>1.7899999999999999E-2</v>
          </cell>
          <cell r="I218">
            <v>57</v>
          </cell>
          <cell r="J218">
            <v>1.02</v>
          </cell>
        </row>
        <row r="219">
          <cell r="A219">
            <v>5.1778370378776062</v>
          </cell>
          <cell r="B219" t="str">
            <v>TF00027</v>
          </cell>
          <cell r="C219" t="str">
            <v>Volquete de 17 m3</v>
          </cell>
          <cell r="F219" t="str">
            <v>hm</v>
          </cell>
          <cell r="G219">
            <v>2</v>
          </cell>
          <cell r="H219">
            <v>3.5800000000000005E-2</v>
          </cell>
          <cell r="I219">
            <v>33</v>
          </cell>
          <cell r="J219">
            <v>1.18</v>
          </cell>
        </row>
        <row r="220">
          <cell r="B220" t="str">
            <v>TF00041</v>
          </cell>
          <cell r="C220" t="str">
            <v>Luminaria 4K</v>
          </cell>
          <cell r="F220" t="str">
            <v>hm</v>
          </cell>
          <cell r="G220">
            <v>0.5</v>
          </cell>
          <cell r="H220">
            <v>8.9999999999999993E-3</v>
          </cell>
          <cell r="I220">
            <v>2.2799999999999998</v>
          </cell>
          <cell r="J220">
            <v>0.02</v>
          </cell>
        </row>
        <row r="221">
          <cell r="J221">
            <v>2.2200000000000002</v>
          </cell>
        </row>
        <row r="224">
          <cell r="A224">
            <v>10811</v>
          </cell>
          <cell r="B224" t="str">
            <v>Partida</v>
          </cell>
          <cell r="C224" t="str">
            <v>2.3.02</v>
          </cell>
          <cell r="D224" t="str">
            <v>Transporte d&gt;1km de morrena</v>
          </cell>
          <cell r="K224">
            <v>1.0900000000000001</v>
          </cell>
        </row>
        <row r="225">
          <cell r="B225" t="str">
            <v>Rendimiento:</v>
          </cell>
          <cell r="C225">
            <v>34.299999999999997</v>
          </cell>
          <cell r="D225" t="str">
            <v>m3-km</v>
          </cell>
          <cell r="H225" t="str">
            <v>C.U. Total:</v>
          </cell>
          <cell r="I225">
            <v>1.0900000000000001</v>
          </cell>
          <cell r="J225" t="str">
            <v>m3-km</v>
          </cell>
        </row>
        <row r="226">
          <cell r="B226" t="str">
            <v>Codigo</v>
          </cell>
          <cell r="C226" t="str">
            <v>Recurso</v>
          </cell>
          <cell r="F226" t="str">
            <v>UND</v>
          </cell>
          <cell r="G226" t="str">
            <v>Cuadrilla</v>
          </cell>
          <cell r="H226" t="str">
            <v>Cantidad</v>
          </cell>
          <cell r="I226" t="str">
            <v>C.U.</v>
          </cell>
          <cell r="J226" t="str">
            <v>C.Parcial</v>
          </cell>
          <cell r="K226" t="str">
            <v>SUBTOTAL</v>
          </cell>
        </row>
        <row r="227">
          <cell r="A227" t="str">
            <v>10811(C)</v>
          </cell>
          <cell r="B227" t="str">
            <v>Mano de Obra</v>
          </cell>
          <cell r="K227">
            <v>0.12000000000000001</v>
          </cell>
          <cell r="L227" t="str">
            <v>(C)</v>
          </cell>
        </row>
        <row r="228">
          <cell r="B228" t="str">
            <v>TF00002</v>
          </cell>
          <cell r="C228" t="str">
            <v>Capataz</v>
          </cell>
          <cell r="F228" t="str">
            <v>hh</v>
          </cell>
          <cell r="G228">
            <v>0.35</v>
          </cell>
          <cell r="H228">
            <v>1.03E-2</v>
          </cell>
          <cell r="I228">
            <v>7.0299999999999994</v>
          </cell>
          <cell r="J228">
            <v>7.0000000000000007E-2</v>
          </cell>
        </row>
        <row r="229">
          <cell r="B229" t="str">
            <v>TF00014</v>
          </cell>
          <cell r="C229" t="str">
            <v>Vigía</v>
          </cell>
          <cell r="F229" t="str">
            <v>hh</v>
          </cell>
          <cell r="G229">
            <v>0.33333333333333331</v>
          </cell>
          <cell r="H229">
            <v>9.7999999999999997E-3</v>
          </cell>
          <cell r="I229">
            <v>4.84</v>
          </cell>
          <cell r="J229">
            <v>0.05</v>
          </cell>
        </row>
        <row r="230">
          <cell r="J230">
            <v>0.12000000000000001</v>
          </cell>
        </row>
        <row r="231">
          <cell r="A231" t="str">
            <v>10811(D)</v>
          </cell>
          <cell r="B231" t="str">
            <v>Herramientas y Equipos</v>
          </cell>
          <cell r="K231">
            <v>0.97</v>
          </cell>
          <cell r="L231" t="str">
            <v>(D)</v>
          </cell>
        </row>
        <row r="232">
          <cell r="B232" t="str">
            <v>TF00060</v>
          </cell>
          <cell r="C232" t="str">
            <v>Herramientas (% Mano Obra)</v>
          </cell>
          <cell r="F232" t="str">
            <v>%</v>
          </cell>
          <cell r="H232">
            <v>0.05</v>
          </cell>
          <cell r="I232">
            <v>0.12000000000000001</v>
          </cell>
          <cell r="J232">
            <v>0.01</v>
          </cell>
        </row>
        <row r="233">
          <cell r="B233" t="str">
            <v>TF00027</v>
          </cell>
          <cell r="C233" t="str">
            <v>Volquete de 17 m3</v>
          </cell>
          <cell r="F233" t="str">
            <v>hm</v>
          </cell>
          <cell r="G233">
            <v>1</v>
          </cell>
          <cell r="H233">
            <v>2.92E-2</v>
          </cell>
          <cell r="I233">
            <v>33</v>
          </cell>
          <cell r="J233">
            <v>0.96</v>
          </cell>
        </row>
        <row r="234">
          <cell r="J234">
            <v>0.97</v>
          </cell>
        </row>
        <row r="237">
          <cell r="A237">
            <v>10812</v>
          </cell>
          <cell r="B237" t="str">
            <v>Partida</v>
          </cell>
          <cell r="C237" t="str">
            <v>2.3.03</v>
          </cell>
          <cell r="D237" t="str">
            <v>Relleno de morrena en capas de 0.50m</v>
          </cell>
          <cell r="K237">
            <v>6.4499999999999993</v>
          </cell>
        </row>
        <row r="238">
          <cell r="B238" t="str">
            <v>Rendimiento:</v>
          </cell>
          <cell r="C238">
            <v>18.549999999999997</v>
          </cell>
          <cell r="D238" t="str">
            <v>m3</v>
          </cell>
          <cell r="H238" t="str">
            <v>C.U. Total:</v>
          </cell>
          <cell r="I238">
            <v>6.4499999999999993</v>
          </cell>
          <cell r="J238" t="str">
            <v>m3</v>
          </cell>
        </row>
        <row r="239">
          <cell r="B239" t="str">
            <v>Codigo</v>
          </cell>
          <cell r="C239" t="str">
            <v>Recurso</v>
          </cell>
          <cell r="F239" t="str">
            <v>UND</v>
          </cell>
          <cell r="G239" t="str">
            <v>Cuadrilla</v>
          </cell>
          <cell r="H239" t="str">
            <v>Cantidad</v>
          </cell>
          <cell r="I239" t="str">
            <v>C.U.</v>
          </cell>
          <cell r="J239" t="str">
            <v>C.Parcial</v>
          </cell>
          <cell r="K239" t="str">
            <v>SUBTOTAL</v>
          </cell>
        </row>
        <row r="240">
          <cell r="A240" t="str">
            <v>10812(B)</v>
          </cell>
          <cell r="B240" t="str">
            <v>Materiales</v>
          </cell>
          <cell r="K240">
            <v>0.04</v>
          </cell>
          <cell r="L240" t="str">
            <v>(B)</v>
          </cell>
        </row>
        <row r="241">
          <cell r="B241" t="str">
            <v>TF00051</v>
          </cell>
          <cell r="C241" t="str">
            <v>Materiales varios</v>
          </cell>
          <cell r="F241" t="str">
            <v>glb</v>
          </cell>
          <cell r="H241">
            <v>0.01</v>
          </cell>
          <cell r="I241">
            <v>4</v>
          </cell>
          <cell r="J241">
            <v>0.04</v>
          </cell>
        </row>
        <row r="242">
          <cell r="J242">
            <v>0.04</v>
          </cell>
        </row>
        <row r="243">
          <cell r="A243" t="str">
            <v>10812(C)</v>
          </cell>
          <cell r="B243" t="str">
            <v>Mano de Obra</v>
          </cell>
          <cell r="K243">
            <v>0.97</v>
          </cell>
          <cell r="L243" t="str">
            <v>(C)</v>
          </cell>
        </row>
        <row r="244">
          <cell r="B244" t="str">
            <v>TF00002</v>
          </cell>
          <cell r="C244" t="str">
            <v>Capataz</v>
          </cell>
          <cell r="F244" t="str">
            <v>hh</v>
          </cell>
          <cell r="G244">
            <v>0.35</v>
          </cell>
          <cell r="H244">
            <v>1.89E-2</v>
          </cell>
          <cell r="I244">
            <v>7.0299999999999994</v>
          </cell>
          <cell r="J244">
            <v>0.13</v>
          </cell>
        </row>
        <row r="245">
          <cell r="B245" t="str">
            <v>TF00015</v>
          </cell>
          <cell r="C245" t="str">
            <v>Rigger</v>
          </cell>
          <cell r="F245" t="str">
            <v>hh</v>
          </cell>
          <cell r="G245">
            <v>0.1</v>
          </cell>
          <cell r="H245">
            <v>5.4000000000000003E-3</v>
          </cell>
          <cell r="I245">
            <v>12</v>
          </cell>
          <cell r="J245">
            <v>0.06</v>
          </cell>
        </row>
        <row r="246">
          <cell r="B246" t="str">
            <v>TF00012</v>
          </cell>
          <cell r="C246" t="str">
            <v>Peón</v>
          </cell>
          <cell r="F246" t="str">
            <v>hh</v>
          </cell>
          <cell r="G246">
            <v>2</v>
          </cell>
          <cell r="H246">
            <v>0.10790000000000001</v>
          </cell>
          <cell r="I246">
            <v>4.84</v>
          </cell>
          <cell r="J246">
            <v>0.52</v>
          </cell>
        </row>
        <row r="247">
          <cell r="B247" t="str">
            <v>TF00014</v>
          </cell>
          <cell r="C247" t="str">
            <v>Vigía</v>
          </cell>
          <cell r="F247" t="str">
            <v>hh</v>
          </cell>
          <cell r="G247">
            <v>1</v>
          </cell>
          <cell r="H247">
            <v>5.4000000000000006E-2</v>
          </cell>
          <cell r="I247">
            <v>4.84</v>
          </cell>
          <cell r="J247">
            <v>0.26</v>
          </cell>
        </row>
        <row r="248">
          <cell r="J248">
            <v>0.97</v>
          </cell>
        </row>
        <row r="249">
          <cell r="A249" t="str">
            <v>10812(D)</v>
          </cell>
          <cell r="B249" t="str">
            <v>Herramientas y Equipos</v>
          </cell>
          <cell r="K249">
            <v>5.4399999999999995</v>
          </cell>
          <cell r="L249" t="str">
            <v>(D)</v>
          </cell>
        </row>
        <row r="250">
          <cell r="B250" t="str">
            <v>TF00060</v>
          </cell>
          <cell r="C250" t="str">
            <v>Herramientas (% Mano Obra)</v>
          </cell>
          <cell r="F250" t="str">
            <v>%</v>
          </cell>
          <cell r="H250">
            <v>0.05</v>
          </cell>
          <cell r="I250">
            <v>0.97</v>
          </cell>
          <cell r="J250">
            <v>0.05</v>
          </cell>
        </row>
        <row r="251">
          <cell r="B251" t="str">
            <v>TF00022</v>
          </cell>
          <cell r="C251" t="str">
            <v>Tractor sobre Orugas CAT D6T</v>
          </cell>
          <cell r="F251" t="str">
            <v>hm</v>
          </cell>
          <cell r="G251">
            <v>1</v>
          </cell>
          <cell r="H251">
            <v>5.4000000000000006E-2</v>
          </cell>
          <cell r="I251">
            <v>59</v>
          </cell>
          <cell r="J251">
            <v>3.19</v>
          </cell>
        </row>
        <row r="252">
          <cell r="A252">
            <v>0.7</v>
          </cell>
          <cell r="B252" t="str">
            <v>TF00032</v>
          </cell>
          <cell r="C252" t="str">
            <v>Motoniveladora de 140 HP</v>
          </cell>
          <cell r="F252" t="str">
            <v>hm</v>
          </cell>
          <cell r="G252">
            <v>0</v>
          </cell>
          <cell r="H252">
            <v>0</v>
          </cell>
          <cell r="I252">
            <v>47</v>
          </cell>
          <cell r="J252">
            <v>0</v>
          </cell>
        </row>
        <row r="253">
          <cell r="B253" t="str">
            <v>TF00034</v>
          </cell>
          <cell r="C253" t="str">
            <v>Rodillo Liso Vibratorio Autopropulsado HAMM 11 Tn.</v>
          </cell>
          <cell r="F253" t="str">
            <v>hm</v>
          </cell>
          <cell r="G253">
            <v>0.7</v>
          </cell>
          <cell r="H253">
            <v>3.78E-2</v>
          </cell>
          <cell r="I253">
            <v>34</v>
          </cell>
          <cell r="J253">
            <v>1.29</v>
          </cell>
        </row>
        <row r="254">
          <cell r="B254" t="str">
            <v>TF00039</v>
          </cell>
          <cell r="C254" t="str">
            <v>Minicargador  Cat 246, 74 HP</v>
          </cell>
          <cell r="F254" t="str">
            <v>hm</v>
          </cell>
          <cell r="G254">
            <v>0.1</v>
          </cell>
          <cell r="H254">
            <v>5.4000000000000003E-3</v>
          </cell>
          <cell r="I254">
            <v>27</v>
          </cell>
          <cell r="J254">
            <v>0.15</v>
          </cell>
        </row>
        <row r="255">
          <cell r="B255" t="str">
            <v>TF00042</v>
          </cell>
          <cell r="C255" t="str">
            <v>Plancha compactadora</v>
          </cell>
          <cell r="F255" t="str">
            <v>hm</v>
          </cell>
          <cell r="G255">
            <v>1</v>
          </cell>
          <cell r="H255">
            <v>5.4000000000000006E-2</v>
          </cell>
          <cell r="I255">
            <v>3.9938556067588329</v>
          </cell>
          <cell r="J255">
            <v>0.22</v>
          </cell>
        </row>
        <row r="256">
          <cell r="B256" t="str">
            <v>TF00029</v>
          </cell>
          <cell r="C256" t="str">
            <v>Cisterna de agua 5,000 gln.</v>
          </cell>
          <cell r="F256" t="str">
            <v>hm</v>
          </cell>
          <cell r="G256">
            <v>0.05</v>
          </cell>
          <cell r="H256">
            <v>2.6999999999999997E-3</v>
          </cell>
          <cell r="I256">
            <v>32</v>
          </cell>
          <cell r="J256">
            <v>0.09</v>
          </cell>
        </row>
        <row r="257">
          <cell r="B257" t="str">
            <v>TF00041</v>
          </cell>
          <cell r="C257" t="str">
            <v>Luminaria 4K</v>
          </cell>
          <cell r="F257" t="str">
            <v>hm</v>
          </cell>
          <cell r="G257">
            <v>1</v>
          </cell>
          <cell r="H257">
            <v>5.4000000000000006E-2</v>
          </cell>
          <cell r="I257">
            <v>2.2799999999999998</v>
          </cell>
          <cell r="J257">
            <v>0.12</v>
          </cell>
        </row>
        <row r="258">
          <cell r="B258" t="str">
            <v>TF00030</v>
          </cell>
          <cell r="C258" t="str">
            <v>Camión Grúa de 4 Ton.</v>
          </cell>
          <cell r="F258" t="str">
            <v>hm</v>
          </cell>
          <cell r="G258">
            <v>0.1</v>
          </cell>
          <cell r="H258">
            <v>5.4000000000000003E-3</v>
          </cell>
          <cell r="I258">
            <v>62</v>
          </cell>
          <cell r="J258">
            <v>0.33</v>
          </cell>
        </row>
        <row r="259">
          <cell r="J259">
            <v>5.4399999999999995</v>
          </cell>
        </row>
        <row r="262">
          <cell r="A262">
            <v>10815</v>
          </cell>
          <cell r="B262" t="str">
            <v>Partida</v>
          </cell>
          <cell r="C262">
            <v>3.01</v>
          </cell>
          <cell r="D262" t="str">
            <v>Conformación de acceso hacia Poza.</v>
          </cell>
          <cell r="K262">
            <v>7.3900000000000006</v>
          </cell>
        </row>
        <row r="263">
          <cell r="B263" t="str">
            <v>Rendimiento:</v>
          </cell>
          <cell r="C263">
            <v>78</v>
          </cell>
          <cell r="D263" t="str">
            <v>m3</v>
          </cell>
          <cell r="H263" t="str">
            <v>C.U. Total:</v>
          </cell>
          <cell r="I263">
            <v>7.3900000000000006</v>
          </cell>
          <cell r="J263" t="str">
            <v>m3</v>
          </cell>
        </row>
        <row r="264">
          <cell r="B264" t="str">
            <v>Codigo</v>
          </cell>
          <cell r="C264" t="str">
            <v>Recurso</v>
          </cell>
          <cell r="F264" t="str">
            <v>UND</v>
          </cell>
          <cell r="G264" t="str">
            <v>Cuadrilla</v>
          </cell>
          <cell r="H264" t="str">
            <v>Cantidad</v>
          </cell>
          <cell r="I264" t="str">
            <v>C.U.</v>
          </cell>
          <cell r="J264" t="str">
            <v>C.Parcial</v>
          </cell>
          <cell r="K264" t="str">
            <v>SUBTOTAL</v>
          </cell>
        </row>
        <row r="265">
          <cell r="A265" t="str">
            <v>10815(C)</v>
          </cell>
          <cell r="B265" t="str">
            <v>Mano de Obra</v>
          </cell>
          <cell r="K265">
            <v>0.21</v>
          </cell>
          <cell r="L265" t="str">
            <v>(C)</v>
          </cell>
        </row>
        <row r="266">
          <cell r="B266" t="str">
            <v>TF00002</v>
          </cell>
          <cell r="C266" t="str">
            <v>Capataz</v>
          </cell>
          <cell r="F266" t="str">
            <v>hh</v>
          </cell>
          <cell r="G266">
            <v>0.35</v>
          </cell>
          <cell r="H266">
            <v>4.5000000000000005E-3</v>
          </cell>
          <cell r="I266">
            <v>7.0299999999999994</v>
          </cell>
          <cell r="J266">
            <v>0.03</v>
          </cell>
        </row>
        <row r="267">
          <cell r="B267" t="str">
            <v>TF00012</v>
          </cell>
          <cell r="C267" t="str">
            <v>Peón</v>
          </cell>
          <cell r="F267" t="str">
            <v>hh</v>
          </cell>
          <cell r="G267">
            <v>2</v>
          </cell>
          <cell r="H267">
            <v>2.5700000000000001E-2</v>
          </cell>
          <cell r="I267">
            <v>4.84</v>
          </cell>
          <cell r="J267">
            <v>0.12</v>
          </cell>
        </row>
        <row r="268">
          <cell r="B268" t="str">
            <v>TF00014</v>
          </cell>
          <cell r="C268" t="str">
            <v>Vigía</v>
          </cell>
          <cell r="F268" t="str">
            <v>hh</v>
          </cell>
          <cell r="G268">
            <v>1</v>
          </cell>
          <cell r="H268">
            <v>1.29E-2</v>
          </cell>
          <cell r="I268">
            <v>4.84</v>
          </cell>
          <cell r="J268">
            <v>0.06</v>
          </cell>
        </row>
        <row r="269">
          <cell r="J269">
            <v>0.21</v>
          </cell>
        </row>
        <row r="270">
          <cell r="A270" t="str">
            <v>10815(D)</v>
          </cell>
          <cell r="B270" t="str">
            <v>Herramientas y Equipos</v>
          </cell>
          <cell r="K270">
            <v>1.06</v>
          </cell>
          <cell r="L270" t="str">
            <v>(D)</v>
          </cell>
        </row>
        <row r="271">
          <cell r="B271" t="str">
            <v>TF00060</v>
          </cell>
          <cell r="C271" t="str">
            <v>Herramientas (% Mano Obra)</v>
          </cell>
          <cell r="F271" t="str">
            <v>%</v>
          </cell>
          <cell r="H271">
            <v>0.05</v>
          </cell>
          <cell r="I271">
            <v>0.21</v>
          </cell>
          <cell r="J271">
            <v>0.01</v>
          </cell>
        </row>
        <row r="272">
          <cell r="B272" t="str">
            <v>TF00034</v>
          </cell>
          <cell r="C272" t="str">
            <v>Rodillo Liso Vibratorio Autopropulsado HAMM 11 Tn.</v>
          </cell>
          <cell r="F272" t="str">
            <v>hm</v>
          </cell>
          <cell r="G272">
            <v>0.3</v>
          </cell>
          <cell r="H272">
            <v>3.8999999999999998E-3</v>
          </cell>
          <cell r="I272">
            <v>34</v>
          </cell>
          <cell r="J272">
            <v>0.13</v>
          </cell>
        </row>
        <row r="273">
          <cell r="B273" t="str">
            <v>TF00029</v>
          </cell>
          <cell r="C273" t="str">
            <v>Cisterna de agua 5,000 gln.</v>
          </cell>
          <cell r="F273" t="str">
            <v>hm</v>
          </cell>
          <cell r="G273">
            <v>0.3</v>
          </cell>
          <cell r="H273">
            <v>3.8999999999999998E-3</v>
          </cell>
          <cell r="I273">
            <v>32</v>
          </cell>
          <cell r="J273">
            <v>0.12</v>
          </cell>
        </row>
        <row r="274">
          <cell r="B274" t="str">
            <v>TF00024</v>
          </cell>
          <cell r="C274" t="str">
            <v>Excavadora John Deere 290</v>
          </cell>
          <cell r="F274" t="str">
            <v>hm</v>
          </cell>
          <cell r="G274">
            <v>1</v>
          </cell>
          <cell r="H274">
            <v>1.29E-2</v>
          </cell>
          <cell r="I274">
            <v>62</v>
          </cell>
          <cell r="J274">
            <v>0.8</v>
          </cell>
        </row>
        <row r="275">
          <cell r="J275">
            <v>1.06</v>
          </cell>
        </row>
        <row r="276">
          <cell r="B276" t="str">
            <v>Subpartidas</v>
          </cell>
          <cell r="K276">
            <v>6.12</v>
          </cell>
        </row>
        <row r="277">
          <cell r="B277" t="str">
            <v>TF00002</v>
          </cell>
          <cell r="C277" t="str">
            <v>Carguío y transporte material de acceso d&lt;1km</v>
          </cell>
          <cell r="F277" t="str">
            <v>m3-km</v>
          </cell>
          <cell r="H277">
            <v>1</v>
          </cell>
          <cell r="I277">
            <v>4.91</v>
          </cell>
          <cell r="J277">
            <v>4.91</v>
          </cell>
        </row>
        <row r="278">
          <cell r="B278" t="str">
            <v>TF00014</v>
          </cell>
          <cell r="C278" t="str">
            <v>Transporte material de acceso d&gt;1km</v>
          </cell>
          <cell r="F278" t="str">
            <v>m3-km</v>
          </cell>
          <cell r="H278">
            <v>1</v>
          </cell>
          <cell r="I278">
            <v>1.21</v>
          </cell>
          <cell r="J278">
            <v>1.21</v>
          </cell>
        </row>
        <row r="279">
          <cell r="J279">
            <v>6.12</v>
          </cell>
        </row>
        <row r="282">
          <cell r="A282">
            <v>10850</v>
          </cell>
          <cell r="B282" t="str">
            <v>SubPartida</v>
          </cell>
          <cell r="C282" t="str">
            <v>3.1.01</v>
          </cell>
          <cell r="D282" t="str">
            <v>Carguío y transporte material de acceso d&lt;1km</v>
          </cell>
          <cell r="K282">
            <v>4.91</v>
          </cell>
        </row>
        <row r="283">
          <cell r="B283" t="str">
            <v>Rendimiento:</v>
          </cell>
          <cell r="C283">
            <v>130</v>
          </cell>
          <cell r="D283" t="str">
            <v>m3-km</v>
          </cell>
          <cell r="H283" t="str">
            <v>C.U. Total:</v>
          </cell>
          <cell r="I283">
            <v>4.91</v>
          </cell>
          <cell r="J283" t="str">
            <v>m3-km</v>
          </cell>
        </row>
        <row r="284">
          <cell r="B284" t="str">
            <v>Codigo</v>
          </cell>
          <cell r="C284" t="str">
            <v>Recurso</v>
          </cell>
          <cell r="F284" t="str">
            <v>UND</v>
          </cell>
          <cell r="G284" t="str">
            <v>Cuadrilla</v>
          </cell>
          <cell r="H284" t="str">
            <v>Cantidad</v>
          </cell>
          <cell r="I284" t="str">
            <v>C.U.</v>
          </cell>
          <cell r="J284" t="str">
            <v>C.Parcial</v>
          </cell>
          <cell r="K284" t="str">
            <v>SUBTOTAL</v>
          </cell>
        </row>
        <row r="285">
          <cell r="A285" t="str">
            <v>10850(C)</v>
          </cell>
          <cell r="B285" t="str">
            <v>Mano de Obra</v>
          </cell>
          <cell r="K285">
            <v>0.09</v>
          </cell>
          <cell r="L285" t="str">
            <v>(C)</v>
          </cell>
        </row>
        <row r="286">
          <cell r="B286" t="str">
            <v>TF00002</v>
          </cell>
          <cell r="C286" t="str">
            <v>Capataz</v>
          </cell>
          <cell r="F286" t="str">
            <v>hh</v>
          </cell>
          <cell r="G286">
            <v>0.35</v>
          </cell>
          <cell r="H286">
            <v>7.7000000000000002E-3</v>
          </cell>
          <cell r="I286">
            <v>7.0299999999999994</v>
          </cell>
          <cell r="J286">
            <v>0.05</v>
          </cell>
        </row>
        <row r="287">
          <cell r="B287" t="str">
            <v>TF00014</v>
          </cell>
          <cell r="C287" t="str">
            <v>Vigía</v>
          </cell>
          <cell r="F287" t="str">
            <v>hh</v>
          </cell>
          <cell r="G287">
            <v>0.33333333333333331</v>
          </cell>
          <cell r="H287">
            <v>7.4000000000000003E-3</v>
          </cell>
          <cell r="I287">
            <v>4.84</v>
          </cell>
          <cell r="J287">
            <v>0.04</v>
          </cell>
        </row>
        <row r="288">
          <cell r="J288">
            <v>0.09</v>
          </cell>
        </row>
        <row r="289">
          <cell r="A289" t="str">
            <v>10850(D)</v>
          </cell>
          <cell r="B289" t="str">
            <v>Herramientas y Equipos</v>
          </cell>
          <cell r="K289">
            <v>4.82</v>
          </cell>
          <cell r="L289" t="str">
            <v>(D)</v>
          </cell>
        </row>
        <row r="290">
          <cell r="B290" t="str">
            <v>TF00060</v>
          </cell>
          <cell r="C290" t="str">
            <v>Herramientas (% Mano Obra)</v>
          </cell>
          <cell r="F290" t="str">
            <v>%</v>
          </cell>
          <cell r="H290">
            <v>0.05</v>
          </cell>
          <cell r="I290">
            <v>0.09</v>
          </cell>
          <cell r="J290">
            <v>0</v>
          </cell>
        </row>
        <row r="291">
          <cell r="B291" t="str">
            <v>TF00025</v>
          </cell>
          <cell r="C291" t="str">
            <v>Cargador Frontal John Deere 744 K</v>
          </cell>
          <cell r="F291" t="str">
            <v>hm</v>
          </cell>
          <cell r="G291">
            <v>1</v>
          </cell>
          <cell r="H291">
            <v>2.1999999999999999E-2</v>
          </cell>
          <cell r="I291">
            <v>57</v>
          </cell>
          <cell r="J291">
            <v>1.25</v>
          </cell>
        </row>
        <row r="292">
          <cell r="B292" t="str">
            <v>TF00027</v>
          </cell>
          <cell r="C292" t="str">
            <v>Volquete de 17 m3</v>
          </cell>
          <cell r="F292" t="str">
            <v>hm</v>
          </cell>
          <cell r="G292">
            <v>4.8819261674461751</v>
          </cell>
          <cell r="H292">
            <v>0.10730000000000001</v>
          </cell>
          <cell r="I292">
            <v>33</v>
          </cell>
          <cell r="J292">
            <v>3.54</v>
          </cell>
        </row>
        <row r="293">
          <cell r="B293" t="str">
            <v>TF00041</v>
          </cell>
          <cell r="C293" t="str">
            <v>Luminaria 4K</v>
          </cell>
          <cell r="F293" t="str">
            <v>hm</v>
          </cell>
          <cell r="G293">
            <v>0.5</v>
          </cell>
          <cell r="H293">
            <v>1.0999999999999999E-2</v>
          </cell>
          <cell r="I293">
            <v>2.2799999999999998</v>
          </cell>
          <cell r="J293">
            <v>0.03</v>
          </cell>
        </row>
        <row r="294">
          <cell r="J294">
            <v>4.82</v>
          </cell>
        </row>
        <row r="297">
          <cell r="A297">
            <v>10851</v>
          </cell>
          <cell r="B297" t="str">
            <v>SubPartida</v>
          </cell>
          <cell r="C297" t="str">
            <v>3.1.02</v>
          </cell>
          <cell r="D297" t="str">
            <v>Transporte material de acceso d&gt;1km</v>
          </cell>
          <cell r="K297">
            <v>1.21</v>
          </cell>
        </row>
        <row r="298">
          <cell r="B298" t="str">
            <v>Rendimiento:</v>
          </cell>
          <cell r="C298">
            <v>88</v>
          </cell>
          <cell r="D298" t="str">
            <v>m3-km</v>
          </cell>
          <cell r="H298" t="str">
            <v>C.U. Total:</v>
          </cell>
          <cell r="I298">
            <v>1.21</v>
          </cell>
          <cell r="J298" t="str">
            <v>m3-km</v>
          </cell>
        </row>
        <row r="299">
          <cell r="B299" t="str">
            <v>Codigo</v>
          </cell>
          <cell r="C299" t="str">
            <v>Recurso</v>
          </cell>
          <cell r="F299" t="str">
            <v>UND</v>
          </cell>
          <cell r="G299" t="str">
            <v>Cuadrilla</v>
          </cell>
          <cell r="H299" t="str">
            <v>Cantidad</v>
          </cell>
          <cell r="I299" t="str">
            <v>C.U.</v>
          </cell>
          <cell r="J299" t="str">
            <v>C.Parcial</v>
          </cell>
          <cell r="K299" t="str">
            <v>SUBTOTAL</v>
          </cell>
        </row>
        <row r="300">
          <cell r="A300" t="str">
            <v>10851(C)</v>
          </cell>
          <cell r="B300" t="str">
            <v>Mano de Obra</v>
          </cell>
          <cell r="K300">
            <v>0.13</v>
          </cell>
          <cell r="L300" t="str">
            <v>(C)</v>
          </cell>
        </row>
        <row r="301">
          <cell r="B301" t="str">
            <v>TF00002</v>
          </cell>
          <cell r="C301" t="str">
            <v>Capataz</v>
          </cell>
          <cell r="F301" t="str">
            <v>hh</v>
          </cell>
          <cell r="G301">
            <v>0.35</v>
          </cell>
          <cell r="H301">
            <v>1.1399999999999999E-2</v>
          </cell>
          <cell r="I301">
            <v>7.0299999999999994</v>
          </cell>
          <cell r="J301">
            <v>0.08</v>
          </cell>
        </row>
        <row r="302">
          <cell r="B302" t="str">
            <v>TF00014</v>
          </cell>
          <cell r="C302" t="str">
            <v>Vigía</v>
          </cell>
          <cell r="F302" t="str">
            <v>hh</v>
          </cell>
          <cell r="G302">
            <v>0.33333333333333331</v>
          </cell>
          <cell r="H302">
            <v>1.09E-2</v>
          </cell>
          <cell r="I302">
            <v>4.84</v>
          </cell>
          <cell r="J302">
            <v>0.05</v>
          </cell>
        </row>
        <row r="303">
          <cell r="J303">
            <v>0.13</v>
          </cell>
        </row>
        <row r="304">
          <cell r="A304" t="str">
            <v>10851(D)</v>
          </cell>
          <cell r="B304" t="str">
            <v>Herramientas y Equipos</v>
          </cell>
          <cell r="K304">
            <v>1.08</v>
          </cell>
          <cell r="L304" t="str">
            <v>(D)</v>
          </cell>
        </row>
        <row r="305">
          <cell r="B305" t="str">
            <v>TF00060</v>
          </cell>
          <cell r="C305" t="str">
            <v>Herramientas (% Mano Obra)</v>
          </cell>
          <cell r="F305" t="str">
            <v>%</v>
          </cell>
          <cell r="H305">
            <v>0.05</v>
          </cell>
          <cell r="I305">
            <v>0.13</v>
          </cell>
          <cell r="J305">
            <v>0.01</v>
          </cell>
        </row>
        <row r="306">
          <cell r="B306" t="str">
            <v>TF00027</v>
          </cell>
          <cell r="C306" t="str">
            <v>Volquete de 17 m3</v>
          </cell>
          <cell r="F306" t="str">
            <v>hm</v>
          </cell>
          <cell r="G306">
            <v>1</v>
          </cell>
          <cell r="H306">
            <v>3.2500000000000001E-2</v>
          </cell>
          <cell r="I306">
            <v>33</v>
          </cell>
          <cell r="J306">
            <v>1.07</v>
          </cell>
        </row>
        <row r="307">
          <cell r="J307">
            <v>1.08</v>
          </cell>
        </row>
        <row r="310">
          <cell r="A310">
            <v>10816</v>
          </cell>
          <cell r="B310" t="str">
            <v>Partida</v>
          </cell>
          <cell r="C310">
            <v>3.02</v>
          </cell>
          <cell r="D310" t="str">
            <v>Excavación material inadecuado</v>
          </cell>
          <cell r="K310">
            <v>0.48</v>
          </cell>
        </row>
        <row r="311">
          <cell r="B311" t="str">
            <v>Rendimiento:</v>
          </cell>
          <cell r="C311">
            <v>160</v>
          </cell>
          <cell r="D311" t="str">
            <v>m3</v>
          </cell>
          <cell r="H311" t="str">
            <v>C.U. Total:</v>
          </cell>
          <cell r="I311">
            <v>0.48</v>
          </cell>
          <cell r="J311" t="str">
            <v>m3</v>
          </cell>
        </row>
        <row r="312">
          <cell r="B312" t="str">
            <v>Codigo</v>
          </cell>
          <cell r="C312" t="str">
            <v>Recurso</v>
          </cell>
          <cell r="F312" t="str">
            <v>UND</v>
          </cell>
          <cell r="G312" t="str">
            <v>Cuadrilla</v>
          </cell>
          <cell r="H312" t="str">
            <v>Cantidad</v>
          </cell>
          <cell r="I312" t="str">
            <v>C.U.</v>
          </cell>
          <cell r="J312" t="str">
            <v>C.Parcial</v>
          </cell>
          <cell r="K312" t="str">
            <v>SUBTOTAL</v>
          </cell>
        </row>
        <row r="313">
          <cell r="A313" t="str">
            <v>10816(C)</v>
          </cell>
          <cell r="B313" t="str">
            <v>Mano de Obra</v>
          </cell>
          <cell r="K313">
            <v>0.05</v>
          </cell>
          <cell r="L313" t="str">
            <v>(C)</v>
          </cell>
        </row>
        <row r="314">
          <cell r="B314" t="str">
            <v>TF00002</v>
          </cell>
          <cell r="C314" t="str">
            <v>Capataz</v>
          </cell>
          <cell r="F314" t="str">
            <v>hh</v>
          </cell>
          <cell r="G314">
            <v>0.35</v>
          </cell>
          <cell r="H314">
            <v>2.1999999999999997E-3</v>
          </cell>
          <cell r="I314">
            <v>7.0299999999999994</v>
          </cell>
          <cell r="J314">
            <v>0.02</v>
          </cell>
        </row>
        <row r="315">
          <cell r="B315" t="str">
            <v>TF00014</v>
          </cell>
          <cell r="C315" t="str">
            <v>Vigía</v>
          </cell>
          <cell r="F315" t="str">
            <v>hh</v>
          </cell>
          <cell r="G315">
            <v>1</v>
          </cell>
          <cell r="H315">
            <v>6.3E-3</v>
          </cell>
          <cell r="I315">
            <v>4.84</v>
          </cell>
          <cell r="J315">
            <v>0.03</v>
          </cell>
        </row>
        <row r="316">
          <cell r="J316">
            <v>0.05</v>
          </cell>
        </row>
        <row r="317">
          <cell r="A317" t="str">
            <v>10816(D)</v>
          </cell>
          <cell r="B317" t="str">
            <v>Herramientas y Equipos</v>
          </cell>
          <cell r="K317">
            <v>0.43</v>
          </cell>
          <cell r="L317" t="str">
            <v>(D)</v>
          </cell>
        </row>
        <row r="318">
          <cell r="B318" t="str">
            <v>TF00060</v>
          </cell>
          <cell r="C318" t="str">
            <v>Herramientas (% Mano Obra)</v>
          </cell>
          <cell r="F318" t="str">
            <v>%</v>
          </cell>
          <cell r="H318">
            <v>0.05</v>
          </cell>
          <cell r="I318">
            <v>0.05</v>
          </cell>
          <cell r="J318">
            <v>0</v>
          </cell>
        </row>
        <row r="319">
          <cell r="B319" t="str">
            <v>TF00023</v>
          </cell>
          <cell r="C319" t="str">
            <v>Excavadora EC 380D</v>
          </cell>
          <cell r="F319" t="str">
            <v>hm</v>
          </cell>
          <cell r="G319">
            <v>1</v>
          </cell>
          <cell r="H319">
            <v>6.3E-3</v>
          </cell>
          <cell r="I319">
            <v>67</v>
          </cell>
          <cell r="J319">
            <v>0.42</v>
          </cell>
        </row>
        <row r="320">
          <cell r="B320" t="str">
            <v>TF00041</v>
          </cell>
          <cell r="C320" t="str">
            <v>Luminaria 4K</v>
          </cell>
          <cell r="F320" t="str">
            <v>hm</v>
          </cell>
          <cell r="G320">
            <v>0.5</v>
          </cell>
          <cell r="H320">
            <v>3.1999999999999997E-3</v>
          </cell>
          <cell r="I320">
            <v>2.2799999999999998</v>
          </cell>
          <cell r="J320">
            <v>0.01</v>
          </cell>
        </row>
        <row r="321">
          <cell r="J321">
            <v>0.43</v>
          </cell>
        </row>
        <row r="324">
          <cell r="A324">
            <v>10817</v>
          </cell>
          <cell r="B324" t="str">
            <v>Partida</v>
          </cell>
          <cell r="C324">
            <v>3.03</v>
          </cell>
          <cell r="D324" t="str">
            <v>Carguío, Transporte material d&lt;1km</v>
          </cell>
          <cell r="K324">
            <v>1.55</v>
          </cell>
        </row>
        <row r="325">
          <cell r="B325" t="str">
            <v>Rendimiento:</v>
          </cell>
          <cell r="C325">
            <v>160</v>
          </cell>
          <cell r="D325" t="str">
            <v>m3-km</v>
          </cell>
          <cell r="H325" t="str">
            <v>C.U. Total:</v>
          </cell>
          <cell r="I325">
            <v>1.55</v>
          </cell>
          <cell r="J325" t="str">
            <v>m3-km</v>
          </cell>
        </row>
        <row r="326">
          <cell r="B326" t="str">
            <v>Codigo</v>
          </cell>
          <cell r="C326" t="str">
            <v>Recurso</v>
          </cell>
          <cell r="F326" t="str">
            <v>UND</v>
          </cell>
          <cell r="G326" t="str">
            <v>Cuadrilla</v>
          </cell>
          <cell r="H326" t="str">
            <v>Cantidad</v>
          </cell>
          <cell r="I326" t="str">
            <v>C.U.</v>
          </cell>
          <cell r="J326" t="str">
            <v>C.Parcial</v>
          </cell>
          <cell r="K326" t="str">
            <v>SUBTOTAL</v>
          </cell>
        </row>
        <row r="327">
          <cell r="A327" t="str">
            <v>10817(C)</v>
          </cell>
          <cell r="B327" t="str">
            <v>Mano de Obra</v>
          </cell>
          <cell r="K327">
            <v>6.0000000000000005E-2</v>
          </cell>
          <cell r="L327" t="str">
            <v>(C)</v>
          </cell>
        </row>
        <row r="328">
          <cell r="B328" t="str">
            <v>TF00002</v>
          </cell>
          <cell r="C328" t="str">
            <v>Capataz</v>
          </cell>
          <cell r="F328" t="str">
            <v>hh</v>
          </cell>
          <cell r="G328">
            <v>0.35</v>
          </cell>
          <cell r="H328">
            <v>2.1999999999999997E-3</v>
          </cell>
          <cell r="I328">
            <v>7.0299999999999994</v>
          </cell>
          <cell r="J328">
            <v>0.02</v>
          </cell>
        </row>
        <row r="329">
          <cell r="B329" t="str">
            <v>TF00013</v>
          </cell>
          <cell r="C329" t="str">
            <v>Cuadrador</v>
          </cell>
          <cell r="F329" t="str">
            <v>hh</v>
          </cell>
          <cell r="G329">
            <v>1</v>
          </cell>
          <cell r="H329">
            <v>6.3E-3</v>
          </cell>
          <cell r="I329">
            <v>4.84</v>
          </cell>
          <cell r="J329">
            <v>0.03</v>
          </cell>
        </row>
        <row r="330">
          <cell r="B330" t="str">
            <v>TF00014</v>
          </cell>
          <cell r="C330" t="str">
            <v>Vigía</v>
          </cell>
          <cell r="F330" t="str">
            <v>hh</v>
          </cell>
          <cell r="G330">
            <v>0.4</v>
          </cell>
          <cell r="H330">
            <v>2.5000000000000001E-3</v>
          </cell>
          <cell r="I330">
            <v>4.84</v>
          </cell>
          <cell r="J330">
            <v>0.01</v>
          </cell>
        </row>
        <row r="331">
          <cell r="J331">
            <v>6.0000000000000005E-2</v>
          </cell>
        </row>
        <row r="332">
          <cell r="A332" t="str">
            <v>10817(D)</v>
          </cell>
          <cell r="B332" t="str">
            <v>Herramientas y Equipos</v>
          </cell>
          <cell r="K332">
            <v>1.49</v>
          </cell>
          <cell r="L332" t="str">
            <v>(D)</v>
          </cell>
        </row>
        <row r="333">
          <cell r="B333" t="str">
            <v>TF00060</v>
          </cell>
          <cell r="C333" t="str">
            <v>Herramientas (% Mano Obra)</v>
          </cell>
          <cell r="F333" t="str">
            <v>%</v>
          </cell>
          <cell r="H333">
            <v>0.05</v>
          </cell>
          <cell r="I333">
            <v>6.0000000000000005E-2</v>
          </cell>
          <cell r="J333">
            <v>0</v>
          </cell>
        </row>
        <row r="334">
          <cell r="B334" t="str">
            <v>TF00023</v>
          </cell>
          <cell r="C334" t="str">
            <v>Excavadora EC 380D</v>
          </cell>
          <cell r="F334" t="str">
            <v>hm</v>
          </cell>
          <cell r="G334">
            <v>1</v>
          </cell>
          <cell r="H334">
            <v>6.3E-3</v>
          </cell>
          <cell r="I334">
            <v>67</v>
          </cell>
          <cell r="J334">
            <v>0.42</v>
          </cell>
        </row>
        <row r="335">
          <cell r="B335" t="str">
            <v>TF00027</v>
          </cell>
          <cell r="C335" t="str">
            <v>Volquete de 17 m3</v>
          </cell>
          <cell r="F335" t="str">
            <v>hm</v>
          </cell>
          <cell r="G335">
            <v>5.1501125956224616</v>
          </cell>
          <cell r="H335">
            <v>3.2199999999999999E-2</v>
          </cell>
          <cell r="I335">
            <v>33</v>
          </cell>
          <cell r="J335">
            <v>1.06</v>
          </cell>
        </row>
        <row r="336">
          <cell r="B336" t="str">
            <v>TF00041</v>
          </cell>
          <cell r="C336" t="str">
            <v>Luminaria 4K</v>
          </cell>
          <cell r="F336" t="str">
            <v>hm</v>
          </cell>
          <cell r="G336">
            <v>0.5</v>
          </cell>
          <cell r="H336">
            <v>3.1999999999999997E-3</v>
          </cell>
          <cell r="I336">
            <v>2.2799999999999998</v>
          </cell>
          <cell r="J336">
            <v>0.01</v>
          </cell>
        </row>
        <row r="337">
          <cell r="J337">
            <v>1.49</v>
          </cell>
        </row>
        <row r="340">
          <cell r="A340">
            <v>10818</v>
          </cell>
          <cell r="B340" t="str">
            <v>Partida</v>
          </cell>
          <cell r="C340">
            <v>3.04</v>
          </cell>
          <cell r="D340" t="str">
            <v>Conformación de botadero de suelo inadecuado</v>
          </cell>
          <cell r="K340">
            <v>0.43</v>
          </cell>
        </row>
        <row r="341">
          <cell r="B341" t="str">
            <v>Rendimiento:</v>
          </cell>
          <cell r="C341">
            <v>160</v>
          </cell>
          <cell r="D341" t="str">
            <v>m3</v>
          </cell>
          <cell r="H341" t="str">
            <v>C.U. Total:</v>
          </cell>
          <cell r="I341">
            <v>0.43</v>
          </cell>
          <cell r="J341" t="str">
            <v>m3</v>
          </cell>
        </row>
        <row r="342">
          <cell r="B342" t="str">
            <v>Codigo</v>
          </cell>
          <cell r="C342" t="str">
            <v>Recurso</v>
          </cell>
          <cell r="F342" t="str">
            <v>UND</v>
          </cell>
          <cell r="G342" t="str">
            <v>Cuadrilla</v>
          </cell>
          <cell r="H342" t="str">
            <v>Cantidad</v>
          </cell>
          <cell r="I342" t="str">
            <v>C.U.</v>
          </cell>
          <cell r="J342" t="str">
            <v>C.Parcial</v>
          </cell>
          <cell r="K342" t="str">
            <v>SUBTOTAL</v>
          </cell>
        </row>
        <row r="343">
          <cell r="A343" t="str">
            <v>10818(C)</v>
          </cell>
          <cell r="B343" t="str">
            <v>Mano de Obra</v>
          </cell>
          <cell r="K343">
            <v>0.05</v>
          </cell>
          <cell r="L343" t="str">
            <v>(C)</v>
          </cell>
        </row>
        <row r="344">
          <cell r="B344" t="str">
            <v>TF00002</v>
          </cell>
          <cell r="C344" t="str">
            <v>Capataz</v>
          </cell>
          <cell r="F344" t="str">
            <v>hh</v>
          </cell>
          <cell r="G344">
            <v>0.35</v>
          </cell>
          <cell r="H344">
            <v>2.1999999999999997E-3</v>
          </cell>
          <cell r="I344">
            <v>7.0299999999999994</v>
          </cell>
          <cell r="J344">
            <v>0.02</v>
          </cell>
        </row>
        <row r="345">
          <cell r="B345" t="str">
            <v>TF00014</v>
          </cell>
          <cell r="C345" t="str">
            <v>Vigía</v>
          </cell>
          <cell r="F345" t="str">
            <v>hh</v>
          </cell>
          <cell r="G345">
            <v>1</v>
          </cell>
          <cell r="H345">
            <v>6.3E-3</v>
          </cell>
          <cell r="I345">
            <v>4.84</v>
          </cell>
          <cell r="J345">
            <v>0.03</v>
          </cell>
        </row>
        <row r="346">
          <cell r="J346">
            <v>0.05</v>
          </cell>
        </row>
        <row r="347">
          <cell r="A347" t="str">
            <v>10818(D)</v>
          </cell>
          <cell r="B347" t="str">
            <v>Herramientas y Equipos</v>
          </cell>
          <cell r="K347">
            <v>0.38</v>
          </cell>
          <cell r="L347" t="str">
            <v>(D)</v>
          </cell>
        </row>
        <row r="348">
          <cell r="B348" t="str">
            <v>TF00060</v>
          </cell>
          <cell r="C348" t="str">
            <v>Herramientas (% Mano Obra)</v>
          </cell>
          <cell r="F348" t="str">
            <v>%</v>
          </cell>
          <cell r="H348">
            <v>0.05</v>
          </cell>
          <cell r="I348">
            <v>0.05</v>
          </cell>
          <cell r="J348">
            <v>0</v>
          </cell>
        </row>
        <row r="349">
          <cell r="B349" t="str">
            <v>TF00022</v>
          </cell>
          <cell r="C349" t="str">
            <v>Tractor sobre Orugas CAT D6T</v>
          </cell>
          <cell r="F349" t="str">
            <v>hm</v>
          </cell>
          <cell r="G349">
            <v>1</v>
          </cell>
          <cell r="H349">
            <v>6.3E-3</v>
          </cell>
          <cell r="I349">
            <v>59</v>
          </cell>
          <cell r="J349">
            <v>0.37</v>
          </cell>
        </row>
        <row r="350">
          <cell r="B350" t="str">
            <v>TF00041</v>
          </cell>
          <cell r="C350" t="str">
            <v>Luminaria 4K</v>
          </cell>
          <cell r="F350" t="str">
            <v>hm</v>
          </cell>
          <cell r="G350">
            <v>0.5</v>
          </cell>
          <cell r="H350">
            <v>3.1999999999999997E-3</v>
          </cell>
          <cell r="I350">
            <v>2.2799999999999998</v>
          </cell>
          <cell r="J350">
            <v>0.01</v>
          </cell>
        </row>
        <row r="351">
          <cell r="J351">
            <v>0.38</v>
          </cell>
        </row>
        <row r="354">
          <cell r="A354">
            <v>10820</v>
          </cell>
          <cell r="B354" t="str">
            <v>Partida</v>
          </cell>
          <cell r="C354" t="str">
            <v>3.5.01</v>
          </cell>
          <cell r="D354" t="str">
            <v>Conformación y perfilado de talud</v>
          </cell>
          <cell r="K354">
            <v>4.47</v>
          </cell>
        </row>
        <row r="355">
          <cell r="B355" t="str">
            <v>Rendimiento:</v>
          </cell>
          <cell r="C355">
            <v>20.474999999999998</v>
          </cell>
          <cell r="D355" t="str">
            <v>m3</v>
          </cell>
          <cell r="E355" t="str">
            <v>/hr</v>
          </cell>
          <cell r="H355" t="str">
            <v>C.U. Total:</v>
          </cell>
          <cell r="I355">
            <v>4.47</v>
          </cell>
          <cell r="J355" t="str">
            <v>m3</v>
          </cell>
        </row>
        <row r="356">
          <cell r="B356" t="str">
            <v>Codigo</v>
          </cell>
          <cell r="C356" t="str">
            <v>Recurso</v>
          </cell>
          <cell r="F356" t="str">
            <v>UND</v>
          </cell>
          <cell r="G356" t="str">
            <v>Cuadrilla</v>
          </cell>
          <cell r="H356" t="str">
            <v>Cantidad</v>
          </cell>
          <cell r="I356" t="str">
            <v>C.U.</v>
          </cell>
          <cell r="J356" t="str">
            <v>C.Parcial</v>
          </cell>
          <cell r="K356" t="str">
            <v>SUBTOTAL</v>
          </cell>
        </row>
        <row r="357">
          <cell r="A357" t="str">
            <v>10820(C)</v>
          </cell>
          <cell r="B357" t="str">
            <v>Mano de Obra</v>
          </cell>
          <cell r="K357">
            <v>1.3099999999999998</v>
          </cell>
          <cell r="L357" t="str">
            <v>(C)</v>
          </cell>
        </row>
        <row r="358">
          <cell r="B358" t="str">
            <v>TF00002</v>
          </cell>
          <cell r="C358" t="str">
            <v>Capataz</v>
          </cell>
          <cell r="F358" t="str">
            <v>hh</v>
          </cell>
          <cell r="G358">
            <v>0.35</v>
          </cell>
          <cell r="H358">
            <v>1.7100000000000001E-2</v>
          </cell>
          <cell r="I358">
            <v>7.0299999999999994</v>
          </cell>
          <cell r="J358">
            <v>0.12</v>
          </cell>
        </row>
        <row r="359">
          <cell r="B359" t="str">
            <v>TF00012</v>
          </cell>
          <cell r="C359" t="str">
            <v>Peón</v>
          </cell>
          <cell r="F359" t="str">
            <v>hh</v>
          </cell>
          <cell r="G359">
            <v>4</v>
          </cell>
          <cell r="H359">
            <v>0.19539999999999999</v>
          </cell>
          <cell r="I359">
            <v>4.84</v>
          </cell>
          <cell r="J359">
            <v>0.95</v>
          </cell>
        </row>
        <row r="360">
          <cell r="B360" t="str">
            <v>TF00014</v>
          </cell>
          <cell r="C360" t="str">
            <v>Vigía</v>
          </cell>
          <cell r="F360" t="str">
            <v>hh</v>
          </cell>
          <cell r="G360">
            <v>1</v>
          </cell>
          <cell r="H360">
            <v>4.8900000000000006E-2</v>
          </cell>
          <cell r="I360">
            <v>4.84</v>
          </cell>
          <cell r="J360">
            <v>0.24</v>
          </cell>
        </row>
        <row r="361">
          <cell r="J361">
            <v>1.3099999999999998</v>
          </cell>
        </row>
        <row r="362">
          <cell r="A362" t="str">
            <v>10820(D)</v>
          </cell>
          <cell r="B362" t="str">
            <v>Herramientas y Equipos</v>
          </cell>
          <cell r="K362">
            <v>3.1599999999999997</v>
          </cell>
          <cell r="L362" t="str">
            <v>(D)</v>
          </cell>
        </row>
        <row r="363">
          <cell r="B363" t="str">
            <v>TF00060</v>
          </cell>
          <cell r="C363" t="str">
            <v>Herramientas (% Mano Obra)</v>
          </cell>
          <cell r="F363" t="str">
            <v>%</v>
          </cell>
          <cell r="H363">
            <v>0.05</v>
          </cell>
          <cell r="I363">
            <v>1.3099999999999998</v>
          </cell>
          <cell r="J363">
            <v>7.0000000000000007E-2</v>
          </cell>
        </row>
        <row r="364">
          <cell r="B364" t="str">
            <v>TF00024</v>
          </cell>
          <cell r="C364" t="str">
            <v>Excavadora John Deere 290</v>
          </cell>
          <cell r="F364" t="str">
            <v>hm</v>
          </cell>
          <cell r="G364">
            <v>1</v>
          </cell>
          <cell r="H364">
            <v>4.8900000000000006E-2</v>
          </cell>
          <cell r="I364">
            <v>62</v>
          </cell>
          <cell r="J364">
            <v>3.03</v>
          </cell>
        </row>
        <row r="365">
          <cell r="B365" t="str">
            <v>TF00041</v>
          </cell>
          <cell r="C365" t="str">
            <v>Luminaria 4K</v>
          </cell>
          <cell r="F365" t="str">
            <v>hm</v>
          </cell>
          <cell r="G365">
            <v>0.5</v>
          </cell>
          <cell r="H365">
            <v>2.4500000000000001E-2</v>
          </cell>
          <cell r="I365">
            <v>2.2799999999999998</v>
          </cell>
          <cell r="J365">
            <v>0.06</v>
          </cell>
        </row>
        <row r="366">
          <cell r="J366">
            <v>3.1599999999999997</v>
          </cell>
        </row>
        <row r="369">
          <cell r="A369">
            <v>10821</v>
          </cell>
          <cell r="B369" t="str">
            <v>Partida</v>
          </cell>
          <cell r="C369" t="str">
            <v>3.5.02</v>
          </cell>
          <cell r="D369" t="str">
            <v>Carguio y transporte de Roca D&lt;1.00 km poza de captación</v>
          </cell>
          <cell r="K369">
            <v>2.0499999999999998</v>
          </cell>
        </row>
        <row r="370">
          <cell r="B370" t="str">
            <v>Rendimiento:</v>
          </cell>
          <cell r="C370">
            <v>62.307692307692307</v>
          </cell>
          <cell r="D370" t="str">
            <v>m3-km</v>
          </cell>
          <cell r="E370" t="str">
            <v>/hr</v>
          </cell>
          <cell r="H370" t="str">
            <v>C.U. Total:</v>
          </cell>
          <cell r="I370">
            <v>2.0499999999999998</v>
          </cell>
          <cell r="J370" t="str">
            <v>m3-km</v>
          </cell>
        </row>
        <row r="371">
          <cell r="B371" t="str">
            <v>Codigo</v>
          </cell>
          <cell r="C371" t="str">
            <v>Recurso</v>
          </cell>
          <cell r="F371" t="str">
            <v>UND</v>
          </cell>
          <cell r="G371" t="str">
            <v>Cuadrilla</v>
          </cell>
          <cell r="H371" t="str">
            <v>Cantidad</v>
          </cell>
          <cell r="I371" t="str">
            <v>C.U.</v>
          </cell>
          <cell r="J371" t="str">
            <v>C.Parcial</v>
          </cell>
          <cell r="K371" t="str">
            <v>SUBTOTAL</v>
          </cell>
        </row>
        <row r="372">
          <cell r="A372" t="str">
            <v>10821(C)</v>
          </cell>
          <cell r="B372" t="str">
            <v>Mano de Obra</v>
          </cell>
          <cell r="K372">
            <v>0.28000000000000003</v>
          </cell>
          <cell r="L372" t="str">
            <v>(C)</v>
          </cell>
        </row>
        <row r="373">
          <cell r="B373" t="str">
            <v>TF00002</v>
          </cell>
          <cell r="C373" t="str">
            <v>Capataz</v>
          </cell>
          <cell r="F373" t="str">
            <v>hh</v>
          </cell>
          <cell r="G373">
            <v>0.35</v>
          </cell>
          <cell r="H373">
            <v>5.7000000000000002E-3</v>
          </cell>
          <cell r="I373">
            <v>7.0299999999999994</v>
          </cell>
          <cell r="J373">
            <v>0.04</v>
          </cell>
        </row>
        <row r="374">
          <cell r="B374" t="str">
            <v>TF00014</v>
          </cell>
          <cell r="C374" t="str">
            <v>Vigía</v>
          </cell>
          <cell r="F374" t="str">
            <v>hh</v>
          </cell>
          <cell r="G374">
            <v>2</v>
          </cell>
          <cell r="H374">
            <v>3.2100000000000004E-2</v>
          </cell>
          <cell r="I374">
            <v>4.84</v>
          </cell>
          <cell r="J374">
            <v>0.16</v>
          </cell>
        </row>
        <row r="375">
          <cell r="B375" t="str">
            <v>TF00013</v>
          </cell>
          <cell r="C375" t="str">
            <v>Cuadrador</v>
          </cell>
          <cell r="F375" t="str">
            <v>hh</v>
          </cell>
          <cell r="G375">
            <v>1</v>
          </cell>
          <cell r="H375">
            <v>1.61E-2</v>
          </cell>
          <cell r="I375">
            <v>4.84</v>
          </cell>
          <cell r="J375">
            <v>0.08</v>
          </cell>
        </row>
        <row r="376">
          <cell r="J376">
            <v>0.28000000000000003</v>
          </cell>
        </row>
        <row r="377">
          <cell r="A377" t="str">
            <v>10821(D)</v>
          </cell>
          <cell r="B377" t="str">
            <v>Herramientas y Equipos</v>
          </cell>
          <cell r="K377">
            <v>1.77</v>
          </cell>
          <cell r="L377" t="str">
            <v>(D)</v>
          </cell>
        </row>
        <row r="378">
          <cell r="B378" t="str">
            <v>TF00060</v>
          </cell>
          <cell r="C378" t="str">
            <v>Herramientas (% Mano Obra)</v>
          </cell>
          <cell r="F378" t="str">
            <v>%</v>
          </cell>
          <cell r="H378">
            <v>0.02</v>
          </cell>
          <cell r="I378">
            <v>0.28000000000000003</v>
          </cell>
          <cell r="J378">
            <v>0.01</v>
          </cell>
        </row>
        <row r="379">
          <cell r="B379" t="str">
            <v>TF00023</v>
          </cell>
          <cell r="C379" t="str">
            <v>Excavadora EC 380D</v>
          </cell>
          <cell r="F379" t="str">
            <v>hm</v>
          </cell>
          <cell r="G379">
            <v>1</v>
          </cell>
          <cell r="H379">
            <v>1.61E-2</v>
          </cell>
          <cell r="I379">
            <v>67</v>
          </cell>
          <cell r="J379">
            <v>1.08</v>
          </cell>
        </row>
        <row r="380">
          <cell r="B380" t="str">
            <v>TF00027</v>
          </cell>
          <cell r="C380" t="str">
            <v>Volquete de 17 m3</v>
          </cell>
          <cell r="F380" t="str">
            <v>hm</v>
          </cell>
          <cell r="G380">
            <v>1.28076923076923</v>
          </cell>
          <cell r="H380">
            <v>2.06E-2</v>
          </cell>
          <cell r="I380">
            <v>33</v>
          </cell>
          <cell r="J380">
            <v>0.68</v>
          </cell>
        </row>
        <row r="381">
          <cell r="J381">
            <v>1.77</v>
          </cell>
        </row>
        <row r="384">
          <cell r="A384">
            <v>10822</v>
          </cell>
          <cell r="B384" t="str">
            <v>Partida</v>
          </cell>
          <cell r="C384" t="str">
            <v>3.5.03</v>
          </cell>
          <cell r="D384" t="str">
            <v>Enrocado de poza de captación</v>
          </cell>
          <cell r="K384">
            <v>3.8299999999999996</v>
          </cell>
        </row>
        <row r="385">
          <cell r="B385" t="str">
            <v>Rendimiento:</v>
          </cell>
          <cell r="C385">
            <v>20.76923076923077</v>
          </cell>
          <cell r="D385" t="str">
            <v>m3</v>
          </cell>
          <cell r="E385" t="str">
            <v>/hr</v>
          </cell>
          <cell r="H385" t="str">
            <v>C.U. Total:</v>
          </cell>
          <cell r="I385">
            <v>3.8299999999999996</v>
          </cell>
          <cell r="J385" t="str">
            <v>m3</v>
          </cell>
        </row>
        <row r="386">
          <cell r="B386" t="str">
            <v>Codigo</v>
          </cell>
          <cell r="C386" t="str">
            <v>Recurso</v>
          </cell>
          <cell r="F386" t="str">
            <v>UND</v>
          </cell>
          <cell r="G386" t="str">
            <v>Cuadrilla</v>
          </cell>
          <cell r="H386" t="str">
            <v>Cantidad</v>
          </cell>
          <cell r="I386" t="str">
            <v>C.U.</v>
          </cell>
          <cell r="J386" t="str">
            <v>C.Parcial</v>
          </cell>
          <cell r="K386" t="str">
            <v>SUBTOTAL</v>
          </cell>
        </row>
        <row r="387">
          <cell r="A387" t="str">
            <v>10822(C)</v>
          </cell>
          <cell r="B387" t="str">
            <v>Mano de Obra</v>
          </cell>
          <cell r="K387">
            <v>0.59</v>
          </cell>
          <cell r="L387" t="str">
            <v>(C)</v>
          </cell>
        </row>
        <row r="388">
          <cell r="B388" t="str">
            <v>TF00002</v>
          </cell>
          <cell r="C388" t="str">
            <v>Capataz</v>
          </cell>
          <cell r="F388" t="str">
            <v>hh</v>
          </cell>
          <cell r="G388">
            <v>0.35</v>
          </cell>
          <cell r="H388">
            <v>1.6899999999999998E-2</v>
          </cell>
          <cell r="I388">
            <v>7.0299999999999994</v>
          </cell>
          <cell r="J388">
            <v>0.12</v>
          </cell>
        </row>
        <row r="389">
          <cell r="B389" t="str">
            <v>TF00014</v>
          </cell>
          <cell r="C389" t="str">
            <v>Vigía</v>
          </cell>
          <cell r="F389" t="str">
            <v>hh</v>
          </cell>
          <cell r="G389">
            <v>2</v>
          </cell>
          <cell r="H389">
            <v>9.6299999999999997E-2</v>
          </cell>
          <cell r="I389">
            <v>4.84</v>
          </cell>
          <cell r="J389">
            <v>0.47</v>
          </cell>
        </row>
        <row r="390">
          <cell r="J390">
            <v>0.59</v>
          </cell>
        </row>
        <row r="391">
          <cell r="A391" t="str">
            <v>10822(D)</v>
          </cell>
          <cell r="B391" t="str">
            <v>Herramientas y Equipos</v>
          </cell>
          <cell r="K391">
            <v>3.2399999999999998</v>
          </cell>
          <cell r="L391" t="str">
            <v>(D)</v>
          </cell>
        </row>
        <row r="392">
          <cell r="B392" t="str">
            <v>TF00060</v>
          </cell>
          <cell r="C392" t="str">
            <v>Herramientas (% Mano Obra)</v>
          </cell>
          <cell r="F392" t="str">
            <v>%</v>
          </cell>
          <cell r="H392">
            <v>0.02</v>
          </cell>
          <cell r="I392">
            <v>0.59</v>
          </cell>
          <cell r="J392">
            <v>0.01</v>
          </cell>
        </row>
        <row r="393">
          <cell r="B393" t="str">
            <v>TF00023</v>
          </cell>
          <cell r="C393" t="str">
            <v>Excavadora EC 380D</v>
          </cell>
          <cell r="F393" t="str">
            <v>hm</v>
          </cell>
          <cell r="G393">
            <v>1</v>
          </cell>
          <cell r="H393">
            <v>4.82E-2</v>
          </cell>
          <cell r="I393">
            <v>67</v>
          </cell>
          <cell r="J393">
            <v>3.23</v>
          </cell>
        </row>
        <row r="394">
          <cell r="J394">
            <v>3.2399999999999998</v>
          </cell>
        </row>
        <row r="398">
          <cell r="A398">
            <v>10824</v>
          </cell>
          <cell r="B398" t="str">
            <v>Partida</v>
          </cell>
          <cell r="C398">
            <v>4.01</v>
          </cell>
          <cell r="D398" t="str">
            <v>Trabajos mecánico y eléctricos varios</v>
          </cell>
          <cell r="K398">
            <v>770.06899999999996</v>
          </cell>
        </row>
        <row r="399">
          <cell r="B399" t="str">
            <v>Rendimiento:</v>
          </cell>
          <cell r="C399">
            <v>0.58264000000000005</v>
          </cell>
          <cell r="D399" t="str">
            <v>und</v>
          </cell>
          <cell r="E399" t="str">
            <v>/día</v>
          </cell>
          <cell r="H399" t="str">
            <v>C.U. Total:</v>
          </cell>
          <cell r="I399">
            <v>770.06899999999996</v>
          </cell>
          <cell r="J399" t="str">
            <v>und</v>
          </cell>
        </row>
        <row r="400">
          <cell r="B400" t="str">
            <v>Codigo</v>
          </cell>
          <cell r="C400" t="str">
            <v>Recurso</v>
          </cell>
          <cell r="F400" t="str">
            <v>UND</v>
          </cell>
          <cell r="G400" t="str">
            <v>Cuadrilla</v>
          </cell>
          <cell r="H400" t="str">
            <v>Cantidad</v>
          </cell>
          <cell r="I400" t="str">
            <v>C.U.</v>
          </cell>
          <cell r="J400" t="str">
            <v>C.Parcial</v>
          </cell>
          <cell r="K400" t="str">
            <v>SUBTOTAL</v>
          </cell>
        </row>
        <row r="401">
          <cell r="A401" t="str">
            <v>10824(B)</v>
          </cell>
          <cell r="B401" t="str">
            <v>Materiales</v>
          </cell>
          <cell r="K401">
            <v>378</v>
          </cell>
          <cell r="L401" t="str">
            <v>(B)</v>
          </cell>
        </row>
        <row r="402">
          <cell r="B402" t="str">
            <v>TF00078</v>
          </cell>
          <cell r="C402" t="str">
            <v>Materiales para intalación eléctrica</v>
          </cell>
          <cell r="F402" t="str">
            <v>glb</v>
          </cell>
          <cell r="H402">
            <v>1</v>
          </cell>
          <cell r="I402">
            <v>378</v>
          </cell>
          <cell r="J402">
            <v>378</v>
          </cell>
        </row>
        <row r="403">
          <cell r="J403">
            <v>378</v>
          </cell>
        </row>
        <row r="404">
          <cell r="A404" t="str">
            <v>10824(C)</v>
          </cell>
          <cell r="B404" t="str">
            <v>Mano de Obra</v>
          </cell>
          <cell r="K404">
            <v>373.399</v>
          </cell>
          <cell r="L404" t="str">
            <v>(C)</v>
          </cell>
        </row>
        <row r="405">
          <cell r="B405" t="str">
            <v>TF00002</v>
          </cell>
          <cell r="C405" t="str">
            <v>Capataz</v>
          </cell>
          <cell r="F405" t="str">
            <v>hh</v>
          </cell>
          <cell r="G405">
            <v>0.1</v>
          </cell>
          <cell r="H405">
            <v>1.8879582589592201</v>
          </cell>
          <cell r="I405">
            <v>7.0299999999999994</v>
          </cell>
          <cell r="J405">
            <v>13.272</v>
          </cell>
        </row>
        <row r="406">
          <cell r="B406" t="str">
            <v>TF00004</v>
          </cell>
          <cell r="C406" t="str">
            <v>Operario</v>
          </cell>
          <cell r="F406" t="str">
            <v>hh</v>
          </cell>
          <cell r="G406">
            <v>1</v>
          </cell>
          <cell r="H406">
            <v>18.8795825895922</v>
          </cell>
          <cell r="I406">
            <v>6.6899999999999995</v>
          </cell>
          <cell r="J406">
            <v>126.304</v>
          </cell>
        </row>
        <row r="407">
          <cell r="B407" t="str">
            <v>TF00011</v>
          </cell>
          <cell r="C407" t="str">
            <v>Oficial</v>
          </cell>
          <cell r="F407" t="str">
            <v>hh</v>
          </cell>
          <cell r="G407">
            <v>0.5</v>
          </cell>
          <cell r="H407">
            <v>9.4397912947961</v>
          </cell>
          <cell r="I407">
            <v>5.41</v>
          </cell>
          <cell r="J407">
            <v>51.069000000000003</v>
          </cell>
        </row>
        <row r="408">
          <cell r="B408" t="str">
            <v>TF00012</v>
          </cell>
          <cell r="C408" t="str">
            <v>Peón</v>
          </cell>
          <cell r="F408" t="str">
            <v>hh</v>
          </cell>
          <cell r="G408">
            <v>1</v>
          </cell>
          <cell r="H408">
            <v>18.8795825895922</v>
          </cell>
          <cell r="I408">
            <v>4.84</v>
          </cell>
          <cell r="J408">
            <v>91.376999999999995</v>
          </cell>
        </row>
        <row r="409">
          <cell r="B409" t="str">
            <v>TF00014</v>
          </cell>
          <cell r="C409" t="str">
            <v>Vigía</v>
          </cell>
          <cell r="F409" t="str">
            <v>hh</v>
          </cell>
          <cell r="G409">
            <v>1</v>
          </cell>
          <cell r="H409">
            <v>18.8795825895922</v>
          </cell>
          <cell r="I409">
            <v>4.84</v>
          </cell>
          <cell r="J409">
            <v>91.376999999999995</v>
          </cell>
        </row>
        <row r="410">
          <cell r="J410">
            <v>373.399</v>
          </cell>
        </row>
        <row r="411">
          <cell r="A411" t="str">
            <v>10824(D)</v>
          </cell>
          <cell r="B411" t="str">
            <v>Herramientas y Equipos</v>
          </cell>
          <cell r="K411">
            <v>18.670000000000002</v>
          </cell>
          <cell r="L411" t="str">
            <v>(D)</v>
          </cell>
        </row>
        <row r="412">
          <cell r="B412" t="str">
            <v>TF00060</v>
          </cell>
          <cell r="C412" t="str">
            <v>Herramientas (% Mano Obra)</v>
          </cell>
          <cell r="F412" t="str">
            <v>%</v>
          </cell>
          <cell r="H412">
            <v>0.05</v>
          </cell>
          <cell r="I412">
            <v>373.399</v>
          </cell>
          <cell r="J412">
            <v>18.670000000000002</v>
          </cell>
        </row>
        <row r="413">
          <cell r="J413">
            <v>18.670000000000002</v>
          </cell>
        </row>
        <row r="416">
          <cell r="A416">
            <v>10826</v>
          </cell>
          <cell r="B416" t="str">
            <v>Partida</v>
          </cell>
          <cell r="C416">
            <v>5.01</v>
          </cell>
          <cell r="D416" t="str">
            <v>Implementación e instalación de sistema electrico para bombeo</v>
          </cell>
          <cell r="K416">
            <v>2229.123</v>
          </cell>
        </row>
        <row r="417">
          <cell r="B417" t="str">
            <v>Rendimiento:</v>
          </cell>
          <cell r="C417">
            <v>0.58264000000000005</v>
          </cell>
          <cell r="D417" t="str">
            <v>und</v>
          </cell>
          <cell r="E417" t="str">
            <v>/día</v>
          </cell>
          <cell r="H417" t="str">
            <v>C.U. Total:</v>
          </cell>
          <cell r="I417">
            <v>2229.123</v>
          </cell>
          <cell r="J417" t="str">
            <v>und</v>
          </cell>
        </row>
        <row r="418">
          <cell r="B418" t="str">
            <v>Codigo</v>
          </cell>
          <cell r="C418" t="str">
            <v>Recurso</v>
          </cell>
          <cell r="F418" t="str">
            <v>UND</v>
          </cell>
          <cell r="G418" t="str">
            <v>Cuadrilla</v>
          </cell>
          <cell r="H418" t="str">
            <v>Cantidad</v>
          </cell>
          <cell r="I418" t="str">
            <v>C.U.</v>
          </cell>
          <cell r="J418" t="str">
            <v>C.Parcial</v>
          </cell>
          <cell r="K418" t="str">
            <v>SUBTOTAL</v>
          </cell>
        </row>
        <row r="419">
          <cell r="A419" t="str">
            <v>10826(B)</v>
          </cell>
          <cell r="B419" t="str">
            <v>Materiales</v>
          </cell>
          <cell r="K419">
            <v>1933</v>
          </cell>
          <cell r="L419" t="str">
            <v>(B)</v>
          </cell>
        </row>
        <row r="420">
          <cell r="B420" t="str">
            <v>TF00078</v>
          </cell>
          <cell r="C420" t="str">
            <v>Materiales para intalación eléctrica</v>
          </cell>
          <cell r="F420" t="str">
            <v>glb</v>
          </cell>
          <cell r="H420">
            <v>1</v>
          </cell>
          <cell r="I420">
            <v>378</v>
          </cell>
          <cell r="J420">
            <v>378</v>
          </cell>
        </row>
        <row r="421">
          <cell r="B421" t="str">
            <v>TF00093</v>
          </cell>
          <cell r="C421" t="str">
            <v>Tablero de distribución para instalación eléctrica</v>
          </cell>
          <cell r="F421" t="str">
            <v>Und</v>
          </cell>
          <cell r="H421">
            <v>1</v>
          </cell>
          <cell r="I421">
            <v>1555</v>
          </cell>
          <cell r="J421">
            <v>1555</v>
          </cell>
        </row>
        <row r="422">
          <cell r="J422">
            <v>1933</v>
          </cell>
        </row>
        <row r="423">
          <cell r="A423" t="str">
            <v>10826(C)</v>
          </cell>
          <cell r="B423" t="str">
            <v>Mano de Obra</v>
          </cell>
          <cell r="K423">
            <v>282.02199999999999</v>
          </cell>
          <cell r="L423" t="str">
            <v>(C)</v>
          </cell>
        </row>
        <row r="424">
          <cell r="B424" t="str">
            <v>TF00002</v>
          </cell>
          <cell r="C424" t="str">
            <v>Capataz</v>
          </cell>
          <cell r="F424" t="str">
            <v>hh</v>
          </cell>
          <cell r="G424">
            <v>0.1</v>
          </cell>
          <cell r="H424">
            <v>1.8879582589592201</v>
          </cell>
          <cell r="I424">
            <v>7.0299999999999994</v>
          </cell>
          <cell r="J424">
            <v>13.272</v>
          </cell>
        </row>
        <row r="425">
          <cell r="B425" t="str">
            <v>TF00004</v>
          </cell>
          <cell r="C425" t="str">
            <v>Operario</v>
          </cell>
          <cell r="F425" t="str">
            <v>hh</v>
          </cell>
          <cell r="G425">
            <v>1</v>
          </cell>
          <cell r="H425">
            <v>18.8795825895922</v>
          </cell>
          <cell r="I425">
            <v>6.6899999999999995</v>
          </cell>
          <cell r="J425">
            <v>126.304</v>
          </cell>
        </row>
        <row r="426">
          <cell r="B426" t="str">
            <v>TF00011</v>
          </cell>
          <cell r="C426" t="str">
            <v>Oficial</v>
          </cell>
          <cell r="F426" t="str">
            <v>hh</v>
          </cell>
          <cell r="G426">
            <v>0.5</v>
          </cell>
          <cell r="H426">
            <v>9.4397912947961</v>
          </cell>
          <cell r="I426">
            <v>5.41</v>
          </cell>
          <cell r="J426">
            <v>51.069000000000003</v>
          </cell>
        </row>
        <row r="427">
          <cell r="B427" t="str">
            <v>TF00012</v>
          </cell>
          <cell r="C427" t="str">
            <v>Peón</v>
          </cell>
          <cell r="F427" t="str">
            <v>hh</v>
          </cell>
          <cell r="G427">
            <v>1</v>
          </cell>
          <cell r="H427">
            <v>18.8795825895922</v>
          </cell>
          <cell r="I427">
            <v>4.84</v>
          </cell>
          <cell r="J427">
            <v>91.376999999999995</v>
          </cell>
        </row>
        <row r="428">
          <cell r="J428">
            <v>282.02199999999999</v>
          </cell>
        </row>
        <row r="429">
          <cell r="A429" t="str">
            <v>10826(D)</v>
          </cell>
          <cell r="B429" t="str">
            <v>Herramientas y Equipos</v>
          </cell>
          <cell r="K429">
            <v>14.101000000000001</v>
          </cell>
          <cell r="L429" t="str">
            <v>(D)</v>
          </cell>
        </row>
        <row r="430">
          <cell r="B430" t="str">
            <v>TF00060</v>
          </cell>
          <cell r="C430" t="str">
            <v>Herramientas (% Mano Obra)</v>
          </cell>
          <cell r="F430" t="str">
            <v>%</v>
          </cell>
          <cell r="H430">
            <v>0.05</v>
          </cell>
          <cell r="I430">
            <v>282.02199999999999</v>
          </cell>
          <cell r="J430">
            <v>14.101000000000001</v>
          </cell>
        </row>
        <row r="431">
          <cell r="J431">
            <v>14.101000000000001</v>
          </cell>
        </row>
        <row r="434">
          <cell r="A434">
            <v>10827</v>
          </cell>
          <cell r="B434" t="str">
            <v>Partida</v>
          </cell>
          <cell r="C434">
            <v>5.0199999999999996</v>
          </cell>
          <cell r="D434" t="str">
            <v>Servicio de operación de sistema de bombeo turno día, fecha de inicio: XX/XX/2020 (SDC N°98)</v>
          </cell>
          <cell r="K434">
            <v>5640.1129999999994</v>
          </cell>
        </row>
        <row r="435">
          <cell r="B435" t="str">
            <v>Rendimiento:</v>
          </cell>
          <cell r="C435">
            <v>1</v>
          </cell>
          <cell r="D435" t="str">
            <v>mes</v>
          </cell>
          <cell r="E435" t="str">
            <v>/mes</v>
          </cell>
          <cell r="H435" t="str">
            <v>C.U. Total:</v>
          </cell>
          <cell r="I435">
            <v>5640.1129999999994</v>
          </cell>
          <cell r="J435" t="str">
            <v>mes</v>
          </cell>
        </row>
        <row r="436">
          <cell r="B436" t="str">
            <v>Codigo</v>
          </cell>
          <cell r="C436" t="str">
            <v>Recurso</v>
          </cell>
          <cell r="F436" t="str">
            <v>UND</v>
          </cell>
          <cell r="G436" t="str">
            <v>Cuadrilla</v>
          </cell>
          <cell r="H436" t="str">
            <v>Cantidad</v>
          </cell>
          <cell r="I436" t="str">
            <v>C.U.</v>
          </cell>
          <cell r="J436" t="str">
            <v>C.Parcial</v>
          </cell>
          <cell r="K436" t="str">
            <v>SUBTOTAL</v>
          </cell>
        </row>
        <row r="437">
          <cell r="A437" t="str">
            <v>10827(B)</v>
          </cell>
          <cell r="B437" t="str">
            <v>Materiales</v>
          </cell>
          <cell r="K437">
            <v>256.36900000000003</v>
          </cell>
          <cell r="L437" t="str">
            <v>(B)</v>
          </cell>
        </row>
        <row r="438">
          <cell r="B438" t="str">
            <v>TF00091</v>
          </cell>
          <cell r="C438" t="str">
            <v>Consumibles</v>
          </cell>
          <cell r="F438" t="str">
            <v>%</v>
          </cell>
          <cell r="H438">
            <v>0.05</v>
          </cell>
          <cell r="I438">
            <v>5127.375</v>
          </cell>
          <cell r="J438">
            <v>256.36900000000003</v>
          </cell>
        </row>
        <row r="439">
          <cell r="J439">
            <v>256.36900000000003</v>
          </cell>
        </row>
        <row r="440">
          <cell r="A440" t="str">
            <v>10827(C)</v>
          </cell>
          <cell r="B440" t="str">
            <v>Mano de Obra</v>
          </cell>
          <cell r="K440">
            <v>5127.375</v>
          </cell>
          <cell r="L440" t="str">
            <v>(C)</v>
          </cell>
        </row>
        <row r="441">
          <cell r="B441" t="str">
            <v>TF00002</v>
          </cell>
          <cell r="C441" t="str">
            <v>Capataz</v>
          </cell>
          <cell r="F441" t="str">
            <v>hh</v>
          </cell>
          <cell r="G441">
            <v>0.25</v>
          </cell>
          <cell r="H441">
            <v>82.5</v>
          </cell>
          <cell r="I441">
            <v>7.0299999999999994</v>
          </cell>
          <cell r="J441">
            <v>579.97500000000002</v>
          </cell>
        </row>
        <row r="442">
          <cell r="B442" t="str">
            <v>TF00196</v>
          </cell>
          <cell r="C442" t="str">
            <v>Operador de electrobomba</v>
          </cell>
          <cell r="F442" t="str">
            <v>hh</v>
          </cell>
          <cell r="G442">
            <v>2</v>
          </cell>
          <cell r="H442">
            <v>660</v>
          </cell>
          <cell r="I442">
            <v>6.89</v>
          </cell>
          <cell r="J442">
            <v>4547.3999999999996</v>
          </cell>
        </row>
        <row r="443">
          <cell r="J443">
            <v>5127.375</v>
          </cell>
        </row>
        <row r="444">
          <cell r="A444" t="str">
            <v>10827(D)</v>
          </cell>
          <cell r="B444" t="str">
            <v>Herramientas y Equipos</v>
          </cell>
          <cell r="K444">
            <v>256.36900000000003</v>
          </cell>
          <cell r="L444" t="str">
            <v>(D)</v>
          </cell>
        </row>
        <row r="445">
          <cell r="B445" t="str">
            <v>TF00060</v>
          </cell>
          <cell r="C445" t="str">
            <v>Herramientas (% Mano Obra)</v>
          </cell>
          <cell r="F445" t="str">
            <v>%</v>
          </cell>
          <cell r="H445">
            <v>0.05</v>
          </cell>
          <cell r="I445">
            <v>5127.375</v>
          </cell>
          <cell r="J445">
            <v>256.36900000000003</v>
          </cell>
        </row>
        <row r="446">
          <cell r="J446">
            <v>256.36900000000003</v>
          </cell>
        </row>
        <row r="449">
          <cell r="A449">
            <v>10828</v>
          </cell>
          <cell r="B449" t="str">
            <v>Partida</v>
          </cell>
          <cell r="C449">
            <v>5.03</v>
          </cell>
          <cell r="D449" t="str">
            <v>Servicio de operación de sistema de bombeo turno noche, fecha de inicio: XX/XX/2020 (SDC N°98)</v>
          </cell>
          <cell r="K449">
            <v>5494.9130000000005</v>
          </cell>
        </row>
        <row r="450">
          <cell r="B450" t="str">
            <v>Rendimiento:</v>
          </cell>
          <cell r="C450">
            <v>1</v>
          </cell>
          <cell r="D450" t="str">
            <v>mes</v>
          </cell>
          <cell r="E450" t="str">
            <v>/mes</v>
          </cell>
          <cell r="H450" t="str">
            <v>C.U. Total:</v>
          </cell>
          <cell r="I450">
            <v>5494.9130000000005</v>
          </cell>
          <cell r="J450" t="str">
            <v>mes</v>
          </cell>
        </row>
        <row r="451">
          <cell r="B451" t="str">
            <v>Codigo</v>
          </cell>
          <cell r="C451" t="str">
            <v>Recurso</v>
          </cell>
          <cell r="F451" t="str">
            <v>UND</v>
          </cell>
          <cell r="G451" t="str">
            <v>Cuadrilla</v>
          </cell>
          <cell r="H451" t="str">
            <v>Cantidad</v>
          </cell>
          <cell r="I451" t="str">
            <v>C.U.</v>
          </cell>
          <cell r="J451" t="str">
            <v>C.Parcial</v>
          </cell>
          <cell r="K451" t="str">
            <v>SUBTOTAL</v>
          </cell>
        </row>
        <row r="452">
          <cell r="A452" t="str">
            <v>10828(B)</v>
          </cell>
          <cell r="B452" t="str">
            <v>Materiales</v>
          </cell>
          <cell r="K452">
            <v>249.76900000000001</v>
          </cell>
          <cell r="L452" t="str">
            <v>(B)</v>
          </cell>
        </row>
        <row r="453">
          <cell r="B453" t="str">
            <v>TF00091</v>
          </cell>
          <cell r="C453" t="str">
            <v>Consumibles</v>
          </cell>
          <cell r="F453" t="str">
            <v>%</v>
          </cell>
          <cell r="H453">
            <v>0.05</v>
          </cell>
          <cell r="I453">
            <v>4995.375</v>
          </cell>
          <cell r="J453">
            <v>249.76900000000001</v>
          </cell>
        </row>
        <row r="454">
          <cell r="J454">
            <v>249.76900000000001</v>
          </cell>
        </row>
        <row r="455">
          <cell r="A455" t="str">
            <v>10828(C)</v>
          </cell>
          <cell r="B455" t="str">
            <v>Mano de Obra</v>
          </cell>
          <cell r="K455">
            <v>4995.375</v>
          </cell>
          <cell r="L455" t="str">
            <v>(C)</v>
          </cell>
        </row>
        <row r="456">
          <cell r="B456" t="str">
            <v>TF00002</v>
          </cell>
          <cell r="C456" t="str">
            <v>Capataz</v>
          </cell>
          <cell r="F456" t="str">
            <v>hh</v>
          </cell>
          <cell r="G456">
            <v>0.25</v>
          </cell>
          <cell r="H456">
            <v>82.5</v>
          </cell>
          <cell r="I456">
            <v>7.0299999999999994</v>
          </cell>
          <cell r="J456">
            <v>579.97500000000002</v>
          </cell>
        </row>
        <row r="457">
          <cell r="B457" t="str">
            <v>TF00004</v>
          </cell>
          <cell r="C457" t="str">
            <v>Operario</v>
          </cell>
          <cell r="F457" t="str">
            <v>hh</v>
          </cell>
          <cell r="G457">
            <v>2</v>
          </cell>
          <cell r="H457">
            <v>660</v>
          </cell>
          <cell r="I457">
            <v>6.6899999999999995</v>
          </cell>
          <cell r="J457">
            <v>4415.3999999999996</v>
          </cell>
        </row>
        <row r="458">
          <cell r="J458">
            <v>4995.375</v>
          </cell>
        </row>
        <row r="459">
          <cell r="A459" t="str">
            <v>10828(D)</v>
          </cell>
          <cell r="B459" t="str">
            <v>Herramientas y Equipos</v>
          </cell>
          <cell r="K459">
            <v>249.76900000000001</v>
          </cell>
          <cell r="L459" t="str">
            <v>(D)</v>
          </cell>
        </row>
        <row r="460">
          <cell r="B460" t="str">
            <v>TF00060</v>
          </cell>
          <cell r="C460" t="str">
            <v>Herramientas (% Mano Obra)</v>
          </cell>
          <cell r="F460" t="str">
            <v>%</v>
          </cell>
          <cell r="H460">
            <v>0.05</v>
          </cell>
          <cell r="I460">
            <v>4995.375</v>
          </cell>
          <cell r="J460">
            <v>249.76900000000001</v>
          </cell>
        </row>
        <row r="461">
          <cell r="J461">
            <v>249.76900000000001</v>
          </cell>
        </row>
        <row r="464">
          <cell r="A464">
            <v>10829</v>
          </cell>
          <cell r="B464" t="str">
            <v>Partida</v>
          </cell>
          <cell r="C464">
            <v>5.04</v>
          </cell>
          <cell r="D464" t="str">
            <v>Sistema de Bombeo 01 electrobomba #01-8", fecha de inicio: XX/XX/2020 (SDC N°98)</v>
          </cell>
          <cell r="K464">
            <v>15.585999999999999</v>
          </cell>
        </row>
        <row r="465">
          <cell r="B465" t="str">
            <v>Rendimiento:</v>
          </cell>
          <cell r="C465">
            <v>1</v>
          </cell>
          <cell r="D465" t="str">
            <v>hm</v>
          </cell>
          <cell r="H465" t="str">
            <v>C.U. Total:</v>
          </cell>
          <cell r="I465">
            <v>15.585999999999999</v>
          </cell>
          <cell r="J465" t="str">
            <v>hm</v>
          </cell>
        </row>
        <row r="466">
          <cell r="B466" t="str">
            <v>Codigo</v>
          </cell>
          <cell r="C466" t="str">
            <v>Recurso</v>
          </cell>
          <cell r="F466" t="str">
            <v>UND</v>
          </cell>
          <cell r="G466" t="str">
            <v>Cuadrilla</v>
          </cell>
          <cell r="H466" t="str">
            <v>Cantidad</v>
          </cell>
          <cell r="I466" t="str">
            <v>C.U.</v>
          </cell>
          <cell r="J466" t="str">
            <v>C.Parcial</v>
          </cell>
          <cell r="K466" t="str">
            <v>SUBTOTAL</v>
          </cell>
        </row>
        <row r="467">
          <cell r="A467" t="str">
            <v>10829(C)</v>
          </cell>
          <cell r="B467" t="str">
            <v>Mano de Obra</v>
          </cell>
          <cell r="K467">
            <v>0.21</v>
          </cell>
          <cell r="L467" t="str">
            <v>(C)</v>
          </cell>
        </row>
        <row r="468">
          <cell r="B468" t="str">
            <v>TF00015</v>
          </cell>
          <cell r="C468" t="str">
            <v>Rigger</v>
          </cell>
          <cell r="F468" t="str">
            <v>hh</v>
          </cell>
          <cell r="G468">
            <v>1.7857142857142856E-2</v>
          </cell>
          <cell r="H468">
            <v>1.7857142857142856E-2</v>
          </cell>
          <cell r="I468">
            <v>12</v>
          </cell>
          <cell r="J468">
            <v>0.21</v>
          </cell>
        </row>
        <row r="469">
          <cell r="J469">
            <v>0.21</v>
          </cell>
        </row>
        <row r="470">
          <cell r="A470" t="str">
            <v>10829(B)</v>
          </cell>
          <cell r="B470" t="str">
            <v>Materiales</v>
          </cell>
          <cell r="K470">
            <v>1.244</v>
          </cell>
          <cell r="L470" t="str">
            <v>(B)</v>
          </cell>
        </row>
        <row r="471">
          <cell r="B471" t="str">
            <v>TF00198</v>
          </cell>
          <cell r="C471" t="str">
            <v>Manguera x100m 8" de descarga y accesorios</v>
          </cell>
          <cell r="F471" t="str">
            <v>rll</v>
          </cell>
          <cell r="H471">
            <v>1.1111111111111111E-3</v>
          </cell>
          <cell r="I471">
            <v>1119.51</v>
          </cell>
          <cell r="J471">
            <v>1.244</v>
          </cell>
        </row>
        <row r="472">
          <cell r="J472">
            <v>1.244</v>
          </cell>
        </row>
        <row r="473">
          <cell r="A473" t="str">
            <v>10829(D)</v>
          </cell>
          <cell r="B473" t="str">
            <v>Herramientas y Equipos</v>
          </cell>
          <cell r="K473">
            <v>14.341999999999999</v>
          </cell>
          <cell r="L473" t="str">
            <v>(D)</v>
          </cell>
        </row>
        <row r="474">
          <cell r="B474" t="str">
            <v>TF00177</v>
          </cell>
          <cell r="C474" t="str">
            <v>Electrobomba capacidad 8"</v>
          </cell>
          <cell r="F474" t="str">
            <v>hm</v>
          </cell>
          <cell r="G474">
            <v>1</v>
          </cell>
          <cell r="H474">
            <v>1</v>
          </cell>
          <cell r="I474">
            <v>6</v>
          </cell>
          <cell r="J474">
            <v>6</v>
          </cell>
        </row>
        <row r="475">
          <cell r="B475" t="str">
            <v>TF00168</v>
          </cell>
          <cell r="C475" t="str">
            <v>Grupo electrogeno 200KW</v>
          </cell>
          <cell r="F475" t="str">
            <v>hm</v>
          </cell>
          <cell r="G475">
            <v>0.5</v>
          </cell>
          <cell r="H475">
            <v>0.5</v>
          </cell>
          <cell r="I475">
            <v>13.764666666666669</v>
          </cell>
          <cell r="J475">
            <v>6.8819999999999997</v>
          </cell>
        </row>
        <row r="476">
          <cell r="B476" t="str">
            <v>TF00037</v>
          </cell>
          <cell r="C476" t="str">
            <v>Camión Grúa de 12-20 Ton.</v>
          </cell>
          <cell r="F476" t="str">
            <v>hm</v>
          </cell>
          <cell r="G476">
            <v>1.7857142857142856E-2</v>
          </cell>
          <cell r="H476">
            <v>1.7857142857142856E-2</v>
          </cell>
          <cell r="I476">
            <v>82</v>
          </cell>
          <cell r="J476">
            <v>1.46</v>
          </cell>
        </row>
        <row r="477">
          <cell r="J477">
            <v>14.341999999999999</v>
          </cell>
        </row>
        <row r="480">
          <cell r="A480">
            <v>10830</v>
          </cell>
          <cell r="B480" t="str">
            <v>Partida</v>
          </cell>
          <cell r="C480">
            <v>5.05</v>
          </cell>
          <cell r="D480" t="str">
            <v>Sistema de Bombeo 01 electrobomba #01-6", fecha de inicio: XX/XX/2020 (SDC N°98)</v>
          </cell>
          <cell r="K480">
            <v>13.808</v>
          </cell>
        </row>
        <row r="481">
          <cell r="B481" t="str">
            <v>Rendimiento:</v>
          </cell>
          <cell r="C481">
            <v>1</v>
          </cell>
          <cell r="D481" t="str">
            <v>hm</v>
          </cell>
          <cell r="H481" t="str">
            <v>C.U. Total:</v>
          </cell>
          <cell r="I481">
            <v>13.808</v>
          </cell>
          <cell r="J481" t="str">
            <v>hm</v>
          </cell>
        </row>
        <row r="482">
          <cell r="B482" t="str">
            <v>Codigo</v>
          </cell>
          <cell r="C482" t="str">
            <v>Recurso</v>
          </cell>
          <cell r="F482" t="str">
            <v>UND</v>
          </cell>
          <cell r="G482" t="str">
            <v>Cuadrilla</v>
          </cell>
          <cell r="H482" t="str">
            <v>Cantidad</v>
          </cell>
          <cell r="I482" t="str">
            <v>C.U.</v>
          </cell>
          <cell r="J482" t="str">
            <v>C.Parcial</v>
          </cell>
          <cell r="K482" t="str">
            <v>SUBTOTAL</v>
          </cell>
        </row>
        <row r="483">
          <cell r="A483" t="str">
            <v>10830(C)</v>
          </cell>
          <cell r="B483" t="str">
            <v>Mano de Obra</v>
          </cell>
          <cell r="K483">
            <v>0.21</v>
          </cell>
          <cell r="L483" t="str">
            <v>(C)</v>
          </cell>
        </row>
        <row r="484">
          <cell r="B484" t="str">
            <v>TF00015</v>
          </cell>
          <cell r="C484" t="str">
            <v>Rigger</v>
          </cell>
          <cell r="F484" t="str">
            <v>hh</v>
          </cell>
          <cell r="G484">
            <v>1.7857142857142856E-2</v>
          </cell>
          <cell r="H484">
            <v>1.7857142857142856E-2</v>
          </cell>
          <cell r="I484">
            <v>12</v>
          </cell>
          <cell r="J484">
            <v>0.21</v>
          </cell>
        </row>
        <row r="485">
          <cell r="J485">
            <v>0.21</v>
          </cell>
        </row>
        <row r="486">
          <cell r="A486" t="str">
            <v>10830(B)</v>
          </cell>
          <cell r="B486" t="str">
            <v>Materiales</v>
          </cell>
          <cell r="K486">
            <v>0.71099999999999997</v>
          </cell>
          <cell r="L486" t="str">
            <v>(B)</v>
          </cell>
        </row>
        <row r="487">
          <cell r="B487" t="str">
            <v>TF00199</v>
          </cell>
          <cell r="C487" t="str">
            <v>Manguera x100m 6" de descarga y accesorios</v>
          </cell>
          <cell r="F487" t="str">
            <v>rll</v>
          </cell>
          <cell r="H487">
            <v>1.1111111111111111E-3</v>
          </cell>
          <cell r="I487">
            <v>639.72</v>
          </cell>
          <cell r="J487">
            <v>0.71099999999999997</v>
          </cell>
        </row>
        <row r="488">
          <cell r="J488">
            <v>0.71099999999999997</v>
          </cell>
        </row>
        <row r="489">
          <cell r="A489" t="str">
            <v>10830(D)</v>
          </cell>
          <cell r="B489" t="str">
            <v>Herramientas y Equipos</v>
          </cell>
          <cell r="K489">
            <v>12.887</v>
          </cell>
          <cell r="L489" t="str">
            <v>(D)</v>
          </cell>
        </row>
        <row r="490">
          <cell r="B490" t="str">
            <v>TF00178</v>
          </cell>
          <cell r="C490" t="str">
            <v>Electrobomba capacidad 6"</v>
          </cell>
          <cell r="F490" t="str">
            <v>hm</v>
          </cell>
          <cell r="G490">
            <v>1</v>
          </cell>
          <cell r="H490">
            <v>1</v>
          </cell>
          <cell r="I490">
            <v>4.5454545454545459</v>
          </cell>
          <cell r="J490">
            <v>4.5449999999999999</v>
          </cell>
        </row>
        <row r="491">
          <cell r="B491" t="str">
            <v>TF00168</v>
          </cell>
          <cell r="C491" t="str">
            <v>Grupo electrogeno 200KW</v>
          </cell>
          <cell r="F491" t="str">
            <v>hm</v>
          </cell>
          <cell r="G491">
            <v>0.5</v>
          </cell>
          <cell r="H491">
            <v>0.5</v>
          </cell>
          <cell r="I491">
            <v>13.764666666666669</v>
          </cell>
          <cell r="J491">
            <v>6.8819999999999997</v>
          </cell>
        </row>
        <row r="492">
          <cell r="B492" t="str">
            <v>TF00037</v>
          </cell>
          <cell r="C492" t="str">
            <v>Camión Grúa de 12-20 Ton.</v>
          </cell>
          <cell r="F492" t="str">
            <v>hm</v>
          </cell>
          <cell r="G492">
            <v>1.7857142857142856E-2</v>
          </cell>
          <cell r="H492">
            <v>1.7857142857142856E-2</v>
          </cell>
          <cell r="I492">
            <v>82</v>
          </cell>
          <cell r="J492">
            <v>1.46</v>
          </cell>
        </row>
        <row r="493">
          <cell r="J493">
            <v>12.887</v>
          </cell>
        </row>
        <row r="496">
          <cell r="A496">
            <v>10831</v>
          </cell>
          <cell r="B496" t="str">
            <v>Partida</v>
          </cell>
          <cell r="C496">
            <v>5.0599999999999996</v>
          </cell>
          <cell r="D496" t="str">
            <v>Sistema de Bombeo 01 electrobomba #01-6", fecha de inicio: XX/XX/2020 (SDC N°98)</v>
          </cell>
          <cell r="K496">
            <v>13.808</v>
          </cell>
        </row>
        <row r="497">
          <cell r="B497" t="str">
            <v>Rendimiento:</v>
          </cell>
          <cell r="C497">
            <v>1</v>
          </cell>
          <cell r="D497" t="str">
            <v>hm</v>
          </cell>
          <cell r="H497" t="str">
            <v>C.U. Total:</v>
          </cell>
          <cell r="I497">
            <v>13.808</v>
          </cell>
          <cell r="J497" t="str">
            <v>hm</v>
          </cell>
        </row>
        <row r="498">
          <cell r="B498" t="str">
            <v>Codigo</v>
          </cell>
          <cell r="C498" t="str">
            <v>Recurso</v>
          </cell>
          <cell r="F498" t="str">
            <v>UND</v>
          </cell>
          <cell r="G498" t="str">
            <v>Cuadrilla</v>
          </cell>
          <cell r="H498" t="str">
            <v>Cantidad</v>
          </cell>
          <cell r="I498" t="str">
            <v>C.U.</v>
          </cell>
          <cell r="J498" t="str">
            <v>C.Parcial</v>
          </cell>
          <cell r="K498" t="str">
            <v>SUBTOTAL</v>
          </cell>
        </row>
        <row r="499">
          <cell r="A499" t="str">
            <v>10831(C)</v>
          </cell>
          <cell r="B499" t="str">
            <v>Mano de Obra</v>
          </cell>
          <cell r="K499">
            <v>0.21</v>
          </cell>
          <cell r="L499" t="str">
            <v>(C)</v>
          </cell>
        </row>
        <row r="500">
          <cell r="B500" t="str">
            <v>TF00015</v>
          </cell>
          <cell r="C500" t="str">
            <v>Rigger</v>
          </cell>
          <cell r="F500" t="str">
            <v>hh</v>
          </cell>
          <cell r="G500">
            <v>1.7857142857142856E-2</v>
          </cell>
          <cell r="H500">
            <v>1.7857142857142856E-2</v>
          </cell>
          <cell r="I500">
            <v>12</v>
          </cell>
          <cell r="J500">
            <v>0.21</v>
          </cell>
        </row>
        <row r="501">
          <cell r="J501">
            <v>0.21</v>
          </cell>
        </row>
        <row r="502">
          <cell r="A502" t="str">
            <v>10831(B)</v>
          </cell>
          <cell r="B502" t="str">
            <v>Materiales</v>
          </cell>
          <cell r="K502">
            <v>0.71099999999999997</v>
          </cell>
          <cell r="L502" t="str">
            <v>(B)</v>
          </cell>
        </row>
        <row r="503">
          <cell r="B503" t="str">
            <v>TF00199</v>
          </cell>
          <cell r="C503" t="str">
            <v>Manguera x100m 6" de descarga y accesorios</v>
          </cell>
          <cell r="F503" t="str">
            <v>rll</v>
          </cell>
          <cell r="H503">
            <v>1.1111111111111111E-3</v>
          </cell>
          <cell r="I503">
            <v>639.72</v>
          </cell>
          <cell r="J503">
            <v>0.71099999999999997</v>
          </cell>
        </row>
        <row r="504">
          <cell r="J504">
            <v>0.71099999999999997</v>
          </cell>
        </row>
        <row r="505">
          <cell r="A505" t="str">
            <v>10831(D)</v>
          </cell>
          <cell r="B505" t="str">
            <v>Herramientas y Equipos</v>
          </cell>
          <cell r="K505">
            <v>12.887</v>
          </cell>
          <cell r="L505" t="str">
            <v>(D)</v>
          </cell>
        </row>
        <row r="506">
          <cell r="B506" t="str">
            <v>TF00178</v>
          </cell>
          <cell r="C506" t="str">
            <v>Electrobomba capacidad 6"</v>
          </cell>
          <cell r="F506" t="str">
            <v>hm</v>
          </cell>
          <cell r="G506">
            <v>1</v>
          </cell>
          <cell r="H506">
            <v>1</v>
          </cell>
          <cell r="I506">
            <v>4.5454545454545459</v>
          </cell>
          <cell r="J506">
            <v>4.5449999999999999</v>
          </cell>
        </row>
        <row r="507">
          <cell r="B507" t="str">
            <v>TF00168</v>
          </cell>
          <cell r="C507" t="str">
            <v>Grupo electrogeno 200KW</v>
          </cell>
          <cell r="F507" t="str">
            <v>hm</v>
          </cell>
          <cell r="G507">
            <v>0.5</v>
          </cell>
          <cell r="H507">
            <v>0.5</v>
          </cell>
          <cell r="I507">
            <v>13.764666666666669</v>
          </cell>
          <cell r="J507">
            <v>6.8819999999999997</v>
          </cell>
        </row>
        <row r="508">
          <cell r="B508" t="str">
            <v>TF00037</v>
          </cell>
          <cell r="C508" t="str">
            <v>Camión Grúa de 12-20 Ton.</v>
          </cell>
          <cell r="F508" t="str">
            <v>hm</v>
          </cell>
          <cell r="G508">
            <v>1.7857142857142856E-2</v>
          </cell>
          <cell r="H508">
            <v>1.7857142857142856E-2</v>
          </cell>
          <cell r="I508">
            <v>82</v>
          </cell>
          <cell r="J508">
            <v>1.46</v>
          </cell>
        </row>
        <row r="509">
          <cell r="J509">
            <v>12.887</v>
          </cell>
        </row>
        <row r="512">
          <cell r="A512">
            <v>10833</v>
          </cell>
          <cell r="B512" t="str">
            <v>Partida</v>
          </cell>
          <cell r="C512">
            <v>6.01</v>
          </cell>
          <cell r="D512" t="str">
            <v>Carguío y transporte material de enrocado d&lt;1km</v>
          </cell>
          <cell r="K512">
            <v>2.82</v>
          </cell>
        </row>
        <row r="513">
          <cell r="B513" t="str">
            <v>Rendimiento:</v>
          </cell>
          <cell r="C513">
            <v>45.5</v>
          </cell>
          <cell r="D513" t="str">
            <v>m3-km</v>
          </cell>
          <cell r="H513" t="str">
            <v>C.U. Total:</v>
          </cell>
          <cell r="I513">
            <v>2.82</v>
          </cell>
          <cell r="J513" t="str">
            <v>m3-km</v>
          </cell>
        </row>
        <row r="514">
          <cell r="B514" t="str">
            <v>Codigo</v>
          </cell>
          <cell r="C514" t="str">
            <v>Recurso</v>
          </cell>
          <cell r="F514" t="str">
            <v>UND</v>
          </cell>
          <cell r="G514" t="str">
            <v>Cuadrilla</v>
          </cell>
          <cell r="H514" t="str">
            <v>Cantidad</v>
          </cell>
          <cell r="I514" t="str">
            <v>C.U.</v>
          </cell>
          <cell r="J514" t="str">
            <v>C.Parcial</v>
          </cell>
          <cell r="K514" t="str">
            <v>SUBTOTAL</v>
          </cell>
        </row>
        <row r="515">
          <cell r="A515" t="str">
            <v>10833(C)</v>
          </cell>
          <cell r="B515" t="str">
            <v>Mano de Obra</v>
          </cell>
          <cell r="K515">
            <v>0.09</v>
          </cell>
          <cell r="L515" t="str">
            <v>(C)</v>
          </cell>
        </row>
        <row r="516">
          <cell r="B516" t="str">
            <v>TF00002</v>
          </cell>
          <cell r="C516" t="str">
            <v>Capataz</v>
          </cell>
          <cell r="F516" t="str">
            <v>hh</v>
          </cell>
          <cell r="G516">
            <v>0.35</v>
          </cell>
          <cell r="H516">
            <v>7.7000000000000002E-3</v>
          </cell>
          <cell r="I516">
            <v>7.0299999999999994</v>
          </cell>
          <cell r="J516">
            <v>0.05</v>
          </cell>
        </row>
        <row r="517">
          <cell r="B517" t="str">
            <v>TF00014</v>
          </cell>
          <cell r="C517" t="str">
            <v>Vigía</v>
          </cell>
          <cell r="F517" t="str">
            <v>hh</v>
          </cell>
          <cell r="G517">
            <v>0.33333333333333331</v>
          </cell>
          <cell r="H517">
            <v>7.4000000000000003E-3</v>
          </cell>
          <cell r="I517">
            <v>4.84</v>
          </cell>
          <cell r="J517">
            <v>0.04</v>
          </cell>
        </row>
        <row r="518">
          <cell r="J518">
            <v>0.09</v>
          </cell>
        </row>
        <row r="519">
          <cell r="A519" t="str">
            <v>10833(D)</v>
          </cell>
          <cell r="B519" t="str">
            <v>Herramientas y Equipos</v>
          </cell>
          <cell r="K519">
            <v>2.73</v>
          </cell>
          <cell r="L519" t="str">
            <v>(D)</v>
          </cell>
        </row>
        <row r="520">
          <cell r="B520" t="str">
            <v>TF00060</v>
          </cell>
          <cell r="C520" t="str">
            <v>Herramientas (% Mano Obra)</v>
          </cell>
          <cell r="F520" t="str">
            <v>%</v>
          </cell>
          <cell r="H520">
            <v>0.05</v>
          </cell>
          <cell r="I520">
            <v>0.09</v>
          </cell>
          <cell r="J520">
            <v>0</v>
          </cell>
        </row>
        <row r="521">
          <cell r="B521" t="str">
            <v>TF00025</v>
          </cell>
          <cell r="C521" t="str">
            <v>Cargador Frontal John Deere 744 K</v>
          </cell>
          <cell r="F521" t="str">
            <v>hm</v>
          </cell>
          <cell r="G521">
            <v>1</v>
          </cell>
          <cell r="H521">
            <v>2.1999999999999999E-2</v>
          </cell>
          <cell r="I521">
            <v>57</v>
          </cell>
          <cell r="J521">
            <v>1.25</v>
          </cell>
        </row>
        <row r="522">
          <cell r="A522">
            <v>4.8819261674461751</v>
          </cell>
          <cell r="B522" t="str">
            <v>TF00027</v>
          </cell>
          <cell r="C522" t="str">
            <v>Volquete de 17 m3</v>
          </cell>
          <cell r="F522" t="str">
            <v>hm</v>
          </cell>
          <cell r="G522">
            <v>2</v>
          </cell>
          <cell r="H522">
            <v>4.4000000000000004E-2</v>
          </cell>
          <cell r="I522">
            <v>33</v>
          </cell>
          <cell r="J522">
            <v>1.45</v>
          </cell>
        </row>
        <row r="523">
          <cell r="B523" t="str">
            <v>TF00041</v>
          </cell>
          <cell r="C523" t="str">
            <v>Luminaria 4K</v>
          </cell>
          <cell r="F523" t="str">
            <v>hm</v>
          </cell>
          <cell r="G523">
            <v>0.5</v>
          </cell>
          <cell r="H523">
            <v>1.0999999999999999E-2</v>
          </cell>
          <cell r="I523">
            <v>2.2799999999999998</v>
          </cell>
          <cell r="J523">
            <v>0.03</v>
          </cell>
        </row>
        <row r="524">
          <cell r="J524">
            <v>2.73</v>
          </cell>
        </row>
        <row r="527">
          <cell r="A527">
            <v>10834</v>
          </cell>
          <cell r="B527" t="str">
            <v>Partida</v>
          </cell>
          <cell r="C527">
            <v>6.02</v>
          </cell>
          <cell r="D527" t="str">
            <v>Transporte material de enrocado d&gt;1km</v>
          </cell>
          <cell r="K527">
            <v>1.21</v>
          </cell>
        </row>
        <row r="528">
          <cell r="B528" t="str">
            <v>Rendimiento:</v>
          </cell>
          <cell r="C528">
            <v>30.799999999999997</v>
          </cell>
          <cell r="D528" t="str">
            <v>m3-km</v>
          </cell>
          <cell r="H528" t="str">
            <v>C.U. Total:</v>
          </cell>
          <cell r="I528">
            <v>1.21</v>
          </cell>
          <cell r="J528" t="str">
            <v>m3-km</v>
          </cell>
        </row>
        <row r="529">
          <cell r="B529" t="str">
            <v>Codigo</v>
          </cell>
          <cell r="C529" t="str">
            <v>Recurso</v>
          </cell>
          <cell r="F529" t="str">
            <v>UND</v>
          </cell>
          <cell r="G529" t="str">
            <v>Cuadrilla</v>
          </cell>
          <cell r="H529" t="str">
            <v>Cantidad</v>
          </cell>
          <cell r="I529" t="str">
            <v>C.U.</v>
          </cell>
          <cell r="J529" t="str">
            <v>C.Parcial</v>
          </cell>
          <cell r="K529" t="str">
            <v>SUBTOTAL</v>
          </cell>
        </row>
        <row r="530">
          <cell r="A530" t="str">
            <v>10834(C)</v>
          </cell>
          <cell r="B530" t="str">
            <v>Mano de Obra</v>
          </cell>
          <cell r="K530">
            <v>0.13</v>
          </cell>
          <cell r="L530" t="str">
            <v>(C)</v>
          </cell>
        </row>
        <row r="531">
          <cell r="B531" t="str">
            <v>TF00002</v>
          </cell>
          <cell r="C531" t="str">
            <v>Capataz</v>
          </cell>
          <cell r="F531" t="str">
            <v>hh</v>
          </cell>
          <cell r="G531">
            <v>0.35</v>
          </cell>
          <cell r="H531">
            <v>1.1399999999999999E-2</v>
          </cell>
          <cell r="I531">
            <v>7.0299999999999994</v>
          </cell>
          <cell r="J531">
            <v>0.08</v>
          </cell>
        </row>
        <row r="532">
          <cell r="B532" t="str">
            <v>TF00014</v>
          </cell>
          <cell r="C532" t="str">
            <v>Vigía</v>
          </cell>
          <cell r="F532" t="str">
            <v>hh</v>
          </cell>
          <cell r="G532">
            <v>0.33333333333333331</v>
          </cell>
          <cell r="H532">
            <v>1.09E-2</v>
          </cell>
          <cell r="I532">
            <v>4.84</v>
          </cell>
          <cell r="J532">
            <v>0.05</v>
          </cell>
        </row>
        <row r="533">
          <cell r="J533">
            <v>0.13</v>
          </cell>
        </row>
        <row r="534">
          <cell r="A534" t="str">
            <v>10834(D)</v>
          </cell>
          <cell r="B534" t="str">
            <v>Herramientas y Equipos</v>
          </cell>
          <cell r="K534">
            <v>1.08</v>
          </cell>
          <cell r="L534" t="str">
            <v>(D)</v>
          </cell>
        </row>
        <row r="535">
          <cell r="B535" t="str">
            <v>TF00060</v>
          </cell>
          <cell r="C535" t="str">
            <v>Herramientas (% Mano Obra)</v>
          </cell>
          <cell r="F535" t="str">
            <v>%</v>
          </cell>
          <cell r="H535">
            <v>0.05</v>
          </cell>
          <cell r="I535">
            <v>0.13</v>
          </cell>
          <cell r="J535">
            <v>0.01</v>
          </cell>
        </row>
        <row r="536">
          <cell r="B536" t="str">
            <v>TF00027</v>
          </cell>
          <cell r="C536" t="str">
            <v>Volquete de 17 m3</v>
          </cell>
          <cell r="F536" t="str">
            <v>hm</v>
          </cell>
          <cell r="G536">
            <v>1</v>
          </cell>
          <cell r="H536">
            <v>3.2500000000000001E-2</v>
          </cell>
          <cell r="I536">
            <v>33</v>
          </cell>
          <cell r="J536">
            <v>1.07</v>
          </cell>
        </row>
        <row r="537">
          <cell r="J537">
            <v>1.08</v>
          </cell>
        </row>
        <row r="540">
          <cell r="A540">
            <v>10835</v>
          </cell>
          <cell r="B540" t="str">
            <v>Partida</v>
          </cell>
          <cell r="C540">
            <v>6.03</v>
          </cell>
          <cell r="D540" t="str">
            <v xml:space="preserve">Relleno y conformación con material 3B </v>
          </cell>
          <cell r="K540">
            <v>4.6500000000000004</v>
          </cell>
        </row>
        <row r="541">
          <cell r="B541" t="str">
            <v>Rendimiento:</v>
          </cell>
          <cell r="C541">
            <v>27.299999999999997</v>
          </cell>
          <cell r="D541" t="str">
            <v>m3</v>
          </cell>
          <cell r="H541" t="str">
            <v>C.U. Total:</v>
          </cell>
          <cell r="I541">
            <v>4.6500000000000004</v>
          </cell>
          <cell r="J541" t="str">
            <v>m3</v>
          </cell>
        </row>
        <row r="542">
          <cell r="B542" t="str">
            <v>Codigo</v>
          </cell>
          <cell r="C542" t="str">
            <v>Recurso</v>
          </cell>
          <cell r="F542" t="str">
            <v>UND</v>
          </cell>
          <cell r="G542" t="str">
            <v>Cuadrilla</v>
          </cell>
          <cell r="H542" t="str">
            <v>Cantidad</v>
          </cell>
          <cell r="I542" t="str">
            <v>C.U.</v>
          </cell>
          <cell r="J542" t="str">
            <v>C.Parcial</v>
          </cell>
          <cell r="K542" t="str">
            <v>SUBTOTAL</v>
          </cell>
        </row>
        <row r="543">
          <cell r="A543" t="str">
            <v>10835(B)</v>
          </cell>
          <cell r="B543" t="str">
            <v>Materiales</v>
          </cell>
          <cell r="K543">
            <v>0.04</v>
          </cell>
          <cell r="L543" t="str">
            <v>(B)</v>
          </cell>
        </row>
        <row r="544">
          <cell r="B544" t="str">
            <v>TF00053</v>
          </cell>
          <cell r="C544" t="str">
            <v>Materiales de campo</v>
          </cell>
          <cell r="F544" t="str">
            <v>glb</v>
          </cell>
          <cell r="H544">
            <v>0.01</v>
          </cell>
          <cell r="I544">
            <v>4</v>
          </cell>
          <cell r="J544">
            <v>0.04</v>
          </cell>
        </row>
        <row r="545">
          <cell r="J545">
            <v>0.04</v>
          </cell>
        </row>
        <row r="546">
          <cell r="A546" t="str">
            <v>10835(C)</v>
          </cell>
          <cell r="B546" t="str">
            <v>Mano de Obra</v>
          </cell>
          <cell r="K546">
            <v>0.65999999999999992</v>
          </cell>
          <cell r="L546" t="str">
            <v>(C)</v>
          </cell>
        </row>
        <row r="547">
          <cell r="B547" t="str">
            <v>TF00002</v>
          </cell>
          <cell r="C547" t="str">
            <v>Capataz</v>
          </cell>
          <cell r="F547" t="str">
            <v>hh</v>
          </cell>
          <cell r="G547">
            <v>0.35</v>
          </cell>
          <cell r="H547">
            <v>1.29E-2</v>
          </cell>
          <cell r="I547">
            <v>7.0299999999999994</v>
          </cell>
          <cell r="J547">
            <v>0.09</v>
          </cell>
        </row>
        <row r="548">
          <cell r="B548" t="str">
            <v>TF00012</v>
          </cell>
          <cell r="C548" t="str">
            <v>Peón</v>
          </cell>
          <cell r="F548" t="str">
            <v>hh</v>
          </cell>
          <cell r="G548">
            <v>2</v>
          </cell>
          <cell r="H548">
            <v>7.3300000000000004E-2</v>
          </cell>
          <cell r="I548">
            <v>4.84</v>
          </cell>
          <cell r="J548">
            <v>0.35</v>
          </cell>
        </row>
        <row r="549">
          <cell r="B549" t="str">
            <v>TF00015</v>
          </cell>
          <cell r="C549" t="str">
            <v>Rigger</v>
          </cell>
          <cell r="F549" t="str">
            <v>hh</v>
          </cell>
          <cell r="G549">
            <v>0.1</v>
          </cell>
          <cell r="H549">
            <v>3.6999999999999997E-3</v>
          </cell>
          <cell r="I549">
            <v>12</v>
          </cell>
          <cell r="J549">
            <v>0.04</v>
          </cell>
        </row>
        <row r="550">
          <cell r="B550" t="str">
            <v>TF00014</v>
          </cell>
          <cell r="C550" t="str">
            <v>Vigía</v>
          </cell>
          <cell r="F550" t="str">
            <v>hh</v>
          </cell>
          <cell r="G550">
            <v>1</v>
          </cell>
          <cell r="H550">
            <v>3.6700000000000003E-2</v>
          </cell>
          <cell r="I550">
            <v>4.84</v>
          </cell>
          <cell r="J550">
            <v>0.18</v>
          </cell>
        </row>
        <row r="551">
          <cell r="J551">
            <v>0.65999999999999992</v>
          </cell>
        </row>
        <row r="552">
          <cell r="A552" t="str">
            <v>10835(D)</v>
          </cell>
          <cell r="B552" t="str">
            <v>Herramientas y Equipos</v>
          </cell>
          <cell r="K552">
            <v>3.95</v>
          </cell>
          <cell r="L552" t="str">
            <v>(D)</v>
          </cell>
        </row>
        <row r="553">
          <cell r="B553" t="str">
            <v>TF00060</v>
          </cell>
          <cell r="C553" t="str">
            <v>Herramientas (% Mano Obra)</v>
          </cell>
          <cell r="F553" t="str">
            <v>%</v>
          </cell>
          <cell r="H553">
            <v>0.05</v>
          </cell>
          <cell r="I553">
            <v>0.65999999999999992</v>
          </cell>
          <cell r="J553">
            <v>0.03</v>
          </cell>
        </row>
        <row r="554">
          <cell r="B554" t="str">
            <v>TF00021</v>
          </cell>
          <cell r="C554" t="str">
            <v>Tractor sobre Orugas CAT D8T</v>
          </cell>
          <cell r="F554" t="str">
            <v>hm</v>
          </cell>
          <cell r="G554">
            <v>0.5</v>
          </cell>
          <cell r="H554">
            <v>1.84E-2</v>
          </cell>
          <cell r="I554">
            <v>87</v>
          </cell>
          <cell r="J554">
            <v>1.6</v>
          </cell>
        </row>
        <row r="555">
          <cell r="B555" t="str">
            <v>TF00033</v>
          </cell>
          <cell r="C555" t="str">
            <v>Rodillo Liso Vibratorio Autopropulsado HAMM 20 Tn.</v>
          </cell>
          <cell r="F555" t="str">
            <v>hm</v>
          </cell>
          <cell r="G555">
            <v>0.5</v>
          </cell>
          <cell r="H555">
            <v>1.84E-2</v>
          </cell>
          <cell r="I555">
            <v>50</v>
          </cell>
          <cell r="J555">
            <v>0.92</v>
          </cell>
        </row>
        <row r="556">
          <cell r="B556" t="str">
            <v>TF00029</v>
          </cell>
          <cell r="C556" t="str">
            <v>Cisterna de agua 5,000 gln.</v>
          </cell>
          <cell r="F556" t="str">
            <v>hm</v>
          </cell>
          <cell r="G556">
            <v>0.6</v>
          </cell>
          <cell r="H556">
            <v>2.1999999999999999E-2</v>
          </cell>
          <cell r="I556">
            <v>32</v>
          </cell>
          <cell r="J556">
            <v>0.7</v>
          </cell>
        </row>
        <row r="557">
          <cell r="B557" t="str">
            <v>TF00024</v>
          </cell>
          <cell r="C557" t="str">
            <v>Excavadora John Deere 290</v>
          </cell>
          <cell r="F557" t="str">
            <v>hm</v>
          </cell>
          <cell r="G557">
            <v>0.2</v>
          </cell>
          <cell r="H557">
            <v>7.4000000000000003E-3</v>
          </cell>
          <cell r="I557">
            <v>62</v>
          </cell>
          <cell r="J557">
            <v>0.46</v>
          </cell>
        </row>
        <row r="558">
          <cell r="B558" t="str">
            <v>TF00026</v>
          </cell>
          <cell r="C558" t="str">
            <v>Retroexcavadora Cat 420e</v>
          </cell>
          <cell r="F558" t="str">
            <v>hm</v>
          </cell>
          <cell r="G558">
            <v>0.1</v>
          </cell>
          <cell r="H558">
            <v>3.6999999999999997E-3</v>
          </cell>
          <cell r="I558">
            <v>42</v>
          </cell>
          <cell r="J558">
            <v>0.16</v>
          </cell>
        </row>
        <row r="559">
          <cell r="A559">
            <v>0.1</v>
          </cell>
          <cell r="B559" t="str">
            <v>TF00030</v>
          </cell>
          <cell r="C559" t="str">
            <v>Camión Grúa de 4 Ton.</v>
          </cell>
          <cell r="F559" t="str">
            <v>hm</v>
          </cell>
          <cell r="G559">
            <v>0</v>
          </cell>
          <cell r="H559">
            <v>0</v>
          </cell>
          <cell r="I559">
            <v>62</v>
          </cell>
          <cell r="J559">
            <v>0</v>
          </cell>
        </row>
        <row r="560">
          <cell r="B560" t="str">
            <v>TF00041</v>
          </cell>
          <cell r="C560" t="str">
            <v>Luminaria 4K</v>
          </cell>
          <cell r="F560" t="str">
            <v>hm</v>
          </cell>
          <cell r="G560">
            <v>1</v>
          </cell>
          <cell r="H560">
            <v>3.6700000000000003E-2</v>
          </cell>
          <cell r="I560">
            <v>2.2799999999999998</v>
          </cell>
          <cell r="J560">
            <v>0.08</v>
          </cell>
        </row>
        <row r="561">
          <cell r="J561">
            <v>3.95</v>
          </cell>
        </row>
        <row r="564">
          <cell r="A564">
            <v>10837</v>
          </cell>
          <cell r="B564" t="str">
            <v>Partida</v>
          </cell>
          <cell r="C564">
            <v>7.01</v>
          </cell>
          <cell r="D564" t="str">
            <v>Adecuación final del sistema eléctrico</v>
          </cell>
          <cell r="K564">
            <v>454.14599999999996</v>
          </cell>
        </row>
        <row r="565">
          <cell r="B565" t="str">
            <v>Rendimiento:</v>
          </cell>
          <cell r="C565">
            <v>3</v>
          </cell>
          <cell r="D565" t="str">
            <v>und</v>
          </cell>
          <cell r="E565" t="str">
            <v>/día</v>
          </cell>
          <cell r="H565" t="str">
            <v>C.U. Total:</v>
          </cell>
          <cell r="I565">
            <v>454.14599999999996</v>
          </cell>
          <cell r="J565" t="str">
            <v>und</v>
          </cell>
        </row>
        <row r="566">
          <cell r="B566" t="str">
            <v>Codigo</v>
          </cell>
          <cell r="C566" t="str">
            <v>Recurso</v>
          </cell>
          <cell r="F566" t="str">
            <v>UND</v>
          </cell>
          <cell r="G566" t="str">
            <v>Cuadrilla</v>
          </cell>
          <cell r="H566" t="str">
            <v>Cantidad</v>
          </cell>
          <cell r="I566" t="str">
            <v>C.U.</v>
          </cell>
          <cell r="J566" t="str">
            <v>C.Parcial</v>
          </cell>
          <cell r="K566" t="str">
            <v>SUBTOTAL</v>
          </cell>
        </row>
        <row r="567">
          <cell r="A567" t="str">
            <v>10837(B)</v>
          </cell>
          <cell r="B567" t="str">
            <v>Materiales</v>
          </cell>
          <cell r="K567">
            <v>378</v>
          </cell>
          <cell r="L567" t="str">
            <v>(B)</v>
          </cell>
        </row>
        <row r="568">
          <cell r="B568" t="str">
            <v>TF00078</v>
          </cell>
          <cell r="C568" t="str">
            <v>Materiales para intalación eléctrica</v>
          </cell>
          <cell r="F568" t="str">
            <v>glb</v>
          </cell>
          <cell r="H568">
            <v>1</v>
          </cell>
          <cell r="I568">
            <v>378</v>
          </cell>
          <cell r="J568">
            <v>378</v>
          </cell>
        </row>
        <row r="569">
          <cell r="J569">
            <v>378</v>
          </cell>
        </row>
        <row r="570">
          <cell r="A570" t="str">
            <v>10837(C)</v>
          </cell>
          <cell r="B570" t="str">
            <v>Mano de Obra</v>
          </cell>
          <cell r="K570">
            <v>72.52</v>
          </cell>
          <cell r="L570" t="str">
            <v>(C)</v>
          </cell>
        </row>
        <row r="571">
          <cell r="B571" t="str">
            <v>TF00002</v>
          </cell>
          <cell r="C571" t="str">
            <v>Capataz</v>
          </cell>
          <cell r="F571" t="str">
            <v>hh</v>
          </cell>
          <cell r="G571">
            <v>0.1</v>
          </cell>
          <cell r="H571">
            <v>0.3666666666666667</v>
          </cell>
          <cell r="I571">
            <v>7.0299999999999994</v>
          </cell>
          <cell r="J571">
            <v>2.5779999999999998</v>
          </cell>
        </row>
        <row r="572">
          <cell r="B572" t="str">
            <v>TF00004</v>
          </cell>
          <cell r="C572" t="str">
            <v>Operario</v>
          </cell>
          <cell r="F572" t="str">
            <v>hh</v>
          </cell>
          <cell r="G572">
            <v>1</v>
          </cell>
          <cell r="H572">
            <v>3.6666666666666665</v>
          </cell>
          <cell r="I572">
            <v>6.6899999999999995</v>
          </cell>
          <cell r="J572">
            <v>24.53</v>
          </cell>
        </row>
        <row r="573">
          <cell r="B573" t="str">
            <v>TF00011</v>
          </cell>
          <cell r="C573" t="str">
            <v>Oficial</v>
          </cell>
          <cell r="F573" t="str">
            <v>hh</v>
          </cell>
          <cell r="G573">
            <v>0.5</v>
          </cell>
          <cell r="H573">
            <v>1.8333333333333333</v>
          </cell>
          <cell r="I573">
            <v>5.41</v>
          </cell>
          <cell r="J573">
            <v>9.9179999999999993</v>
          </cell>
        </row>
        <row r="574">
          <cell r="B574" t="str">
            <v>TF00012</v>
          </cell>
          <cell r="C574" t="str">
            <v>Peón</v>
          </cell>
          <cell r="F574" t="str">
            <v>hh</v>
          </cell>
          <cell r="G574">
            <v>1</v>
          </cell>
          <cell r="H574">
            <v>3.6666666666666665</v>
          </cell>
          <cell r="I574">
            <v>4.84</v>
          </cell>
          <cell r="J574">
            <v>17.747</v>
          </cell>
        </row>
        <row r="575">
          <cell r="B575" t="str">
            <v>TF00014</v>
          </cell>
          <cell r="C575" t="str">
            <v>Vigía</v>
          </cell>
          <cell r="F575" t="str">
            <v>hh</v>
          </cell>
          <cell r="G575">
            <v>1</v>
          </cell>
          <cell r="H575">
            <v>3.6666666666666665</v>
          </cell>
          <cell r="I575">
            <v>4.84</v>
          </cell>
          <cell r="J575">
            <v>17.747</v>
          </cell>
        </row>
        <row r="576">
          <cell r="J576">
            <v>72.52</v>
          </cell>
        </row>
        <row r="577">
          <cell r="A577" t="str">
            <v>10837(D)</v>
          </cell>
          <cell r="B577" t="str">
            <v>Herramientas y Equipos</v>
          </cell>
          <cell r="K577">
            <v>3.6259999999999999</v>
          </cell>
          <cell r="L577" t="str">
            <v>(D)</v>
          </cell>
        </row>
        <row r="578">
          <cell r="B578" t="str">
            <v>TF00060</v>
          </cell>
          <cell r="C578" t="str">
            <v>Herramientas (% Mano Obra)</v>
          </cell>
          <cell r="F578" t="str">
            <v>%</v>
          </cell>
          <cell r="H578">
            <v>0.05</v>
          </cell>
          <cell r="I578">
            <v>72.52</v>
          </cell>
          <cell r="J578">
            <v>3.6259999999999999</v>
          </cell>
        </row>
        <row r="579">
          <cell r="J579">
            <v>3.6259999999999999</v>
          </cell>
        </row>
        <row r="582">
          <cell r="A582">
            <v>10838</v>
          </cell>
          <cell r="B582" t="str">
            <v>Partida</v>
          </cell>
          <cell r="C582">
            <v>7.02</v>
          </cell>
          <cell r="D582" t="str">
            <v xml:space="preserve">Adecuación final del sistema de bombeo. </v>
          </cell>
          <cell r="K582">
            <v>397.67</v>
          </cell>
        </row>
        <row r="583">
          <cell r="B583" t="str">
            <v>Rendimiento:</v>
          </cell>
          <cell r="C583">
            <v>3</v>
          </cell>
          <cell r="D583" t="str">
            <v>und</v>
          </cell>
          <cell r="H583" t="str">
            <v>C.U. Total:</v>
          </cell>
          <cell r="I583">
            <v>397.67</v>
          </cell>
          <cell r="J583" t="str">
            <v>und</v>
          </cell>
        </row>
        <row r="584">
          <cell r="B584" t="str">
            <v>Codigo</v>
          </cell>
          <cell r="C584" t="str">
            <v>Recurso</v>
          </cell>
          <cell r="F584" t="str">
            <v>UND</v>
          </cell>
          <cell r="G584" t="str">
            <v>Cuadrilla</v>
          </cell>
          <cell r="H584" t="str">
            <v>Cantidad</v>
          </cell>
          <cell r="I584" t="str">
            <v>C.U.</v>
          </cell>
          <cell r="J584" t="str">
            <v>C.Parcial</v>
          </cell>
          <cell r="K584" t="str">
            <v>SUBTOTAL</v>
          </cell>
        </row>
        <row r="585">
          <cell r="A585" t="str">
            <v>10838(C)</v>
          </cell>
          <cell r="B585" t="str">
            <v>Mano de Obra</v>
          </cell>
          <cell r="K585">
            <v>92.38</v>
          </cell>
          <cell r="L585" t="str">
            <v>(C)</v>
          </cell>
        </row>
        <row r="586">
          <cell r="B586" t="str">
            <v>TF00002</v>
          </cell>
          <cell r="C586" t="str">
            <v>Capataz</v>
          </cell>
          <cell r="F586" t="str">
            <v>hh</v>
          </cell>
          <cell r="G586">
            <v>0.5</v>
          </cell>
          <cell r="H586">
            <v>1.8333333333333333</v>
          </cell>
          <cell r="I586">
            <v>7.0299999999999994</v>
          </cell>
          <cell r="J586">
            <v>12.89</v>
          </cell>
        </row>
        <row r="587">
          <cell r="B587" t="str">
            <v>TF00015</v>
          </cell>
          <cell r="C587" t="str">
            <v>Rigger</v>
          </cell>
          <cell r="F587" t="str">
            <v>hh</v>
          </cell>
          <cell r="G587">
            <v>1</v>
          </cell>
          <cell r="H587">
            <v>3.6666666666666665</v>
          </cell>
          <cell r="I587">
            <v>12</v>
          </cell>
          <cell r="J587">
            <v>44</v>
          </cell>
        </row>
        <row r="588">
          <cell r="B588" t="str">
            <v>TF00120</v>
          </cell>
          <cell r="C588" t="str">
            <v>Vientero</v>
          </cell>
          <cell r="F588" t="str">
            <v>hh</v>
          </cell>
          <cell r="G588">
            <v>2</v>
          </cell>
          <cell r="H588">
            <v>7.333333333333333</v>
          </cell>
          <cell r="I588">
            <v>4.84</v>
          </cell>
          <cell r="J588">
            <v>35.49</v>
          </cell>
        </row>
        <row r="589">
          <cell r="J589">
            <v>92.38</v>
          </cell>
        </row>
        <row r="590">
          <cell r="A590" t="str">
            <v>10838(D)</v>
          </cell>
          <cell r="B590" t="str">
            <v>Herramientas y Equipos</v>
          </cell>
          <cell r="K590">
            <v>305.29000000000002</v>
          </cell>
          <cell r="L590" t="str">
            <v>(D)</v>
          </cell>
        </row>
        <row r="591">
          <cell r="B591" t="str">
            <v>TF00060</v>
          </cell>
          <cell r="C591" t="str">
            <v>Herramientas (% Mano Obra)</v>
          </cell>
          <cell r="F591" t="str">
            <v>%</v>
          </cell>
          <cell r="H591">
            <v>0.05</v>
          </cell>
          <cell r="I591">
            <v>92.38</v>
          </cell>
          <cell r="J591">
            <v>4.62</v>
          </cell>
        </row>
        <row r="592">
          <cell r="B592" t="str">
            <v>TF00037</v>
          </cell>
          <cell r="C592" t="str">
            <v>Camión Grúa de 12-20 Ton.</v>
          </cell>
          <cell r="F592" t="str">
            <v>hm</v>
          </cell>
          <cell r="G592">
            <v>1</v>
          </cell>
          <cell r="H592">
            <v>3.6666666666666665</v>
          </cell>
          <cell r="I592">
            <v>82</v>
          </cell>
          <cell r="J592">
            <v>300.67</v>
          </cell>
        </row>
        <row r="593">
          <cell r="J593">
            <v>305.29000000000002</v>
          </cell>
        </row>
        <row r="596">
          <cell r="A596">
            <v>10839</v>
          </cell>
          <cell r="B596" t="str">
            <v>Partida</v>
          </cell>
          <cell r="C596">
            <v>7.03</v>
          </cell>
          <cell r="D596" t="str">
            <v>Instalación provisional de bombas en operación</v>
          </cell>
          <cell r="K596">
            <v>838.28400000000011</v>
          </cell>
        </row>
        <row r="597">
          <cell r="B597" t="str">
            <v>Rendimiento:</v>
          </cell>
          <cell r="C597">
            <v>3</v>
          </cell>
          <cell r="D597" t="str">
            <v>und</v>
          </cell>
          <cell r="E597" t="str">
            <v>/día</v>
          </cell>
          <cell r="H597" t="str">
            <v>C.U. Total:</v>
          </cell>
          <cell r="I597">
            <v>838.28400000000011</v>
          </cell>
          <cell r="J597" t="str">
            <v>und</v>
          </cell>
        </row>
        <row r="598">
          <cell r="B598" t="str">
            <v>Codigo</v>
          </cell>
          <cell r="C598" t="str">
            <v>Recurso</v>
          </cell>
          <cell r="F598" t="str">
            <v>UND</v>
          </cell>
          <cell r="G598" t="str">
            <v>Cuadrilla</v>
          </cell>
          <cell r="H598" t="str">
            <v>Cantidad</v>
          </cell>
          <cell r="I598" t="str">
            <v>C.U.</v>
          </cell>
          <cell r="J598" t="str">
            <v>C.Parcial</v>
          </cell>
          <cell r="K598" t="str">
            <v>SUBTOTAL</v>
          </cell>
        </row>
        <row r="599">
          <cell r="A599" t="str">
            <v>10839(B)</v>
          </cell>
          <cell r="B599" t="str">
            <v>Materiales</v>
          </cell>
          <cell r="K599">
            <v>378</v>
          </cell>
          <cell r="L599" t="str">
            <v>(B)</v>
          </cell>
        </row>
        <row r="600">
          <cell r="B600" t="str">
            <v>TF00078</v>
          </cell>
          <cell r="C600" t="str">
            <v>Materiales para intalación eléctrica</v>
          </cell>
          <cell r="F600" t="str">
            <v>glb</v>
          </cell>
          <cell r="H600">
            <v>1</v>
          </cell>
          <cell r="I600">
            <v>378</v>
          </cell>
          <cell r="J600">
            <v>378</v>
          </cell>
        </row>
        <row r="601">
          <cell r="J601">
            <v>378</v>
          </cell>
        </row>
        <row r="602">
          <cell r="A602" t="str">
            <v>10839(C)</v>
          </cell>
          <cell r="B602" t="str">
            <v>Mano de Obra</v>
          </cell>
          <cell r="K602">
            <v>152.01300000000001</v>
          </cell>
          <cell r="L602" t="str">
            <v>(C)</v>
          </cell>
        </row>
        <row r="603">
          <cell r="B603" t="str">
            <v>TF00002</v>
          </cell>
          <cell r="C603" t="str">
            <v>Capataz</v>
          </cell>
          <cell r="F603" t="str">
            <v>hh</v>
          </cell>
          <cell r="G603">
            <v>0.1</v>
          </cell>
          <cell r="H603">
            <v>0.3666666666666667</v>
          </cell>
          <cell r="I603">
            <v>7.0299999999999994</v>
          </cell>
          <cell r="J603">
            <v>2.5779999999999998</v>
          </cell>
        </row>
        <row r="604">
          <cell r="B604" t="str">
            <v>TF00015</v>
          </cell>
          <cell r="C604" t="str">
            <v>Rigger</v>
          </cell>
          <cell r="F604" t="str">
            <v>hh</v>
          </cell>
          <cell r="G604">
            <v>1</v>
          </cell>
          <cell r="H604">
            <v>3.6666666666666665</v>
          </cell>
          <cell r="I604">
            <v>12</v>
          </cell>
          <cell r="J604">
            <v>44</v>
          </cell>
        </row>
        <row r="605">
          <cell r="B605" t="str">
            <v>TF00004</v>
          </cell>
          <cell r="C605" t="str">
            <v>Operario</v>
          </cell>
          <cell r="F605" t="str">
            <v>hh</v>
          </cell>
          <cell r="G605">
            <v>1</v>
          </cell>
          <cell r="H605">
            <v>3.6666666666666665</v>
          </cell>
          <cell r="I605">
            <v>6.6899999999999995</v>
          </cell>
          <cell r="J605">
            <v>24.53</v>
          </cell>
        </row>
        <row r="606">
          <cell r="B606" t="str">
            <v>TF00011</v>
          </cell>
          <cell r="C606" t="str">
            <v>Oficial</v>
          </cell>
          <cell r="F606" t="str">
            <v>hh</v>
          </cell>
          <cell r="G606">
            <v>0.5</v>
          </cell>
          <cell r="H606">
            <v>1.8333333333333333</v>
          </cell>
          <cell r="I606">
            <v>5.41</v>
          </cell>
          <cell r="J606">
            <v>9.9179999999999993</v>
          </cell>
        </row>
        <row r="607">
          <cell r="B607" t="str">
            <v>TF00012</v>
          </cell>
          <cell r="C607" t="str">
            <v>Peón</v>
          </cell>
          <cell r="F607" t="str">
            <v>hh</v>
          </cell>
          <cell r="G607">
            <v>1</v>
          </cell>
          <cell r="H607">
            <v>3.6666666666666665</v>
          </cell>
          <cell r="I607">
            <v>4.84</v>
          </cell>
          <cell r="J607">
            <v>17.747</v>
          </cell>
        </row>
        <row r="608">
          <cell r="B608" t="str">
            <v>TF00014</v>
          </cell>
          <cell r="C608" t="str">
            <v>Vigía</v>
          </cell>
          <cell r="F608" t="str">
            <v>hh</v>
          </cell>
          <cell r="G608">
            <v>1</v>
          </cell>
          <cell r="H608">
            <v>3.6666666666666665</v>
          </cell>
          <cell r="I608">
            <v>4.84</v>
          </cell>
          <cell r="J608">
            <v>17.747</v>
          </cell>
        </row>
        <row r="609">
          <cell r="B609" t="str">
            <v>TF00120</v>
          </cell>
          <cell r="C609" t="str">
            <v>Vientero</v>
          </cell>
          <cell r="F609" t="str">
            <v>hh</v>
          </cell>
          <cell r="G609">
            <v>2</v>
          </cell>
          <cell r="H609">
            <v>7.333333333333333</v>
          </cell>
          <cell r="I609">
            <v>4.84</v>
          </cell>
          <cell r="J609">
            <v>35.493000000000002</v>
          </cell>
        </row>
        <row r="610">
          <cell r="J610">
            <v>152.01300000000001</v>
          </cell>
        </row>
        <row r="611">
          <cell r="A611" t="str">
            <v>10839(D)</v>
          </cell>
          <cell r="B611" t="str">
            <v>Herramientas y Equipos</v>
          </cell>
          <cell r="K611">
            <v>308.27100000000002</v>
          </cell>
          <cell r="L611" t="str">
            <v>(D)</v>
          </cell>
        </row>
        <row r="612">
          <cell r="B612" t="str">
            <v>TF00060</v>
          </cell>
          <cell r="C612" t="str">
            <v>Herramientas (% Mano Obra)</v>
          </cell>
          <cell r="F612" t="str">
            <v>%</v>
          </cell>
          <cell r="H612">
            <v>0.05</v>
          </cell>
          <cell r="I612">
            <v>152.01300000000001</v>
          </cell>
          <cell r="J612">
            <v>7.601</v>
          </cell>
        </row>
        <row r="613">
          <cell r="B613" t="str">
            <v>TF00037</v>
          </cell>
          <cell r="C613" t="str">
            <v>Camión Grúa de 12-20 Ton.</v>
          </cell>
          <cell r="F613" t="str">
            <v>hm</v>
          </cell>
          <cell r="G613">
            <v>1</v>
          </cell>
          <cell r="H613">
            <v>3.6666666666666665</v>
          </cell>
          <cell r="I613">
            <v>82</v>
          </cell>
          <cell r="J613">
            <v>300.67</v>
          </cell>
        </row>
        <row r="614">
          <cell r="J614">
            <v>308.27100000000002</v>
          </cell>
        </row>
        <row r="617">
          <cell r="A617">
            <v>10842</v>
          </cell>
          <cell r="B617" t="str">
            <v>Partida</v>
          </cell>
          <cell r="C617">
            <v>8.01</v>
          </cell>
          <cell r="D617" t="str">
            <v>Platafomado y lastrado de área para retiro de modulos PTAR 4126 a 4130</v>
          </cell>
          <cell r="K617">
            <v>3121.17</v>
          </cell>
        </row>
        <row r="618">
          <cell r="B618" t="str">
            <v>Rendimiento:</v>
          </cell>
          <cell r="C618">
            <v>0.33333333333333331</v>
          </cell>
          <cell r="D618" t="str">
            <v>glb</v>
          </cell>
          <cell r="H618" t="str">
            <v>C.U. Total:</v>
          </cell>
          <cell r="I618">
            <v>3121.17</v>
          </cell>
          <cell r="J618" t="str">
            <v>glb</v>
          </cell>
        </row>
        <row r="619">
          <cell r="B619" t="str">
            <v>Codigo</v>
          </cell>
          <cell r="C619" t="str">
            <v>Recurso</v>
          </cell>
          <cell r="F619" t="str">
            <v>UND</v>
          </cell>
          <cell r="G619" t="str">
            <v>Cuadrilla</v>
          </cell>
          <cell r="H619" t="str">
            <v>Cantidad</v>
          </cell>
          <cell r="I619" t="str">
            <v>C.U.</v>
          </cell>
          <cell r="J619" t="str">
            <v>C.Parcial</v>
          </cell>
          <cell r="K619" t="str">
            <v>SUBTOTAL</v>
          </cell>
        </row>
        <row r="620">
          <cell r="A620" t="str">
            <v>10842(B)</v>
          </cell>
          <cell r="B620" t="str">
            <v>Materiales</v>
          </cell>
          <cell r="K620">
            <v>0.04</v>
          </cell>
          <cell r="L620" t="str">
            <v>(B)</v>
          </cell>
        </row>
        <row r="621">
          <cell r="B621" t="str">
            <v>TF00053</v>
          </cell>
          <cell r="C621" t="str">
            <v>Materiales de campo</v>
          </cell>
          <cell r="F621" t="str">
            <v>glb</v>
          </cell>
          <cell r="H621">
            <v>0.01</v>
          </cell>
          <cell r="I621">
            <v>4</v>
          </cell>
          <cell r="J621">
            <v>0.04</v>
          </cell>
        </row>
        <row r="622">
          <cell r="J622">
            <v>0.04</v>
          </cell>
        </row>
        <row r="623">
          <cell r="A623" t="str">
            <v>10842(C)</v>
          </cell>
          <cell r="B623" t="str">
            <v>Mano de Obra</v>
          </cell>
          <cell r="K623">
            <v>560.36</v>
          </cell>
          <cell r="L623" t="str">
            <v>(C)</v>
          </cell>
        </row>
        <row r="624">
          <cell r="B624" t="str">
            <v>TF00002</v>
          </cell>
          <cell r="C624" t="str">
            <v>Capataz</v>
          </cell>
          <cell r="F624" t="str">
            <v>hh</v>
          </cell>
          <cell r="G624">
            <v>0.35</v>
          </cell>
          <cell r="H624">
            <v>11.55</v>
          </cell>
          <cell r="I624">
            <v>7.0299999999999994</v>
          </cell>
          <cell r="J624">
            <v>81.2</v>
          </cell>
        </row>
        <row r="625">
          <cell r="B625" t="str">
            <v>TF00012</v>
          </cell>
          <cell r="C625" t="str">
            <v>Peón</v>
          </cell>
          <cell r="F625" t="str">
            <v>hh</v>
          </cell>
          <cell r="G625">
            <v>2</v>
          </cell>
          <cell r="H625">
            <v>66</v>
          </cell>
          <cell r="I625">
            <v>4.84</v>
          </cell>
          <cell r="J625">
            <v>319.44</v>
          </cell>
        </row>
        <row r="626">
          <cell r="B626" t="str">
            <v>TF00014</v>
          </cell>
          <cell r="C626" t="str">
            <v>Vigía</v>
          </cell>
          <cell r="F626" t="str">
            <v>hh</v>
          </cell>
          <cell r="G626">
            <v>1</v>
          </cell>
          <cell r="H626">
            <v>33</v>
          </cell>
          <cell r="I626">
            <v>4.84</v>
          </cell>
          <cell r="J626">
            <v>159.72</v>
          </cell>
        </row>
        <row r="627">
          <cell r="J627">
            <v>560.36</v>
          </cell>
        </row>
        <row r="628">
          <cell r="A628" t="str">
            <v>10842(D)</v>
          </cell>
          <cell r="B628" t="str">
            <v>Herramientas y Equipos</v>
          </cell>
          <cell r="K628">
            <v>2560.77</v>
          </cell>
          <cell r="L628" t="str">
            <v>(D)</v>
          </cell>
        </row>
        <row r="629">
          <cell r="B629" t="str">
            <v>TF00060</v>
          </cell>
          <cell r="C629" t="str">
            <v>Herramientas (% Mano Obra)</v>
          </cell>
          <cell r="F629" t="str">
            <v>%</v>
          </cell>
          <cell r="H629">
            <v>0.05</v>
          </cell>
          <cell r="I629">
            <v>560.36</v>
          </cell>
          <cell r="J629">
            <v>28.02</v>
          </cell>
        </row>
        <row r="630">
          <cell r="B630" t="str">
            <v>TF00033</v>
          </cell>
          <cell r="C630" t="str">
            <v>Rodillo Liso Vibratorio Autopropulsado HAMM 20 Tn.</v>
          </cell>
          <cell r="F630" t="str">
            <v>hm</v>
          </cell>
          <cell r="G630">
            <v>0.2</v>
          </cell>
          <cell r="H630">
            <v>6.6</v>
          </cell>
          <cell r="I630">
            <v>50</v>
          </cell>
          <cell r="J630">
            <v>330</v>
          </cell>
        </row>
        <row r="631">
          <cell r="B631" t="str">
            <v>TF00023</v>
          </cell>
          <cell r="C631" t="str">
            <v>Excavadora EC 380D</v>
          </cell>
          <cell r="F631" t="str">
            <v>hm</v>
          </cell>
          <cell r="G631">
            <v>0.75</v>
          </cell>
          <cell r="H631">
            <v>24.75</v>
          </cell>
          <cell r="I631">
            <v>67</v>
          </cell>
          <cell r="J631">
            <v>1658.25</v>
          </cell>
        </row>
        <row r="632">
          <cell r="B632" t="str">
            <v>TF00026</v>
          </cell>
          <cell r="C632" t="str">
            <v>Retroexcavadora Cat 420e</v>
          </cell>
          <cell r="F632" t="str">
            <v>hm</v>
          </cell>
          <cell r="G632">
            <v>0.1</v>
          </cell>
          <cell r="H632">
            <v>3.3</v>
          </cell>
          <cell r="I632">
            <v>42</v>
          </cell>
          <cell r="J632">
            <v>138.6</v>
          </cell>
        </row>
        <row r="633">
          <cell r="B633" t="str">
            <v>TF00025</v>
          </cell>
          <cell r="C633" t="str">
            <v>Cargador Frontal John Deere 744 K</v>
          </cell>
          <cell r="F633" t="str">
            <v>hm</v>
          </cell>
          <cell r="G633">
            <v>0.1</v>
          </cell>
          <cell r="H633">
            <v>3.3</v>
          </cell>
          <cell r="I633">
            <v>57</v>
          </cell>
          <cell r="J633">
            <v>188.1</v>
          </cell>
        </row>
        <row r="634">
          <cell r="B634" t="str">
            <v>TF00027</v>
          </cell>
          <cell r="C634" t="str">
            <v>Volquete de 17 m3</v>
          </cell>
          <cell r="F634" t="str">
            <v>hm</v>
          </cell>
          <cell r="G634">
            <v>0.2</v>
          </cell>
          <cell r="H634">
            <v>6.6</v>
          </cell>
          <cell r="I634">
            <v>33</v>
          </cell>
          <cell r="J634">
            <v>217.8</v>
          </cell>
        </row>
        <row r="635">
          <cell r="J635">
            <v>2560.77</v>
          </cell>
        </row>
        <row r="638">
          <cell r="A638">
            <v>10843</v>
          </cell>
          <cell r="B638" t="str">
            <v>Partida</v>
          </cell>
          <cell r="C638">
            <v>8.02</v>
          </cell>
          <cell r="D638" t="str">
            <v>Limpieza de los cajones de la PTAR</v>
          </cell>
          <cell r="K638">
            <v>895.37</v>
          </cell>
        </row>
        <row r="639">
          <cell r="B639" t="str">
            <v>Rendimiento:</v>
          </cell>
          <cell r="C639">
            <v>0.5</v>
          </cell>
          <cell r="D639" t="str">
            <v>glb</v>
          </cell>
          <cell r="H639" t="str">
            <v>C.U. Total:</v>
          </cell>
          <cell r="I639">
            <v>895.37</v>
          </cell>
          <cell r="J639" t="str">
            <v>glb</v>
          </cell>
        </row>
        <row r="640">
          <cell r="B640" t="str">
            <v>Codigo</v>
          </cell>
          <cell r="C640" t="str">
            <v>Recurso</v>
          </cell>
          <cell r="F640" t="str">
            <v>UND</v>
          </cell>
          <cell r="G640" t="str">
            <v>Cuadrilla</v>
          </cell>
          <cell r="H640" t="str">
            <v>Cantidad</v>
          </cell>
          <cell r="I640" t="str">
            <v>C.U.</v>
          </cell>
          <cell r="J640" t="str">
            <v>C.Parcial</v>
          </cell>
          <cell r="K640" t="str">
            <v>SUBTOTAL</v>
          </cell>
        </row>
        <row r="641">
          <cell r="A641" t="str">
            <v>10843(C)</v>
          </cell>
          <cell r="B641" t="str">
            <v>Mano de Obra</v>
          </cell>
          <cell r="K641">
            <v>852.73</v>
          </cell>
          <cell r="L641" t="str">
            <v>(C)</v>
          </cell>
        </row>
        <row r="642">
          <cell r="B642" t="str">
            <v>TF00002</v>
          </cell>
          <cell r="C642" t="str">
            <v>Capataz</v>
          </cell>
          <cell r="F642" t="str">
            <v>hh</v>
          </cell>
          <cell r="G642">
            <v>0.35</v>
          </cell>
          <cell r="H642">
            <v>7.7</v>
          </cell>
          <cell r="I642">
            <v>7.0299999999999994</v>
          </cell>
          <cell r="J642">
            <v>54.13</v>
          </cell>
        </row>
        <row r="643">
          <cell r="B643" t="str">
            <v>TF00004</v>
          </cell>
          <cell r="C643" t="str">
            <v>Operario</v>
          </cell>
          <cell r="F643" t="str">
            <v>hh</v>
          </cell>
          <cell r="G643">
            <v>1</v>
          </cell>
          <cell r="H643">
            <v>22</v>
          </cell>
          <cell r="I643">
            <v>6.6899999999999995</v>
          </cell>
          <cell r="J643">
            <v>147.18</v>
          </cell>
        </row>
        <row r="644">
          <cell r="B644" t="str">
            <v>TF00011</v>
          </cell>
          <cell r="C644" t="str">
            <v>Oficial</v>
          </cell>
          <cell r="F644" t="str">
            <v>hh</v>
          </cell>
          <cell r="G644">
            <v>1</v>
          </cell>
          <cell r="H644">
            <v>22</v>
          </cell>
          <cell r="I644">
            <v>5.41</v>
          </cell>
          <cell r="J644">
            <v>119.02</v>
          </cell>
        </row>
        <row r="645">
          <cell r="B645" t="str">
            <v>TF00012</v>
          </cell>
          <cell r="C645" t="str">
            <v>Peón</v>
          </cell>
          <cell r="F645" t="str">
            <v>hh</v>
          </cell>
          <cell r="G645">
            <v>4</v>
          </cell>
          <cell r="H645">
            <v>88</v>
          </cell>
          <cell r="I645">
            <v>4.84</v>
          </cell>
          <cell r="J645">
            <v>425.92</v>
          </cell>
        </row>
        <row r="646">
          <cell r="B646" t="str">
            <v>TF00014</v>
          </cell>
          <cell r="C646" t="str">
            <v>Vigía</v>
          </cell>
          <cell r="F646" t="str">
            <v>hh</v>
          </cell>
          <cell r="G646">
            <v>1</v>
          </cell>
          <cell r="H646">
            <v>22</v>
          </cell>
          <cell r="I646">
            <v>4.84</v>
          </cell>
          <cell r="J646">
            <v>106.48</v>
          </cell>
        </row>
        <row r="647">
          <cell r="J647">
            <v>852.73</v>
          </cell>
        </row>
        <row r="648">
          <cell r="A648" t="str">
            <v>10843(D)</v>
          </cell>
          <cell r="B648" t="str">
            <v>Herramientas y Equipos</v>
          </cell>
          <cell r="K648">
            <v>42.64</v>
          </cell>
          <cell r="L648" t="str">
            <v>(D)</v>
          </cell>
        </row>
        <row r="649">
          <cell r="B649" t="str">
            <v>TF00060</v>
          </cell>
          <cell r="C649" t="str">
            <v>Herramientas (% Mano Obra)</v>
          </cell>
          <cell r="F649" t="str">
            <v>%</v>
          </cell>
          <cell r="H649">
            <v>0.05</v>
          </cell>
          <cell r="I649">
            <v>852.73</v>
          </cell>
          <cell r="J649">
            <v>42.64</v>
          </cell>
        </row>
        <row r="650">
          <cell r="J650">
            <v>42.64</v>
          </cell>
        </row>
        <row r="653">
          <cell r="A653">
            <v>10844</v>
          </cell>
          <cell r="B653" t="str">
            <v>Partida</v>
          </cell>
          <cell r="C653">
            <v>8.0299999999999994</v>
          </cell>
          <cell r="D653" t="str">
            <v>Retiro de accesorios en la PTAR</v>
          </cell>
          <cell r="K653">
            <v>1522.9659999999999</v>
          </cell>
        </row>
        <row r="654">
          <cell r="B654" t="str">
            <v>Rendimiento:</v>
          </cell>
          <cell r="C654">
            <v>0.5</v>
          </cell>
          <cell r="D654" t="str">
            <v>glb</v>
          </cell>
          <cell r="H654" t="str">
            <v>C.U. Total:</v>
          </cell>
          <cell r="I654">
            <v>1522.9659999999999</v>
          </cell>
          <cell r="J654" t="str">
            <v>glb</v>
          </cell>
        </row>
        <row r="655">
          <cell r="B655" t="str">
            <v>Codigo</v>
          </cell>
          <cell r="C655" t="str">
            <v>Recurso</v>
          </cell>
          <cell r="F655" t="str">
            <v>UND</v>
          </cell>
          <cell r="G655" t="str">
            <v>Cuadrilla</v>
          </cell>
          <cell r="H655" t="str">
            <v>Cantidad</v>
          </cell>
          <cell r="I655" t="str">
            <v>C.U.</v>
          </cell>
          <cell r="J655" t="str">
            <v>C.Parcial</v>
          </cell>
          <cell r="K655" t="str">
            <v>SUBTOTAL</v>
          </cell>
        </row>
        <row r="656">
          <cell r="A656" t="str">
            <v>10844(B)</v>
          </cell>
          <cell r="B656" t="str">
            <v>Materiales</v>
          </cell>
          <cell r="K656">
            <v>39.326000000000001</v>
          </cell>
          <cell r="L656" t="str">
            <v>(B)</v>
          </cell>
        </row>
        <row r="657">
          <cell r="B657" t="str">
            <v>TF00091</v>
          </cell>
          <cell r="C657" t="str">
            <v>Consumibles</v>
          </cell>
          <cell r="F657" t="str">
            <v>%</v>
          </cell>
          <cell r="H657">
            <v>0.05</v>
          </cell>
          <cell r="I657">
            <v>786.51</v>
          </cell>
          <cell r="J657">
            <v>39.326000000000001</v>
          </cell>
        </row>
        <row r="658">
          <cell r="J658">
            <v>39.326000000000001</v>
          </cell>
        </row>
        <row r="659">
          <cell r="A659" t="str">
            <v>10844(C)</v>
          </cell>
          <cell r="B659" t="str">
            <v>Mano de Obra</v>
          </cell>
          <cell r="K659">
            <v>786.51</v>
          </cell>
          <cell r="L659" t="str">
            <v>(C)</v>
          </cell>
        </row>
        <row r="660">
          <cell r="B660" t="str">
            <v>TF00002</v>
          </cell>
          <cell r="C660" t="str">
            <v>Capataz</v>
          </cell>
          <cell r="F660" t="str">
            <v>hh</v>
          </cell>
          <cell r="G660">
            <v>0.35</v>
          </cell>
          <cell r="H660">
            <v>7.7</v>
          </cell>
          <cell r="I660">
            <v>7.0299999999999994</v>
          </cell>
          <cell r="J660">
            <v>54.13</v>
          </cell>
        </row>
        <row r="661">
          <cell r="B661" t="str">
            <v>TF00004</v>
          </cell>
          <cell r="C661" t="str">
            <v>Operario</v>
          </cell>
          <cell r="F661" t="str">
            <v>hh</v>
          </cell>
          <cell r="G661">
            <v>2</v>
          </cell>
          <cell r="H661">
            <v>44</v>
          </cell>
          <cell r="I661">
            <v>6.6899999999999995</v>
          </cell>
          <cell r="J661">
            <v>294.36</v>
          </cell>
        </row>
        <row r="662">
          <cell r="B662" t="str">
            <v>TF00011</v>
          </cell>
          <cell r="C662" t="str">
            <v>Oficial</v>
          </cell>
          <cell r="F662" t="str">
            <v>hh</v>
          </cell>
          <cell r="G662">
            <v>1</v>
          </cell>
          <cell r="H662">
            <v>22</v>
          </cell>
          <cell r="I662">
            <v>5.41</v>
          </cell>
          <cell r="J662">
            <v>119.02</v>
          </cell>
        </row>
        <row r="663">
          <cell r="B663" t="str">
            <v>TF00012</v>
          </cell>
          <cell r="C663" t="str">
            <v>Peón</v>
          </cell>
          <cell r="F663" t="str">
            <v>hh</v>
          </cell>
          <cell r="G663">
            <v>2</v>
          </cell>
          <cell r="H663">
            <v>44</v>
          </cell>
          <cell r="I663">
            <v>4.84</v>
          </cell>
          <cell r="J663">
            <v>212.96</v>
          </cell>
        </row>
        <row r="664">
          <cell r="B664" t="str">
            <v>TF00014</v>
          </cell>
          <cell r="C664" t="str">
            <v>Vigía</v>
          </cell>
          <cell r="F664" t="str">
            <v>hh</v>
          </cell>
          <cell r="G664">
            <v>0.5</v>
          </cell>
          <cell r="H664">
            <v>11</v>
          </cell>
          <cell r="I664">
            <v>4.84</v>
          </cell>
          <cell r="J664">
            <v>53.24</v>
          </cell>
        </row>
        <row r="665">
          <cell r="B665" t="str">
            <v>TF00015</v>
          </cell>
          <cell r="C665" t="str">
            <v>Rigger</v>
          </cell>
          <cell r="F665" t="str">
            <v>hh</v>
          </cell>
          <cell r="G665">
            <v>0.2</v>
          </cell>
          <cell r="H665">
            <v>4.4000000000000004</v>
          </cell>
          <cell r="I665">
            <v>12</v>
          </cell>
          <cell r="J665">
            <v>52.8</v>
          </cell>
        </row>
        <row r="666">
          <cell r="J666">
            <v>786.51</v>
          </cell>
        </row>
        <row r="667">
          <cell r="A667" t="str">
            <v>10844(D)</v>
          </cell>
          <cell r="B667" t="str">
            <v>Herramientas y Equipos</v>
          </cell>
          <cell r="K667">
            <v>697.13</v>
          </cell>
          <cell r="L667" t="str">
            <v>(D)</v>
          </cell>
        </row>
        <row r="668">
          <cell r="B668" t="str">
            <v>TF00060</v>
          </cell>
          <cell r="C668" t="str">
            <v>Herramientas (% Mano Obra)</v>
          </cell>
          <cell r="F668" t="str">
            <v>%</v>
          </cell>
          <cell r="H668">
            <v>0.05</v>
          </cell>
          <cell r="I668">
            <v>786.51</v>
          </cell>
          <cell r="J668">
            <v>39.33</v>
          </cell>
        </row>
        <row r="669">
          <cell r="B669" t="str">
            <v>TF00037</v>
          </cell>
          <cell r="C669" t="str">
            <v>Camión Grúa de 12-20 Ton.</v>
          </cell>
          <cell r="F669" t="str">
            <v>hm</v>
          </cell>
          <cell r="G669">
            <v>0.2</v>
          </cell>
          <cell r="H669">
            <v>4.4000000000000004</v>
          </cell>
          <cell r="I669">
            <v>82</v>
          </cell>
          <cell r="J669">
            <v>360.8</v>
          </cell>
        </row>
        <row r="670">
          <cell r="B670" t="str">
            <v>TF00039</v>
          </cell>
          <cell r="C670" t="str">
            <v>Minicargador  Cat 246, 74 HP</v>
          </cell>
          <cell r="F670" t="str">
            <v>hm</v>
          </cell>
          <cell r="G670">
            <v>0.5</v>
          </cell>
          <cell r="H670">
            <v>11</v>
          </cell>
          <cell r="I670">
            <v>27</v>
          </cell>
          <cell r="J670">
            <v>297</v>
          </cell>
        </row>
        <row r="671">
          <cell r="J671">
            <v>697.13</v>
          </cell>
        </row>
        <row r="674">
          <cell r="A674">
            <v>10845</v>
          </cell>
          <cell r="B674" t="str">
            <v>Partida</v>
          </cell>
          <cell r="C674">
            <v>8.0399999999999991</v>
          </cell>
          <cell r="D674" t="str">
            <v>Limpieza y bombeo de lodos</v>
          </cell>
          <cell r="K674">
            <v>701.32900000000006</v>
          </cell>
        </row>
        <row r="675">
          <cell r="B675" t="str">
            <v>Rendimiento:</v>
          </cell>
          <cell r="C675">
            <v>0.5</v>
          </cell>
          <cell r="D675" t="str">
            <v>glb</v>
          </cell>
          <cell r="H675" t="str">
            <v>C.U. Total:</v>
          </cell>
          <cell r="I675">
            <v>701.32900000000006</v>
          </cell>
          <cell r="J675" t="str">
            <v>glb</v>
          </cell>
        </row>
        <row r="676">
          <cell r="B676" t="str">
            <v>Codigo</v>
          </cell>
          <cell r="C676" t="str">
            <v>Recurso</v>
          </cell>
          <cell r="F676" t="str">
            <v>UND</v>
          </cell>
          <cell r="G676" t="str">
            <v>Cuadrilla</v>
          </cell>
          <cell r="H676" t="str">
            <v>Cantidad</v>
          </cell>
          <cell r="I676" t="str">
            <v>C.U.</v>
          </cell>
          <cell r="J676" t="str">
            <v>C.Parcial</v>
          </cell>
          <cell r="K676" t="str">
            <v>SUBTOTAL</v>
          </cell>
        </row>
        <row r="677">
          <cell r="A677" t="str">
            <v>10845(B)</v>
          </cell>
          <cell r="B677" t="str">
            <v>Materiales</v>
          </cell>
          <cell r="K677">
            <v>31.879000000000001</v>
          </cell>
          <cell r="L677" t="str">
            <v>(B)</v>
          </cell>
        </row>
        <row r="678">
          <cell r="B678" t="str">
            <v>TF00091</v>
          </cell>
          <cell r="C678" t="str">
            <v>Consumibles</v>
          </cell>
          <cell r="F678" t="str">
            <v>%</v>
          </cell>
          <cell r="H678">
            <v>0.05</v>
          </cell>
          <cell r="I678">
            <v>637.57000000000005</v>
          </cell>
          <cell r="J678">
            <v>31.879000000000001</v>
          </cell>
        </row>
        <row r="679">
          <cell r="J679">
            <v>31.879000000000001</v>
          </cell>
        </row>
        <row r="680">
          <cell r="A680" t="str">
            <v>10845(C)</v>
          </cell>
          <cell r="B680" t="str">
            <v>Mano de Obra</v>
          </cell>
          <cell r="K680">
            <v>637.57000000000005</v>
          </cell>
          <cell r="L680" t="str">
            <v>(C)</v>
          </cell>
        </row>
        <row r="681">
          <cell r="B681" t="str">
            <v>TF00002</v>
          </cell>
          <cell r="C681" t="str">
            <v>Capataz</v>
          </cell>
          <cell r="F681" t="str">
            <v>hh</v>
          </cell>
          <cell r="G681">
            <v>0.35</v>
          </cell>
          <cell r="H681">
            <v>7.7</v>
          </cell>
          <cell r="I681">
            <v>7.0299999999999994</v>
          </cell>
          <cell r="J681">
            <v>54.13</v>
          </cell>
        </row>
        <row r="682">
          <cell r="B682" t="str">
            <v>TF00012</v>
          </cell>
          <cell r="C682" t="str">
            <v>Peón</v>
          </cell>
          <cell r="F682" t="str">
            <v>hh</v>
          </cell>
          <cell r="G682">
            <v>2</v>
          </cell>
          <cell r="H682">
            <v>44</v>
          </cell>
          <cell r="I682">
            <v>4.84</v>
          </cell>
          <cell r="J682">
            <v>212.96</v>
          </cell>
        </row>
        <row r="683">
          <cell r="B683" t="str">
            <v>TF00014</v>
          </cell>
          <cell r="C683" t="str">
            <v>Vigía</v>
          </cell>
          <cell r="F683" t="str">
            <v>hh</v>
          </cell>
          <cell r="G683">
            <v>1</v>
          </cell>
          <cell r="H683">
            <v>22</v>
          </cell>
          <cell r="I683">
            <v>4.84</v>
          </cell>
          <cell r="J683">
            <v>106.48</v>
          </cell>
        </row>
        <row r="684">
          <cell r="B684" t="str">
            <v>TF00015</v>
          </cell>
          <cell r="C684" t="str">
            <v>Rigger</v>
          </cell>
          <cell r="F684" t="str">
            <v>hh</v>
          </cell>
          <cell r="G684">
            <v>1</v>
          </cell>
          <cell r="H684">
            <v>22</v>
          </cell>
          <cell r="I684">
            <v>12</v>
          </cell>
          <cell r="J684">
            <v>264</v>
          </cell>
        </row>
        <row r="685">
          <cell r="J685">
            <v>637.57000000000005</v>
          </cell>
        </row>
        <row r="686">
          <cell r="A686" t="str">
            <v>10845(D)</v>
          </cell>
          <cell r="B686" t="str">
            <v>Herramientas y Equipos</v>
          </cell>
          <cell r="K686">
            <v>31.88</v>
          </cell>
          <cell r="L686" t="str">
            <v>(D)</v>
          </cell>
        </row>
        <row r="687">
          <cell r="B687" t="str">
            <v>TF00060</v>
          </cell>
          <cell r="C687" t="str">
            <v>Herramientas (% Mano Obra)</v>
          </cell>
          <cell r="F687" t="str">
            <v>%</v>
          </cell>
          <cell r="H687">
            <v>0.05</v>
          </cell>
          <cell r="I687">
            <v>637.57000000000005</v>
          </cell>
          <cell r="J687">
            <v>31.88</v>
          </cell>
        </row>
        <row r="688">
          <cell r="B688" t="str">
            <v>TF00037</v>
          </cell>
          <cell r="C688" t="str">
            <v>Camión Grúa de 50Ton.</v>
          </cell>
          <cell r="H688" t="str">
            <v>Suministrado por Antamina</v>
          </cell>
        </row>
        <row r="689">
          <cell r="J689">
            <v>31.88</v>
          </cell>
        </row>
        <row r="692">
          <cell r="A692">
            <v>10846</v>
          </cell>
          <cell r="B692" t="str">
            <v>Partida</v>
          </cell>
          <cell r="C692">
            <v>8.0500000000000007</v>
          </cell>
          <cell r="D692" t="str">
            <v>Colocacion concreto 10Mpa</v>
          </cell>
          <cell r="K692">
            <v>32.120000000000005</v>
          </cell>
        </row>
        <row r="693">
          <cell r="B693" t="str">
            <v>Rendimiento:</v>
          </cell>
          <cell r="C693">
            <v>20</v>
          </cell>
          <cell r="D693" t="str">
            <v>m3</v>
          </cell>
          <cell r="E693" t="str">
            <v>/día</v>
          </cell>
          <cell r="H693" t="str">
            <v>C.U. Total:</v>
          </cell>
          <cell r="I693">
            <v>32.120000000000005</v>
          </cell>
          <cell r="J693" t="str">
            <v>m3</v>
          </cell>
        </row>
        <row r="694">
          <cell r="B694" t="str">
            <v>Codigo</v>
          </cell>
          <cell r="C694" t="str">
            <v>Recurso</v>
          </cell>
          <cell r="F694" t="str">
            <v>UND</v>
          </cell>
          <cell r="G694" t="str">
            <v>Cuadrilla</v>
          </cell>
          <cell r="H694" t="str">
            <v>Cantidad</v>
          </cell>
          <cell r="I694" t="str">
            <v>C.U.</v>
          </cell>
          <cell r="J694" t="str">
            <v>C.Parcial</v>
          </cell>
          <cell r="K694" t="str">
            <v>SUBTOTAL</v>
          </cell>
        </row>
        <row r="695">
          <cell r="A695" t="str">
            <v>10846(B)</v>
          </cell>
          <cell r="B695" t="str">
            <v>Materiales</v>
          </cell>
          <cell r="K695">
            <v>8.8000000000000007</v>
          </cell>
          <cell r="L695" t="str">
            <v>(B)</v>
          </cell>
        </row>
        <row r="696">
          <cell r="B696" t="str">
            <v>TF00102</v>
          </cell>
          <cell r="C696" t="str">
            <v>Concreto 10MP, según diseño</v>
          </cell>
          <cell r="F696" t="str">
            <v>m3</v>
          </cell>
          <cell r="H696" t="str">
            <v>Suministrado por Antamina a pie de obra</v>
          </cell>
        </row>
        <row r="697">
          <cell r="B697" t="str">
            <v>TF00153</v>
          </cell>
          <cell r="C697" t="str">
            <v>Suministro de materiales para vertido de concreto 10MPa</v>
          </cell>
          <cell r="F697" t="str">
            <v>Glb</v>
          </cell>
          <cell r="H697">
            <v>1</v>
          </cell>
          <cell r="I697">
            <v>8.7974999999999994</v>
          </cell>
          <cell r="J697">
            <v>8.8000000000000007</v>
          </cell>
        </row>
        <row r="698">
          <cell r="J698">
            <v>8.8000000000000007</v>
          </cell>
        </row>
        <row r="699">
          <cell r="A699" t="str">
            <v>10846(C)</v>
          </cell>
          <cell r="B699" t="str">
            <v>Mano de Obra</v>
          </cell>
          <cell r="K699">
            <v>10.91</v>
          </cell>
          <cell r="L699" t="str">
            <v>(C)</v>
          </cell>
        </row>
        <row r="700">
          <cell r="B700" t="str">
            <v>TF00140</v>
          </cell>
          <cell r="C700" t="str">
            <v>Servicio de vertido de Concreto f´c=10 Mpa</v>
          </cell>
          <cell r="F700" t="str">
            <v>m3</v>
          </cell>
          <cell r="H700">
            <v>1</v>
          </cell>
          <cell r="I700">
            <v>10.910625</v>
          </cell>
          <cell r="J700">
            <v>10.91</v>
          </cell>
        </row>
        <row r="701">
          <cell r="J701">
            <v>10.91</v>
          </cell>
        </row>
        <row r="702">
          <cell r="A702" t="str">
            <v>10846(D)</v>
          </cell>
          <cell r="B702" t="str">
            <v>Herramientas y Equipos</v>
          </cell>
          <cell r="K702">
            <v>12.41</v>
          </cell>
          <cell r="L702" t="str">
            <v>(D)</v>
          </cell>
        </row>
        <row r="703">
          <cell r="B703" t="str">
            <v>TF00173</v>
          </cell>
          <cell r="C703" t="str">
            <v>Bomba móvil con pluma</v>
          </cell>
          <cell r="F703" t="str">
            <v>hm</v>
          </cell>
          <cell r="H703" t="str">
            <v>Suministrado por Antamina</v>
          </cell>
        </row>
        <row r="704">
          <cell r="B704" t="str">
            <v>TF00154</v>
          </cell>
          <cell r="C704" t="str">
            <v>Servicio de suministro de equipos para vertido de concreto 10MPa</v>
          </cell>
          <cell r="F704" t="str">
            <v>hm</v>
          </cell>
          <cell r="H704">
            <v>1</v>
          </cell>
          <cell r="I704">
            <v>12.405625000000001</v>
          </cell>
          <cell r="J704">
            <v>12.41</v>
          </cell>
        </row>
        <row r="705">
          <cell r="J705">
            <v>12.41</v>
          </cell>
        </row>
      </sheetData>
      <sheetData sheetId="4">
        <row r="3">
          <cell r="A3" t="str">
            <v>Codigo</v>
          </cell>
          <cell r="B3" t="str">
            <v>Descripción</v>
          </cell>
          <cell r="C3" t="str">
            <v>Und</v>
          </cell>
          <cell r="D3" t="str">
            <v>Costo $/h</v>
          </cell>
        </row>
        <row r="4">
          <cell r="A4" t="str">
            <v>TF00001</v>
          </cell>
          <cell r="B4" t="str">
            <v>MANO DE OBRA</v>
          </cell>
        </row>
        <row r="5">
          <cell r="A5" t="str">
            <v>TF00002</v>
          </cell>
          <cell r="B5" t="str">
            <v>Capataz</v>
          </cell>
          <cell r="C5" t="str">
            <v>hh</v>
          </cell>
          <cell r="D5">
            <v>7.0299999999999994</v>
          </cell>
        </row>
        <row r="6">
          <cell r="A6" t="str">
            <v>TF00003</v>
          </cell>
          <cell r="B6" t="str">
            <v>Operador</v>
          </cell>
          <cell r="C6" t="str">
            <v>hh</v>
          </cell>
          <cell r="D6">
            <v>6.89</v>
          </cell>
        </row>
        <row r="7">
          <cell r="A7" t="str">
            <v>TF00004</v>
          </cell>
          <cell r="B7" t="str">
            <v>Operario</v>
          </cell>
          <cell r="C7" t="str">
            <v>hh</v>
          </cell>
          <cell r="D7">
            <v>6.6899999999999995</v>
          </cell>
        </row>
        <row r="8">
          <cell r="A8" t="str">
            <v>TF00005</v>
          </cell>
          <cell r="B8" t="str">
            <v>Topógrafo</v>
          </cell>
          <cell r="C8" t="str">
            <v>hh</v>
          </cell>
          <cell r="D8">
            <v>6.6899999999999995</v>
          </cell>
        </row>
        <row r="9">
          <cell r="A9" t="str">
            <v>TF00006</v>
          </cell>
          <cell r="B9" t="str">
            <v>Auxiliar de Topógrafo</v>
          </cell>
          <cell r="C9" t="str">
            <v>hh</v>
          </cell>
          <cell r="D9">
            <v>5.41</v>
          </cell>
        </row>
        <row r="10">
          <cell r="A10" t="str">
            <v>TF00007</v>
          </cell>
          <cell r="B10" t="str">
            <v>Cadista</v>
          </cell>
          <cell r="C10" t="str">
            <v>hh</v>
          </cell>
          <cell r="D10">
            <v>5.41</v>
          </cell>
        </row>
        <row r="11">
          <cell r="A11" t="str">
            <v>TF00008</v>
          </cell>
          <cell r="B11" t="str">
            <v>Técnico de wedge</v>
          </cell>
          <cell r="C11" t="str">
            <v>hh</v>
          </cell>
          <cell r="D11">
            <v>6.6899999999999995</v>
          </cell>
        </row>
        <row r="12">
          <cell r="A12" t="str">
            <v>TF00009</v>
          </cell>
          <cell r="B12" t="str">
            <v>Técnico de extrusión</v>
          </cell>
          <cell r="C12" t="str">
            <v>hh</v>
          </cell>
          <cell r="D12">
            <v>6.6899999999999995</v>
          </cell>
        </row>
        <row r="13">
          <cell r="A13" t="str">
            <v>TF00010</v>
          </cell>
          <cell r="B13" t="str">
            <v>Técnico QC de geosinteticos</v>
          </cell>
          <cell r="C13" t="str">
            <v>hh</v>
          </cell>
          <cell r="D13">
            <v>6.6899999999999995</v>
          </cell>
        </row>
        <row r="14">
          <cell r="A14" t="str">
            <v>TF00011</v>
          </cell>
          <cell r="B14" t="str">
            <v>Oficial</v>
          </cell>
          <cell r="C14" t="str">
            <v>hh</v>
          </cell>
          <cell r="D14">
            <v>5.41</v>
          </cell>
        </row>
        <row r="15">
          <cell r="A15" t="str">
            <v>TF00012</v>
          </cell>
          <cell r="B15" t="str">
            <v>Peón</v>
          </cell>
          <cell r="C15" t="str">
            <v>hh</v>
          </cell>
          <cell r="D15">
            <v>4.84</v>
          </cell>
        </row>
        <row r="16">
          <cell r="A16" t="str">
            <v>TF00013</v>
          </cell>
          <cell r="B16" t="str">
            <v>Cuadrador</v>
          </cell>
          <cell r="C16" t="str">
            <v>hh</v>
          </cell>
          <cell r="D16">
            <v>4.84</v>
          </cell>
        </row>
        <row r="17">
          <cell r="A17" t="str">
            <v>TF00014</v>
          </cell>
          <cell r="B17" t="str">
            <v>Vigía</v>
          </cell>
          <cell r="C17" t="str">
            <v>hh</v>
          </cell>
          <cell r="D17">
            <v>4.84</v>
          </cell>
        </row>
        <row r="18">
          <cell r="A18" t="str">
            <v>TF00015</v>
          </cell>
          <cell r="B18" t="str">
            <v>Rigger</v>
          </cell>
          <cell r="C18" t="str">
            <v>hh</v>
          </cell>
          <cell r="D18">
            <v>12</v>
          </cell>
        </row>
        <row r="19">
          <cell r="A19" t="str">
            <v>TF00016</v>
          </cell>
          <cell r="B19" t="str">
            <v>Técnico de suelos</v>
          </cell>
          <cell r="C19" t="str">
            <v>hh</v>
          </cell>
          <cell r="D19">
            <v>6.6899999999999995</v>
          </cell>
        </row>
        <row r="20">
          <cell r="A20" t="str">
            <v>TF00017</v>
          </cell>
          <cell r="B20" t="str">
            <v>Auxiliar Técnico de suelos</v>
          </cell>
          <cell r="C20" t="str">
            <v>hh</v>
          </cell>
          <cell r="D20">
            <v>5.41</v>
          </cell>
        </row>
        <row r="21">
          <cell r="A21" t="str">
            <v>TF00018</v>
          </cell>
          <cell r="B21" t="str">
            <v>Controlador</v>
          </cell>
          <cell r="C21" t="str">
            <v>hh</v>
          </cell>
          <cell r="D21">
            <v>5.41</v>
          </cell>
        </row>
        <row r="22">
          <cell r="A22" t="str">
            <v>TF00019</v>
          </cell>
          <cell r="B22" t="str">
            <v>Supervisor</v>
          </cell>
          <cell r="C22" t="str">
            <v>hh</v>
          </cell>
          <cell r="D22">
            <v>8.1411815020418334</v>
          </cell>
        </row>
        <row r="23">
          <cell r="A23" t="str">
            <v>TF00020</v>
          </cell>
          <cell r="B23" t="str">
            <v>EQUIPOS PESADOS</v>
          </cell>
        </row>
        <row r="24">
          <cell r="A24" t="str">
            <v>TF00021</v>
          </cell>
          <cell r="B24" t="str">
            <v>Tractor sobre Orugas CAT D8T</v>
          </cell>
          <cell r="C24" t="str">
            <v>hm</v>
          </cell>
          <cell r="D24">
            <v>87</v>
          </cell>
        </row>
        <row r="25">
          <cell r="A25" t="str">
            <v>TF00022</v>
          </cell>
          <cell r="B25" t="str">
            <v>Tractor sobre Orugas CAT D6T</v>
          </cell>
          <cell r="C25" t="str">
            <v>hm</v>
          </cell>
          <cell r="D25">
            <v>59</v>
          </cell>
        </row>
        <row r="26">
          <cell r="A26" t="str">
            <v>TF00023</v>
          </cell>
          <cell r="B26" t="str">
            <v>Excavadora EC 380D</v>
          </cell>
          <cell r="C26" t="str">
            <v>hm</v>
          </cell>
          <cell r="D26">
            <v>67</v>
          </cell>
        </row>
        <row r="27">
          <cell r="A27" t="str">
            <v>TF00024</v>
          </cell>
          <cell r="B27" t="str">
            <v>Excavadora John Deere 290</v>
          </cell>
          <cell r="C27" t="str">
            <v>hm</v>
          </cell>
          <cell r="D27">
            <v>62</v>
          </cell>
        </row>
        <row r="28">
          <cell r="A28" t="str">
            <v>TF00025</v>
          </cell>
          <cell r="B28" t="str">
            <v>Cargador Frontal John Deere 744 K</v>
          </cell>
          <cell r="C28" t="str">
            <v>hm</v>
          </cell>
          <cell r="D28">
            <v>57</v>
          </cell>
        </row>
        <row r="29">
          <cell r="A29" t="str">
            <v>TF00026</v>
          </cell>
          <cell r="B29" t="str">
            <v>Retroexcavadora Cat 420e</v>
          </cell>
          <cell r="C29" t="str">
            <v>hm</v>
          </cell>
          <cell r="D29">
            <v>42</v>
          </cell>
        </row>
        <row r="30">
          <cell r="A30" t="str">
            <v>TF00027</v>
          </cell>
          <cell r="B30" t="str">
            <v>Volquete de 17 m3</v>
          </cell>
          <cell r="C30" t="str">
            <v>hm</v>
          </cell>
          <cell r="D30">
            <v>33</v>
          </cell>
        </row>
        <row r="31">
          <cell r="A31" t="str">
            <v>TF00028</v>
          </cell>
          <cell r="B31" t="str">
            <v>Volquetes de 15 m3</v>
          </cell>
          <cell r="C31" t="str">
            <v>hm</v>
          </cell>
          <cell r="D31">
            <v>33</v>
          </cell>
        </row>
        <row r="32">
          <cell r="A32" t="str">
            <v>TF00029</v>
          </cell>
          <cell r="B32" t="str">
            <v>Cisterna de agua 5,000 gln.</v>
          </cell>
          <cell r="C32" t="str">
            <v>hm</v>
          </cell>
          <cell r="D32">
            <v>32</v>
          </cell>
        </row>
        <row r="33">
          <cell r="A33" t="str">
            <v>TF00030</v>
          </cell>
          <cell r="B33" t="str">
            <v>Camión Grúa de 4 Ton.</v>
          </cell>
          <cell r="C33" t="str">
            <v>hm</v>
          </cell>
          <cell r="D33">
            <v>62</v>
          </cell>
        </row>
        <row r="34">
          <cell r="A34" t="str">
            <v>TF00031</v>
          </cell>
          <cell r="B34" t="str">
            <v>Camión Furgon</v>
          </cell>
          <cell r="C34" t="str">
            <v>hm</v>
          </cell>
          <cell r="D34">
            <v>27</v>
          </cell>
        </row>
        <row r="35">
          <cell r="A35" t="str">
            <v>TF00032</v>
          </cell>
          <cell r="B35" t="str">
            <v>Motoniveladora de 140 HP</v>
          </cell>
          <cell r="C35" t="str">
            <v>hm</v>
          </cell>
          <cell r="D35">
            <v>47</v>
          </cell>
        </row>
        <row r="36">
          <cell r="A36" t="str">
            <v>TF00033</v>
          </cell>
          <cell r="B36" t="str">
            <v>Rodillo Liso Vibratorio Autopropulsado HAMM 20 Tn.</v>
          </cell>
          <cell r="C36" t="str">
            <v>hm</v>
          </cell>
          <cell r="D36">
            <v>50</v>
          </cell>
        </row>
        <row r="37">
          <cell r="A37" t="str">
            <v>TF00034</v>
          </cell>
          <cell r="B37" t="str">
            <v>Rodillo Liso Vibratorio Autopropulsado HAMM 11 Tn.</v>
          </cell>
          <cell r="C37" t="str">
            <v>hm</v>
          </cell>
          <cell r="D37">
            <v>34</v>
          </cell>
        </row>
        <row r="38">
          <cell r="A38" t="str">
            <v>TF00035</v>
          </cell>
          <cell r="B38" t="str">
            <v>Perforadora</v>
          </cell>
          <cell r="C38" t="str">
            <v>hm</v>
          </cell>
          <cell r="D38">
            <v>20</v>
          </cell>
        </row>
        <row r="39">
          <cell r="A39" t="str">
            <v>TF00036</v>
          </cell>
          <cell r="B39" t="str">
            <v>Camión Cisterna de Combustible de 3,000GL</v>
          </cell>
          <cell r="C39" t="str">
            <v>und</v>
          </cell>
          <cell r="D39">
            <v>500</v>
          </cell>
        </row>
        <row r="40">
          <cell r="A40" t="str">
            <v>TF00037</v>
          </cell>
          <cell r="B40" t="str">
            <v>Camión Grúa de 12-20 Ton.</v>
          </cell>
          <cell r="C40" t="str">
            <v>hm</v>
          </cell>
          <cell r="D40">
            <v>82</v>
          </cell>
        </row>
        <row r="41">
          <cell r="A41" t="str">
            <v>TF00038</v>
          </cell>
          <cell r="B41" t="str">
            <v>EQUIPOS MENORES</v>
          </cell>
        </row>
        <row r="42">
          <cell r="A42" t="str">
            <v>TF00039</v>
          </cell>
          <cell r="B42" t="str">
            <v>Minicargador  Cat 246, 74 HP</v>
          </cell>
          <cell r="C42" t="str">
            <v>hm</v>
          </cell>
          <cell r="D42">
            <v>27</v>
          </cell>
        </row>
        <row r="43">
          <cell r="A43" t="str">
            <v>TF00040</v>
          </cell>
          <cell r="B43" t="str">
            <v>Grupo electrogeno</v>
          </cell>
          <cell r="C43" t="str">
            <v>mes</v>
          </cell>
          <cell r="D43">
            <v>1500</v>
          </cell>
        </row>
        <row r="44">
          <cell r="A44" t="str">
            <v>TF00041</v>
          </cell>
          <cell r="B44" t="str">
            <v>Luminaria 4K</v>
          </cell>
          <cell r="C44" t="str">
            <v>hm</v>
          </cell>
          <cell r="D44">
            <v>2.2799999999999998</v>
          </cell>
        </row>
        <row r="45">
          <cell r="A45" t="str">
            <v>TF00042</v>
          </cell>
          <cell r="B45" t="str">
            <v>Plancha compactadora</v>
          </cell>
          <cell r="C45" t="str">
            <v>hm</v>
          </cell>
          <cell r="D45">
            <v>3.9938556067588329</v>
          </cell>
        </row>
        <row r="46">
          <cell r="A46" t="str">
            <v>TF00043</v>
          </cell>
          <cell r="B46" t="str">
            <v>Nivel óptico</v>
          </cell>
          <cell r="C46" t="str">
            <v>hm</v>
          </cell>
          <cell r="D46">
            <v>0.6</v>
          </cell>
        </row>
        <row r="47">
          <cell r="A47" t="str">
            <v>TF00044</v>
          </cell>
          <cell r="B47" t="str">
            <v>Estación total</v>
          </cell>
          <cell r="C47" t="str">
            <v>hm</v>
          </cell>
          <cell r="D47">
            <v>3</v>
          </cell>
        </row>
        <row r="48">
          <cell r="A48" t="str">
            <v>TF00045</v>
          </cell>
          <cell r="B48" t="str">
            <v>Extrusora</v>
          </cell>
          <cell r="C48" t="str">
            <v>hm</v>
          </cell>
          <cell r="D48">
            <v>6.86</v>
          </cell>
        </row>
        <row r="49">
          <cell r="A49" t="str">
            <v>TF00046</v>
          </cell>
          <cell r="B49" t="str">
            <v>Electrobomba</v>
          </cell>
          <cell r="C49" t="str">
            <v>mes</v>
          </cell>
          <cell r="D49">
            <v>1000</v>
          </cell>
        </row>
        <row r="50">
          <cell r="A50" t="str">
            <v>TF00047</v>
          </cell>
          <cell r="B50" t="str">
            <v>Camioneta</v>
          </cell>
          <cell r="C50" t="str">
            <v>hm</v>
          </cell>
          <cell r="D50">
            <v>5.4545454545454541</v>
          </cell>
        </row>
        <row r="51">
          <cell r="A51" t="str">
            <v>TF00048</v>
          </cell>
          <cell r="B51" t="str">
            <v>MATERIALES</v>
          </cell>
        </row>
        <row r="52">
          <cell r="A52" t="str">
            <v>TF00049</v>
          </cell>
          <cell r="B52" t="str">
            <v>Manta plastica</v>
          </cell>
          <cell r="C52" t="str">
            <v>glb</v>
          </cell>
          <cell r="D52">
            <v>1.5</v>
          </cell>
        </row>
        <row r="53">
          <cell r="A53" t="str">
            <v>TF00050</v>
          </cell>
          <cell r="B53" t="str">
            <v>Zaranda estática con malla de 6"</v>
          </cell>
          <cell r="D53">
            <v>16</v>
          </cell>
        </row>
        <row r="54">
          <cell r="A54" t="str">
            <v>TF00051</v>
          </cell>
          <cell r="B54" t="str">
            <v>Materiales varios</v>
          </cell>
          <cell r="C54" t="str">
            <v>glb</v>
          </cell>
          <cell r="D54">
            <v>4</v>
          </cell>
        </row>
        <row r="55">
          <cell r="A55" t="str">
            <v>TF00052</v>
          </cell>
          <cell r="B55" t="str">
            <v>Modulos</v>
          </cell>
          <cell r="D55">
            <v>500</v>
          </cell>
        </row>
        <row r="56">
          <cell r="A56" t="str">
            <v>TF00053</v>
          </cell>
          <cell r="B56" t="str">
            <v>Materiales de campo</v>
          </cell>
          <cell r="C56" t="str">
            <v>glb</v>
          </cell>
          <cell r="D56">
            <v>500</v>
          </cell>
        </row>
        <row r="57">
          <cell r="A57" t="str">
            <v>TF00054</v>
          </cell>
          <cell r="B57" t="str">
            <v>Muebles de oficina</v>
          </cell>
          <cell r="C57" t="str">
            <v>glb</v>
          </cell>
          <cell r="D57">
            <v>15.45</v>
          </cell>
        </row>
        <row r="58">
          <cell r="A58" t="str">
            <v>TF00055</v>
          </cell>
          <cell r="B58" t="str">
            <v>Señalización y EPPs colectivos</v>
          </cell>
          <cell r="C58" t="str">
            <v>glb</v>
          </cell>
          <cell r="D58">
            <v>600</v>
          </cell>
        </row>
        <row r="59">
          <cell r="A59" t="str">
            <v>TF00056</v>
          </cell>
          <cell r="B59" t="str">
            <v>Utiles de oficina</v>
          </cell>
          <cell r="C59" t="str">
            <v>glb</v>
          </cell>
          <cell r="D59">
            <v>500</v>
          </cell>
        </row>
        <row r="60">
          <cell r="A60" t="str">
            <v>TF00057</v>
          </cell>
          <cell r="B60" t="str">
            <v>Materiales de laboratorio en obra</v>
          </cell>
          <cell r="C60" t="str">
            <v>glb</v>
          </cell>
          <cell r="D60">
            <v>400</v>
          </cell>
        </row>
        <row r="61">
          <cell r="A61" t="str">
            <v>TF00058</v>
          </cell>
          <cell r="B61" t="str">
            <v>Manguera flexible</v>
          </cell>
          <cell r="C61" t="str">
            <v>m</v>
          </cell>
          <cell r="D61">
            <v>3</v>
          </cell>
        </row>
        <row r="62">
          <cell r="A62" t="str">
            <v>TF00059</v>
          </cell>
          <cell r="B62" t="str">
            <v>Accesorios</v>
          </cell>
          <cell r="C62" t="str">
            <v>glb</v>
          </cell>
          <cell r="D62">
            <v>300</v>
          </cell>
        </row>
        <row r="63">
          <cell r="A63" t="str">
            <v>TF00060</v>
          </cell>
          <cell r="B63" t="str">
            <v>Herramientas (% Mano Obra)</v>
          </cell>
          <cell r="C63" t="str">
            <v>%</v>
          </cell>
        </row>
        <row r="64">
          <cell r="A64" t="str">
            <v>TF00061</v>
          </cell>
          <cell r="B64" t="str">
            <v>Taller en obra</v>
          </cell>
          <cell r="C64" t="str">
            <v>und</v>
          </cell>
          <cell r="D64">
            <v>4000</v>
          </cell>
        </row>
        <row r="65">
          <cell r="A65" t="str">
            <v>TF00062</v>
          </cell>
          <cell r="B65" t="str">
            <v>Multicamp para almacen de campo</v>
          </cell>
          <cell r="C65" t="str">
            <v>und</v>
          </cell>
          <cell r="D65">
            <v>250</v>
          </cell>
        </row>
        <row r="66">
          <cell r="A66" t="str">
            <v>TF00063</v>
          </cell>
          <cell r="B66" t="str">
            <v>Multicamp para laboratorio</v>
          </cell>
          <cell r="C66" t="str">
            <v>und</v>
          </cell>
          <cell r="D66">
            <v>250</v>
          </cell>
        </row>
        <row r="67">
          <cell r="A67" t="str">
            <v>TF00064</v>
          </cell>
          <cell r="B67" t="str">
            <v>Equipos de laboratorio en obra</v>
          </cell>
          <cell r="C67" t="str">
            <v>und</v>
          </cell>
          <cell r="D67">
            <v>800</v>
          </cell>
        </row>
        <row r="68">
          <cell r="A68" t="str">
            <v>TF00065</v>
          </cell>
          <cell r="B68" t="str">
            <v>Ensayos de laboratorio externos</v>
          </cell>
          <cell r="C68" t="str">
            <v>und</v>
          </cell>
          <cell r="D68">
            <v>1000</v>
          </cell>
        </row>
        <row r="69">
          <cell r="A69" t="str">
            <v>TF00066</v>
          </cell>
          <cell r="B69" t="str">
            <v>Densimetro nuclear</v>
          </cell>
          <cell r="C69" t="str">
            <v>und</v>
          </cell>
          <cell r="D69">
            <v>1100</v>
          </cell>
        </row>
        <row r="70">
          <cell r="A70" t="str">
            <v>TF00067</v>
          </cell>
          <cell r="B70" t="str">
            <v>Bunker para densimetro nuclear</v>
          </cell>
          <cell r="C70" t="str">
            <v>und</v>
          </cell>
          <cell r="D70">
            <v>150</v>
          </cell>
        </row>
        <row r="71">
          <cell r="A71" t="str">
            <v>TF00068</v>
          </cell>
          <cell r="B71" t="str">
            <v>Grupo electrogeno</v>
          </cell>
          <cell r="C71" t="str">
            <v>und</v>
          </cell>
          <cell r="D71">
            <v>1200</v>
          </cell>
        </row>
        <row r="72">
          <cell r="A72" t="str">
            <v>TF00069</v>
          </cell>
          <cell r="B72" t="str">
            <v>Equipo de computo</v>
          </cell>
          <cell r="C72" t="str">
            <v>und</v>
          </cell>
          <cell r="D72">
            <v>70.84</v>
          </cell>
        </row>
        <row r="73">
          <cell r="A73" t="str">
            <v>TF00070</v>
          </cell>
          <cell r="B73" t="str">
            <v>Impresora A3</v>
          </cell>
          <cell r="C73" t="str">
            <v>und</v>
          </cell>
          <cell r="D73">
            <v>29.17</v>
          </cell>
        </row>
        <row r="74">
          <cell r="A74" t="str">
            <v>TF00071</v>
          </cell>
          <cell r="B74" t="str">
            <v>Impresora A4</v>
          </cell>
          <cell r="C74" t="str">
            <v>und</v>
          </cell>
          <cell r="D74">
            <v>16.670000000000002</v>
          </cell>
        </row>
        <row r="75">
          <cell r="A75" t="str">
            <v>TF00072</v>
          </cell>
          <cell r="B75" t="str">
            <v>Fotocopiadora</v>
          </cell>
          <cell r="C75" t="str">
            <v>und</v>
          </cell>
          <cell r="D75">
            <v>41.669999999999995</v>
          </cell>
        </row>
        <row r="76">
          <cell r="A76" t="str">
            <v>TF00073</v>
          </cell>
          <cell r="B76" t="str">
            <v>Materiales varios</v>
          </cell>
          <cell r="C76" t="str">
            <v>glb</v>
          </cell>
          <cell r="D76">
            <v>1000</v>
          </cell>
        </row>
        <row r="77">
          <cell r="A77" t="str">
            <v>TF00074</v>
          </cell>
          <cell r="B77" t="str">
            <v>Materiales varios</v>
          </cell>
          <cell r="C77" t="str">
            <v>glb</v>
          </cell>
          <cell r="D77">
            <v>1500</v>
          </cell>
        </row>
        <row r="78">
          <cell r="A78" t="str">
            <v>TF00075</v>
          </cell>
          <cell r="B78" t="str">
            <v>Jaula Faraday</v>
          </cell>
          <cell r="C78" t="str">
            <v>mes</v>
          </cell>
          <cell r="D78">
            <v>400</v>
          </cell>
        </row>
        <row r="79">
          <cell r="A79" t="str">
            <v>TF00076</v>
          </cell>
          <cell r="B79" t="str">
            <v>Materiales varios</v>
          </cell>
          <cell r="C79" t="str">
            <v>glb</v>
          </cell>
          <cell r="D79">
            <v>20</v>
          </cell>
        </row>
        <row r="80">
          <cell r="A80" t="str">
            <v>TF00077</v>
          </cell>
          <cell r="B80" t="str">
            <v>Materiales a cargo de antamina</v>
          </cell>
          <cell r="C80" t="str">
            <v>glb</v>
          </cell>
          <cell r="D80">
            <v>0</v>
          </cell>
        </row>
        <row r="81">
          <cell r="A81" t="str">
            <v>TF00078</v>
          </cell>
          <cell r="B81" t="str">
            <v>Materiales para intalación eléctrica</v>
          </cell>
          <cell r="C81" t="str">
            <v>glb</v>
          </cell>
          <cell r="D81">
            <v>378</v>
          </cell>
        </row>
        <row r="82">
          <cell r="A82" t="str">
            <v>TF00079</v>
          </cell>
          <cell r="B82" t="str">
            <v>Módulo/Contenedor equipado para oficina</v>
          </cell>
          <cell r="C82" t="str">
            <v>Und</v>
          </cell>
          <cell r="D82">
            <v>681.81818181818198</v>
          </cell>
        </row>
        <row r="83">
          <cell r="A83" t="str">
            <v>TF00080</v>
          </cell>
          <cell r="B83" t="str">
            <v>Cable Desnudo Cu Temple Suave 120mm2</v>
          </cell>
          <cell r="C83" t="str">
            <v>ml</v>
          </cell>
          <cell r="D83">
            <v>7.66</v>
          </cell>
        </row>
        <row r="84">
          <cell r="A84" t="str">
            <v>TF00081</v>
          </cell>
          <cell r="B84" t="str">
            <v>Cable Desnudo Cu Temple Suave 70mm2</v>
          </cell>
          <cell r="C84" t="str">
            <v>ml</v>
          </cell>
          <cell r="D84">
            <v>4.4400000000000004</v>
          </cell>
        </row>
        <row r="85">
          <cell r="A85" t="str">
            <v>TF00082</v>
          </cell>
          <cell r="B85" t="str">
            <v>Dosis de Cemento Conductivo de 25 Kg MARCA CONDUCRETE</v>
          </cell>
          <cell r="C85" t="str">
            <v>Bls</v>
          </cell>
          <cell r="D85">
            <v>42.84</v>
          </cell>
        </row>
        <row r="86">
          <cell r="A86" t="str">
            <v>TF00083</v>
          </cell>
          <cell r="B86" t="str">
            <v>Cartucho de Soldadura exotermica #250</v>
          </cell>
          <cell r="C86" t="str">
            <v>Und</v>
          </cell>
          <cell r="D86">
            <v>13.09</v>
          </cell>
        </row>
        <row r="87">
          <cell r="A87" t="str">
            <v>TF00084</v>
          </cell>
          <cell r="B87" t="str">
            <v>Varilla Cooperweld 3/4" X 3 MTS</v>
          </cell>
          <cell r="C87" t="str">
            <v>Und</v>
          </cell>
          <cell r="D87">
            <v>35.99</v>
          </cell>
        </row>
        <row r="88">
          <cell r="A88" t="str">
            <v>TF00085</v>
          </cell>
          <cell r="B88" t="str">
            <v>Conector de Bronce AB para Pozo a Tierra</v>
          </cell>
          <cell r="C88" t="str">
            <v>Und</v>
          </cell>
          <cell r="D88">
            <v>2.37</v>
          </cell>
        </row>
        <row r="89">
          <cell r="A89" t="str">
            <v>TF00086</v>
          </cell>
          <cell r="B89" t="str">
            <v>Accesorios BURNDY</v>
          </cell>
          <cell r="C89" t="str">
            <v>glb</v>
          </cell>
          <cell r="D89">
            <v>238</v>
          </cell>
        </row>
        <row r="90">
          <cell r="A90" t="str">
            <v>TF00087</v>
          </cell>
          <cell r="B90" t="str">
            <v>Caja de Registro de Pozo a Tierra</v>
          </cell>
          <cell r="C90" t="str">
            <v>Und</v>
          </cell>
          <cell r="D90">
            <v>10.7</v>
          </cell>
        </row>
        <row r="91">
          <cell r="A91" t="str">
            <v>TF00088</v>
          </cell>
          <cell r="B91" t="str">
            <v>Tubo PVC Eléctrico SAP 1" X 3.00 m</v>
          </cell>
          <cell r="C91" t="str">
            <v>Pza</v>
          </cell>
          <cell r="D91">
            <v>7.81</v>
          </cell>
        </row>
        <row r="92">
          <cell r="A92" t="str">
            <v>TF00089</v>
          </cell>
          <cell r="B92" t="str">
            <v>Curva PVC Eléctrica SAP 1" X 90°</v>
          </cell>
          <cell r="C92" t="str">
            <v>Pza</v>
          </cell>
          <cell r="D92">
            <v>1.99</v>
          </cell>
        </row>
        <row r="93">
          <cell r="A93" t="str">
            <v>TF00090</v>
          </cell>
          <cell r="B93" t="str">
            <v>Unión PVC Eléctrica SAP 1"</v>
          </cell>
          <cell r="C93" t="str">
            <v>Pza</v>
          </cell>
          <cell r="D93">
            <v>1.64</v>
          </cell>
        </row>
        <row r="94">
          <cell r="A94" t="str">
            <v>TF00091</v>
          </cell>
          <cell r="B94" t="str">
            <v>Consumibles</v>
          </cell>
          <cell r="C94" t="str">
            <v>%</v>
          </cell>
        </row>
        <row r="95">
          <cell r="A95" t="str">
            <v>TF00092</v>
          </cell>
          <cell r="B95" t="str">
            <v>Top soil</v>
          </cell>
          <cell r="C95" t="str">
            <v>m3</v>
          </cell>
        </row>
        <row r="96">
          <cell r="A96" t="str">
            <v>TF00093</v>
          </cell>
          <cell r="B96" t="str">
            <v>Tablero de distribución para instalación eléctrica</v>
          </cell>
          <cell r="C96" t="str">
            <v>Und</v>
          </cell>
          <cell r="D96">
            <v>1555</v>
          </cell>
        </row>
        <row r="97">
          <cell r="A97" t="str">
            <v>TF00094</v>
          </cell>
          <cell r="B97" t="str">
            <v>Mantas</v>
          </cell>
          <cell r="C97" t="str">
            <v>glb</v>
          </cell>
          <cell r="D97">
            <v>123.5</v>
          </cell>
        </row>
        <row r="98">
          <cell r="A98" t="str">
            <v>TF00095</v>
          </cell>
          <cell r="B98" t="str">
            <v>Sikadur 32</v>
          </cell>
          <cell r="C98" t="str">
            <v>Kit</v>
          </cell>
          <cell r="D98">
            <v>84.249000000000009</v>
          </cell>
        </row>
        <row r="99">
          <cell r="A99" t="str">
            <v>TF00096</v>
          </cell>
          <cell r="B99" t="str">
            <v>Geotextil</v>
          </cell>
          <cell r="C99" t="str">
            <v>m2</v>
          </cell>
        </row>
        <row r="100">
          <cell r="A100" t="str">
            <v>TF00097</v>
          </cell>
          <cell r="B100" t="str">
            <v>Concreto 5MP, según diseño</v>
          </cell>
          <cell r="C100" t="str">
            <v>m3</v>
          </cell>
        </row>
        <row r="101">
          <cell r="A101" t="str">
            <v>TF00098</v>
          </cell>
        </row>
        <row r="102">
          <cell r="A102" t="str">
            <v>TF00099</v>
          </cell>
        </row>
        <row r="103">
          <cell r="A103" t="str">
            <v>TF00100</v>
          </cell>
        </row>
        <row r="104">
          <cell r="A104" t="str">
            <v>TF00101</v>
          </cell>
        </row>
        <row r="105">
          <cell r="A105" t="str">
            <v>TF00102</v>
          </cell>
          <cell r="B105" t="str">
            <v>Concreto 10MP, según diseño</v>
          </cell>
          <cell r="C105" t="str">
            <v>m3</v>
          </cell>
        </row>
        <row r="106">
          <cell r="A106" t="str">
            <v>TF00103</v>
          </cell>
        </row>
        <row r="107">
          <cell r="A107" t="str">
            <v>TF00104</v>
          </cell>
          <cell r="B107" t="str">
            <v>Servicios</v>
          </cell>
        </row>
        <row r="108">
          <cell r="A108" t="str">
            <v>TF00105</v>
          </cell>
          <cell r="B108" t="str">
            <v>Servicio de camión camabaja Lima-Mina</v>
          </cell>
          <cell r="C108" t="str">
            <v>Viaje</v>
          </cell>
          <cell r="D108">
            <v>1650</v>
          </cell>
        </row>
        <row r="109">
          <cell r="A109" t="str">
            <v>TF00106</v>
          </cell>
          <cell r="B109" t="str">
            <v>Servicio de camión camabaja Lima-Mina</v>
          </cell>
          <cell r="C109" t="str">
            <v>Viaje</v>
          </cell>
          <cell r="D109">
            <v>1650</v>
          </cell>
        </row>
        <row r="110">
          <cell r="A110" t="str">
            <v>TF00107</v>
          </cell>
          <cell r="B110" t="str">
            <v>Camión Furgon (para transporte de materiales para SPAT)</v>
          </cell>
          <cell r="C110" t="str">
            <v>Viaje</v>
          </cell>
          <cell r="D110">
            <v>300</v>
          </cell>
        </row>
        <row r="111">
          <cell r="A111" t="str">
            <v>TF00108</v>
          </cell>
          <cell r="B111" t="str">
            <v>Servicio de transporte en cama baja Lima-Mina</v>
          </cell>
          <cell r="C111" t="str">
            <v>Viaje</v>
          </cell>
          <cell r="D111">
            <v>2545.4545454545455</v>
          </cell>
        </row>
        <row r="112">
          <cell r="A112" t="str">
            <v>TF00109</v>
          </cell>
        </row>
        <row r="113">
          <cell r="A113" t="str">
            <v>TF00110</v>
          </cell>
        </row>
        <row r="114">
          <cell r="A114" t="str">
            <v>TF00111</v>
          </cell>
        </row>
        <row r="115">
          <cell r="A115" t="str">
            <v>TF00112</v>
          </cell>
        </row>
        <row r="116">
          <cell r="A116" t="str">
            <v>TF00113</v>
          </cell>
        </row>
        <row r="117">
          <cell r="A117" t="str">
            <v>TF00114</v>
          </cell>
        </row>
        <row r="118">
          <cell r="A118" t="str">
            <v>TF00115</v>
          </cell>
        </row>
        <row r="119">
          <cell r="A119" t="str">
            <v>TF00116</v>
          </cell>
        </row>
        <row r="120">
          <cell r="A120" t="str">
            <v>TF00117</v>
          </cell>
        </row>
        <row r="121">
          <cell r="A121" t="str">
            <v>TF00118</v>
          </cell>
        </row>
        <row r="122">
          <cell r="A122" t="str">
            <v>TF00119</v>
          </cell>
        </row>
        <row r="123">
          <cell r="A123" t="str">
            <v>TF00120</v>
          </cell>
          <cell r="B123" t="str">
            <v>Vientero</v>
          </cell>
          <cell r="C123" t="str">
            <v>hh</v>
          </cell>
          <cell r="D123">
            <v>4.84</v>
          </cell>
        </row>
        <row r="124">
          <cell r="A124" t="str">
            <v>TF00121</v>
          </cell>
        </row>
        <row r="125">
          <cell r="A125" t="str">
            <v>TF00122</v>
          </cell>
        </row>
        <row r="126">
          <cell r="A126" t="str">
            <v>TF00123</v>
          </cell>
        </row>
        <row r="127">
          <cell r="A127" t="str">
            <v>TF00124</v>
          </cell>
        </row>
        <row r="128">
          <cell r="A128" t="str">
            <v>TF00125</v>
          </cell>
        </row>
        <row r="129">
          <cell r="A129" t="str">
            <v>TF00126</v>
          </cell>
        </row>
        <row r="130">
          <cell r="A130" t="str">
            <v>TF00127</v>
          </cell>
        </row>
        <row r="131">
          <cell r="A131" t="str">
            <v>TF00128</v>
          </cell>
          <cell r="B131" t="str">
            <v>Servicios de Subcontratista</v>
          </cell>
        </row>
        <row r="132">
          <cell r="A132" t="str">
            <v>TF00129</v>
          </cell>
          <cell r="B132" t="str">
            <v>Servicio de Movilización</v>
          </cell>
          <cell r="C132" t="str">
            <v>Glb</v>
          </cell>
          <cell r="D132">
            <v>14049.75</v>
          </cell>
        </row>
        <row r="133">
          <cell r="A133" t="str">
            <v>TF00130</v>
          </cell>
          <cell r="B133" t="str">
            <v>Servicio de Ejecución de Línea de Vida</v>
          </cell>
          <cell r="C133" t="str">
            <v>ml</v>
          </cell>
          <cell r="D133">
            <v>51.622999999999998</v>
          </cell>
        </row>
        <row r="134">
          <cell r="A134" t="str">
            <v>TF00131</v>
          </cell>
          <cell r="B134" t="str">
            <v>Servicio de instalación de malla</v>
          </cell>
          <cell r="C134" t="str">
            <v>m2</v>
          </cell>
          <cell r="D134">
            <v>10.0815</v>
          </cell>
        </row>
        <row r="135">
          <cell r="A135" t="str">
            <v>TF00132</v>
          </cell>
          <cell r="B135" t="str">
            <v>Malla para protección y accesorios de fijación</v>
          </cell>
          <cell r="C135" t="str">
            <v>m2</v>
          </cell>
        </row>
        <row r="136">
          <cell r="A136" t="str">
            <v>TF00133</v>
          </cell>
          <cell r="B136" t="str">
            <v>Consumbibles</v>
          </cell>
          <cell r="C136" t="str">
            <v>%</v>
          </cell>
        </row>
        <row r="137">
          <cell r="A137" t="str">
            <v>TF00134</v>
          </cell>
          <cell r="B137" t="str">
            <v>Servicio de Trazo y replanteo</v>
          </cell>
          <cell r="C137" t="str">
            <v>mes</v>
          </cell>
          <cell r="D137">
            <v>5715.3580000000002</v>
          </cell>
        </row>
        <row r="138">
          <cell r="A138" t="str">
            <v>TF00135</v>
          </cell>
          <cell r="B138" t="str">
            <v>Servicio de Desmovilización</v>
          </cell>
          <cell r="C138" t="str">
            <v>Glb</v>
          </cell>
          <cell r="D138">
            <v>14049.75</v>
          </cell>
        </row>
        <row r="139">
          <cell r="A139" t="str">
            <v>TF00136</v>
          </cell>
          <cell r="B139" t="str">
            <v>Inducción de personal especializado (Staff)</v>
          </cell>
          <cell r="C139" t="str">
            <v>Glb</v>
          </cell>
          <cell r="D139">
            <v>3467.75</v>
          </cell>
        </row>
        <row r="140">
          <cell r="A140" t="str">
            <v>TF00137</v>
          </cell>
          <cell r="B140" t="str">
            <v>Inducción de personal especializado (Worker)</v>
          </cell>
          <cell r="C140" t="str">
            <v>Glb</v>
          </cell>
          <cell r="D140">
            <v>4254.25</v>
          </cell>
        </row>
        <row r="141">
          <cell r="A141" t="str">
            <v>TF00138</v>
          </cell>
        </row>
        <row r="142">
          <cell r="A142" t="str">
            <v>TF00139</v>
          </cell>
        </row>
        <row r="143">
          <cell r="A143" t="str">
            <v>TF00140</v>
          </cell>
          <cell r="B143" t="str">
            <v>Servicio de vertido de Concreto f´c=10 Mpa</v>
          </cell>
          <cell r="C143" t="str">
            <v>m3</v>
          </cell>
          <cell r="D143">
            <v>10.910625</v>
          </cell>
        </row>
        <row r="144">
          <cell r="A144" t="str">
            <v>TF00141</v>
          </cell>
          <cell r="B144" t="str">
            <v>Servicio de habilitado y colocación de Encofrado y Desencofrado</v>
          </cell>
          <cell r="C144" t="str">
            <v>m2</v>
          </cell>
          <cell r="D144">
            <v>23.788732000000007</v>
          </cell>
        </row>
        <row r="145">
          <cell r="A145" t="str">
            <v>TF00142</v>
          </cell>
          <cell r="B145" t="str">
            <v>Servicio de Vertido de Concreto f´c=20 Mpa</v>
          </cell>
          <cell r="C145" t="str">
            <v>m3</v>
          </cell>
          <cell r="D145">
            <v>13.180035</v>
          </cell>
        </row>
        <row r="146">
          <cell r="A146" t="str">
            <v>TF00143</v>
          </cell>
          <cell r="B146" t="str">
            <v>Servicio de habilitado y colocación de Acero de refuerzo fy=4200 kg/cm2</v>
          </cell>
          <cell r="C146" t="str">
            <v>kg</v>
          </cell>
          <cell r="D146">
            <v>1.3197399999999999</v>
          </cell>
        </row>
        <row r="147">
          <cell r="A147" t="str">
            <v>TF00144</v>
          </cell>
          <cell r="B147" t="str">
            <v>Servicio de montaje y desmontaje de microclima</v>
          </cell>
          <cell r="C147" t="str">
            <v>mes</v>
          </cell>
          <cell r="D147">
            <v>3519.3449999999998</v>
          </cell>
        </row>
        <row r="148">
          <cell r="A148" t="str">
            <v>TF00145</v>
          </cell>
          <cell r="B148" t="str">
            <v>Movilización Lima-Mina Camión Grúa</v>
          </cell>
          <cell r="C148" t="str">
            <v>Viaje</v>
          </cell>
          <cell r="D148">
            <v>984</v>
          </cell>
        </row>
        <row r="149">
          <cell r="A149" t="str">
            <v>TF00146</v>
          </cell>
          <cell r="B149" t="str">
            <v>Desmovilizacion Mina-Lima Camión Grúa</v>
          </cell>
          <cell r="C149" t="str">
            <v>Viaje</v>
          </cell>
          <cell r="D149">
            <v>984</v>
          </cell>
        </row>
        <row r="150">
          <cell r="A150" t="str">
            <v>TF00147</v>
          </cell>
          <cell r="B150" t="str">
            <v>Desmovilización de equipos y herramientas para concreto dental y C°A°</v>
          </cell>
          <cell r="C150" t="str">
            <v>Glb</v>
          </cell>
          <cell r="D150">
            <v>3322.0000000000005</v>
          </cell>
        </row>
        <row r="151">
          <cell r="A151" t="str">
            <v>TF00148</v>
          </cell>
          <cell r="B151" t="str">
            <v>Suministro de Materiales consumibles para acero de refuerzo</v>
          </cell>
          <cell r="C151" t="str">
            <v>Glb</v>
          </cell>
          <cell r="D151">
            <v>2.3790050000000003</v>
          </cell>
        </row>
        <row r="152">
          <cell r="A152" t="str">
            <v>TF00149</v>
          </cell>
          <cell r="B152" t="str">
            <v>Servicio de suministro de Equipos para acero de refuerzo</v>
          </cell>
          <cell r="C152" t="str">
            <v>hm</v>
          </cell>
          <cell r="D152">
            <v>0.26047499999999996</v>
          </cell>
        </row>
        <row r="153">
          <cell r="A153" t="str">
            <v>TF00150</v>
          </cell>
          <cell r="B153" t="str">
            <v>Suministro de Materiales consumibles para desquinche</v>
          </cell>
          <cell r="C153" t="str">
            <v>m2</v>
          </cell>
          <cell r="D153">
            <v>0.66699999999999993</v>
          </cell>
        </row>
        <row r="154">
          <cell r="A154" t="str">
            <v>TF00151</v>
          </cell>
          <cell r="B154" t="str">
            <v>Servicio de suministro de Equipos para desquinche</v>
          </cell>
          <cell r="C154" t="str">
            <v>hm</v>
          </cell>
          <cell r="D154">
            <v>2.2885</v>
          </cell>
        </row>
        <row r="155">
          <cell r="A155" t="str">
            <v>TF00152</v>
          </cell>
        </row>
        <row r="156">
          <cell r="A156" t="str">
            <v>TF00153</v>
          </cell>
          <cell r="B156" t="str">
            <v>Suministro de materiales para vertido de concreto 10MPa</v>
          </cell>
          <cell r="C156" t="str">
            <v>Glb</v>
          </cell>
          <cell r="D156">
            <v>8.7974999999999994</v>
          </cell>
        </row>
        <row r="157">
          <cell r="A157" t="str">
            <v>TF00154</v>
          </cell>
          <cell r="B157" t="str">
            <v>Servicio de suministro de equipos para vertido de concreto 10MPa</v>
          </cell>
          <cell r="C157" t="str">
            <v>hm</v>
          </cell>
          <cell r="D157">
            <v>12.405625000000001</v>
          </cell>
        </row>
        <row r="158">
          <cell r="A158" t="str">
            <v>TF00155</v>
          </cell>
          <cell r="B158" t="str">
            <v>Suministro de materiales para encofrado</v>
          </cell>
          <cell r="C158" t="str">
            <v>Glb</v>
          </cell>
          <cell r="D158">
            <v>22.256608000000003</v>
          </cell>
        </row>
        <row r="159">
          <cell r="A159" t="str">
            <v>TF00156</v>
          </cell>
          <cell r="B159" t="str">
            <v>Servicio de suministro de equipos para encofrado</v>
          </cell>
          <cell r="C159" t="str">
            <v>hm</v>
          </cell>
          <cell r="D159">
            <v>1.1893200000000004</v>
          </cell>
        </row>
        <row r="160">
          <cell r="A160" t="str">
            <v>TF00157</v>
          </cell>
          <cell r="B160" t="str">
            <v>Suministro de materiales para vertido de concreto 20MPa</v>
          </cell>
          <cell r="C160" t="str">
            <v>Glb</v>
          </cell>
          <cell r="D160">
            <v>16.705129999999997</v>
          </cell>
        </row>
        <row r="161">
          <cell r="A161" t="str">
            <v>TF00158</v>
          </cell>
          <cell r="B161" t="str">
            <v>Servicio de suministro de equipos para vertido de concreto 20MPa</v>
          </cell>
          <cell r="C161" t="str">
            <v>hm</v>
          </cell>
          <cell r="D161">
            <v>14.985995000000001</v>
          </cell>
        </row>
        <row r="162">
          <cell r="A162" t="str">
            <v>TF00159</v>
          </cell>
          <cell r="B162" t="str">
            <v>MATERIALES MÉTODO TREMIE</v>
          </cell>
        </row>
        <row r="163">
          <cell r="A163" t="str">
            <v>TF00160</v>
          </cell>
          <cell r="B163" t="str">
            <v>Tuberías PVC 8" para método Tremie</v>
          </cell>
          <cell r="C163" t="str">
            <v>Glb</v>
          </cell>
          <cell r="D163">
            <v>661.51515151515196</v>
          </cell>
        </row>
        <row r="164">
          <cell r="A164" t="str">
            <v>TF00161</v>
          </cell>
          <cell r="B164" t="str">
            <v>Embudo prefabricado con rejilla Ø 1"x1"</v>
          </cell>
          <cell r="C164" t="str">
            <v>Pza</v>
          </cell>
          <cell r="D164">
            <v>724.55089820359285</v>
          </cell>
        </row>
        <row r="165">
          <cell r="A165" t="str">
            <v>TF00162</v>
          </cell>
          <cell r="B165" t="str">
            <v>Liston de madera 4"x4"x20pies</v>
          </cell>
          <cell r="C165" t="str">
            <v>Pza</v>
          </cell>
          <cell r="D165">
            <v>66.666666666666671</v>
          </cell>
        </row>
        <row r="166">
          <cell r="A166" t="str">
            <v>TF00163</v>
          </cell>
          <cell r="B166" t="str">
            <v>Liston de madera 3"x3"x10pies</v>
          </cell>
          <cell r="C166" t="str">
            <v>Pza</v>
          </cell>
          <cell r="D166">
            <v>18.75</v>
          </cell>
        </row>
        <row r="167">
          <cell r="A167" t="str">
            <v>TF00164</v>
          </cell>
          <cell r="B167" t="str">
            <v>Planchas de Triplay 18mm</v>
          </cell>
          <cell r="C167" t="str">
            <v>Pln</v>
          </cell>
          <cell r="D167">
            <v>28.7</v>
          </cell>
        </row>
        <row r="168">
          <cell r="A168" t="str">
            <v>TF00165</v>
          </cell>
          <cell r="B168" t="str">
            <v>Clavos de 6" c/cabeza</v>
          </cell>
          <cell r="C168" t="str">
            <v>Kg</v>
          </cell>
          <cell r="D168">
            <v>1.54</v>
          </cell>
        </row>
        <row r="169">
          <cell r="A169" t="str">
            <v>TF00166</v>
          </cell>
          <cell r="B169" t="str">
            <v>Clavos de 3" c/cabeza</v>
          </cell>
          <cell r="C169" t="str">
            <v>Kg</v>
          </cell>
          <cell r="D169">
            <v>1.54</v>
          </cell>
        </row>
        <row r="170">
          <cell r="A170" t="str">
            <v>TF00167</v>
          </cell>
        </row>
        <row r="171">
          <cell r="A171" t="str">
            <v>TF00168</v>
          </cell>
          <cell r="B171" t="str">
            <v>Grupo electrogeno 200KW</v>
          </cell>
          <cell r="C171" t="str">
            <v>hm</v>
          </cell>
          <cell r="D171">
            <v>13.764666666666669</v>
          </cell>
        </row>
        <row r="172">
          <cell r="A172" t="str">
            <v>TF00169</v>
          </cell>
          <cell r="B172" t="str">
            <v>EQUIPOS ADICIONALES</v>
          </cell>
        </row>
        <row r="173">
          <cell r="A173" t="str">
            <v>TF00170</v>
          </cell>
          <cell r="B173" t="str">
            <v>Motobomba capacidad 6"</v>
          </cell>
          <cell r="C173" t="str">
            <v>hm</v>
          </cell>
          <cell r="D173">
            <v>18</v>
          </cell>
        </row>
        <row r="174">
          <cell r="A174" t="str">
            <v>TF00171</v>
          </cell>
          <cell r="B174" t="str">
            <v>Motobomba capacidad 10"</v>
          </cell>
          <cell r="C174" t="str">
            <v>hm</v>
          </cell>
          <cell r="D174">
            <v>28</v>
          </cell>
        </row>
        <row r="175">
          <cell r="A175" t="str">
            <v>TF00172</v>
          </cell>
          <cell r="B175" t="str">
            <v>Andamios y lonaflex ignífugo</v>
          </cell>
          <cell r="C175" t="str">
            <v>mes</v>
          </cell>
          <cell r="D175">
            <v>7020.3</v>
          </cell>
        </row>
        <row r="176">
          <cell r="A176" t="str">
            <v>TF00173</v>
          </cell>
          <cell r="B176" t="str">
            <v>Bomba móvil con pluma</v>
          </cell>
          <cell r="C176" t="str">
            <v>hm</v>
          </cell>
        </row>
        <row r="177">
          <cell r="A177" t="str">
            <v>TF00174</v>
          </cell>
          <cell r="B177" t="str">
            <v>Equipos para calefacción</v>
          </cell>
          <cell r="C177" t="str">
            <v>mes</v>
          </cell>
          <cell r="D177">
            <v>450</v>
          </cell>
        </row>
        <row r="178">
          <cell r="A178" t="str">
            <v>TF00175</v>
          </cell>
          <cell r="B178" t="str">
            <v>Tablero y cables de distribución eléctrica</v>
          </cell>
          <cell r="C178" t="str">
            <v>mes</v>
          </cell>
          <cell r="D178">
            <v>375</v>
          </cell>
        </row>
        <row r="179">
          <cell r="A179" t="str">
            <v>TF00176</v>
          </cell>
          <cell r="B179" t="str">
            <v>Grupo electrogeno</v>
          </cell>
          <cell r="C179" t="str">
            <v>hm</v>
          </cell>
          <cell r="D179">
            <v>6.25</v>
          </cell>
        </row>
        <row r="180">
          <cell r="A180" t="str">
            <v>TF00177</v>
          </cell>
          <cell r="B180" t="str">
            <v>Electrobomba capacidad 8"</v>
          </cell>
          <cell r="C180" t="str">
            <v>hm</v>
          </cell>
          <cell r="D180">
            <v>6</v>
          </cell>
        </row>
        <row r="181">
          <cell r="A181" t="str">
            <v>TF00178</v>
          </cell>
          <cell r="B181" t="str">
            <v>Electrobomba capacidad 6"</v>
          </cell>
          <cell r="C181" t="str">
            <v>hm</v>
          </cell>
          <cell r="D181">
            <v>4.5454545454545459</v>
          </cell>
        </row>
        <row r="182">
          <cell r="A182" t="str">
            <v>TF00179</v>
          </cell>
          <cell r="B182" t="str">
            <v>Electrobomba capacidad 4"</v>
          </cell>
          <cell r="C182" t="str">
            <v>hm</v>
          </cell>
          <cell r="D182">
            <v>3.333333333333333</v>
          </cell>
        </row>
        <row r="183">
          <cell r="A183" t="str">
            <v>TF00180</v>
          </cell>
          <cell r="B183" t="str">
            <v>Electrobomba capacidad 6" (Suministrado por Antamina)</v>
          </cell>
          <cell r="C183" t="str">
            <v>hm</v>
          </cell>
          <cell r="D183">
            <v>0</v>
          </cell>
        </row>
        <row r="184">
          <cell r="A184" t="str">
            <v>TF00181</v>
          </cell>
          <cell r="B184" t="str">
            <v>Electrobomba capacidad 4" (Suministrado por Antamina)</v>
          </cell>
          <cell r="C184" t="str">
            <v>hm</v>
          </cell>
          <cell r="D184">
            <v>0</v>
          </cell>
        </row>
        <row r="185">
          <cell r="A185" t="str">
            <v>TF00182</v>
          </cell>
          <cell r="B185" t="str">
            <v>Electrobomba capacidad 2"</v>
          </cell>
          <cell r="C185" t="str">
            <v>hm</v>
          </cell>
          <cell r="D185">
            <v>0</v>
          </cell>
        </row>
        <row r="186">
          <cell r="A186" t="str">
            <v>TF00183</v>
          </cell>
          <cell r="B186" t="str">
            <v>MATERIALES PARA SISTEMA DE BOMBEO ADICIONAL</v>
          </cell>
        </row>
        <row r="187">
          <cell r="A187" t="str">
            <v>TF00184</v>
          </cell>
          <cell r="B187" t="str">
            <v>Manguera 10" de succión y desfogue, acoples y accesorios</v>
          </cell>
          <cell r="C187" t="str">
            <v>mes</v>
          </cell>
          <cell r="D187">
            <v>2602.4242424242425</v>
          </cell>
        </row>
        <row r="188">
          <cell r="A188" t="str">
            <v>TF00185</v>
          </cell>
          <cell r="B188" t="str">
            <v>Manguera 6" de succión y desfogue, acoples y accesorios</v>
          </cell>
          <cell r="C188" t="str">
            <v>mes</v>
          </cell>
          <cell r="D188">
            <v>1000</v>
          </cell>
        </row>
        <row r="189">
          <cell r="A189" t="str">
            <v>TF00186</v>
          </cell>
          <cell r="B189" t="str">
            <v>Tubería HDPE para cruce de vía</v>
          </cell>
          <cell r="C189" t="str">
            <v>m</v>
          </cell>
        </row>
        <row r="190">
          <cell r="A190" t="str">
            <v>TF00187</v>
          </cell>
          <cell r="B190" t="str">
            <v>Operador de bomba</v>
          </cell>
          <cell r="C190" t="str">
            <v>hh</v>
          </cell>
          <cell r="D190">
            <v>6.89</v>
          </cell>
        </row>
        <row r="191">
          <cell r="A191" t="str">
            <v>TF00188</v>
          </cell>
          <cell r="B191" t="str">
            <v>Manguera de succión y desfogue, acoples y accesorios</v>
          </cell>
          <cell r="C191" t="str">
            <v>mes</v>
          </cell>
        </row>
        <row r="192">
          <cell r="A192" t="str">
            <v>TF00189</v>
          </cell>
          <cell r="B192" t="str">
            <v>Electrobomba FLYGT</v>
          </cell>
          <cell r="C192" t="str">
            <v>mes</v>
          </cell>
        </row>
        <row r="193">
          <cell r="A193" t="str">
            <v>TF00190</v>
          </cell>
          <cell r="B193" t="str">
            <v>GGEE</v>
          </cell>
          <cell r="C193" t="str">
            <v>mes</v>
          </cell>
        </row>
        <row r="194">
          <cell r="A194" t="str">
            <v>TF00191</v>
          </cell>
          <cell r="B194" t="str">
            <v>Tablero eléctrico de arranque</v>
          </cell>
          <cell r="C194" t="str">
            <v>mes</v>
          </cell>
        </row>
        <row r="195">
          <cell r="A195" t="str">
            <v>TF00192</v>
          </cell>
          <cell r="B195" t="str">
            <v>Techo protector</v>
          </cell>
          <cell r="C195" t="str">
            <v>mes</v>
          </cell>
          <cell r="D195">
            <v>695.96</v>
          </cell>
        </row>
        <row r="196">
          <cell r="A196" t="str">
            <v>TF00193</v>
          </cell>
          <cell r="B196" t="str">
            <v>Bandeja para conteción de derrames</v>
          </cell>
          <cell r="C196" t="str">
            <v>mes</v>
          </cell>
        </row>
        <row r="197">
          <cell r="A197" t="str">
            <v>TF00194</v>
          </cell>
          <cell r="B197" t="str">
            <v>Respuestos y mantenimiento</v>
          </cell>
          <cell r="C197" t="str">
            <v>mes</v>
          </cell>
        </row>
        <row r="198">
          <cell r="A198" t="str">
            <v>TF00195</v>
          </cell>
        </row>
        <row r="199">
          <cell r="A199" t="str">
            <v>TF00196</v>
          </cell>
          <cell r="B199" t="str">
            <v>Operador de electrobomba</v>
          </cell>
          <cell r="C199" t="str">
            <v>hh</v>
          </cell>
          <cell r="D199">
            <v>6.89</v>
          </cell>
        </row>
        <row r="200">
          <cell r="A200" t="str">
            <v>TF00197</v>
          </cell>
        </row>
        <row r="201">
          <cell r="A201" t="str">
            <v>TF00198</v>
          </cell>
          <cell r="B201" t="str">
            <v>Manguera x100m 8" de descarga y accesorios</v>
          </cell>
          <cell r="C201" t="str">
            <v>rll</v>
          </cell>
          <cell r="D201">
            <v>1119.51</v>
          </cell>
        </row>
        <row r="202">
          <cell r="A202" t="str">
            <v>TF00199</v>
          </cell>
          <cell r="B202" t="str">
            <v>Manguera x100m 6" de descarga y accesorios</v>
          </cell>
          <cell r="C202" t="str">
            <v>rll</v>
          </cell>
          <cell r="D202">
            <v>639.72</v>
          </cell>
        </row>
        <row r="203">
          <cell r="A203" t="str">
            <v>TF00200</v>
          </cell>
          <cell r="B203" t="str">
            <v>Manguera x100m 4" de descarga y accesorios</v>
          </cell>
          <cell r="C203" t="str">
            <v>rll</v>
          </cell>
          <cell r="D203">
            <v>337.07</v>
          </cell>
        </row>
        <row r="204">
          <cell r="A204" t="str">
            <v>TF00201</v>
          </cell>
          <cell r="B204" t="str">
            <v>Manguera x100m 2" de descarga y accesorios</v>
          </cell>
          <cell r="C204" t="str">
            <v>rll</v>
          </cell>
          <cell r="D204">
            <v>0</v>
          </cell>
        </row>
        <row r="205">
          <cell r="A205" t="str">
            <v>TF00202</v>
          </cell>
          <cell r="B205" t="str">
            <v>Caja de clavos 4"</v>
          </cell>
          <cell r="C205" t="str">
            <v>kg</v>
          </cell>
          <cell r="D205">
            <v>1.55</v>
          </cell>
        </row>
        <row r="206">
          <cell r="A206" t="str">
            <v>TF00203</v>
          </cell>
          <cell r="B206" t="str">
            <v>Caja de clavos 3"</v>
          </cell>
          <cell r="C206" t="str">
            <v>kg</v>
          </cell>
          <cell r="D206">
            <v>1.54</v>
          </cell>
        </row>
        <row r="207">
          <cell r="A207" t="str">
            <v>TF00204</v>
          </cell>
          <cell r="B207" t="str">
            <v>Caja de clavos 1"</v>
          </cell>
          <cell r="C207" t="str">
            <v>kg</v>
          </cell>
          <cell r="D207">
            <v>1.32</v>
          </cell>
        </row>
        <row r="208">
          <cell r="A208" t="str">
            <v>TF00205</v>
          </cell>
          <cell r="B208" t="str">
            <v>Caja de clavos para techo</v>
          </cell>
          <cell r="C208" t="str">
            <v>kg</v>
          </cell>
          <cell r="D208">
            <v>2.4</v>
          </cell>
        </row>
        <row r="209">
          <cell r="A209" t="str">
            <v>TF00206</v>
          </cell>
          <cell r="B209" t="str">
            <v>Caja de clavos para calamina 2"</v>
          </cell>
          <cell r="C209" t="str">
            <v>kg</v>
          </cell>
          <cell r="D209">
            <v>2.1</v>
          </cell>
        </row>
        <row r="210">
          <cell r="A210" t="str">
            <v>TF00207</v>
          </cell>
          <cell r="B210" t="str">
            <v>Liston de madera 3"x2"x10pies</v>
          </cell>
          <cell r="C210" t="str">
            <v>und</v>
          </cell>
          <cell r="D210">
            <v>12.5</v>
          </cell>
        </row>
        <row r="211">
          <cell r="A211" t="str">
            <v>TF00208</v>
          </cell>
          <cell r="B211" t="str">
            <v>Liston de madera 4"x4"x17pies</v>
          </cell>
          <cell r="C211" t="str">
            <v>und</v>
          </cell>
          <cell r="D211">
            <v>27</v>
          </cell>
        </row>
        <row r="212">
          <cell r="A212" t="str">
            <v>TF00209</v>
          </cell>
          <cell r="B212" t="str">
            <v>Plancha OSB 18mm</v>
          </cell>
          <cell r="C212" t="str">
            <v>Pln</v>
          </cell>
          <cell r="D212">
            <v>38</v>
          </cell>
        </row>
        <row r="213">
          <cell r="A213" t="str">
            <v>TF00210</v>
          </cell>
          <cell r="B213" t="str">
            <v>Plancha triplay lupuna 6mm</v>
          </cell>
          <cell r="C213" t="str">
            <v>Pln</v>
          </cell>
          <cell r="D213">
            <v>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C"/>
      <sheetName val="Formato M&amp;C"/>
      <sheetName val="GASTOS GENERALES"/>
      <sheetName val="ANALISIS DE PU"/>
      <sheetName val="Curva_S"/>
      <sheetName val="ALIMENTACION Y HOSPEDAJE"/>
      <sheetName val="EPPs OBREROS"/>
      <sheetName val="EPPs EMPLEADOS"/>
      <sheetName val="COMBUSTIBLE"/>
      <sheetName val="RESUMEN HH-HM"/>
      <sheetName val="Costo HH"/>
      <sheetName val="% Leyes Sociales"/>
      <sheetName val="Avance de Metrados"/>
      <sheetName val="Prog Metrado"/>
      <sheetName val="% Prog"/>
      <sheetName val="CRONOGRAMA VALORIZADO"/>
      <sheetName val="% Prog Acum"/>
      <sheetName val="Necesidad Equipos-Personal"/>
      <sheetName val="Tarif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>
            <v>11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1.1 Formato C-1"/>
      <sheetName val="1.2 APU"/>
      <sheetName val="1.3 Gastos Generales"/>
      <sheetName val="1.4 Insumos"/>
      <sheetName val="1.2 Rendimiento"/>
      <sheetName val="1.9 Duration"/>
      <sheetName val="1.4 COMBUSTIBLE"/>
      <sheetName val="Tarifas"/>
      <sheetName val="1.5 Formato Alim&amp;Hosp"/>
      <sheetName val="1.6 Roster"/>
      <sheetName val="1.7 Costos Covid"/>
      <sheetName val="1.8 Estimado del tiempo"/>
      <sheetName val="Equipos-Personal (HH y HM)"/>
      <sheetName val="EEPs OBREROS"/>
      <sheetName val="EPPs EMPLEADOS"/>
      <sheetName val="EPPs Empleados (kit)"/>
      <sheetName val="EPPs Obreros (kit)"/>
      <sheetName val="EPPs Colectivo KIT COVID"/>
      <sheetName val="Cálculo de ciclos"/>
      <sheetName val="Costo HH"/>
      <sheetName val="% Leyes Sociales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F5">
            <v>1</v>
          </cell>
        </row>
        <row r="8">
          <cell r="F8">
            <v>4</v>
          </cell>
        </row>
        <row r="9">
          <cell r="F9">
            <v>12000</v>
          </cell>
        </row>
        <row r="12">
          <cell r="F12">
            <v>1</v>
          </cell>
        </row>
        <row r="16">
          <cell r="F16">
            <v>2</v>
          </cell>
        </row>
        <row r="20">
          <cell r="F20">
            <v>65237.64219102684</v>
          </cell>
        </row>
        <row r="21">
          <cell r="F21">
            <v>21745.88073034228</v>
          </cell>
        </row>
        <row r="80">
          <cell r="F80">
            <v>27538.366166454529</v>
          </cell>
        </row>
        <row r="84">
          <cell r="F84">
            <v>13922.23478589204</v>
          </cell>
        </row>
        <row r="85">
          <cell r="F85">
            <v>13894.212523719159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3">
          <cell r="B13">
            <v>3.6949999999999998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1.1 Formato C-1"/>
      <sheetName val="1.2 Rendimiento"/>
      <sheetName val="Metrado tub"/>
      <sheetName val="1.4 Insumos"/>
      <sheetName val="1.2 APU"/>
      <sheetName val="1.3 Gastos Generales"/>
      <sheetName val="Equipos-Personal (HH y HM)"/>
      <sheetName val="1.5 Formato Alim&amp;Hosp"/>
      <sheetName val="1.9 Duration"/>
      <sheetName val="1.4 COMBUSTIBLE"/>
      <sheetName val="Tarifas"/>
      <sheetName val="1.6 Roster"/>
      <sheetName val="1.7 Costos Covid"/>
      <sheetName val="1.9 Impacto"/>
      <sheetName val="Hoja2"/>
      <sheetName val="Resumen Viajes"/>
      <sheetName val="Calculo Rend."/>
      <sheetName val="1.8 Estimado del tiempo"/>
      <sheetName val="EEPs OBREROS"/>
      <sheetName val="EPPs EMPLEADOS"/>
      <sheetName val="EPPs Empleados (kit)"/>
      <sheetName val="EPPs Obreros (kit)"/>
      <sheetName val="EPPs Colectivo KIT COVID"/>
      <sheetName val="Cálculo de ciclos"/>
      <sheetName val="Costo HH"/>
      <sheetName val="Hoja1"/>
      <sheetName val="% Leyes Sociales"/>
      <sheetName val="Datos"/>
    </sheetNames>
    <sheetDataSet>
      <sheetData sheetId="0"/>
      <sheetData sheetId="1"/>
      <sheetData sheetId="2"/>
      <sheetData sheetId="3"/>
      <sheetData sheetId="4"/>
      <sheetData sheetId="5">
        <row r="158">
          <cell r="H158">
            <v>0.05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ormato_EDP"/>
      <sheetName val="detalle_ x_EDP"/>
      <sheetName val="F_0"/>
      <sheetName val="S_0"/>
      <sheetName val="S_1"/>
      <sheetName val="1.1 Obras Prov."/>
      <sheetName val="1.2 Mov. Tierras"/>
      <sheetName val="Reporte de facilidades"/>
      <sheetName val="A_0"/>
      <sheetName val="A_1"/>
      <sheetName val="A_1 Metrados"/>
      <sheetName val="A_2"/>
      <sheetName val="A_2 Vigias"/>
      <sheetName val="A_3"/>
      <sheetName val="A_4"/>
      <sheetName val="A_4 Viajes-S1"/>
      <sheetName val="A_4 Viajes-S3"/>
      <sheetName val="A_4 Viajes-S3 (Incrustamiento)"/>
      <sheetName val="A_5"/>
      <sheetName val="A_6"/>
      <sheetName val="A_7"/>
      <sheetName val="A_8"/>
      <sheetName val="A_9"/>
      <sheetName val="A_10"/>
      <sheetName val="Cuadro de Rutas"/>
      <sheetName val="Ratio Volquete"/>
    </sheetNames>
    <sheetDataSet>
      <sheetData sheetId="0"/>
      <sheetData sheetId="1">
        <row r="1">
          <cell r="O1">
            <v>2</v>
          </cell>
          <cell r="U1">
            <v>44487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F13">
            <v>0.94000485258912592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unat.gob.pe/cl-at-ittipcam/tcS01Al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ColWidth="9.109375" defaultRowHeight="13.2"/>
  <sheetData/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pageSetUpPr fitToPage="1"/>
  </sheetPr>
  <dimension ref="A1:R43"/>
  <sheetViews>
    <sheetView tabSelected="1" view="pageBreakPreview" zoomScale="92" zoomScaleNormal="100" zoomScaleSheetLayoutView="70" workbookViewId="0">
      <selection activeCell="O5" sqref="O5"/>
    </sheetView>
  </sheetViews>
  <sheetFormatPr baseColWidth="10" defaultColWidth="9.109375" defaultRowHeight="13.2"/>
  <cols>
    <col min="1" max="1" width="7.5546875" style="880" customWidth="1"/>
    <col min="2" max="2" width="12.6640625" style="881" bestFit="1" customWidth="1"/>
    <col min="3" max="3" width="59.109375" style="881" customWidth="1"/>
    <col min="4" max="4" width="10.109375" style="881" customWidth="1"/>
    <col min="5" max="5" width="13.88671875" style="881" customWidth="1"/>
    <col min="6" max="8" width="17.33203125" style="881" customWidth="1"/>
    <col min="9" max="9" width="15.44140625" style="881" customWidth="1"/>
    <col min="10" max="10" width="15.21875" style="881" bestFit="1" customWidth="1"/>
    <col min="11" max="12" width="15.88671875" style="881" hidden="1" customWidth="1"/>
    <col min="13" max="13" width="25.5546875" style="881" hidden="1" customWidth="1"/>
    <col min="14" max="15" width="18.5546875" style="881" customWidth="1"/>
    <col min="16" max="16" width="25.33203125" style="881" customWidth="1"/>
    <col min="17" max="17" width="18.33203125" style="881" customWidth="1"/>
    <col min="18" max="18" width="18.6640625" style="881" customWidth="1"/>
    <col min="19" max="258" width="9.109375" style="881"/>
    <col min="259" max="259" width="111.33203125" style="881" customWidth="1"/>
    <col min="260" max="260" width="9.109375" style="881"/>
    <col min="261" max="261" width="18" style="881" customWidth="1"/>
    <col min="262" max="262" width="17.6640625" style="881" customWidth="1"/>
    <col min="263" max="263" width="15.33203125" style="881" customWidth="1"/>
    <col min="264" max="264" width="16" style="881" customWidth="1"/>
    <col min="265" max="265" width="22.88671875" style="881" customWidth="1"/>
    <col min="266" max="266" width="20" style="881" customWidth="1"/>
    <col min="267" max="514" width="9.109375" style="881"/>
    <col min="515" max="515" width="111.33203125" style="881" customWidth="1"/>
    <col min="516" max="516" width="9.109375" style="881"/>
    <col min="517" max="517" width="18" style="881" customWidth="1"/>
    <col min="518" max="518" width="17.6640625" style="881" customWidth="1"/>
    <col min="519" max="519" width="15.33203125" style="881" customWidth="1"/>
    <col min="520" max="520" width="16" style="881" customWidth="1"/>
    <col min="521" max="521" width="22.88671875" style="881" customWidth="1"/>
    <col min="522" max="522" width="20" style="881" customWidth="1"/>
    <col min="523" max="770" width="9.109375" style="881"/>
    <col min="771" max="771" width="111.33203125" style="881" customWidth="1"/>
    <col min="772" max="772" width="9.109375" style="881"/>
    <col min="773" max="773" width="18" style="881" customWidth="1"/>
    <col min="774" max="774" width="17.6640625" style="881" customWidth="1"/>
    <col min="775" max="775" width="15.33203125" style="881" customWidth="1"/>
    <col min="776" max="776" width="16" style="881" customWidth="1"/>
    <col min="777" max="777" width="22.88671875" style="881" customWidth="1"/>
    <col min="778" max="778" width="20" style="881" customWidth="1"/>
    <col min="779" max="1026" width="9.109375" style="881"/>
    <col min="1027" max="1027" width="111.33203125" style="881" customWidth="1"/>
    <col min="1028" max="1028" width="9.109375" style="881"/>
    <col min="1029" max="1029" width="18" style="881" customWidth="1"/>
    <col min="1030" max="1030" width="17.6640625" style="881" customWidth="1"/>
    <col min="1031" max="1031" width="15.33203125" style="881" customWidth="1"/>
    <col min="1032" max="1032" width="16" style="881" customWidth="1"/>
    <col min="1033" max="1033" width="22.88671875" style="881" customWidth="1"/>
    <col min="1034" max="1034" width="20" style="881" customWidth="1"/>
    <col min="1035" max="1282" width="9.109375" style="881"/>
    <col min="1283" max="1283" width="111.33203125" style="881" customWidth="1"/>
    <col min="1284" max="1284" width="9.109375" style="881"/>
    <col min="1285" max="1285" width="18" style="881" customWidth="1"/>
    <col min="1286" max="1286" width="17.6640625" style="881" customWidth="1"/>
    <col min="1287" max="1287" width="15.33203125" style="881" customWidth="1"/>
    <col min="1288" max="1288" width="16" style="881" customWidth="1"/>
    <col min="1289" max="1289" width="22.88671875" style="881" customWidth="1"/>
    <col min="1290" max="1290" width="20" style="881" customWidth="1"/>
    <col min="1291" max="1538" width="9.109375" style="881"/>
    <col min="1539" max="1539" width="111.33203125" style="881" customWidth="1"/>
    <col min="1540" max="1540" width="9.109375" style="881"/>
    <col min="1541" max="1541" width="18" style="881" customWidth="1"/>
    <col min="1542" max="1542" width="17.6640625" style="881" customWidth="1"/>
    <col min="1543" max="1543" width="15.33203125" style="881" customWidth="1"/>
    <col min="1544" max="1544" width="16" style="881" customWidth="1"/>
    <col min="1545" max="1545" width="22.88671875" style="881" customWidth="1"/>
    <col min="1546" max="1546" width="20" style="881" customWidth="1"/>
    <col min="1547" max="1794" width="9.109375" style="881"/>
    <col min="1795" max="1795" width="111.33203125" style="881" customWidth="1"/>
    <col min="1796" max="1796" width="9.109375" style="881"/>
    <col min="1797" max="1797" width="18" style="881" customWidth="1"/>
    <col min="1798" max="1798" width="17.6640625" style="881" customWidth="1"/>
    <col min="1799" max="1799" width="15.33203125" style="881" customWidth="1"/>
    <col min="1800" max="1800" width="16" style="881" customWidth="1"/>
    <col min="1801" max="1801" width="22.88671875" style="881" customWidth="1"/>
    <col min="1802" max="1802" width="20" style="881" customWidth="1"/>
    <col min="1803" max="2050" width="9.109375" style="881"/>
    <col min="2051" max="2051" width="111.33203125" style="881" customWidth="1"/>
    <col min="2052" max="2052" width="9.109375" style="881"/>
    <col min="2053" max="2053" width="18" style="881" customWidth="1"/>
    <col min="2054" max="2054" width="17.6640625" style="881" customWidth="1"/>
    <col min="2055" max="2055" width="15.33203125" style="881" customWidth="1"/>
    <col min="2056" max="2056" width="16" style="881" customWidth="1"/>
    <col min="2057" max="2057" width="22.88671875" style="881" customWidth="1"/>
    <col min="2058" max="2058" width="20" style="881" customWidth="1"/>
    <col min="2059" max="2306" width="9.109375" style="881"/>
    <col min="2307" max="2307" width="111.33203125" style="881" customWidth="1"/>
    <col min="2308" max="2308" width="9.109375" style="881"/>
    <col min="2309" max="2309" width="18" style="881" customWidth="1"/>
    <col min="2310" max="2310" width="17.6640625" style="881" customWidth="1"/>
    <col min="2311" max="2311" width="15.33203125" style="881" customWidth="1"/>
    <col min="2312" max="2312" width="16" style="881" customWidth="1"/>
    <col min="2313" max="2313" width="22.88671875" style="881" customWidth="1"/>
    <col min="2314" max="2314" width="20" style="881" customWidth="1"/>
    <col min="2315" max="2562" width="9.109375" style="881"/>
    <col min="2563" max="2563" width="111.33203125" style="881" customWidth="1"/>
    <col min="2564" max="2564" width="9.109375" style="881"/>
    <col min="2565" max="2565" width="18" style="881" customWidth="1"/>
    <col min="2566" max="2566" width="17.6640625" style="881" customWidth="1"/>
    <col min="2567" max="2567" width="15.33203125" style="881" customWidth="1"/>
    <col min="2568" max="2568" width="16" style="881" customWidth="1"/>
    <col min="2569" max="2569" width="22.88671875" style="881" customWidth="1"/>
    <col min="2570" max="2570" width="20" style="881" customWidth="1"/>
    <col min="2571" max="2818" width="9.109375" style="881"/>
    <col min="2819" max="2819" width="111.33203125" style="881" customWidth="1"/>
    <col min="2820" max="2820" width="9.109375" style="881"/>
    <col min="2821" max="2821" width="18" style="881" customWidth="1"/>
    <col min="2822" max="2822" width="17.6640625" style="881" customWidth="1"/>
    <col min="2823" max="2823" width="15.33203125" style="881" customWidth="1"/>
    <col min="2824" max="2824" width="16" style="881" customWidth="1"/>
    <col min="2825" max="2825" width="22.88671875" style="881" customWidth="1"/>
    <col min="2826" max="2826" width="20" style="881" customWidth="1"/>
    <col min="2827" max="3074" width="9.109375" style="881"/>
    <col min="3075" max="3075" width="111.33203125" style="881" customWidth="1"/>
    <col min="3076" max="3076" width="9.109375" style="881"/>
    <col min="3077" max="3077" width="18" style="881" customWidth="1"/>
    <col min="3078" max="3078" width="17.6640625" style="881" customWidth="1"/>
    <col min="3079" max="3079" width="15.33203125" style="881" customWidth="1"/>
    <col min="3080" max="3080" width="16" style="881" customWidth="1"/>
    <col min="3081" max="3081" width="22.88671875" style="881" customWidth="1"/>
    <col min="3082" max="3082" width="20" style="881" customWidth="1"/>
    <col min="3083" max="3330" width="9.109375" style="881"/>
    <col min="3331" max="3331" width="111.33203125" style="881" customWidth="1"/>
    <col min="3332" max="3332" width="9.109375" style="881"/>
    <col min="3333" max="3333" width="18" style="881" customWidth="1"/>
    <col min="3334" max="3334" width="17.6640625" style="881" customWidth="1"/>
    <col min="3335" max="3335" width="15.33203125" style="881" customWidth="1"/>
    <col min="3336" max="3336" width="16" style="881" customWidth="1"/>
    <col min="3337" max="3337" width="22.88671875" style="881" customWidth="1"/>
    <col min="3338" max="3338" width="20" style="881" customWidth="1"/>
    <col min="3339" max="3586" width="9.109375" style="881"/>
    <col min="3587" max="3587" width="111.33203125" style="881" customWidth="1"/>
    <col min="3588" max="3588" width="9.109375" style="881"/>
    <col min="3589" max="3589" width="18" style="881" customWidth="1"/>
    <col min="3590" max="3590" width="17.6640625" style="881" customWidth="1"/>
    <col min="3591" max="3591" width="15.33203125" style="881" customWidth="1"/>
    <col min="3592" max="3592" width="16" style="881" customWidth="1"/>
    <col min="3593" max="3593" width="22.88671875" style="881" customWidth="1"/>
    <col min="3594" max="3594" width="20" style="881" customWidth="1"/>
    <col min="3595" max="3842" width="9.109375" style="881"/>
    <col min="3843" max="3843" width="111.33203125" style="881" customWidth="1"/>
    <col min="3844" max="3844" width="9.109375" style="881"/>
    <col min="3845" max="3845" width="18" style="881" customWidth="1"/>
    <col min="3846" max="3846" width="17.6640625" style="881" customWidth="1"/>
    <col min="3847" max="3847" width="15.33203125" style="881" customWidth="1"/>
    <col min="3848" max="3848" width="16" style="881" customWidth="1"/>
    <col min="3849" max="3849" width="22.88671875" style="881" customWidth="1"/>
    <col min="3850" max="3850" width="20" style="881" customWidth="1"/>
    <col min="3851" max="4098" width="9.109375" style="881"/>
    <col min="4099" max="4099" width="111.33203125" style="881" customWidth="1"/>
    <col min="4100" max="4100" width="9.109375" style="881"/>
    <col min="4101" max="4101" width="18" style="881" customWidth="1"/>
    <col min="4102" max="4102" width="17.6640625" style="881" customWidth="1"/>
    <col min="4103" max="4103" width="15.33203125" style="881" customWidth="1"/>
    <col min="4104" max="4104" width="16" style="881" customWidth="1"/>
    <col min="4105" max="4105" width="22.88671875" style="881" customWidth="1"/>
    <col min="4106" max="4106" width="20" style="881" customWidth="1"/>
    <col min="4107" max="4354" width="9.109375" style="881"/>
    <col min="4355" max="4355" width="111.33203125" style="881" customWidth="1"/>
    <col min="4356" max="4356" width="9.109375" style="881"/>
    <col min="4357" max="4357" width="18" style="881" customWidth="1"/>
    <col min="4358" max="4358" width="17.6640625" style="881" customWidth="1"/>
    <col min="4359" max="4359" width="15.33203125" style="881" customWidth="1"/>
    <col min="4360" max="4360" width="16" style="881" customWidth="1"/>
    <col min="4361" max="4361" width="22.88671875" style="881" customWidth="1"/>
    <col min="4362" max="4362" width="20" style="881" customWidth="1"/>
    <col min="4363" max="4610" width="9.109375" style="881"/>
    <col min="4611" max="4611" width="111.33203125" style="881" customWidth="1"/>
    <col min="4612" max="4612" width="9.109375" style="881"/>
    <col min="4613" max="4613" width="18" style="881" customWidth="1"/>
    <col min="4614" max="4614" width="17.6640625" style="881" customWidth="1"/>
    <col min="4615" max="4615" width="15.33203125" style="881" customWidth="1"/>
    <col min="4616" max="4616" width="16" style="881" customWidth="1"/>
    <col min="4617" max="4617" width="22.88671875" style="881" customWidth="1"/>
    <col min="4618" max="4618" width="20" style="881" customWidth="1"/>
    <col min="4619" max="4866" width="9.109375" style="881"/>
    <col min="4867" max="4867" width="111.33203125" style="881" customWidth="1"/>
    <col min="4868" max="4868" width="9.109375" style="881"/>
    <col min="4869" max="4869" width="18" style="881" customWidth="1"/>
    <col min="4870" max="4870" width="17.6640625" style="881" customWidth="1"/>
    <col min="4871" max="4871" width="15.33203125" style="881" customWidth="1"/>
    <col min="4872" max="4872" width="16" style="881" customWidth="1"/>
    <col min="4873" max="4873" width="22.88671875" style="881" customWidth="1"/>
    <col min="4874" max="4874" width="20" style="881" customWidth="1"/>
    <col min="4875" max="5122" width="9.109375" style="881"/>
    <col min="5123" max="5123" width="111.33203125" style="881" customWidth="1"/>
    <col min="5124" max="5124" width="9.109375" style="881"/>
    <col min="5125" max="5125" width="18" style="881" customWidth="1"/>
    <col min="5126" max="5126" width="17.6640625" style="881" customWidth="1"/>
    <col min="5127" max="5127" width="15.33203125" style="881" customWidth="1"/>
    <col min="5128" max="5128" width="16" style="881" customWidth="1"/>
    <col min="5129" max="5129" width="22.88671875" style="881" customWidth="1"/>
    <col min="5130" max="5130" width="20" style="881" customWidth="1"/>
    <col min="5131" max="5378" width="9.109375" style="881"/>
    <col min="5379" max="5379" width="111.33203125" style="881" customWidth="1"/>
    <col min="5380" max="5380" width="9.109375" style="881"/>
    <col min="5381" max="5381" width="18" style="881" customWidth="1"/>
    <col min="5382" max="5382" width="17.6640625" style="881" customWidth="1"/>
    <col min="5383" max="5383" width="15.33203125" style="881" customWidth="1"/>
    <col min="5384" max="5384" width="16" style="881" customWidth="1"/>
    <col min="5385" max="5385" width="22.88671875" style="881" customWidth="1"/>
    <col min="5386" max="5386" width="20" style="881" customWidth="1"/>
    <col min="5387" max="5634" width="9.109375" style="881"/>
    <col min="5635" max="5635" width="111.33203125" style="881" customWidth="1"/>
    <col min="5636" max="5636" width="9.109375" style="881"/>
    <col min="5637" max="5637" width="18" style="881" customWidth="1"/>
    <col min="5638" max="5638" width="17.6640625" style="881" customWidth="1"/>
    <col min="5639" max="5639" width="15.33203125" style="881" customWidth="1"/>
    <col min="5640" max="5640" width="16" style="881" customWidth="1"/>
    <col min="5641" max="5641" width="22.88671875" style="881" customWidth="1"/>
    <col min="5642" max="5642" width="20" style="881" customWidth="1"/>
    <col min="5643" max="5890" width="9.109375" style="881"/>
    <col min="5891" max="5891" width="111.33203125" style="881" customWidth="1"/>
    <col min="5892" max="5892" width="9.109375" style="881"/>
    <col min="5893" max="5893" width="18" style="881" customWidth="1"/>
    <col min="5894" max="5894" width="17.6640625" style="881" customWidth="1"/>
    <col min="5895" max="5895" width="15.33203125" style="881" customWidth="1"/>
    <col min="5896" max="5896" width="16" style="881" customWidth="1"/>
    <col min="5897" max="5897" width="22.88671875" style="881" customWidth="1"/>
    <col min="5898" max="5898" width="20" style="881" customWidth="1"/>
    <col min="5899" max="6146" width="9.109375" style="881"/>
    <col min="6147" max="6147" width="111.33203125" style="881" customWidth="1"/>
    <col min="6148" max="6148" width="9.109375" style="881"/>
    <col min="6149" max="6149" width="18" style="881" customWidth="1"/>
    <col min="6150" max="6150" width="17.6640625" style="881" customWidth="1"/>
    <col min="6151" max="6151" width="15.33203125" style="881" customWidth="1"/>
    <col min="6152" max="6152" width="16" style="881" customWidth="1"/>
    <col min="6153" max="6153" width="22.88671875" style="881" customWidth="1"/>
    <col min="6154" max="6154" width="20" style="881" customWidth="1"/>
    <col min="6155" max="6402" width="9.109375" style="881"/>
    <col min="6403" max="6403" width="111.33203125" style="881" customWidth="1"/>
    <col min="6404" max="6404" width="9.109375" style="881"/>
    <col min="6405" max="6405" width="18" style="881" customWidth="1"/>
    <col min="6406" max="6406" width="17.6640625" style="881" customWidth="1"/>
    <col min="6407" max="6407" width="15.33203125" style="881" customWidth="1"/>
    <col min="6408" max="6408" width="16" style="881" customWidth="1"/>
    <col min="6409" max="6409" width="22.88671875" style="881" customWidth="1"/>
    <col min="6410" max="6410" width="20" style="881" customWidth="1"/>
    <col min="6411" max="6658" width="9.109375" style="881"/>
    <col min="6659" max="6659" width="111.33203125" style="881" customWidth="1"/>
    <col min="6660" max="6660" width="9.109375" style="881"/>
    <col min="6661" max="6661" width="18" style="881" customWidth="1"/>
    <col min="6662" max="6662" width="17.6640625" style="881" customWidth="1"/>
    <col min="6663" max="6663" width="15.33203125" style="881" customWidth="1"/>
    <col min="6664" max="6664" width="16" style="881" customWidth="1"/>
    <col min="6665" max="6665" width="22.88671875" style="881" customWidth="1"/>
    <col min="6666" max="6666" width="20" style="881" customWidth="1"/>
    <col min="6667" max="6914" width="9.109375" style="881"/>
    <col min="6915" max="6915" width="111.33203125" style="881" customWidth="1"/>
    <col min="6916" max="6916" width="9.109375" style="881"/>
    <col min="6917" max="6917" width="18" style="881" customWidth="1"/>
    <col min="6918" max="6918" width="17.6640625" style="881" customWidth="1"/>
    <col min="6919" max="6919" width="15.33203125" style="881" customWidth="1"/>
    <col min="6920" max="6920" width="16" style="881" customWidth="1"/>
    <col min="6921" max="6921" width="22.88671875" style="881" customWidth="1"/>
    <col min="6922" max="6922" width="20" style="881" customWidth="1"/>
    <col min="6923" max="7170" width="9.109375" style="881"/>
    <col min="7171" max="7171" width="111.33203125" style="881" customWidth="1"/>
    <col min="7172" max="7172" width="9.109375" style="881"/>
    <col min="7173" max="7173" width="18" style="881" customWidth="1"/>
    <col min="7174" max="7174" width="17.6640625" style="881" customWidth="1"/>
    <col min="7175" max="7175" width="15.33203125" style="881" customWidth="1"/>
    <col min="7176" max="7176" width="16" style="881" customWidth="1"/>
    <col min="7177" max="7177" width="22.88671875" style="881" customWidth="1"/>
    <col min="7178" max="7178" width="20" style="881" customWidth="1"/>
    <col min="7179" max="7426" width="9.109375" style="881"/>
    <col min="7427" max="7427" width="111.33203125" style="881" customWidth="1"/>
    <col min="7428" max="7428" width="9.109375" style="881"/>
    <col min="7429" max="7429" width="18" style="881" customWidth="1"/>
    <col min="7430" max="7430" width="17.6640625" style="881" customWidth="1"/>
    <col min="7431" max="7431" width="15.33203125" style="881" customWidth="1"/>
    <col min="7432" max="7432" width="16" style="881" customWidth="1"/>
    <col min="7433" max="7433" width="22.88671875" style="881" customWidth="1"/>
    <col min="7434" max="7434" width="20" style="881" customWidth="1"/>
    <col min="7435" max="7682" width="9.109375" style="881"/>
    <col min="7683" max="7683" width="111.33203125" style="881" customWidth="1"/>
    <col min="7684" max="7684" width="9.109375" style="881"/>
    <col min="7685" max="7685" width="18" style="881" customWidth="1"/>
    <col min="7686" max="7686" width="17.6640625" style="881" customWidth="1"/>
    <col min="7687" max="7687" width="15.33203125" style="881" customWidth="1"/>
    <col min="7688" max="7688" width="16" style="881" customWidth="1"/>
    <col min="7689" max="7689" width="22.88671875" style="881" customWidth="1"/>
    <col min="7690" max="7690" width="20" style="881" customWidth="1"/>
    <col min="7691" max="7938" width="9.109375" style="881"/>
    <col min="7939" max="7939" width="111.33203125" style="881" customWidth="1"/>
    <col min="7940" max="7940" width="9.109375" style="881"/>
    <col min="7941" max="7941" width="18" style="881" customWidth="1"/>
    <col min="7942" max="7942" width="17.6640625" style="881" customWidth="1"/>
    <col min="7943" max="7943" width="15.33203125" style="881" customWidth="1"/>
    <col min="7944" max="7944" width="16" style="881" customWidth="1"/>
    <col min="7945" max="7945" width="22.88671875" style="881" customWidth="1"/>
    <col min="7946" max="7946" width="20" style="881" customWidth="1"/>
    <col min="7947" max="8194" width="9.109375" style="881"/>
    <col min="8195" max="8195" width="111.33203125" style="881" customWidth="1"/>
    <col min="8196" max="8196" width="9.109375" style="881"/>
    <col min="8197" max="8197" width="18" style="881" customWidth="1"/>
    <col min="8198" max="8198" width="17.6640625" style="881" customWidth="1"/>
    <col min="8199" max="8199" width="15.33203125" style="881" customWidth="1"/>
    <col min="8200" max="8200" width="16" style="881" customWidth="1"/>
    <col min="8201" max="8201" width="22.88671875" style="881" customWidth="1"/>
    <col min="8202" max="8202" width="20" style="881" customWidth="1"/>
    <col min="8203" max="8450" width="9.109375" style="881"/>
    <col min="8451" max="8451" width="111.33203125" style="881" customWidth="1"/>
    <col min="8452" max="8452" width="9.109375" style="881"/>
    <col min="8453" max="8453" width="18" style="881" customWidth="1"/>
    <col min="8454" max="8454" width="17.6640625" style="881" customWidth="1"/>
    <col min="8455" max="8455" width="15.33203125" style="881" customWidth="1"/>
    <col min="8456" max="8456" width="16" style="881" customWidth="1"/>
    <col min="8457" max="8457" width="22.88671875" style="881" customWidth="1"/>
    <col min="8458" max="8458" width="20" style="881" customWidth="1"/>
    <col min="8459" max="8706" width="9.109375" style="881"/>
    <col min="8707" max="8707" width="111.33203125" style="881" customWidth="1"/>
    <col min="8708" max="8708" width="9.109375" style="881"/>
    <col min="8709" max="8709" width="18" style="881" customWidth="1"/>
    <col min="8710" max="8710" width="17.6640625" style="881" customWidth="1"/>
    <col min="8711" max="8711" width="15.33203125" style="881" customWidth="1"/>
    <col min="8712" max="8712" width="16" style="881" customWidth="1"/>
    <col min="8713" max="8713" width="22.88671875" style="881" customWidth="1"/>
    <col min="8714" max="8714" width="20" style="881" customWidth="1"/>
    <col min="8715" max="8962" width="9.109375" style="881"/>
    <col min="8963" max="8963" width="111.33203125" style="881" customWidth="1"/>
    <col min="8964" max="8964" width="9.109375" style="881"/>
    <col min="8965" max="8965" width="18" style="881" customWidth="1"/>
    <col min="8966" max="8966" width="17.6640625" style="881" customWidth="1"/>
    <col min="8967" max="8967" width="15.33203125" style="881" customWidth="1"/>
    <col min="8968" max="8968" width="16" style="881" customWidth="1"/>
    <col min="8969" max="8969" width="22.88671875" style="881" customWidth="1"/>
    <col min="8970" max="8970" width="20" style="881" customWidth="1"/>
    <col min="8971" max="9218" width="9.109375" style="881"/>
    <col min="9219" max="9219" width="111.33203125" style="881" customWidth="1"/>
    <col min="9220" max="9220" width="9.109375" style="881"/>
    <col min="9221" max="9221" width="18" style="881" customWidth="1"/>
    <col min="9222" max="9222" width="17.6640625" style="881" customWidth="1"/>
    <col min="9223" max="9223" width="15.33203125" style="881" customWidth="1"/>
    <col min="9224" max="9224" width="16" style="881" customWidth="1"/>
    <col min="9225" max="9225" width="22.88671875" style="881" customWidth="1"/>
    <col min="9226" max="9226" width="20" style="881" customWidth="1"/>
    <col min="9227" max="9474" width="9.109375" style="881"/>
    <col min="9475" max="9475" width="111.33203125" style="881" customWidth="1"/>
    <col min="9476" max="9476" width="9.109375" style="881"/>
    <col min="9477" max="9477" width="18" style="881" customWidth="1"/>
    <col min="9478" max="9478" width="17.6640625" style="881" customWidth="1"/>
    <col min="9479" max="9479" width="15.33203125" style="881" customWidth="1"/>
    <col min="9480" max="9480" width="16" style="881" customWidth="1"/>
    <col min="9481" max="9481" width="22.88671875" style="881" customWidth="1"/>
    <col min="9482" max="9482" width="20" style="881" customWidth="1"/>
    <col min="9483" max="9730" width="9.109375" style="881"/>
    <col min="9731" max="9731" width="111.33203125" style="881" customWidth="1"/>
    <col min="9732" max="9732" width="9.109375" style="881"/>
    <col min="9733" max="9733" width="18" style="881" customWidth="1"/>
    <col min="9734" max="9734" width="17.6640625" style="881" customWidth="1"/>
    <col min="9735" max="9735" width="15.33203125" style="881" customWidth="1"/>
    <col min="9736" max="9736" width="16" style="881" customWidth="1"/>
    <col min="9737" max="9737" width="22.88671875" style="881" customWidth="1"/>
    <col min="9738" max="9738" width="20" style="881" customWidth="1"/>
    <col min="9739" max="9986" width="9.109375" style="881"/>
    <col min="9987" max="9987" width="111.33203125" style="881" customWidth="1"/>
    <col min="9988" max="9988" width="9.109375" style="881"/>
    <col min="9989" max="9989" width="18" style="881" customWidth="1"/>
    <col min="9990" max="9990" width="17.6640625" style="881" customWidth="1"/>
    <col min="9991" max="9991" width="15.33203125" style="881" customWidth="1"/>
    <col min="9992" max="9992" width="16" style="881" customWidth="1"/>
    <col min="9993" max="9993" width="22.88671875" style="881" customWidth="1"/>
    <col min="9994" max="9994" width="20" style="881" customWidth="1"/>
    <col min="9995" max="10242" width="9.109375" style="881"/>
    <col min="10243" max="10243" width="111.33203125" style="881" customWidth="1"/>
    <col min="10244" max="10244" width="9.109375" style="881"/>
    <col min="10245" max="10245" width="18" style="881" customWidth="1"/>
    <col min="10246" max="10246" width="17.6640625" style="881" customWidth="1"/>
    <col min="10247" max="10247" width="15.33203125" style="881" customWidth="1"/>
    <col min="10248" max="10248" width="16" style="881" customWidth="1"/>
    <col min="10249" max="10249" width="22.88671875" style="881" customWidth="1"/>
    <col min="10250" max="10250" width="20" style="881" customWidth="1"/>
    <col min="10251" max="10498" width="9.109375" style="881"/>
    <col min="10499" max="10499" width="111.33203125" style="881" customWidth="1"/>
    <col min="10500" max="10500" width="9.109375" style="881"/>
    <col min="10501" max="10501" width="18" style="881" customWidth="1"/>
    <col min="10502" max="10502" width="17.6640625" style="881" customWidth="1"/>
    <col min="10503" max="10503" width="15.33203125" style="881" customWidth="1"/>
    <col min="10504" max="10504" width="16" style="881" customWidth="1"/>
    <col min="10505" max="10505" width="22.88671875" style="881" customWidth="1"/>
    <col min="10506" max="10506" width="20" style="881" customWidth="1"/>
    <col min="10507" max="10754" width="9.109375" style="881"/>
    <col min="10755" max="10755" width="111.33203125" style="881" customWidth="1"/>
    <col min="10756" max="10756" width="9.109375" style="881"/>
    <col min="10757" max="10757" width="18" style="881" customWidth="1"/>
    <col min="10758" max="10758" width="17.6640625" style="881" customWidth="1"/>
    <col min="10759" max="10759" width="15.33203125" style="881" customWidth="1"/>
    <col min="10760" max="10760" width="16" style="881" customWidth="1"/>
    <col min="10761" max="10761" width="22.88671875" style="881" customWidth="1"/>
    <col min="10762" max="10762" width="20" style="881" customWidth="1"/>
    <col min="10763" max="11010" width="9.109375" style="881"/>
    <col min="11011" max="11011" width="111.33203125" style="881" customWidth="1"/>
    <col min="11012" max="11012" width="9.109375" style="881"/>
    <col min="11013" max="11013" width="18" style="881" customWidth="1"/>
    <col min="11014" max="11014" width="17.6640625" style="881" customWidth="1"/>
    <col min="11015" max="11015" width="15.33203125" style="881" customWidth="1"/>
    <col min="11016" max="11016" width="16" style="881" customWidth="1"/>
    <col min="11017" max="11017" width="22.88671875" style="881" customWidth="1"/>
    <col min="11018" max="11018" width="20" style="881" customWidth="1"/>
    <col min="11019" max="11266" width="9.109375" style="881"/>
    <col min="11267" max="11267" width="111.33203125" style="881" customWidth="1"/>
    <col min="11268" max="11268" width="9.109375" style="881"/>
    <col min="11269" max="11269" width="18" style="881" customWidth="1"/>
    <col min="11270" max="11270" width="17.6640625" style="881" customWidth="1"/>
    <col min="11271" max="11271" width="15.33203125" style="881" customWidth="1"/>
    <col min="11272" max="11272" width="16" style="881" customWidth="1"/>
    <col min="11273" max="11273" width="22.88671875" style="881" customWidth="1"/>
    <col min="11274" max="11274" width="20" style="881" customWidth="1"/>
    <col min="11275" max="11522" width="9.109375" style="881"/>
    <col min="11523" max="11523" width="111.33203125" style="881" customWidth="1"/>
    <col min="11524" max="11524" width="9.109375" style="881"/>
    <col min="11525" max="11525" width="18" style="881" customWidth="1"/>
    <col min="11526" max="11526" width="17.6640625" style="881" customWidth="1"/>
    <col min="11527" max="11527" width="15.33203125" style="881" customWidth="1"/>
    <col min="11528" max="11528" width="16" style="881" customWidth="1"/>
    <col min="11529" max="11529" width="22.88671875" style="881" customWidth="1"/>
    <col min="11530" max="11530" width="20" style="881" customWidth="1"/>
    <col min="11531" max="11778" width="9.109375" style="881"/>
    <col min="11779" max="11779" width="111.33203125" style="881" customWidth="1"/>
    <col min="11780" max="11780" width="9.109375" style="881"/>
    <col min="11781" max="11781" width="18" style="881" customWidth="1"/>
    <col min="11782" max="11782" width="17.6640625" style="881" customWidth="1"/>
    <col min="11783" max="11783" width="15.33203125" style="881" customWidth="1"/>
    <col min="11784" max="11784" width="16" style="881" customWidth="1"/>
    <col min="11785" max="11785" width="22.88671875" style="881" customWidth="1"/>
    <col min="11786" max="11786" width="20" style="881" customWidth="1"/>
    <col min="11787" max="12034" width="9.109375" style="881"/>
    <col min="12035" max="12035" width="111.33203125" style="881" customWidth="1"/>
    <col min="12036" max="12036" width="9.109375" style="881"/>
    <col min="12037" max="12037" width="18" style="881" customWidth="1"/>
    <col min="12038" max="12038" width="17.6640625" style="881" customWidth="1"/>
    <col min="12039" max="12039" width="15.33203125" style="881" customWidth="1"/>
    <col min="12040" max="12040" width="16" style="881" customWidth="1"/>
    <col min="12041" max="12041" width="22.88671875" style="881" customWidth="1"/>
    <col min="12042" max="12042" width="20" style="881" customWidth="1"/>
    <col min="12043" max="12290" width="9.109375" style="881"/>
    <col min="12291" max="12291" width="111.33203125" style="881" customWidth="1"/>
    <col min="12292" max="12292" width="9.109375" style="881"/>
    <col min="12293" max="12293" width="18" style="881" customWidth="1"/>
    <col min="12294" max="12294" width="17.6640625" style="881" customWidth="1"/>
    <col min="12295" max="12295" width="15.33203125" style="881" customWidth="1"/>
    <col min="12296" max="12296" width="16" style="881" customWidth="1"/>
    <col min="12297" max="12297" width="22.88671875" style="881" customWidth="1"/>
    <col min="12298" max="12298" width="20" style="881" customWidth="1"/>
    <col min="12299" max="12546" width="9.109375" style="881"/>
    <col min="12547" max="12547" width="111.33203125" style="881" customWidth="1"/>
    <col min="12548" max="12548" width="9.109375" style="881"/>
    <col min="12549" max="12549" width="18" style="881" customWidth="1"/>
    <col min="12550" max="12550" width="17.6640625" style="881" customWidth="1"/>
    <col min="12551" max="12551" width="15.33203125" style="881" customWidth="1"/>
    <col min="12552" max="12552" width="16" style="881" customWidth="1"/>
    <col min="12553" max="12553" width="22.88671875" style="881" customWidth="1"/>
    <col min="12554" max="12554" width="20" style="881" customWidth="1"/>
    <col min="12555" max="12802" width="9.109375" style="881"/>
    <col min="12803" max="12803" width="111.33203125" style="881" customWidth="1"/>
    <col min="12804" max="12804" width="9.109375" style="881"/>
    <col min="12805" max="12805" width="18" style="881" customWidth="1"/>
    <col min="12806" max="12806" width="17.6640625" style="881" customWidth="1"/>
    <col min="12807" max="12807" width="15.33203125" style="881" customWidth="1"/>
    <col min="12808" max="12808" width="16" style="881" customWidth="1"/>
    <col min="12809" max="12809" width="22.88671875" style="881" customWidth="1"/>
    <col min="12810" max="12810" width="20" style="881" customWidth="1"/>
    <col min="12811" max="13058" width="9.109375" style="881"/>
    <col min="13059" max="13059" width="111.33203125" style="881" customWidth="1"/>
    <col min="13060" max="13060" width="9.109375" style="881"/>
    <col min="13061" max="13061" width="18" style="881" customWidth="1"/>
    <col min="13062" max="13062" width="17.6640625" style="881" customWidth="1"/>
    <col min="13063" max="13063" width="15.33203125" style="881" customWidth="1"/>
    <col min="13064" max="13064" width="16" style="881" customWidth="1"/>
    <col min="13065" max="13065" width="22.88671875" style="881" customWidth="1"/>
    <col min="13066" max="13066" width="20" style="881" customWidth="1"/>
    <col min="13067" max="13314" width="9.109375" style="881"/>
    <col min="13315" max="13315" width="111.33203125" style="881" customWidth="1"/>
    <col min="13316" max="13316" width="9.109375" style="881"/>
    <col min="13317" max="13317" width="18" style="881" customWidth="1"/>
    <col min="13318" max="13318" width="17.6640625" style="881" customWidth="1"/>
    <col min="13319" max="13319" width="15.33203125" style="881" customWidth="1"/>
    <col min="13320" max="13320" width="16" style="881" customWidth="1"/>
    <col min="13321" max="13321" width="22.88671875" style="881" customWidth="1"/>
    <col min="13322" max="13322" width="20" style="881" customWidth="1"/>
    <col min="13323" max="13570" width="9.109375" style="881"/>
    <col min="13571" max="13571" width="111.33203125" style="881" customWidth="1"/>
    <col min="13572" max="13572" width="9.109375" style="881"/>
    <col min="13573" max="13573" width="18" style="881" customWidth="1"/>
    <col min="13574" max="13574" width="17.6640625" style="881" customWidth="1"/>
    <col min="13575" max="13575" width="15.33203125" style="881" customWidth="1"/>
    <col min="13576" max="13576" width="16" style="881" customWidth="1"/>
    <col min="13577" max="13577" width="22.88671875" style="881" customWidth="1"/>
    <col min="13578" max="13578" width="20" style="881" customWidth="1"/>
    <col min="13579" max="13826" width="9.109375" style="881"/>
    <col min="13827" max="13827" width="111.33203125" style="881" customWidth="1"/>
    <col min="13828" max="13828" width="9.109375" style="881"/>
    <col min="13829" max="13829" width="18" style="881" customWidth="1"/>
    <col min="13830" max="13830" width="17.6640625" style="881" customWidth="1"/>
    <col min="13831" max="13831" width="15.33203125" style="881" customWidth="1"/>
    <col min="13832" max="13832" width="16" style="881" customWidth="1"/>
    <col min="13833" max="13833" width="22.88671875" style="881" customWidth="1"/>
    <col min="13834" max="13834" width="20" style="881" customWidth="1"/>
    <col min="13835" max="14082" width="9.109375" style="881"/>
    <col min="14083" max="14083" width="111.33203125" style="881" customWidth="1"/>
    <col min="14084" max="14084" width="9.109375" style="881"/>
    <col min="14085" max="14085" width="18" style="881" customWidth="1"/>
    <col min="14086" max="14086" width="17.6640625" style="881" customWidth="1"/>
    <col min="14087" max="14087" width="15.33203125" style="881" customWidth="1"/>
    <col min="14088" max="14088" width="16" style="881" customWidth="1"/>
    <col min="14089" max="14089" width="22.88671875" style="881" customWidth="1"/>
    <col min="14090" max="14090" width="20" style="881" customWidth="1"/>
    <col min="14091" max="14338" width="9.109375" style="881"/>
    <col min="14339" max="14339" width="111.33203125" style="881" customWidth="1"/>
    <col min="14340" max="14340" width="9.109375" style="881"/>
    <col min="14341" max="14341" width="18" style="881" customWidth="1"/>
    <col min="14342" max="14342" width="17.6640625" style="881" customWidth="1"/>
    <col min="14343" max="14343" width="15.33203125" style="881" customWidth="1"/>
    <col min="14344" max="14344" width="16" style="881" customWidth="1"/>
    <col min="14345" max="14345" width="22.88671875" style="881" customWidth="1"/>
    <col min="14346" max="14346" width="20" style="881" customWidth="1"/>
    <col min="14347" max="14594" width="9.109375" style="881"/>
    <col min="14595" max="14595" width="111.33203125" style="881" customWidth="1"/>
    <col min="14596" max="14596" width="9.109375" style="881"/>
    <col min="14597" max="14597" width="18" style="881" customWidth="1"/>
    <col min="14598" max="14598" width="17.6640625" style="881" customWidth="1"/>
    <col min="14599" max="14599" width="15.33203125" style="881" customWidth="1"/>
    <col min="14600" max="14600" width="16" style="881" customWidth="1"/>
    <col min="14601" max="14601" width="22.88671875" style="881" customWidth="1"/>
    <col min="14602" max="14602" width="20" style="881" customWidth="1"/>
    <col min="14603" max="14850" width="9.109375" style="881"/>
    <col min="14851" max="14851" width="111.33203125" style="881" customWidth="1"/>
    <col min="14852" max="14852" width="9.109375" style="881"/>
    <col min="14853" max="14853" width="18" style="881" customWidth="1"/>
    <col min="14854" max="14854" width="17.6640625" style="881" customWidth="1"/>
    <col min="14855" max="14855" width="15.33203125" style="881" customWidth="1"/>
    <col min="14856" max="14856" width="16" style="881" customWidth="1"/>
    <col min="14857" max="14857" width="22.88671875" style="881" customWidth="1"/>
    <col min="14858" max="14858" width="20" style="881" customWidth="1"/>
    <col min="14859" max="15106" width="9.109375" style="881"/>
    <col min="15107" max="15107" width="111.33203125" style="881" customWidth="1"/>
    <col min="15108" max="15108" width="9.109375" style="881"/>
    <col min="15109" max="15109" width="18" style="881" customWidth="1"/>
    <col min="15110" max="15110" width="17.6640625" style="881" customWidth="1"/>
    <col min="15111" max="15111" width="15.33203125" style="881" customWidth="1"/>
    <col min="15112" max="15112" width="16" style="881" customWidth="1"/>
    <col min="15113" max="15113" width="22.88671875" style="881" customWidth="1"/>
    <col min="15114" max="15114" width="20" style="881" customWidth="1"/>
    <col min="15115" max="15362" width="9.109375" style="881"/>
    <col min="15363" max="15363" width="111.33203125" style="881" customWidth="1"/>
    <col min="15364" max="15364" width="9.109375" style="881"/>
    <col min="15365" max="15365" width="18" style="881" customWidth="1"/>
    <col min="15366" max="15366" width="17.6640625" style="881" customWidth="1"/>
    <col min="15367" max="15367" width="15.33203125" style="881" customWidth="1"/>
    <col min="15368" max="15368" width="16" style="881" customWidth="1"/>
    <col min="15369" max="15369" width="22.88671875" style="881" customWidth="1"/>
    <col min="15370" max="15370" width="20" style="881" customWidth="1"/>
    <col min="15371" max="15618" width="9.109375" style="881"/>
    <col min="15619" max="15619" width="111.33203125" style="881" customWidth="1"/>
    <col min="15620" max="15620" width="9.109375" style="881"/>
    <col min="15621" max="15621" width="18" style="881" customWidth="1"/>
    <col min="15622" max="15622" width="17.6640625" style="881" customWidth="1"/>
    <col min="15623" max="15623" width="15.33203125" style="881" customWidth="1"/>
    <col min="15624" max="15624" width="16" style="881" customWidth="1"/>
    <col min="15625" max="15625" width="22.88671875" style="881" customWidth="1"/>
    <col min="15626" max="15626" width="20" style="881" customWidth="1"/>
    <col min="15627" max="15874" width="9.109375" style="881"/>
    <col min="15875" max="15875" width="111.33203125" style="881" customWidth="1"/>
    <col min="15876" max="15876" width="9.109375" style="881"/>
    <col min="15877" max="15877" width="18" style="881" customWidth="1"/>
    <col min="15878" max="15878" width="17.6640625" style="881" customWidth="1"/>
    <col min="15879" max="15879" width="15.33203125" style="881" customWidth="1"/>
    <col min="15880" max="15880" width="16" style="881" customWidth="1"/>
    <col min="15881" max="15881" width="22.88671875" style="881" customWidth="1"/>
    <col min="15882" max="15882" width="20" style="881" customWidth="1"/>
    <col min="15883" max="16130" width="9.109375" style="881"/>
    <col min="16131" max="16131" width="111.33203125" style="881" customWidth="1"/>
    <col min="16132" max="16132" width="9.109375" style="881"/>
    <col min="16133" max="16133" width="18" style="881" customWidth="1"/>
    <col min="16134" max="16134" width="17.6640625" style="881" customWidth="1"/>
    <col min="16135" max="16135" width="15.33203125" style="881" customWidth="1"/>
    <col min="16136" max="16136" width="16" style="881" customWidth="1"/>
    <col min="16137" max="16137" width="22.88671875" style="881" customWidth="1"/>
    <col min="16138" max="16138" width="20" style="881" customWidth="1"/>
    <col min="16139" max="16384" width="9.109375" style="881"/>
  </cols>
  <sheetData>
    <row r="1" spans="1:18" ht="25.5" customHeight="1" thickBot="1">
      <c r="B1" s="971" t="s">
        <v>960</v>
      </c>
      <c r="C1" s="972"/>
      <c r="D1" s="972"/>
      <c r="E1" s="972"/>
      <c r="F1" s="972"/>
      <c r="G1" s="972"/>
      <c r="H1" s="972"/>
      <c r="I1" s="972"/>
      <c r="J1" s="972"/>
      <c r="K1" s="972"/>
      <c r="L1" s="972"/>
      <c r="M1" s="973"/>
    </row>
    <row r="2" spans="1:18">
      <c r="B2" s="882"/>
      <c r="C2" s="883"/>
      <c r="D2" s="883"/>
      <c r="E2" s="883"/>
      <c r="F2" s="883"/>
      <c r="G2" s="883"/>
      <c r="H2" s="883"/>
      <c r="I2" s="883"/>
      <c r="J2" s="883"/>
      <c r="K2" s="884"/>
      <c r="L2" s="883"/>
      <c r="M2" s="885"/>
    </row>
    <row r="3" spans="1:18">
      <c r="B3" s="980" t="s">
        <v>643</v>
      </c>
      <c r="C3" s="981"/>
      <c r="D3" s="981"/>
      <c r="E3" s="981"/>
      <c r="F3" s="981"/>
      <c r="G3" s="981"/>
      <c r="H3" s="981"/>
      <c r="I3" s="981"/>
      <c r="J3" s="981"/>
      <c r="K3" s="883"/>
      <c r="L3" s="883"/>
      <c r="M3" s="885"/>
    </row>
    <row r="4" spans="1:18" ht="11.25" customHeight="1">
      <c r="B4" s="886"/>
      <c r="C4" s="887"/>
      <c r="D4" s="887"/>
      <c r="E4" s="887"/>
      <c r="F4" s="887"/>
      <c r="G4" s="887"/>
      <c r="H4" s="887"/>
      <c r="I4" s="887"/>
      <c r="J4" s="887"/>
      <c r="K4" s="883"/>
      <c r="L4" s="883"/>
      <c r="M4" s="885"/>
    </row>
    <row r="5" spans="1:18" ht="22.5" customHeight="1">
      <c r="B5" s="595" t="s">
        <v>484</v>
      </c>
      <c r="C5" s="888" t="s">
        <v>948</v>
      </c>
      <c r="D5" s="888"/>
      <c r="E5" s="888"/>
      <c r="F5" s="888"/>
      <c r="G5" s="888"/>
      <c r="H5" s="888"/>
      <c r="I5" s="888"/>
      <c r="J5" s="888"/>
      <c r="K5" s="883"/>
      <c r="L5" s="883"/>
      <c r="M5" s="885"/>
    </row>
    <row r="6" spans="1:18">
      <c r="B6" s="595" t="s">
        <v>949</v>
      </c>
      <c r="C6" s="888" t="s">
        <v>976</v>
      </c>
      <c r="D6" s="888"/>
      <c r="E6" s="888"/>
      <c r="F6" s="888"/>
      <c r="G6" s="888"/>
      <c r="H6" s="888"/>
      <c r="I6" s="888"/>
      <c r="J6" s="888"/>
      <c r="K6" s="883"/>
      <c r="L6" s="883"/>
      <c r="M6" s="885"/>
    </row>
    <row r="7" spans="1:18" ht="13.8" thickBot="1">
      <c r="B7" s="596" t="s">
        <v>485</v>
      </c>
      <c r="C7" s="982">
        <v>44655</v>
      </c>
      <c r="D7" s="983"/>
      <c r="E7" s="983"/>
      <c r="F7" s="983"/>
      <c r="G7" s="983"/>
      <c r="H7" s="983"/>
      <c r="I7" s="983"/>
      <c r="J7" s="983"/>
      <c r="K7" s="889"/>
      <c r="L7" s="889"/>
      <c r="M7" s="890"/>
    </row>
    <row r="8" spans="1:18" ht="7.95" customHeight="1" thickBot="1"/>
    <row r="9" spans="1:18" ht="27.6" customHeight="1">
      <c r="B9" s="978" t="s">
        <v>731</v>
      </c>
      <c r="C9" s="984" t="s">
        <v>14</v>
      </c>
      <c r="D9" s="984" t="s">
        <v>723</v>
      </c>
      <c r="E9" s="987" t="s">
        <v>724</v>
      </c>
      <c r="F9" s="989" t="s">
        <v>725</v>
      </c>
      <c r="G9" s="990"/>
      <c r="H9" s="990"/>
      <c r="I9" s="991"/>
      <c r="J9" s="992" t="s">
        <v>726</v>
      </c>
      <c r="K9" s="976"/>
      <c r="L9" s="974" t="s">
        <v>798</v>
      </c>
      <c r="M9" s="974" t="s">
        <v>703</v>
      </c>
    </row>
    <row r="10" spans="1:18" ht="30.6" customHeight="1" thickBot="1">
      <c r="B10" s="979"/>
      <c r="C10" s="985"/>
      <c r="D10" s="986"/>
      <c r="E10" s="988"/>
      <c r="F10" s="952" t="s">
        <v>727</v>
      </c>
      <c r="G10" s="952" t="s">
        <v>728</v>
      </c>
      <c r="H10" s="952" t="s">
        <v>729</v>
      </c>
      <c r="I10" s="952" t="s">
        <v>730</v>
      </c>
      <c r="J10" s="993"/>
      <c r="K10" s="977"/>
      <c r="L10" s="975"/>
      <c r="M10" s="975"/>
    </row>
    <row r="11" spans="1:18" s="897" customFormat="1" ht="4.95" customHeight="1">
      <c r="A11" s="891"/>
      <c r="B11" s="892"/>
      <c r="C11" s="893"/>
      <c r="D11" s="894"/>
      <c r="E11" s="894"/>
      <c r="F11" s="895" t="s">
        <v>20</v>
      </c>
      <c r="G11" s="895" t="s">
        <v>33</v>
      </c>
      <c r="H11" s="895" t="s">
        <v>35</v>
      </c>
      <c r="I11" s="894"/>
      <c r="J11" s="896"/>
      <c r="K11" s="896"/>
      <c r="L11" s="896"/>
      <c r="M11" s="896"/>
      <c r="N11" s="881"/>
      <c r="O11" s="881"/>
      <c r="P11" s="881"/>
      <c r="Q11" s="881"/>
      <c r="R11" s="881"/>
    </row>
    <row r="12" spans="1:18" s="904" customFormat="1" ht="21" customHeight="1">
      <c r="A12" s="898">
        <v>10190</v>
      </c>
      <c r="B12" s="899">
        <f t="shared" ref="B12" si="0">VLOOKUP($A12,RENDIMIENTO,2,FALSE)</f>
        <v>1</v>
      </c>
      <c r="C12" s="900" t="str">
        <f t="shared" ref="C12" si="1">VLOOKUP($A12,RENDIMIENTO,3,FALSE)</f>
        <v>TRABAJOS PRELIMINARES</v>
      </c>
      <c r="D12" s="901"/>
      <c r="E12" s="902"/>
      <c r="F12" s="902"/>
      <c r="G12" s="902"/>
      <c r="H12" s="902"/>
      <c r="I12" s="902"/>
      <c r="J12" s="903">
        <f>SUBTOTAL(9,J13:J14)</f>
        <v>94477.65</v>
      </c>
      <c r="K12" s="903"/>
      <c r="L12" s="903"/>
      <c r="M12" s="903"/>
      <c r="N12" s="881"/>
      <c r="O12" s="881"/>
      <c r="P12" s="881"/>
      <c r="Q12" s="881"/>
      <c r="R12" s="881"/>
    </row>
    <row r="13" spans="1:18" s="904" customFormat="1" ht="16.5" customHeight="1">
      <c r="A13" s="898">
        <v>10191</v>
      </c>
      <c r="B13" s="905">
        <f>VLOOKUP($A13,RENDIMIENTO,2,FALSE)</f>
        <v>1.01</v>
      </c>
      <c r="C13" s="906" t="str">
        <f>VLOOKUP($A13,RENDIMIENTO,3,FALSE)</f>
        <v>Movilización y demovilización de equipos</v>
      </c>
      <c r="D13" s="907" t="str">
        <f>VLOOKUP($A13,RENDIMIENTO,4,FALSE)</f>
        <v>glb</v>
      </c>
      <c r="E13" s="908">
        <v>1</v>
      </c>
      <c r="F13" s="909">
        <f>IFERROR(VLOOKUP(CONCATENATE($A13,$F$11),APU,11,FALSE),0)</f>
        <v>0</v>
      </c>
      <c r="G13" s="909">
        <f>IFERROR(VLOOKUP(CONCATENATE($A13,$G$11),APU,11,FALSE),0)</f>
        <v>0</v>
      </c>
      <c r="H13" s="909">
        <f>IFERROR(VLOOKUP(CONCATENATE($A13,$H$11),APU,11,FALSE),0)</f>
        <v>39000</v>
      </c>
      <c r="I13" s="909">
        <f>SUM(F13:H13)</f>
        <v>39000</v>
      </c>
      <c r="J13" s="910">
        <f>ROUND(E13*I13,2)</f>
        <v>39000</v>
      </c>
      <c r="K13" s="911"/>
      <c r="L13" s="910"/>
      <c r="M13" s="910"/>
      <c r="N13" s="881"/>
      <c r="O13" s="881"/>
      <c r="P13" s="881"/>
      <c r="Q13" s="881"/>
      <c r="R13" s="881"/>
    </row>
    <row r="14" spans="1:18" s="904" customFormat="1" ht="16.5" customHeight="1">
      <c r="A14" s="898">
        <v>10192</v>
      </c>
      <c r="B14" s="905">
        <f>VLOOKUP($A14,RENDIMIENTO,2,FALSE)</f>
        <v>1.02</v>
      </c>
      <c r="C14" s="906" t="str">
        <f>VLOOKUP($A14,RENDIMIENTO,3,FALSE)</f>
        <v>Trazo, Nivelación y Replanteo</v>
      </c>
      <c r="D14" s="907" t="str">
        <f>VLOOKUP($A14,RENDIMIENTO,4,FALSE)</f>
        <v>km</v>
      </c>
      <c r="E14" s="908">
        <v>28.61</v>
      </c>
      <c r="F14" s="909">
        <f>IFERROR(VLOOKUP(CONCATENATE($A14,$F$11),APU,11,FALSE),0)</f>
        <v>0</v>
      </c>
      <c r="G14" s="909">
        <f>IFERROR(VLOOKUP(CONCATENATE($A14,$G$11),APU,11,FALSE),0)</f>
        <v>1532.14</v>
      </c>
      <c r="H14" s="909">
        <f>IFERROR(VLOOKUP(CONCATENATE($A14,$H$11),APU,11,FALSE),0)</f>
        <v>406.96000000000004</v>
      </c>
      <c r="I14" s="909">
        <f>SUM(F14:H14)</f>
        <v>1939.1000000000001</v>
      </c>
      <c r="J14" s="910">
        <f>ROUND(E14*I14,2)</f>
        <v>55477.65</v>
      </c>
      <c r="K14" s="911"/>
      <c r="L14" s="910"/>
      <c r="M14" s="910"/>
      <c r="N14" s="881"/>
      <c r="O14" s="881"/>
      <c r="P14" s="881"/>
      <c r="Q14" s="881"/>
      <c r="R14" s="881"/>
    </row>
    <row r="15" spans="1:18" s="904" customFormat="1" ht="21" customHeight="1">
      <c r="A15" s="898">
        <v>10196</v>
      </c>
      <c r="B15" s="899">
        <f t="shared" ref="B15:B17" si="2">VLOOKUP($A15,RENDIMIENTO,2,FALSE)</f>
        <v>2</v>
      </c>
      <c r="C15" s="900" t="str">
        <f t="shared" ref="C15:C17" si="3">VLOOKUP($A15,RENDIMIENTO,3,FALSE)</f>
        <v>MOVIMIENTO DE TIERRAS</v>
      </c>
      <c r="D15" s="901"/>
      <c r="E15" s="902"/>
      <c r="F15" s="902"/>
      <c r="G15" s="902"/>
      <c r="H15" s="902"/>
      <c r="I15" s="902"/>
      <c r="J15" s="903">
        <f>SUBTOTAL(9,J16:J17)</f>
        <v>486801.72000000003</v>
      </c>
      <c r="K15" s="903"/>
      <c r="L15" s="903"/>
      <c r="M15" s="903"/>
      <c r="N15" s="881"/>
      <c r="O15" s="881"/>
      <c r="P15" s="881"/>
      <c r="Q15" s="881"/>
      <c r="R15" s="881"/>
    </row>
    <row r="16" spans="1:18" s="904" customFormat="1" ht="16.5" customHeight="1">
      <c r="A16" s="898">
        <v>10197</v>
      </c>
      <c r="B16" s="905">
        <f t="shared" si="2"/>
        <v>2.0099999999999998</v>
      </c>
      <c r="C16" s="912" t="str">
        <f t="shared" si="3"/>
        <v>Roce y Limpieza de Maleza</v>
      </c>
      <c r="D16" s="907" t="str">
        <f>VLOOKUP($A16,RENDIMIENTO,4,FALSE)</f>
        <v>m2</v>
      </c>
      <c r="E16" s="908">
        <v>8583</v>
      </c>
      <c r="F16" s="909">
        <f>IFERROR(VLOOKUP(CONCATENATE($A16,$F$11),APU,11,FALSE),0)</f>
        <v>0</v>
      </c>
      <c r="G16" s="909">
        <f>IFERROR(VLOOKUP(CONCATENATE($A16,$G$11),APU,11,FALSE),0)</f>
        <v>0.62</v>
      </c>
      <c r="H16" s="909">
        <f>IFERROR(VLOOKUP(CONCATENATE($A16,$H$11),APU,11,FALSE),0)</f>
        <v>2.4299999999999997</v>
      </c>
      <c r="I16" s="909">
        <f>SUM(F16:H16)</f>
        <v>3.05</v>
      </c>
      <c r="J16" s="910">
        <f>ROUND(E16*I16,2)</f>
        <v>26178.15</v>
      </c>
      <c r="K16" s="911"/>
      <c r="L16" s="910"/>
      <c r="M16" s="910"/>
      <c r="N16" s="881"/>
      <c r="O16" s="881"/>
      <c r="P16" s="881"/>
      <c r="Q16" s="881"/>
      <c r="R16" s="881"/>
    </row>
    <row r="17" spans="1:18" s="904" customFormat="1" ht="16.5" customHeight="1">
      <c r="A17" s="898">
        <v>10198</v>
      </c>
      <c r="B17" s="905">
        <f t="shared" si="2"/>
        <v>2.02</v>
      </c>
      <c r="C17" s="912" t="str">
        <f t="shared" si="3"/>
        <v>Mejoramiento de vías Existentes</v>
      </c>
      <c r="D17" s="907" t="str">
        <f>VLOOKUP($A17,RENDIMIENTO,4,FALSE)</f>
        <v>km</v>
      </c>
      <c r="E17" s="908">
        <v>28.61</v>
      </c>
      <c r="F17" s="909">
        <f>IFERROR(VLOOKUP(CONCATENATE($A17,$F$11),APU,11,FALSE),0)+$F$33</f>
        <v>0</v>
      </c>
      <c r="G17" s="909">
        <f>IFERROR(VLOOKUP(CONCATENATE($A17,$G$11),APU,11,FALSE),0)+G33</f>
        <v>3840.43</v>
      </c>
      <c r="H17" s="909">
        <f>IFERROR(VLOOKUP(CONCATENATE($A17,$H$11),APU,11,FALSE),0)+H33</f>
        <v>12259.660000000002</v>
      </c>
      <c r="I17" s="909">
        <f>SUM(F17:H17)</f>
        <v>16100.090000000002</v>
      </c>
      <c r="J17" s="910">
        <f>ROUND(E17*I17,2)</f>
        <v>460623.57</v>
      </c>
      <c r="K17" s="911"/>
      <c r="L17" s="910"/>
      <c r="M17" s="910"/>
      <c r="N17" s="881"/>
      <c r="O17" s="881"/>
      <c r="P17" s="881"/>
      <c r="Q17" s="881"/>
      <c r="R17" s="881"/>
    </row>
    <row r="18" spans="1:18" s="904" customFormat="1" ht="6" customHeight="1" thickBot="1">
      <c r="A18" s="898"/>
      <c r="B18" s="913"/>
      <c r="C18" s="914"/>
      <c r="D18" s="915"/>
      <c r="E18" s="916"/>
      <c r="F18" s="916"/>
      <c r="G18" s="916"/>
      <c r="H18" s="916"/>
      <c r="I18" s="916"/>
      <c r="J18" s="917"/>
      <c r="K18" s="917"/>
      <c r="L18" s="917"/>
      <c r="M18" s="917"/>
      <c r="N18" s="881"/>
      <c r="O18" s="881"/>
      <c r="P18" s="881"/>
      <c r="Q18" s="881"/>
      <c r="R18" s="881"/>
    </row>
    <row r="19" spans="1:18" ht="22.2" customHeight="1">
      <c r="A19" s="918">
        <v>9</v>
      </c>
      <c r="B19" s="919">
        <v>5</v>
      </c>
      <c r="C19" s="920" t="s">
        <v>953</v>
      </c>
      <c r="D19" s="921"/>
      <c r="E19" s="922"/>
      <c r="F19" s="923"/>
      <c r="G19" s="923"/>
      <c r="H19" s="923"/>
      <c r="I19" s="923"/>
      <c r="J19" s="924">
        <f>SUBTOTAL(9,J12:J17)</f>
        <v>581279.37</v>
      </c>
      <c r="K19" s="924"/>
      <c r="L19" s="925">
        <f>SUM(L13:L17)</f>
        <v>0</v>
      </c>
      <c r="M19" s="924"/>
    </row>
    <row r="20" spans="1:18" ht="22.5" customHeight="1">
      <c r="A20" s="918">
        <v>11</v>
      </c>
      <c r="B20" s="926">
        <v>6</v>
      </c>
      <c r="C20" s="927" t="s">
        <v>954</v>
      </c>
      <c r="D20" s="928"/>
      <c r="E20" s="929"/>
      <c r="F20" s="930"/>
      <c r="G20" s="930"/>
      <c r="H20" s="930"/>
      <c r="I20" s="931">
        <f>J20/$J$19</f>
        <v>0.34541346819737029</v>
      </c>
      <c r="J20" s="932">
        <f>+'1.3 Gastos Generales'!L103</f>
        <v>200781.72318328245</v>
      </c>
      <c r="K20" s="932"/>
      <c r="L20" s="932"/>
      <c r="M20" s="932"/>
      <c r="N20" s="946"/>
    </row>
    <row r="21" spans="1:18" ht="22.5" customHeight="1" thickBot="1">
      <c r="A21" s="918">
        <v>13</v>
      </c>
      <c r="B21" s="926">
        <v>7</v>
      </c>
      <c r="C21" s="927" t="s">
        <v>955</v>
      </c>
      <c r="D21" s="928"/>
      <c r="E21" s="929"/>
      <c r="F21" s="930"/>
      <c r="G21" s="930"/>
      <c r="H21" s="930"/>
      <c r="I21" s="931">
        <v>0.1</v>
      </c>
      <c r="J21" s="932">
        <f>+J19*I21</f>
        <v>58127.937000000005</v>
      </c>
      <c r="K21" s="932"/>
      <c r="L21" s="932"/>
      <c r="M21" s="932"/>
      <c r="N21" s="946"/>
    </row>
    <row r="22" spans="1:18" ht="22.5" hidden="1" customHeight="1" thickBot="1">
      <c r="A22" s="918">
        <v>14</v>
      </c>
      <c r="B22" s="933">
        <v>12</v>
      </c>
      <c r="C22" s="934" t="s">
        <v>720</v>
      </c>
      <c r="D22" s="935"/>
      <c r="E22" s="936"/>
      <c r="F22" s="937"/>
      <c r="G22" s="937"/>
      <c r="H22" s="937"/>
      <c r="I22" s="938">
        <f>1.57397843969702%*0</f>
        <v>0</v>
      </c>
      <c r="J22" s="939">
        <f>I22*J19</f>
        <v>0</v>
      </c>
      <c r="K22" s="939"/>
      <c r="L22" s="939"/>
      <c r="M22" s="939"/>
    </row>
    <row r="23" spans="1:18" ht="22.5" customHeight="1" thickBot="1">
      <c r="B23" s="940"/>
      <c r="C23" s="941" t="s">
        <v>956</v>
      </c>
      <c r="D23" s="942"/>
      <c r="E23" s="943"/>
      <c r="F23" s="944"/>
      <c r="G23" s="944"/>
      <c r="H23" s="944"/>
      <c r="I23" s="944"/>
      <c r="J23" s="945">
        <f>SUM(J19:J22)</f>
        <v>840189.03018328245</v>
      </c>
      <c r="K23" s="945"/>
      <c r="L23" s="945"/>
      <c r="M23" s="945"/>
    </row>
    <row r="24" spans="1:18" ht="22.5" customHeight="1">
      <c r="B24" s="969" t="s">
        <v>962</v>
      </c>
    </row>
    <row r="25" spans="1:18" ht="22.5" customHeight="1">
      <c r="B25" s="970" t="s">
        <v>973</v>
      </c>
    </row>
    <row r="26" spans="1:18" ht="22.5" customHeight="1">
      <c r="B26" s="970" t="s">
        <v>974</v>
      </c>
    </row>
    <row r="27" spans="1:18" ht="22.5" customHeight="1">
      <c r="B27" s="970" t="s">
        <v>975</v>
      </c>
    </row>
    <row r="28" spans="1:18" ht="10.199999999999999" customHeight="1">
      <c r="C28" s="597"/>
      <c r="J28" s="946"/>
    </row>
    <row r="29" spans="1:18" ht="22.5" customHeight="1"/>
    <row r="30" spans="1:18" ht="22.5" customHeight="1"/>
    <row r="31" spans="1:18" ht="22.5" customHeight="1">
      <c r="N31" s="946"/>
    </row>
    <row r="32" spans="1:18" ht="22.5" customHeight="1">
      <c r="N32" s="946"/>
    </row>
    <row r="33" spans="1:15">
      <c r="A33" s="947">
        <v>10199</v>
      </c>
      <c r="B33" s="948" t="str">
        <f t="shared" ref="B33" si="4">VLOOKUP($A33,RENDIMIENTO,2,FALSE)</f>
        <v>2.02A</v>
      </c>
      <c r="C33" s="912" t="str">
        <f>VLOOKUP($A33,RENDIMIENTO,3,FALSE)</f>
        <v>Carguio y transporte de material para mejoramiento</v>
      </c>
      <c r="D33" s="907" t="s">
        <v>752</v>
      </c>
      <c r="E33" s="949">
        <f>+E17</f>
        <v>28.61</v>
      </c>
      <c r="F33" s="950">
        <f>IFERROR(VLOOKUP(CONCATENATE($A33,$F$11),APU,11,FALSE),0)*'1.2 APU'!H72</f>
        <v>0</v>
      </c>
      <c r="G33" s="950">
        <f>IFERROR(VLOOKUP(CONCATENATE($A33,$G$11),APU,11,FALSE),0)*'1.2 APU'!H72</f>
        <v>1728</v>
      </c>
      <c r="H33" s="950">
        <f>IFERROR(VLOOKUP(CONCATENATE($A33,$H$11),APU,11,FALSE),0)*'1.2 APU'!$H$72</f>
        <v>6672.0000000000009</v>
      </c>
      <c r="I33" s="950">
        <f>SUM(F33:H33)</f>
        <v>8400</v>
      </c>
      <c r="J33" s="950">
        <f>ROUND(E33*I33,2)</f>
        <v>240324</v>
      </c>
      <c r="K33" s="951"/>
      <c r="L33" s="951"/>
      <c r="N33" s="946"/>
    </row>
    <row r="34" spans="1:15">
      <c r="K34" s="946"/>
      <c r="L34" s="946"/>
      <c r="M34" s="946"/>
    </row>
    <row r="35" spans="1:15" s="597" customFormat="1">
      <c r="A35" s="598"/>
      <c r="J35" s="946"/>
      <c r="K35" s="946"/>
      <c r="L35" s="946"/>
      <c r="M35" s="946"/>
      <c r="O35" s="881"/>
    </row>
    <row r="36" spans="1:15" s="597" customFormat="1" ht="12.75" customHeight="1">
      <c r="A36" s="598"/>
      <c r="J36" s="946"/>
      <c r="K36" s="946"/>
      <c r="L36" s="946"/>
      <c r="M36" s="946"/>
    </row>
    <row r="37" spans="1:15" s="597" customFormat="1">
      <c r="A37" s="598"/>
      <c r="J37" s="946"/>
      <c r="K37" s="946"/>
      <c r="L37" s="946"/>
      <c r="M37" s="946"/>
    </row>
    <row r="38" spans="1:15" s="597" customFormat="1" ht="30" customHeight="1">
      <c r="A38" s="598"/>
      <c r="J38" s="946"/>
      <c r="K38" s="946"/>
      <c r="L38" s="946"/>
      <c r="M38" s="946"/>
    </row>
    <row r="39" spans="1:15" s="597" customFormat="1" ht="27" customHeight="1">
      <c r="A39" s="598"/>
      <c r="J39" s="946"/>
      <c r="K39" s="946"/>
      <c r="L39" s="946"/>
      <c r="M39" s="946"/>
    </row>
    <row r="40" spans="1:15" s="597" customFormat="1" ht="12.75" customHeight="1">
      <c r="A40" s="598"/>
      <c r="J40" s="946"/>
      <c r="K40" s="946"/>
      <c r="L40" s="946"/>
      <c r="M40" s="946"/>
    </row>
    <row r="41" spans="1:15" s="597" customFormat="1" ht="15" customHeight="1">
      <c r="A41" s="598"/>
    </row>
    <row r="42" spans="1:15" s="597" customFormat="1" ht="12.75" customHeight="1">
      <c r="A42" s="598"/>
    </row>
    <row r="43" spans="1:15">
      <c r="O43" s="597"/>
    </row>
  </sheetData>
  <mergeCells count="12">
    <mergeCell ref="B1:M1"/>
    <mergeCell ref="M9:M10"/>
    <mergeCell ref="L9:L10"/>
    <mergeCell ref="K9:K10"/>
    <mergeCell ref="B9:B10"/>
    <mergeCell ref="B3:J3"/>
    <mergeCell ref="C7:J7"/>
    <mergeCell ref="C9:C10"/>
    <mergeCell ref="D9:D10"/>
    <mergeCell ref="E9:E10"/>
    <mergeCell ref="F9:I9"/>
    <mergeCell ref="J9:J10"/>
  </mergeCells>
  <phoneticPr fontId="79" type="noConversion"/>
  <printOptions horizontalCentered="1"/>
  <pageMargins left="0.39370078740157483" right="0.39370078740157483" top="1.1023622047244095" bottom="0.35433070866141736" header="0.59055118110236227" footer="0.19685039370078741"/>
  <pageSetup paperSize="9" scale="79" fitToHeight="0" orientation="landscape" r:id="rId1"/>
  <headerFooter alignWithMargins="0"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3:J243"/>
  <sheetViews>
    <sheetView topLeftCell="A195" workbookViewId="0">
      <selection activeCell="E205" sqref="E205"/>
    </sheetView>
  </sheetViews>
  <sheetFormatPr baseColWidth="10" defaultColWidth="11.5546875" defaultRowHeight="13.8"/>
  <cols>
    <col min="1" max="1" width="7.44140625" customWidth="1"/>
    <col min="2" max="2" width="12.88671875" style="339" customWidth="1"/>
    <col min="3" max="3" width="58.44140625" style="340" customWidth="1"/>
    <col min="4" max="4" width="11.44140625" style="340"/>
    <col min="5" max="5" width="16.6640625" style="340" customWidth="1"/>
    <col min="6" max="6" width="2.33203125" style="411" customWidth="1"/>
    <col min="7" max="7" width="56.33203125" bestFit="1" customWidth="1"/>
  </cols>
  <sheetData>
    <row r="3" spans="1:7" ht="14.4" thickBot="1"/>
    <row r="4" spans="1:7" ht="12.75" customHeight="1">
      <c r="A4" s="3"/>
      <c r="B4" s="994" t="s">
        <v>11</v>
      </c>
      <c r="C4" s="996" t="s">
        <v>12</v>
      </c>
      <c r="D4" s="996" t="s">
        <v>10</v>
      </c>
      <c r="E4" s="998" t="s">
        <v>685</v>
      </c>
      <c r="G4" t="s">
        <v>644</v>
      </c>
    </row>
    <row r="5" spans="1:7" ht="13.5" customHeight="1" thickBot="1">
      <c r="A5" s="3"/>
      <c r="B5" s="995"/>
      <c r="C5" s="997"/>
      <c r="D5" s="997"/>
      <c r="E5" s="999"/>
    </row>
    <row r="6" spans="1:7" ht="14.4" hidden="1" thickBot="1">
      <c r="A6" s="4">
        <v>10001</v>
      </c>
      <c r="B6" s="277"/>
      <c r="C6" s="278"/>
      <c r="D6" s="278"/>
      <c r="E6" s="279"/>
    </row>
    <row r="7" spans="1:7" ht="14.4" hidden="1" thickBot="1">
      <c r="A7" s="4">
        <v>10002</v>
      </c>
      <c r="B7" s="277"/>
      <c r="C7" s="499"/>
      <c r="D7" s="278"/>
      <c r="E7" s="279"/>
    </row>
    <row r="8" spans="1:7" hidden="1">
      <c r="A8" s="4">
        <v>10003</v>
      </c>
      <c r="B8" s="341"/>
      <c r="C8" s="500"/>
      <c r="D8" s="280"/>
      <c r="E8" s="504"/>
      <c r="G8" t="s">
        <v>645</v>
      </c>
    </row>
    <row r="9" spans="1:7" hidden="1">
      <c r="A9" s="4">
        <v>10004</v>
      </c>
      <c r="B9" s="341"/>
      <c r="C9" s="500"/>
      <c r="D9" s="280"/>
      <c r="E9" s="504"/>
      <c r="G9" t="s">
        <v>647</v>
      </c>
    </row>
    <row r="10" spans="1:7" s="290" customFormat="1" hidden="1">
      <c r="A10" s="4">
        <v>10005</v>
      </c>
      <c r="B10" s="341"/>
      <c r="C10" s="500"/>
      <c r="D10" s="280"/>
      <c r="E10" s="504"/>
      <c r="F10" s="411"/>
      <c r="G10" s="290" t="s">
        <v>650</v>
      </c>
    </row>
    <row r="11" spans="1:7" s="290" customFormat="1" hidden="1">
      <c r="A11" s="4">
        <v>10006</v>
      </c>
      <c r="B11" s="341"/>
      <c r="C11" s="500"/>
      <c r="D11" s="280"/>
      <c r="E11" s="504"/>
      <c r="F11" s="411"/>
      <c r="G11" s="290" t="s">
        <v>649</v>
      </c>
    </row>
    <row r="12" spans="1:7" hidden="1">
      <c r="A12" s="4">
        <v>10007</v>
      </c>
      <c r="B12" s="341"/>
      <c r="C12" s="500"/>
      <c r="D12" s="280"/>
      <c r="E12" s="504"/>
      <c r="G12" t="s">
        <v>651</v>
      </c>
    </row>
    <row r="13" spans="1:7" hidden="1">
      <c r="A13" s="4">
        <v>10008</v>
      </c>
      <c r="B13" s="341"/>
      <c r="C13" s="557"/>
      <c r="D13" s="280"/>
      <c r="E13" s="504"/>
    </row>
    <row r="14" spans="1:7" s="290" customFormat="1" hidden="1">
      <c r="A14" s="4">
        <v>10009</v>
      </c>
      <c r="B14" s="341"/>
      <c r="C14" s="501"/>
      <c r="D14" s="280"/>
      <c r="E14" s="504"/>
      <c r="F14" s="411"/>
      <c r="G14" s="290" t="s">
        <v>652</v>
      </c>
    </row>
    <row r="15" spans="1:7" s="290" customFormat="1" hidden="1">
      <c r="A15" s="4">
        <v>10010</v>
      </c>
      <c r="B15" s="341"/>
      <c r="C15" s="501"/>
      <c r="D15" s="280"/>
      <c r="E15" s="504"/>
      <c r="F15" s="411"/>
      <c r="G15" s="290" t="s">
        <v>653</v>
      </c>
    </row>
    <row r="16" spans="1:7" hidden="1">
      <c r="A16" s="4">
        <v>10011</v>
      </c>
      <c r="B16" s="341"/>
      <c r="C16" s="501"/>
      <c r="D16" s="280"/>
      <c r="E16" s="504"/>
      <c r="G16" t="s">
        <v>654</v>
      </c>
    </row>
    <row r="17" spans="1:10" s="290" customFormat="1" hidden="1">
      <c r="A17" s="4">
        <v>10012</v>
      </c>
      <c r="B17" s="624"/>
      <c r="C17" s="502"/>
      <c r="D17" s="280"/>
      <c r="E17" s="504"/>
      <c r="F17" s="411"/>
      <c r="G17" s="290" t="s">
        <v>655</v>
      </c>
    </row>
    <row r="18" spans="1:10" s="290" customFormat="1" hidden="1">
      <c r="A18" s="4">
        <v>10013</v>
      </c>
      <c r="B18" s="624"/>
      <c r="C18" s="502"/>
      <c r="D18" s="280"/>
      <c r="E18" s="504"/>
      <c r="F18" s="411"/>
      <c r="G18" s="290" t="s">
        <v>656</v>
      </c>
    </row>
    <row r="19" spans="1:10" hidden="1">
      <c r="A19" s="4">
        <v>10014</v>
      </c>
      <c r="B19" s="341"/>
      <c r="C19" s="501"/>
      <c r="D19" s="280"/>
      <c r="E19" s="504"/>
      <c r="G19" s="290" t="s">
        <v>654</v>
      </c>
    </row>
    <row r="20" spans="1:10" s="290" customFormat="1" hidden="1">
      <c r="A20" s="4">
        <v>10015</v>
      </c>
      <c r="B20" s="341"/>
      <c r="C20" s="501"/>
      <c r="D20" s="280"/>
      <c r="E20" s="504"/>
      <c r="F20" s="411"/>
      <c r="G20" s="290" t="s">
        <v>655</v>
      </c>
    </row>
    <row r="21" spans="1:10" s="290" customFormat="1" hidden="1">
      <c r="A21" s="4">
        <v>10016</v>
      </c>
      <c r="B21" s="341"/>
      <c r="C21" s="501"/>
      <c r="D21" s="280"/>
      <c r="E21" s="504"/>
      <c r="F21" s="411"/>
      <c r="G21" s="290" t="s">
        <v>656</v>
      </c>
    </row>
    <row r="22" spans="1:10" hidden="1">
      <c r="A22" s="4">
        <v>10017</v>
      </c>
      <c r="B22" s="341"/>
      <c r="C22" s="501"/>
      <c r="D22" s="280"/>
      <c r="E22" s="505"/>
      <c r="F22" s="411" t="s">
        <v>574</v>
      </c>
      <c r="G22" s="290" t="s">
        <v>654</v>
      </c>
    </row>
    <row r="23" spans="1:10" s="290" customFormat="1" hidden="1">
      <c r="A23" s="4">
        <v>10018</v>
      </c>
      <c r="B23" s="341"/>
      <c r="C23" s="501"/>
      <c r="D23" s="280"/>
      <c r="E23" s="504"/>
      <c r="F23" s="411"/>
      <c r="G23" s="290" t="s">
        <v>655</v>
      </c>
    </row>
    <row r="24" spans="1:10" s="290" customFormat="1" hidden="1">
      <c r="A24" s="4">
        <v>10019</v>
      </c>
      <c r="B24" s="341"/>
      <c r="C24" s="501"/>
      <c r="D24" s="280"/>
      <c r="E24" s="504"/>
      <c r="F24" s="411"/>
      <c r="G24" s="290" t="s">
        <v>656</v>
      </c>
    </row>
    <row r="25" spans="1:10" hidden="1">
      <c r="A25" s="4">
        <v>10020</v>
      </c>
      <c r="B25" s="341"/>
      <c r="C25" s="501"/>
      <c r="D25" s="280"/>
      <c r="E25" s="505"/>
      <c r="F25" s="411" t="s">
        <v>574</v>
      </c>
      <c r="G25" t="s">
        <v>657</v>
      </c>
    </row>
    <row r="26" spans="1:10" s="290" customFormat="1" hidden="1">
      <c r="A26" s="4">
        <v>10021</v>
      </c>
      <c r="B26" s="341"/>
      <c r="C26" s="501"/>
      <c r="D26" s="280"/>
      <c r="E26" s="504"/>
      <c r="F26" s="411"/>
      <c r="G26" s="290" t="s">
        <v>652</v>
      </c>
    </row>
    <row r="27" spans="1:10" s="290" customFormat="1" hidden="1">
      <c r="A27" s="4">
        <v>10022</v>
      </c>
      <c r="B27" s="341"/>
      <c r="C27" s="501"/>
      <c r="D27" s="280"/>
      <c r="E27" s="504"/>
      <c r="F27" s="411"/>
      <c r="G27" s="290" t="s">
        <v>653</v>
      </c>
    </row>
    <row r="28" spans="1:10" hidden="1">
      <c r="A28" s="4">
        <v>10023</v>
      </c>
      <c r="B28" s="624"/>
      <c r="C28" s="502"/>
      <c r="D28" s="280"/>
      <c r="E28" s="505"/>
      <c r="F28" s="411" t="s">
        <v>574</v>
      </c>
      <c r="G28" t="s">
        <v>658</v>
      </c>
    </row>
    <row r="29" spans="1:10" s="290" customFormat="1" hidden="1">
      <c r="A29" s="4">
        <v>10024</v>
      </c>
      <c r="B29" s="624"/>
      <c r="C29" s="502"/>
      <c r="D29" s="280"/>
      <c r="E29" s="504"/>
      <c r="F29" s="411"/>
      <c r="G29" s="290" t="s">
        <v>659</v>
      </c>
    </row>
    <row r="30" spans="1:10" s="290" customFormat="1" hidden="1">
      <c r="A30" s="4">
        <v>10025</v>
      </c>
      <c r="B30" s="624"/>
      <c r="C30" s="502"/>
      <c r="D30" s="280"/>
      <c r="E30" s="504"/>
      <c r="F30" s="411"/>
      <c r="G30" s="290" t="s">
        <v>660</v>
      </c>
    </row>
    <row r="31" spans="1:10" hidden="1">
      <c r="A31" s="4">
        <v>10026</v>
      </c>
      <c r="B31" s="624"/>
      <c r="C31" s="502"/>
      <c r="D31" s="280"/>
      <c r="E31" s="505"/>
      <c r="F31" s="411" t="s">
        <v>573</v>
      </c>
      <c r="J31" s="282"/>
    </row>
    <row r="32" spans="1:10" s="290" customFormat="1" hidden="1">
      <c r="A32" s="4">
        <v>10027</v>
      </c>
      <c r="B32" s="624"/>
      <c r="C32" s="502"/>
      <c r="D32" s="280"/>
      <c r="E32" s="504"/>
      <c r="F32" s="411"/>
      <c r="G32" s="290" t="s">
        <v>652</v>
      </c>
    </row>
    <row r="33" spans="1:10" s="290" customFormat="1" hidden="1">
      <c r="A33" s="4">
        <v>10028</v>
      </c>
      <c r="B33" s="624"/>
      <c r="C33" s="502"/>
      <c r="D33" s="280"/>
      <c r="E33" s="504"/>
      <c r="F33" s="411"/>
      <c r="G33" s="290" t="s">
        <v>653</v>
      </c>
    </row>
    <row r="34" spans="1:10" hidden="1">
      <c r="A34" s="4">
        <v>10029</v>
      </c>
      <c r="B34" s="624"/>
      <c r="C34" s="502"/>
      <c r="D34" s="280"/>
      <c r="E34" s="505"/>
      <c r="F34" s="411" t="s">
        <v>573</v>
      </c>
      <c r="G34" t="s">
        <v>661</v>
      </c>
      <c r="H34" s="290"/>
      <c r="J34" s="282"/>
    </row>
    <row r="35" spans="1:10" s="290" customFormat="1" hidden="1">
      <c r="A35" s="4">
        <v>10030</v>
      </c>
      <c r="B35" s="624"/>
      <c r="C35" s="502"/>
      <c r="D35" s="280"/>
      <c r="E35" s="504"/>
      <c r="F35" s="411"/>
      <c r="G35" s="290" t="s">
        <v>662</v>
      </c>
    </row>
    <row r="36" spans="1:10" s="290" customFormat="1" hidden="1">
      <c r="A36" s="4">
        <v>10031</v>
      </c>
      <c r="B36" s="624"/>
      <c r="C36" s="502"/>
      <c r="D36" s="280"/>
      <c r="E36" s="504"/>
      <c r="F36" s="411"/>
      <c r="G36" s="290" t="s">
        <v>663</v>
      </c>
    </row>
    <row r="37" spans="1:10" hidden="1">
      <c r="A37" s="4">
        <v>10032</v>
      </c>
      <c r="B37" s="341"/>
      <c r="C37" s="501"/>
      <c r="D37" s="280"/>
      <c r="E37" s="505"/>
      <c r="F37" s="411" t="s">
        <v>573</v>
      </c>
      <c r="G37" t="s">
        <v>664</v>
      </c>
      <c r="H37" s="290"/>
      <c r="J37" s="282"/>
    </row>
    <row r="38" spans="1:10" hidden="1">
      <c r="A38" s="4">
        <v>10033</v>
      </c>
      <c r="B38" s="341"/>
      <c r="C38" s="501"/>
      <c r="D38" s="280"/>
      <c r="E38" s="505"/>
      <c r="F38" s="411" t="s">
        <v>575</v>
      </c>
      <c r="G38" t="s">
        <v>665</v>
      </c>
    </row>
    <row r="39" spans="1:10" hidden="1">
      <c r="A39" s="4">
        <v>10034</v>
      </c>
      <c r="B39" s="341"/>
      <c r="C39" s="501"/>
      <c r="D39" s="280"/>
      <c r="E39" s="505"/>
      <c r="F39" s="411" t="s">
        <v>575</v>
      </c>
    </row>
    <row r="40" spans="1:10" hidden="1">
      <c r="A40" s="4">
        <v>10035</v>
      </c>
      <c r="B40" s="341"/>
      <c r="C40" s="434"/>
      <c r="D40" s="281"/>
      <c r="E40" s="124"/>
    </row>
    <row r="41" spans="1:10" hidden="1">
      <c r="A41" s="4">
        <v>10036</v>
      </c>
      <c r="B41" s="341"/>
      <c r="C41" s="501"/>
      <c r="D41" s="281"/>
      <c r="E41" s="124"/>
      <c r="G41" t="s">
        <v>648</v>
      </c>
    </row>
    <row r="42" spans="1:10" hidden="1">
      <c r="A42" s="4">
        <v>10037</v>
      </c>
      <c r="B42" s="341"/>
      <c r="C42" s="434"/>
      <c r="D42" s="281"/>
      <c r="E42" s="124"/>
    </row>
    <row r="43" spans="1:10" hidden="1">
      <c r="A43" s="4">
        <v>10038</v>
      </c>
      <c r="B43" s="341"/>
      <c r="C43" s="342"/>
      <c r="D43" s="281"/>
      <c r="E43" s="124"/>
    </row>
    <row r="44" spans="1:10" hidden="1">
      <c r="A44" s="4">
        <v>10039</v>
      </c>
      <c r="B44" s="341"/>
      <c r="C44" s="342"/>
      <c r="D44" s="281"/>
      <c r="E44" s="124"/>
    </row>
    <row r="45" spans="1:10" hidden="1">
      <c r="A45" s="4">
        <v>10040</v>
      </c>
      <c r="B45" s="341"/>
      <c r="C45" s="501"/>
      <c r="D45" s="281"/>
      <c r="E45" s="124"/>
      <c r="G45" t="s">
        <v>683</v>
      </c>
    </row>
    <row r="46" spans="1:10" hidden="1">
      <c r="A46" s="4">
        <v>10041</v>
      </c>
      <c r="B46" s="341"/>
      <c r="C46" s="434"/>
      <c r="D46" s="281"/>
      <c r="E46" s="123"/>
    </row>
    <row r="47" spans="1:10" hidden="1">
      <c r="A47" s="4">
        <v>10042</v>
      </c>
      <c r="B47" s="341"/>
      <c r="C47" s="434"/>
      <c r="D47" s="281"/>
      <c r="E47" s="124"/>
    </row>
    <row r="48" spans="1:10" hidden="1">
      <c r="A48" s="4">
        <v>10043</v>
      </c>
      <c r="B48" s="341"/>
      <c r="C48" s="342"/>
      <c r="D48" s="281"/>
      <c r="E48" s="124"/>
    </row>
    <row r="49" spans="1:5" hidden="1">
      <c r="A49" s="4">
        <v>10044</v>
      </c>
      <c r="B49" s="341"/>
      <c r="C49" s="342"/>
      <c r="D49" s="281"/>
      <c r="E49" s="124"/>
    </row>
    <row r="50" spans="1:5" hidden="1">
      <c r="A50" s="4">
        <v>10045</v>
      </c>
      <c r="B50" s="341"/>
      <c r="C50" s="342"/>
      <c r="D50" s="281"/>
      <c r="E50" s="124"/>
    </row>
    <row r="51" spans="1:5" hidden="1">
      <c r="A51" s="4">
        <v>10046</v>
      </c>
      <c r="B51" s="341"/>
      <c r="C51" s="342"/>
      <c r="D51" s="281"/>
      <c r="E51" s="124"/>
    </row>
    <row r="52" spans="1:5" hidden="1">
      <c r="A52" s="4">
        <v>10047</v>
      </c>
      <c r="B52" s="341"/>
      <c r="C52" s="342"/>
      <c r="D52" s="281"/>
      <c r="E52" s="124"/>
    </row>
    <row r="53" spans="1:5" hidden="1">
      <c r="A53" s="4">
        <v>10048</v>
      </c>
      <c r="B53" s="341"/>
      <c r="C53" s="434"/>
      <c r="D53" s="281"/>
      <c r="E53" s="124"/>
    </row>
    <row r="54" spans="1:5" hidden="1">
      <c r="A54" s="4">
        <v>10049</v>
      </c>
      <c r="B54" s="341"/>
      <c r="C54" s="342"/>
      <c r="D54" s="281"/>
      <c r="E54" s="124"/>
    </row>
    <row r="55" spans="1:5" hidden="1">
      <c r="A55" s="4">
        <v>10050</v>
      </c>
      <c r="B55" s="341"/>
      <c r="C55" s="434"/>
      <c r="D55" s="281"/>
      <c r="E55" s="124"/>
    </row>
    <row r="56" spans="1:5" hidden="1">
      <c r="A56" s="4">
        <v>10051</v>
      </c>
      <c r="B56" s="624"/>
      <c r="C56" s="625"/>
      <c r="D56" s="626"/>
      <c r="E56" s="627"/>
    </row>
    <row r="57" spans="1:5" hidden="1">
      <c r="A57" s="4">
        <v>10052</v>
      </c>
      <c r="B57" s="624"/>
      <c r="C57" s="625"/>
      <c r="D57" s="626"/>
      <c r="E57" s="627"/>
    </row>
    <row r="58" spans="1:5" hidden="1">
      <c r="A58" s="4">
        <v>10053</v>
      </c>
      <c r="B58" s="341"/>
      <c r="C58" s="434"/>
      <c r="D58" s="281"/>
      <c r="E58" s="124"/>
    </row>
    <row r="59" spans="1:5" hidden="1">
      <c r="A59" s="4">
        <v>10054</v>
      </c>
      <c r="B59" s="341"/>
      <c r="C59" s="434"/>
      <c r="D59" s="281"/>
      <c r="E59" s="124"/>
    </row>
    <row r="60" spans="1:5" hidden="1">
      <c r="A60" s="4">
        <v>10055</v>
      </c>
      <c r="B60" s="341"/>
      <c r="C60" s="342"/>
      <c r="D60" s="281"/>
      <c r="E60" s="124"/>
    </row>
    <row r="61" spans="1:5" hidden="1">
      <c r="A61" s="4">
        <v>10056</v>
      </c>
      <c r="B61" s="341"/>
      <c r="C61" s="342"/>
      <c r="D61" s="281"/>
      <c r="E61" s="124"/>
    </row>
    <row r="62" spans="1:5" hidden="1">
      <c r="A62" s="4">
        <v>10057</v>
      </c>
      <c r="B62" s="341"/>
      <c r="C62" s="342"/>
      <c r="D62" s="281"/>
      <c r="E62" s="124"/>
    </row>
    <row r="63" spans="1:5" hidden="1">
      <c r="A63" s="4">
        <v>10058</v>
      </c>
      <c r="B63" s="341"/>
      <c r="C63" s="342"/>
      <c r="D63" s="281"/>
      <c r="E63" s="124"/>
    </row>
    <row r="64" spans="1:5" hidden="1">
      <c r="A64" s="4">
        <v>10059</v>
      </c>
      <c r="B64" s="341"/>
      <c r="C64" s="342"/>
      <c r="D64" s="281"/>
      <c r="E64" s="124"/>
    </row>
    <row r="65" spans="1:5" hidden="1">
      <c r="A65" s="4">
        <v>10060</v>
      </c>
      <c r="B65" s="341"/>
      <c r="C65" s="342"/>
      <c r="D65" s="281"/>
      <c r="E65" s="124"/>
    </row>
    <row r="66" spans="1:5" hidden="1">
      <c r="A66" s="4">
        <v>10061</v>
      </c>
      <c r="B66" s="341"/>
      <c r="C66" s="342"/>
      <c r="D66" s="281"/>
      <c r="E66" s="124"/>
    </row>
    <row r="67" spans="1:5" hidden="1">
      <c r="A67" s="4">
        <v>10062</v>
      </c>
      <c r="B67" s="341"/>
      <c r="C67" s="342"/>
      <c r="D67" s="281"/>
      <c r="E67" s="124"/>
    </row>
    <row r="68" spans="1:5" hidden="1">
      <c r="A68" s="4">
        <v>10063</v>
      </c>
      <c r="B68" s="341"/>
      <c r="C68" s="342"/>
      <c r="D68" s="281"/>
      <c r="E68" s="124"/>
    </row>
    <row r="69" spans="1:5" hidden="1">
      <c r="A69" s="4">
        <v>10064</v>
      </c>
      <c r="B69" s="341"/>
      <c r="C69" s="342"/>
      <c r="D69" s="281"/>
      <c r="E69" s="124"/>
    </row>
    <row r="70" spans="1:5" hidden="1">
      <c r="A70" s="4">
        <v>10065</v>
      </c>
      <c r="B70" s="341"/>
      <c r="C70" s="342"/>
      <c r="D70" s="281"/>
      <c r="E70" s="124"/>
    </row>
    <row r="71" spans="1:5" hidden="1">
      <c r="A71" s="4">
        <v>10066</v>
      </c>
      <c r="B71" s="341"/>
      <c r="C71" s="342"/>
      <c r="D71" s="281"/>
      <c r="E71" s="124"/>
    </row>
    <row r="72" spans="1:5" hidden="1">
      <c r="A72" s="4">
        <v>10067</v>
      </c>
      <c r="B72" s="341"/>
      <c r="C72" s="434"/>
      <c r="D72" s="281"/>
      <c r="E72" s="506"/>
    </row>
    <row r="73" spans="1:5" hidden="1">
      <c r="A73" s="4">
        <v>10068</v>
      </c>
      <c r="B73" s="341"/>
      <c r="C73" s="434"/>
      <c r="D73" s="281"/>
      <c r="E73" s="506"/>
    </row>
    <row r="74" spans="1:5" hidden="1">
      <c r="A74" s="4">
        <v>10069</v>
      </c>
      <c r="B74" s="341"/>
      <c r="C74" s="434"/>
      <c r="D74" s="281"/>
      <c r="E74" s="506"/>
    </row>
    <row r="75" spans="1:5" hidden="1">
      <c r="A75" s="4">
        <v>10070</v>
      </c>
      <c r="B75" s="341"/>
      <c r="C75" s="434"/>
      <c r="D75" s="281"/>
      <c r="E75" s="506"/>
    </row>
    <row r="76" spans="1:5" hidden="1">
      <c r="A76" s="4">
        <v>10071</v>
      </c>
      <c r="B76" s="341"/>
      <c r="C76" s="434"/>
      <c r="D76" s="281"/>
      <c r="E76" s="506"/>
    </row>
    <row r="77" spans="1:5" hidden="1">
      <c r="A77" s="4">
        <v>10072</v>
      </c>
      <c r="B77" s="341"/>
      <c r="C77" s="434"/>
      <c r="D77" s="281"/>
      <c r="E77" s="506"/>
    </row>
    <row r="78" spans="1:5" hidden="1">
      <c r="A78" s="4">
        <v>10073</v>
      </c>
      <c r="B78" s="341"/>
      <c r="C78" s="434"/>
      <c r="D78" s="281"/>
      <c r="E78" s="506"/>
    </row>
    <row r="79" spans="1:5" hidden="1">
      <c r="A79" s="4">
        <v>10074</v>
      </c>
      <c r="B79" s="341"/>
      <c r="C79" s="434"/>
      <c r="D79" s="281"/>
      <c r="E79" s="506"/>
    </row>
    <row r="80" spans="1:5" hidden="1">
      <c r="A80" s="4">
        <v>10075</v>
      </c>
      <c r="B80" s="341"/>
      <c r="C80" s="434"/>
      <c r="D80" s="281"/>
      <c r="E80" s="506"/>
    </row>
    <row r="81" spans="1:5" hidden="1">
      <c r="A81" s="4">
        <v>10076</v>
      </c>
      <c r="B81" s="341"/>
      <c r="C81" s="434"/>
      <c r="D81" s="281"/>
      <c r="E81" s="506"/>
    </row>
    <row r="82" spans="1:5" hidden="1">
      <c r="A82" s="4">
        <v>10077</v>
      </c>
      <c r="B82" s="341"/>
      <c r="C82" s="434"/>
      <c r="D82" s="281"/>
      <c r="E82" s="506"/>
    </row>
    <row r="83" spans="1:5" hidden="1">
      <c r="A83" s="4">
        <v>10078</v>
      </c>
      <c r="B83" s="341"/>
      <c r="C83" s="434"/>
      <c r="D83" s="281"/>
      <c r="E83" s="506"/>
    </row>
    <row r="84" spans="1:5" hidden="1">
      <c r="A84" s="4">
        <v>10079</v>
      </c>
      <c r="B84" s="341"/>
      <c r="C84" s="434"/>
      <c r="D84" s="281"/>
      <c r="E84" s="506"/>
    </row>
    <row r="85" spans="1:5" hidden="1">
      <c r="A85" s="4">
        <v>10080</v>
      </c>
      <c r="B85" s="341"/>
      <c r="C85" s="434"/>
      <c r="D85" s="281"/>
      <c r="E85" s="506"/>
    </row>
    <row r="86" spans="1:5" hidden="1">
      <c r="A86" s="4">
        <v>10081</v>
      </c>
      <c r="B86" s="341"/>
      <c r="C86" s="434"/>
      <c r="D86" s="281"/>
      <c r="E86" s="506"/>
    </row>
    <row r="87" spans="1:5" hidden="1">
      <c r="A87" s="4">
        <v>10082</v>
      </c>
      <c r="B87" s="341"/>
      <c r="C87" s="434"/>
      <c r="D87" s="281"/>
      <c r="E87" s="506"/>
    </row>
    <row r="88" spans="1:5" hidden="1">
      <c r="A88" s="4">
        <v>10083</v>
      </c>
      <c r="B88" s="341"/>
      <c r="C88" s="434"/>
      <c r="D88" s="281"/>
      <c r="E88" s="506"/>
    </row>
    <row r="89" spans="1:5" hidden="1">
      <c r="A89" s="4">
        <v>10084</v>
      </c>
      <c r="B89" s="341"/>
      <c r="C89" s="434"/>
      <c r="D89" s="281"/>
      <c r="E89" s="506"/>
    </row>
    <row r="90" spans="1:5" hidden="1">
      <c r="A90" s="4">
        <v>10085</v>
      </c>
      <c r="B90" s="341"/>
      <c r="C90" s="434"/>
      <c r="D90" s="281"/>
      <c r="E90" s="506"/>
    </row>
    <row r="91" spans="1:5" hidden="1">
      <c r="A91" s="4">
        <v>10086</v>
      </c>
      <c r="B91" s="341"/>
      <c r="C91" s="434"/>
      <c r="D91" s="281"/>
      <c r="E91" s="506"/>
    </row>
    <row r="92" spans="1:5" hidden="1">
      <c r="A92" s="4">
        <v>10087</v>
      </c>
      <c r="B92" s="341"/>
      <c r="C92" s="434"/>
      <c r="D92" s="281"/>
      <c r="E92" s="506"/>
    </row>
    <row r="93" spans="1:5" hidden="1">
      <c r="A93" s="4">
        <v>10088</v>
      </c>
      <c r="B93" s="341"/>
      <c r="C93" s="434"/>
      <c r="D93" s="281"/>
      <c r="E93" s="506"/>
    </row>
    <row r="94" spans="1:5" hidden="1">
      <c r="A94" s="4">
        <v>10089</v>
      </c>
      <c r="B94" s="341"/>
      <c r="C94" s="434"/>
      <c r="D94" s="281"/>
      <c r="E94" s="506"/>
    </row>
    <row r="95" spans="1:5" hidden="1">
      <c r="A95" s="4">
        <v>10090</v>
      </c>
      <c r="B95" s="341"/>
      <c r="C95" s="434"/>
      <c r="D95" s="281"/>
      <c r="E95" s="506"/>
    </row>
    <row r="96" spans="1:5" hidden="1">
      <c r="A96" s="4">
        <v>10091</v>
      </c>
      <c r="B96" s="341"/>
      <c r="C96" s="434"/>
      <c r="D96" s="281"/>
      <c r="E96" s="506"/>
    </row>
    <row r="97" spans="1:6" hidden="1">
      <c r="A97" s="4">
        <v>10092</v>
      </c>
      <c r="B97" s="341"/>
      <c r="C97" s="434"/>
      <c r="D97" s="281"/>
      <c r="E97" s="506"/>
    </row>
    <row r="98" spans="1:6" hidden="1">
      <c r="A98" s="4">
        <v>10093</v>
      </c>
      <c r="B98" s="341"/>
      <c r="C98" s="434"/>
      <c r="D98" s="281"/>
      <c r="E98" s="506"/>
    </row>
    <row r="99" spans="1:6" hidden="1">
      <c r="A99" s="4">
        <v>10094</v>
      </c>
      <c r="B99" s="341"/>
      <c r="C99" s="434"/>
      <c r="D99" s="281"/>
      <c r="E99" s="506"/>
    </row>
    <row r="100" spans="1:6" hidden="1">
      <c r="A100" s="4">
        <v>10095</v>
      </c>
      <c r="B100" s="341"/>
      <c r="C100" s="434"/>
      <c r="D100" s="281"/>
      <c r="E100" s="506"/>
    </row>
    <row r="101" spans="1:6" hidden="1">
      <c r="A101" s="4">
        <v>10096</v>
      </c>
      <c r="B101" s="341"/>
      <c r="C101" s="434"/>
      <c r="D101" s="281"/>
      <c r="E101" s="506"/>
    </row>
    <row r="102" spans="1:6" hidden="1">
      <c r="A102" s="4">
        <v>10097</v>
      </c>
      <c r="B102" s="341"/>
      <c r="C102" s="434"/>
      <c r="D102" s="281"/>
      <c r="E102" s="506"/>
    </row>
    <row r="103" spans="1:6" hidden="1">
      <c r="A103" s="4">
        <v>10098</v>
      </c>
      <c r="B103" s="341"/>
      <c r="C103" s="434"/>
      <c r="D103" s="281"/>
      <c r="E103" s="506"/>
    </row>
    <row r="104" spans="1:6" hidden="1">
      <c r="A104" s="4">
        <v>10099</v>
      </c>
      <c r="B104" s="341"/>
      <c r="C104" s="434"/>
      <c r="D104" s="281"/>
      <c r="E104" s="506"/>
    </row>
    <row r="105" spans="1:6" hidden="1">
      <c r="A105" s="4">
        <v>10100</v>
      </c>
      <c r="B105" s="341"/>
      <c r="C105" s="434"/>
      <c r="D105" s="281"/>
      <c r="E105" s="506"/>
    </row>
    <row r="106" spans="1:6" hidden="1">
      <c r="A106" s="4">
        <v>10101</v>
      </c>
      <c r="B106" s="341"/>
      <c r="C106" s="434"/>
      <c r="D106" s="281"/>
      <c r="E106" s="506"/>
    </row>
    <row r="107" spans="1:6" hidden="1">
      <c r="A107" s="4">
        <v>10102</v>
      </c>
      <c r="B107" s="341"/>
      <c r="C107" s="434"/>
      <c r="D107" s="281"/>
      <c r="E107" s="435"/>
    </row>
    <row r="108" spans="1:6" ht="14.4" hidden="1" thickBot="1">
      <c r="A108" s="4">
        <v>10103</v>
      </c>
      <c r="B108" s="341"/>
      <c r="C108" s="434"/>
      <c r="D108" s="281"/>
      <c r="E108" s="435"/>
    </row>
    <row r="109" spans="1:6" ht="14.4" hidden="1" thickBot="1">
      <c r="A109" s="4">
        <v>10104</v>
      </c>
      <c r="B109" s="622"/>
      <c r="C109" s="499"/>
      <c r="D109" s="499"/>
      <c r="E109" s="623"/>
    </row>
    <row r="110" spans="1:6" ht="14.4" hidden="1" thickBot="1">
      <c r="A110" s="4">
        <v>10105</v>
      </c>
      <c r="B110" s="622"/>
      <c r="C110" s="499"/>
      <c r="D110" s="499"/>
      <c r="E110" s="623"/>
    </row>
    <row r="111" spans="1:6" hidden="1">
      <c r="A111" s="4">
        <v>10106</v>
      </c>
      <c r="B111" s="624"/>
      <c r="C111" s="625"/>
      <c r="D111" s="626"/>
      <c r="E111" s="627"/>
    </row>
    <row r="112" spans="1:6" s="565" customFormat="1" hidden="1">
      <c r="A112" s="4">
        <v>10107</v>
      </c>
      <c r="B112" s="624"/>
      <c r="C112" s="625"/>
      <c r="D112" s="626"/>
      <c r="E112" s="627"/>
      <c r="F112" s="411"/>
    </row>
    <row r="113" spans="1:6" ht="14.4" hidden="1" thickBot="1">
      <c r="A113" s="4">
        <v>10108</v>
      </c>
      <c r="B113" s="624"/>
      <c r="C113" s="625"/>
      <c r="D113" s="626"/>
      <c r="E113" s="627"/>
    </row>
    <row r="114" spans="1:6" ht="14.4" hidden="1" thickBot="1">
      <c r="A114" s="4">
        <v>10109</v>
      </c>
      <c r="B114" s="622"/>
      <c r="C114" s="499"/>
      <c r="D114" s="499"/>
      <c r="E114" s="623"/>
    </row>
    <row r="115" spans="1:6" hidden="1">
      <c r="A115" s="4">
        <v>10110</v>
      </c>
      <c r="B115" s="624"/>
      <c r="C115" s="502"/>
      <c r="D115" s="280"/>
      <c r="E115" s="504"/>
    </row>
    <row r="116" spans="1:6" s="565" customFormat="1" hidden="1">
      <c r="A116" s="4">
        <v>10111</v>
      </c>
      <c r="B116" s="624"/>
      <c r="C116" s="502"/>
      <c r="D116" s="280"/>
      <c r="E116" s="504"/>
      <c r="F116" s="411"/>
    </row>
    <row r="117" spans="1:6" hidden="1">
      <c r="A117" s="4">
        <v>10112</v>
      </c>
      <c r="B117" s="624"/>
      <c r="C117" s="502"/>
      <c r="D117" s="280"/>
      <c r="E117" s="504"/>
    </row>
    <row r="118" spans="1:6" hidden="1">
      <c r="A118" s="4">
        <v>10113</v>
      </c>
      <c r="B118" s="624"/>
      <c r="C118" s="502"/>
      <c r="D118" s="280"/>
      <c r="E118" s="504"/>
    </row>
    <row r="119" spans="1:6" hidden="1">
      <c r="A119" s="4">
        <v>10114</v>
      </c>
      <c r="B119" s="624"/>
      <c r="C119" s="502"/>
      <c r="D119" s="280"/>
      <c r="E119" s="505"/>
    </row>
    <row r="120" spans="1:6" hidden="1">
      <c r="A120" s="4">
        <v>10115</v>
      </c>
      <c r="B120" s="624"/>
      <c r="C120" s="502"/>
      <c r="D120" s="280"/>
      <c r="E120" s="504"/>
    </row>
    <row r="121" spans="1:6" hidden="1">
      <c r="A121" s="4">
        <v>10116</v>
      </c>
      <c r="B121" s="624"/>
      <c r="C121" s="502"/>
      <c r="D121" s="280"/>
      <c r="E121" s="504"/>
    </row>
    <row r="122" spans="1:6" hidden="1">
      <c r="A122" s="4">
        <v>10117</v>
      </c>
      <c r="B122" s="624"/>
      <c r="C122" s="434"/>
      <c r="D122" s="281"/>
      <c r="E122" s="504"/>
    </row>
    <row r="123" spans="1:6" ht="14.4" hidden="1" thickBot="1">
      <c r="A123" s="4">
        <v>10118</v>
      </c>
      <c r="B123" s="341"/>
      <c r="C123" s="434"/>
      <c r="D123" s="281"/>
      <c r="E123" s="435"/>
    </row>
    <row r="124" spans="1:6" s="565" customFormat="1" ht="14.4" hidden="1" thickBot="1">
      <c r="A124" s="4">
        <v>10119</v>
      </c>
      <c r="B124" s="622"/>
      <c r="C124" s="499"/>
      <c r="D124" s="499"/>
      <c r="E124" s="623"/>
      <c r="F124" s="411"/>
    </row>
    <row r="125" spans="1:6" hidden="1">
      <c r="A125" s="4">
        <v>10120</v>
      </c>
      <c r="B125" s="341"/>
      <c r="C125" s="434"/>
      <c r="D125" s="281"/>
      <c r="E125" s="637"/>
    </row>
    <row r="126" spans="1:6" hidden="1">
      <c r="A126" s="4">
        <v>10121</v>
      </c>
      <c r="B126" s="341"/>
      <c r="C126" s="434"/>
      <c r="D126" s="281"/>
      <c r="E126" s="435"/>
    </row>
    <row r="127" spans="1:6" hidden="1">
      <c r="A127" s="4">
        <v>10122</v>
      </c>
      <c r="B127" s="341"/>
      <c r="C127" s="434"/>
      <c r="D127" s="281"/>
      <c r="E127" s="435"/>
    </row>
    <row r="128" spans="1:6" hidden="1">
      <c r="A128" s="4">
        <v>10123</v>
      </c>
      <c r="B128" s="341"/>
      <c r="C128" s="434"/>
      <c r="D128" s="281"/>
      <c r="E128" s="435"/>
    </row>
    <row r="129" spans="1:5" ht="14.4" hidden="1" thickBot="1">
      <c r="A129" s="4">
        <v>10124</v>
      </c>
      <c r="B129" s="341"/>
      <c r="C129" s="434"/>
      <c r="D129" s="281"/>
      <c r="E129" s="435"/>
    </row>
    <row r="130" spans="1:5" ht="14.4" hidden="1" thickBot="1">
      <c r="A130" s="4">
        <v>10125</v>
      </c>
      <c r="B130" s="622"/>
      <c r="C130" s="499"/>
      <c r="D130" s="499"/>
      <c r="E130" s="623"/>
    </row>
    <row r="131" spans="1:5" ht="14.4" hidden="1" thickBot="1">
      <c r="A131" s="4">
        <v>10126</v>
      </c>
      <c r="B131" s="622"/>
      <c r="C131" s="499"/>
      <c r="D131" s="499"/>
      <c r="E131" s="623"/>
    </row>
    <row r="132" spans="1:5" ht="14.4" hidden="1" thickBot="1">
      <c r="A132" s="4">
        <v>10127</v>
      </c>
      <c r="B132" s="622"/>
      <c r="C132" s="499"/>
      <c r="D132" s="499"/>
      <c r="E132" s="623"/>
    </row>
    <row r="133" spans="1:5" ht="14.4" hidden="1" thickBot="1">
      <c r="A133" s="4">
        <v>10128</v>
      </c>
      <c r="B133" s="622"/>
      <c r="C133" s="499"/>
      <c r="D133" s="499"/>
      <c r="E133" s="623"/>
    </row>
    <row r="134" spans="1:5" hidden="1">
      <c r="A134" s="4">
        <v>10129</v>
      </c>
      <c r="B134" s="624"/>
      <c r="C134" s="502"/>
      <c r="D134" s="280"/>
      <c r="E134" s="504"/>
    </row>
    <row r="135" spans="1:5" hidden="1">
      <c r="A135" s="4">
        <v>10130</v>
      </c>
      <c r="B135" s="624"/>
      <c r="C135" s="502"/>
      <c r="D135" s="280"/>
      <c r="E135" s="504"/>
    </row>
    <row r="136" spans="1:5" ht="14.4" hidden="1" thickBot="1">
      <c r="A136" s="4">
        <v>10131</v>
      </c>
      <c r="B136" s="624"/>
      <c r="C136" s="502"/>
      <c r="D136" s="280"/>
      <c r="E136" s="504"/>
    </row>
    <row r="137" spans="1:5" ht="14.4" hidden="1" thickBot="1">
      <c r="A137" s="4">
        <v>10132</v>
      </c>
      <c r="B137" s="622"/>
      <c r="C137" s="499"/>
      <c r="D137" s="499"/>
      <c r="E137" s="623"/>
    </row>
    <row r="138" spans="1:5" hidden="1">
      <c r="A138" s="4">
        <v>10133</v>
      </c>
      <c r="B138" s="624"/>
      <c r="C138" s="502"/>
      <c r="D138" s="280"/>
      <c r="E138" s="504"/>
    </row>
    <row r="139" spans="1:5" hidden="1">
      <c r="A139" s="4">
        <v>10134</v>
      </c>
      <c r="B139" s="624"/>
      <c r="C139" s="502"/>
      <c r="D139" s="280"/>
      <c r="E139" s="504"/>
    </row>
    <row r="140" spans="1:5" hidden="1">
      <c r="A140" s="4">
        <v>10135</v>
      </c>
      <c r="B140" s="624"/>
      <c r="C140" s="502"/>
      <c r="D140" s="280"/>
      <c r="E140" s="504"/>
    </row>
    <row r="141" spans="1:5" hidden="1">
      <c r="A141" s="4">
        <v>10136</v>
      </c>
      <c r="B141" s="341"/>
      <c r="C141" s="434"/>
      <c r="D141" s="281"/>
      <c r="E141" s="435"/>
    </row>
    <row r="142" spans="1:5" hidden="1">
      <c r="A142" s="4">
        <v>10137</v>
      </c>
      <c r="B142" s="341"/>
      <c r="C142" s="434"/>
      <c r="D142" s="281"/>
      <c r="E142" s="435"/>
    </row>
    <row r="143" spans="1:5" hidden="1">
      <c r="A143" s="4">
        <v>10138</v>
      </c>
      <c r="B143" s="624"/>
      <c r="C143" s="502"/>
      <c r="D143" s="280"/>
      <c r="E143" s="504"/>
    </row>
    <row r="144" spans="1:5" hidden="1">
      <c r="A144" s="4">
        <v>10139</v>
      </c>
      <c r="B144" s="624"/>
      <c r="C144" s="502"/>
      <c r="D144" s="280"/>
      <c r="E144" s="504"/>
    </row>
    <row r="145" spans="1:6" hidden="1">
      <c r="A145" s="4">
        <v>10140</v>
      </c>
      <c r="B145" s="624"/>
      <c r="C145" s="502"/>
      <c r="D145" s="280"/>
      <c r="E145" s="504"/>
    </row>
    <row r="146" spans="1:6" hidden="1">
      <c r="A146" s="4">
        <v>10141</v>
      </c>
      <c r="B146" s="624"/>
      <c r="C146" s="502"/>
      <c r="D146" s="280"/>
      <c r="E146" s="504"/>
    </row>
    <row r="147" spans="1:6" hidden="1">
      <c r="A147" s="4">
        <v>10142</v>
      </c>
      <c r="B147" s="624"/>
      <c r="C147" s="502"/>
      <c r="D147" s="280"/>
      <c r="E147" s="504"/>
    </row>
    <row r="148" spans="1:6" ht="14.4" hidden="1" thickBot="1">
      <c r="A148" s="4">
        <v>10143</v>
      </c>
      <c r="B148" s="341"/>
      <c r="C148" s="434"/>
      <c r="D148" s="281"/>
      <c r="E148" s="435"/>
    </row>
    <row r="149" spans="1:6" ht="14.4" hidden="1" thickBot="1">
      <c r="A149" s="4">
        <v>10144</v>
      </c>
      <c r="B149" s="622"/>
      <c r="C149" s="499"/>
      <c r="D149" s="499"/>
      <c r="E149" s="623"/>
    </row>
    <row r="150" spans="1:6" hidden="1">
      <c r="A150" s="4">
        <v>10145</v>
      </c>
      <c r="B150" s="341"/>
      <c r="C150" s="434"/>
      <c r="D150" s="281"/>
      <c r="E150" s="637"/>
    </row>
    <row r="151" spans="1:6" hidden="1">
      <c r="A151" s="4">
        <v>10146</v>
      </c>
      <c r="B151" s="341"/>
      <c r="C151" s="434"/>
      <c r="D151" s="281"/>
      <c r="E151" s="637"/>
    </row>
    <row r="152" spans="1:6" hidden="1">
      <c r="A152" s="4">
        <v>10147</v>
      </c>
      <c r="B152" s="341"/>
      <c r="C152" s="434"/>
      <c r="D152" s="281"/>
      <c r="E152" s="637"/>
    </row>
    <row r="153" spans="1:6" ht="14.4" hidden="1" thickBot="1">
      <c r="A153" s="4">
        <v>10148</v>
      </c>
      <c r="B153" s="341"/>
      <c r="C153" s="434"/>
      <c r="D153" s="281"/>
      <c r="E153" s="435"/>
    </row>
    <row r="154" spans="1:6" ht="14.4" hidden="1" thickBot="1">
      <c r="A154" s="4">
        <v>10149</v>
      </c>
      <c r="B154" s="622"/>
      <c r="C154" s="499"/>
      <c r="D154" s="499"/>
      <c r="E154" s="623"/>
    </row>
    <row r="155" spans="1:6" hidden="1">
      <c r="A155" s="4">
        <v>10150</v>
      </c>
      <c r="B155" s="341"/>
      <c r="C155" s="434"/>
      <c r="D155" s="281"/>
      <c r="E155" s="637"/>
    </row>
    <row r="156" spans="1:6" hidden="1">
      <c r="A156" s="4">
        <v>10151</v>
      </c>
      <c r="B156" s="341"/>
      <c r="C156" s="434"/>
      <c r="D156" s="281"/>
      <c r="E156" s="637"/>
    </row>
    <row r="157" spans="1:6" hidden="1">
      <c r="A157" s="4">
        <v>10152</v>
      </c>
      <c r="B157" s="341"/>
      <c r="C157" s="434"/>
      <c r="D157" s="281"/>
      <c r="E157" s="435"/>
    </row>
    <row r="158" spans="1:6" s="565" customFormat="1" hidden="1">
      <c r="A158" s="4">
        <v>10153</v>
      </c>
      <c r="B158" s="341"/>
      <c r="C158" s="434"/>
      <c r="D158" s="281"/>
      <c r="E158" s="637"/>
      <c r="F158" s="411"/>
    </row>
    <row r="159" spans="1:6" s="565" customFormat="1" hidden="1">
      <c r="A159" s="4">
        <v>10154</v>
      </c>
      <c r="B159" s="341"/>
      <c r="C159" s="434"/>
      <c r="D159" s="281"/>
      <c r="E159" s="637"/>
      <c r="F159" s="411"/>
    </row>
    <row r="160" spans="1:6" s="565" customFormat="1" hidden="1">
      <c r="A160" s="4">
        <v>10155</v>
      </c>
      <c r="B160" s="341"/>
      <c r="C160" s="434"/>
      <c r="D160" s="281"/>
      <c r="E160" s="637"/>
      <c r="F160" s="411"/>
    </row>
    <row r="161" spans="1:5" hidden="1">
      <c r="A161" s="4">
        <v>10156</v>
      </c>
      <c r="B161" s="341"/>
      <c r="C161" s="342"/>
      <c r="D161" s="281"/>
      <c r="E161" s="436"/>
    </row>
    <row r="162" spans="1:5" ht="14.4" hidden="1" thickBot="1">
      <c r="A162" s="4">
        <v>10157</v>
      </c>
      <c r="B162" s="341"/>
      <c r="C162" s="342"/>
      <c r="D162" s="281"/>
      <c r="E162" s="436"/>
    </row>
    <row r="163" spans="1:5" ht="14.4" hidden="1" thickBot="1">
      <c r="A163" s="4">
        <v>10158</v>
      </c>
      <c r="B163" s="735"/>
      <c r="C163" s="499"/>
      <c r="D163" s="499"/>
      <c r="E163" s="623"/>
    </row>
    <row r="164" spans="1:5" ht="14.4" hidden="1" thickBot="1">
      <c r="A164" s="4">
        <v>10159</v>
      </c>
      <c r="B164" s="735"/>
      <c r="C164" s="499"/>
      <c r="D164" s="499"/>
      <c r="E164" s="623"/>
    </row>
    <row r="165" spans="1:5" hidden="1">
      <c r="A165" s="4">
        <v>10160</v>
      </c>
      <c r="B165" s="341"/>
      <c r="C165" s="502"/>
      <c r="D165" s="280"/>
      <c r="E165" s="504"/>
    </row>
    <row r="166" spans="1:5" ht="14.4" hidden="1" thickBot="1">
      <c r="A166" s="4">
        <v>10161</v>
      </c>
      <c r="B166" s="341"/>
      <c r="C166" s="502"/>
      <c r="D166" s="280"/>
      <c r="E166" s="504"/>
    </row>
    <row r="167" spans="1:5" ht="14.4" hidden="1" thickBot="1">
      <c r="A167" s="4">
        <v>10162</v>
      </c>
      <c r="B167" s="735"/>
      <c r="C167" s="499"/>
      <c r="D167" s="499"/>
      <c r="E167" s="623"/>
    </row>
    <row r="168" spans="1:5" hidden="1">
      <c r="A168" s="4">
        <v>10163</v>
      </c>
      <c r="B168" s="341"/>
      <c r="C168" s="502"/>
      <c r="D168" s="280"/>
      <c r="E168" s="504"/>
    </row>
    <row r="169" spans="1:5" hidden="1">
      <c r="A169" s="4">
        <v>10164</v>
      </c>
      <c r="B169" s="341"/>
      <c r="C169" s="342"/>
      <c r="D169" s="281"/>
      <c r="E169" s="436"/>
    </row>
    <row r="170" spans="1:5" ht="14.4" hidden="1" thickBot="1">
      <c r="A170" s="4">
        <v>10165</v>
      </c>
      <c r="B170" s="341"/>
      <c r="C170" s="342"/>
      <c r="D170" s="281"/>
      <c r="E170" s="436"/>
    </row>
    <row r="171" spans="1:5" ht="14.4" hidden="1" thickBot="1">
      <c r="A171" s="4">
        <v>10166</v>
      </c>
      <c r="B171" s="735"/>
      <c r="C171" s="499"/>
      <c r="D171" s="499"/>
      <c r="E171" s="623"/>
    </row>
    <row r="172" spans="1:5" hidden="1">
      <c r="A172" s="4">
        <v>10167</v>
      </c>
      <c r="B172" s="341"/>
      <c r="C172" s="502"/>
      <c r="D172" s="281"/>
      <c r="E172" s="504"/>
    </row>
    <row r="173" spans="1:5" hidden="1">
      <c r="A173" s="4">
        <v>10168</v>
      </c>
      <c r="B173" s="341"/>
      <c r="C173" s="434"/>
      <c r="D173" s="281"/>
      <c r="E173" s="504"/>
    </row>
    <row r="174" spans="1:5" hidden="1">
      <c r="A174" s="4">
        <v>10169</v>
      </c>
      <c r="B174" s="341"/>
      <c r="C174" s="434"/>
      <c r="D174" s="281"/>
      <c r="E174" s="504"/>
    </row>
    <row r="175" spans="1:5" hidden="1">
      <c r="A175" s="4">
        <v>10170</v>
      </c>
      <c r="B175" s="341"/>
      <c r="C175" s="502"/>
      <c r="D175" s="281"/>
      <c r="E175" s="504"/>
    </row>
    <row r="176" spans="1:5" hidden="1">
      <c r="A176" s="4">
        <v>10171</v>
      </c>
      <c r="B176" s="341"/>
      <c r="C176" s="434"/>
      <c r="D176" s="281"/>
      <c r="E176" s="504"/>
    </row>
    <row r="177" spans="1:5" hidden="1">
      <c r="A177" s="4">
        <v>10172</v>
      </c>
      <c r="B177" s="341"/>
      <c r="C177" s="434"/>
      <c r="D177" s="281"/>
      <c r="E177" s="504"/>
    </row>
    <row r="178" spans="1:5" hidden="1">
      <c r="A178" s="4">
        <v>10173</v>
      </c>
      <c r="B178" s="341"/>
      <c r="C178" s="502"/>
      <c r="D178" s="281"/>
      <c r="E178" s="504"/>
    </row>
    <row r="179" spans="1:5" hidden="1">
      <c r="A179" s="4">
        <v>10174</v>
      </c>
      <c r="B179" s="341"/>
      <c r="C179" s="434"/>
      <c r="D179" s="281"/>
      <c r="E179" s="504"/>
    </row>
    <row r="180" spans="1:5" hidden="1">
      <c r="A180" s="4">
        <v>10175</v>
      </c>
      <c r="B180" s="341"/>
      <c r="C180" s="434"/>
      <c r="D180" s="281"/>
      <c r="E180" s="504"/>
    </row>
    <row r="181" spans="1:5" hidden="1">
      <c r="A181" s="4">
        <v>10176</v>
      </c>
      <c r="B181" s="341"/>
      <c r="C181" s="342"/>
      <c r="D181" s="281"/>
      <c r="E181" s="504"/>
    </row>
    <row r="182" spans="1:5" hidden="1">
      <c r="A182" s="4">
        <v>10177</v>
      </c>
      <c r="B182" s="341"/>
      <c r="C182" s="434"/>
      <c r="D182" s="281"/>
      <c r="E182" s="504"/>
    </row>
    <row r="183" spans="1:5" hidden="1">
      <c r="A183" s="4">
        <v>10178</v>
      </c>
      <c r="B183" s="341"/>
      <c r="C183" s="434"/>
      <c r="D183" s="281"/>
      <c r="E183" s="504"/>
    </row>
    <row r="184" spans="1:5" hidden="1">
      <c r="A184" s="4">
        <v>10179</v>
      </c>
      <c r="B184" s="341"/>
      <c r="C184" s="434"/>
      <c r="D184" s="281"/>
      <c r="E184" s="504"/>
    </row>
    <row r="185" spans="1:5" hidden="1">
      <c r="A185" s="4">
        <v>10180</v>
      </c>
      <c r="B185" s="341"/>
      <c r="C185" s="342"/>
      <c r="D185" s="281"/>
      <c r="E185" s="436"/>
    </row>
    <row r="186" spans="1:5" hidden="1">
      <c r="A186" s="4">
        <v>10181</v>
      </c>
      <c r="B186" s="341"/>
      <c r="C186" s="434"/>
      <c r="D186" s="281"/>
      <c r="E186" s="761"/>
    </row>
    <row r="187" spans="1:5" hidden="1">
      <c r="A187" s="4">
        <v>10182</v>
      </c>
      <c r="B187" s="341"/>
      <c r="C187" s="434"/>
      <c r="D187" s="281"/>
      <c r="E187" s="761"/>
    </row>
    <row r="188" spans="1:5" hidden="1">
      <c r="A188" s="4">
        <v>10183</v>
      </c>
      <c r="B188" s="341"/>
      <c r="C188" s="434"/>
      <c r="D188" s="281"/>
      <c r="E188" s="761"/>
    </row>
    <row r="189" spans="1:5" hidden="1">
      <c r="A189" s="4">
        <v>10184</v>
      </c>
      <c r="B189" s="341"/>
      <c r="C189" s="342"/>
      <c r="D189" s="281"/>
      <c r="E189" s="436"/>
    </row>
    <row r="190" spans="1:5" hidden="1">
      <c r="A190" s="4">
        <v>10185</v>
      </c>
      <c r="B190" s="341"/>
      <c r="C190" s="342"/>
      <c r="D190" s="281"/>
      <c r="E190" s="436"/>
    </row>
    <row r="191" spans="1:5" hidden="1">
      <c r="A191" s="4">
        <v>10186</v>
      </c>
      <c r="B191" s="341"/>
      <c r="C191" s="342"/>
      <c r="D191" s="281"/>
      <c r="E191" s="436"/>
    </row>
    <row r="192" spans="1:5" hidden="1">
      <c r="A192" s="4">
        <v>10187</v>
      </c>
      <c r="B192" s="341"/>
      <c r="C192" s="342"/>
      <c r="D192" s="281"/>
      <c r="E192" s="436"/>
    </row>
    <row r="193" spans="1:5" hidden="1">
      <c r="A193" s="4">
        <v>10188</v>
      </c>
      <c r="B193" s="341"/>
      <c r="C193" s="342"/>
      <c r="D193" s="281"/>
      <c r="E193" s="124"/>
    </row>
    <row r="194" spans="1:5" ht="14.4" hidden="1" thickBot="1">
      <c r="A194" s="4">
        <v>10189</v>
      </c>
      <c r="B194" s="341"/>
      <c r="C194" s="342"/>
      <c r="D194" s="281"/>
      <c r="E194" s="124"/>
    </row>
    <row r="195" spans="1:5" ht="14.4" thickBot="1">
      <c r="A195" s="4">
        <v>10190</v>
      </c>
      <c r="B195" s="735">
        <v>1</v>
      </c>
      <c r="C195" s="499" t="s">
        <v>938</v>
      </c>
      <c r="D195" s="499"/>
      <c r="E195" s="623"/>
    </row>
    <row r="196" spans="1:5">
      <c r="A196" s="4">
        <v>10191</v>
      </c>
      <c r="B196" s="341">
        <v>1.01</v>
      </c>
      <c r="C196" s="342" t="s">
        <v>939</v>
      </c>
      <c r="D196" s="281" t="s">
        <v>52</v>
      </c>
      <c r="E196" s="761">
        <v>1</v>
      </c>
    </row>
    <row r="197" spans="1:5">
      <c r="A197" s="4">
        <v>10192</v>
      </c>
      <c r="B197" s="341">
        <v>1.02</v>
      </c>
      <c r="C197" s="342" t="s">
        <v>940</v>
      </c>
      <c r="D197" s="281" t="s">
        <v>752</v>
      </c>
      <c r="E197" s="761">
        <f>0.85/8</f>
        <v>0.10625</v>
      </c>
    </row>
    <row r="198" spans="1:5">
      <c r="A198" s="4">
        <v>10193</v>
      </c>
      <c r="B198" s="341"/>
      <c r="C198" s="342"/>
      <c r="D198" s="281"/>
      <c r="E198" s="761"/>
    </row>
    <row r="199" spans="1:5">
      <c r="A199" s="4">
        <v>10194</v>
      </c>
      <c r="B199" s="341"/>
      <c r="C199" s="342"/>
      <c r="D199" s="281"/>
      <c r="E199" s="124"/>
    </row>
    <row r="200" spans="1:5" ht="14.4" thickBot="1">
      <c r="A200" s="4">
        <v>10195</v>
      </c>
      <c r="B200" s="341"/>
      <c r="C200" s="342"/>
      <c r="D200" s="281"/>
      <c r="E200" s="124"/>
    </row>
    <row r="201" spans="1:5" ht="14.4" thickBot="1">
      <c r="A201" s="4">
        <v>10196</v>
      </c>
      <c r="B201" s="735">
        <v>2</v>
      </c>
      <c r="C201" s="499" t="s">
        <v>784</v>
      </c>
      <c r="D201" s="499"/>
      <c r="E201" s="623"/>
    </row>
    <row r="202" spans="1:5">
      <c r="A202" s="4">
        <v>10197</v>
      </c>
      <c r="B202" s="341">
        <v>2.0099999999999998</v>
      </c>
      <c r="C202" s="342" t="s">
        <v>941</v>
      </c>
      <c r="D202" s="281" t="s">
        <v>486</v>
      </c>
      <c r="E202" s="124">
        <f>2800/8</f>
        <v>350</v>
      </c>
    </row>
    <row r="203" spans="1:5">
      <c r="A203" s="4">
        <v>10198</v>
      </c>
      <c r="B203" s="341">
        <v>2.02</v>
      </c>
      <c r="C203" s="342" t="s">
        <v>942</v>
      </c>
      <c r="D203" s="281" t="s">
        <v>752</v>
      </c>
      <c r="E203" s="124">
        <f>0.85/8</f>
        <v>0.10625</v>
      </c>
    </row>
    <row r="204" spans="1:5">
      <c r="A204" s="4">
        <v>10199</v>
      </c>
      <c r="B204" s="341" t="s">
        <v>951</v>
      </c>
      <c r="C204" s="342" t="s">
        <v>972</v>
      </c>
      <c r="D204" s="281" t="s">
        <v>9</v>
      </c>
      <c r="E204" s="124">
        <v>110</v>
      </c>
    </row>
    <row r="205" spans="1:5">
      <c r="A205" s="4">
        <v>10200</v>
      </c>
      <c r="B205" s="341"/>
      <c r="C205" s="342"/>
      <c r="D205" s="281"/>
      <c r="E205" s="124"/>
    </row>
    <row r="206" spans="1:5">
      <c r="A206" s="4">
        <v>10201</v>
      </c>
      <c r="B206" s="341"/>
      <c r="C206" s="342"/>
      <c r="D206" s="281"/>
      <c r="E206" s="124"/>
    </row>
    <row r="207" spans="1:5">
      <c r="A207" s="4">
        <v>10202</v>
      </c>
      <c r="B207" s="341"/>
      <c r="C207" s="342"/>
      <c r="D207" s="281"/>
      <c r="E207" s="124"/>
    </row>
    <row r="208" spans="1:5" ht="14.4" thickBot="1">
      <c r="A208" s="4">
        <v>10203</v>
      </c>
      <c r="B208" s="341"/>
      <c r="C208" s="342"/>
      <c r="D208" s="281"/>
      <c r="E208" s="124"/>
    </row>
    <row r="209" spans="1:5" ht="14.4" thickBot="1">
      <c r="A209" s="4">
        <v>10204</v>
      </c>
      <c r="B209" s="735">
        <v>3</v>
      </c>
      <c r="C209" s="499" t="s">
        <v>946</v>
      </c>
      <c r="D209" s="499"/>
      <c r="E209" s="623"/>
    </row>
    <row r="210" spans="1:5">
      <c r="A210" s="4">
        <v>10205</v>
      </c>
      <c r="B210" s="341">
        <v>3.01</v>
      </c>
      <c r="C210" s="342" t="s">
        <v>943</v>
      </c>
      <c r="D210" s="281" t="s">
        <v>486</v>
      </c>
      <c r="E210" s="124"/>
    </row>
    <row r="211" spans="1:5">
      <c r="A211" s="4">
        <v>10206</v>
      </c>
      <c r="B211" s="341">
        <v>3.02</v>
      </c>
      <c r="C211" s="342" t="s">
        <v>944</v>
      </c>
      <c r="D211" s="281" t="s">
        <v>486</v>
      </c>
      <c r="E211" s="124"/>
    </row>
    <row r="212" spans="1:5">
      <c r="A212" s="4">
        <v>10207</v>
      </c>
      <c r="B212" s="341">
        <v>3.03</v>
      </c>
      <c r="C212" s="342" t="s">
        <v>945</v>
      </c>
      <c r="D212" s="281" t="s">
        <v>153</v>
      </c>
      <c r="E212" s="124"/>
    </row>
    <row r="213" spans="1:5">
      <c r="A213" s="4">
        <v>10208</v>
      </c>
      <c r="B213" s="341"/>
      <c r="C213" s="342"/>
      <c r="D213" s="281"/>
      <c r="E213" s="124"/>
    </row>
    <row r="214" spans="1:5">
      <c r="A214" s="4">
        <v>10209</v>
      </c>
      <c r="B214" s="341"/>
      <c r="C214" s="342"/>
      <c r="D214" s="281"/>
      <c r="E214" s="124"/>
    </row>
    <row r="215" spans="1:5" ht="14.4" thickBot="1">
      <c r="A215" s="4">
        <v>10210</v>
      </c>
      <c r="B215" s="341"/>
      <c r="C215" s="342"/>
      <c r="D215" s="281"/>
      <c r="E215" s="124"/>
    </row>
    <row r="216" spans="1:5" ht="14.4" thickBot="1">
      <c r="A216" s="4">
        <v>10211</v>
      </c>
      <c r="B216" s="735">
        <v>4</v>
      </c>
      <c r="C216" s="499" t="s">
        <v>947</v>
      </c>
      <c r="D216" s="499"/>
      <c r="E216" s="623"/>
    </row>
    <row r="217" spans="1:5">
      <c r="A217" s="4">
        <v>10212</v>
      </c>
      <c r="B217" s="341">
        <v>4.01</v>
      </c>
      <c r="C217" s="342" t="s">
        <v>943</v>
      </c>
      <c r="D217" s="281" t="s">
        <v>9</v>
      </c>
      <c r="E217" s="124"/>
    </row>
    <row r="218" spans="1:5">
      <c r="A218" s="4">
        <v>10213</v>
      </c>
      <c r="B218" s="341">
        <v>4.0199999999999996</v>
      </c>
      <c r="C218" s="342" t="s">
        <v>944</v>
      </c>
      <c r="D218" s="281" t="s">
        <v>486</v>
      </c>
      <c r="E218" s="124"/>
    </row>
    <row r="219" spans="1:5">
      <c r="A219" s="4">
        <v>10214</v>
      </c>
      <c r="B219" s="341"/>
      <c r="C219" s="342"/>
      <c r="D219" s="281"/>
      <c r="E219" s="124"/>
    </row>
    <row r="220" spans="1:5">
      <c r="A220" s="4">
        <v>10215</v>
      </c>
      <c r="B220" s="341"/>
      <c r="C220" s="342"/>
      <c r="D220" s="281"/>
      <c r="E220" s="124"/>
    </row>
    <row r="221" spans="1:5">
      <c r="A221" s="4">
        <v>10216</v>
      </c>
      <c r="B221" s="341"/>
      <c r="C221" s="342"/>
      <c r="D221" s="281"/>
      <c r="E221" s="124"/>
    </row>
    <row r="222" spans="1:5">
      <c r="A222" s="4">
        <v>10217</v>
      </c>
      <c r="B222" s="341"/>
      <c r="C222" s="342"/>
      <c r="D222" s="281"/>
      <c r="E222" s="124"/>
    </row>
    <row r="223" spans="1:5">
      <c r="A223" s="4">
        <v>10218</v>
      </c>
      <c r="B223" s="341"/>
      <c r="C223" s="342"/>
      <c r="D223" s="281"/>
      <c r="E223" s="124"/>
    </row>
    <row r="224" spans="1:5">
      <c r="A224" s="4">
        <v>10219</v>
      </c>
      <c r="B224" s="341"/>
      <c r="C224" s="342"/>
      <c r="D224" s="281"/>
      <c r="E224" s="124"/>
    </row>
    <row r="225" spans="1:5">
      <c r="A225" s="4">
        <v>10220</v>
      </c>
      <c r="B225" s="341"/>
      <c r="C225" s="342"/>
      <c r="D225" s="281"/>
      <c r="E225" s="124"/>
    </row>
    <row r="226" spans="1:5">
      <c r="A226" s="4">
        <v>10221</v>
      </c>
      <c r="B226" s="341"/>
      <c r="C226" s="342"/>
      <c r="D226" s="281"/>
      <c r="E226" s="124"/>
    </row>
    <row r="227" spans="1:5">
      <c r="A227" s="4">
        <v>10222</v>
      </c>
      <c r="B227" s="341"/>
      <c r="C227" s="342"/>
      <c r="D227" s="281"/>
      <c r="E227" s="124"/>
    </row>
    <row r="228" spans="1:5">
      <c r="A228" s="4">
        <v>10223</v>
      </c>
      <c r="B228" s="341"/>
      <c r="C228" s="342"/>
      <c r="D228" s="281"/>
      <c r="E228" s="124"/>
    </row>
    <row r="229" spans="1:5">
      <c r="A229" s="4">
        <v>10224</v>
      </c>
      <c r="B229" s="341"/>
      <c r="C229" s="342"/>
      <c r="D229" s="281"/>
      <c r="E229" s="124"/>
    </row>
    <row r="230" spans="1:5">
      <c r="A230" s="4">
        <v>10225</v>
      </c>
      <c r="B230" s="341"/>
      <c r="C230" s="342"/>
      <c r="D230" s="281"/>
      <c r="E230" s="124"/>
    </row>
    <row r="231" spans="1:5">
      <c r="A231" s="4">
        <v>10226</v>
      </c>
      <c r="B231" s="341"/>
      <c r="C231" s="342"/>
      <c r="D231" s="281"/>
      <c r="E231" s="124"/>
    </row>
    <row r="232" spans="1:5">
      <c r="A232" s="4">
        <v>10227</v>
      </c>
      <c r="B232" s="341"/>
      <c r="C232" s="342"/>
      <c r="D232" s="281"/>
      <c r="E232" s="124"/>
    </row>
    <row r="233" spans="1:5">
      <c r="A233" s="4">
        <v>10228</v>
      </c>
      <c r="B233" s="341"/>
      <c r="C233" s="342"/>
      <c r="D233" s="281"/>
      <c r="E233" s="124"/>
    </row>
    <row r="234" spans="1:5">
      <c r="A234" s="4">
        <v>10229</v>
      </c>
      <c r="B234" s="341"/>
      <c r="C234" s="342"/>
      <c r="D234" s="281"/>
      <c r="E234" s="124"/>
    </row>
    <row r="235" spans="1:5">
      <c r="A235" s="4">
        <v>10230</v>
      </c>
      <c r="B235" s="341"/>
      <c r="C235" s="342"/>
      <c r="D235" s="281"/>
      <c r="E235" s="124"/>
    </row>
    <row r="236" spans="1:5">
      <c r="A236" s="4">
        <v>10231</v>
      </c>
      <c r="B236" s="341"/>
      <c r="C236" s="342"/>
      <c r="D236" s="281"/>
      <c r="E236" s="124"/>
    </row>
    <row r="237" spans="1:5">
      <c r="A237" s="4">
        <v>10232</v>
      </c>
      <c r="B237" s="341"/>
      <c r="C237" s="342"/>
      <c r="D237" s="281"/>
      <c r="E237" s="124"/>
    </row>
    <row r="238" spans="1:5">
      <c r="A238" s="4">
        <v>10233</v>
      </c>
      <c r="B238" s="341"/>
      <c r="C238" s="342"/>
      <c r="D238" s="281"/>
      <c r="E238" s="124"/>
    </row>
    <row r="239" spans="1:5">
      <c r="A239" s="4">
        <v>10234</v>
      </c>
      <c r="B239" s="341"/>
      <c r="C239" s="342"/>
      <c r="D239" s="281"/>
      <c r="E239" s="124"/>
    </row>
    <row r="240" spans="1:5">
      <c r="A240" s="4">
        <v>10235</v>
      </c>
      <c r="B240" s="341"/>
      <c r="C240" s="342"/>
      <c r="D240" s="281"/>
      <c r="E240" s="124"/>
    </row>
    <row r="241" spans="1:5">
      <c r="A241" s="4">
        <v>10236</v>
      </c>
      <c r="B241" s="341"/>
      <c r="C241" s="342"/>
      <c r="D241" s="281"/>
      <c r="E241" s="124"/>
    </row>
    <row r="242" spans="1:5">
      <c r="A242" s="4">
        <v>10237</v>
      </c>
      <c r="B242" s="341"/>
      <c r="C242" s="342"/>
      <c r="D242" s="281"/>
      <c r="E242" s="124"/>
    </row>
    <row r="243" spans="1:5">
      <c r="A243" s="4">
        <v>10238</v>
      </c>
      <c r="B243" s="341"/>
      <c r="C243" s="342"/>
      <c r="D243" s="281"/>
      <c r="E243" s="124"/>
    </row>
  </sheetData>
  <mergeCells count="4">
    <mergeCell ref="B4:B5"/>
    <mergeCell ref="C4:C5"/>
    <mergeCell ref="D4:D5"/>
    <mergeCell ref="E4:E5"/>
  </mergeCells>
  <phoneticPr fontId="168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3:BB153"/>
  <sheetViews>
    <sheetView view="pageBreakPreview" zoomScale="85" zoomScaleNormal="100" zoomScaleSheetLayoutView="85" workbookViewId="0">
      <selection activeCell="L53" sqref="L53"/>
    </sheetView>
  </sheetViews>
  <sheetFormatPr baseColWidth="10" defaultColWidth="11.44140625" defaultRowHeight="13.8"/>
  <cols>
    <col min="1" max="1" width="8.6640625" style="289" customWidth="1"/>
    <col min="2" max="10" width="11.44140625" style="289"/>
    <col min="11" max="12" width="11.44140625" style="289" customWidth="1"/>
    <col min="13" max="13" width="16.33203125" style="289" customWidth="1"/>
    <col min="14" max="14" width="11.44140625" style="289" customWidth="1"/>
    <col min="15" max="15" width="11.44140625" style="736" customWidth="1"/>
    <col min="16" max="50" width="11.44140625" style="289" customWidth="1"/>
    <col min="51" max="51" width="21.33203125" style="289" customWidth="1"/>
    <col min="52" max="56" width="11.44140625" style="289" customWidth="1"/>
    <col min="57" max="16384" width="11.44140625" style="289"/>
  </cols>
  <sheetData>
    <row r="3" spans="1:52" ht="14.4" thickBot="1"/>
    <row r="4" spans="1:52" s="284" customFormat="1" ht="16.2" thickBot="1">
      <c r="A4" s="294"/>
      <c r="B4" s="1011" t="s">
        <v>36</v>
      </c>
      <c r="C4" s="1011"/>
      <c r="D4" s="1011"/>
      <c r="E4" s="1011"/>
      <c r="F4" s="1011"/>
      <c r="G4" s="1011"/>
      <c r="H4" s="1011"/>
      <c r="I4" s="1011"/>
      <c r="J4" s="1011"/>
      <c r="K4" s="288"/>
      <c r="L4" s="288"/>
      <c r="M4" s="1009" t="s">
        <v>37</v>
      </c>
      <c r="N4" s="1010"/>
      <c r="O4" s="1010"/>
      <c r="P4" s="1012"/>
      <c r="Q4" s="297"/>
      <c r="R4" s="297"/>
      <c r="S4" s="1009" t="s">
        <v>38</v>
      </c>
      <c r="T4" s="1010"/>
      <c r="U4" s="1010"/>
      <c r="V4" s="1012"/>
    </row>
    <row r="5" spans="1:52" s="284" customFormat="1" ht="11.25" customHeight="1">
      <c r="A5" s="294"/>
      <c r="B5" s="287"/>
      <c r="C5" s="286"/>
      <c r="D5" s="287"/>
      <c r="E5" s="287"/>
      <c r="F5" s="287"/>
      <c r="G5" s="286"/>
      <c r="H5" s="286"/>
      <c r="I5" s="286"/>
      <c r="J5" s="286"/>
      <c r="K5" s="285"/>
      <c r="L5" s="285"/>
      <c r="M5" s="312"/>
      <c r="N5" s="312"/>
      <c r="O5" s="737"/>
      <c r="P5" s="313"/>
      <c r="Q5" s="297"/>
      <c r="R5" s="297"/>
      <c r="S5" s="312"/>
      <c r="T5" s="312"/>
      <c r="U5" s="313"/>
      <c r="V5" s="313"/>
    </row>
    <row r="6" spans="1:52" s="284" customFormat="1" ht="14.4" thickBot="1">
      <c r="A6" s="294"/>
      <c r="B6" s="294" t="str">
        <f>'1.1 Formato C-1'!B5</f>
        <v>PROYECTO:</v>
      </c>
      <c r="C6" s="728" t="str">
        <f>'1.1 Formato C-1'!C5:J5</f>
        <v>MEJORAMIENTO DE VÍAS Y ACCESOS EXISTENTES SUBPROYECTOS A3-A4</v>
      </c>
      <c r="D6" s="728"/>
      <c r="E6" s="728"/>
      <c r="F6" s="728"/>
      <c r="G6" s="728"/>
      <c r="H6" s="728"/>
      <c r="I6" s="728"/>
      <c r="J6" s="296"/>
      <c r="K6" s="296"/>
      <c r="L6" s="294"/>
      <c r="M6" s="294"/>
      <c r="N6" s="295"/>
      <c r="O6" s="738"/>
      <c r="P6" s="296"/>
      <c r="Q6" s="297"/>
      <c r="R6" s="297"/>
      <c r="S6" s="294"/>
      <c r="T6" s="295"/>
      <c r="U6" s="296"/>
      <c r="V6" s="296"/>
    </row>
    <row r="7" spans="1:52" s="284" customFormat="1" ht="13.5" customHeight="1" thickBot="1">
      <c r="A7" s="294"/>
      <c r="B7" s="294" t="str">
        <f>'1.1 Formato C-1'!B6</f>
        <v>POSTOR:</v>
      </c>
      <c r="C7" s="729" t="str">
        <f>'1.1 Formato C-1'!C6:J6</f>
        <v>ZOVICSA</v>
      </c>
      <c r="D7" s="728"/>
      <c r="E7" s="728"/>
      <c r="F7" s="728"/>
      <c r="G7" s="728"/>
      <c r="H7" s="728"/>
      <c r="I7" s="728"/>
      <c r="J7" s="296"/>
      <c r="K7" s="294"/>
      <c r="L7" s="294"/>
      <c r="M7" s="294"/>
      <c r="N7" s="295"/>
      <c r="O7" s="738">
        <v>146272.47</v>
      </c>
      <c r="P7" s="296"/>
      <c r="Q7" s="297"/>
      <c r="R7" s="297"/>
      <c r="S7" s="1009" t="s">
        <v>39</v>
      </c>
      <c r="T7" s="1010"/>
      <c r="U7" s="314" t="e">
        <v>#REF!</v>
      </c>
      <c r="V7" s="315"/>
    </row>
    <row r="8" spans="1:52" s="284" customFormat="1">
      <c r="A8" s="294"/>
      <c r="B8" s="294" t="str">
        <f>'1.1 Formato C-1'!B7</f>
        <v>FECHA        :</v>
      </c>
      <c r="C8" s="316">
        <f>'1.1 Formato C-1'!C7:J7</f>
        <v>44655</v>
      </c>
      <c r="D8" s="319"/>
      <c r="E8" s="319"/>
      <c r="F8" s="319"/>
      <c r="G8" s="319"/>
      <c r="H8" s="319"/>
      <c r="I8" s="319"/>
      <c r="J8" s="296"/>
      <c r="K8" s="294"/>
      <c r="L8" s="294"/>
      <c r="M8" s="294"/>
      <c r="N8" s="295"/>
      <c r="O8" s="738"/>
      <c r="P8" s="296"/>
      <c r="Q8" s="297"/>
      <c r="R8" s="297"/>
      <c r="S8" s="312"/>
      <c r="T8" s="312"/>
      <c r="U8" s="313"/>
      <c r="V8" s="309"/>
    </row>
    <row r="9" spans="1:52" s="284" customFormat="1">
      <c r="A9" s="294"/>
      <c r="B9" s="294"/>
      <c r="C9" s="316"/>
      <c r="D9" s="294"/>
      <c r="E9" s="294"/>
      <c r="F9" s="295"/>
      <c r="G9" s="317"/>
      <c r="H9" s="296"/>
      <c r="I9" s="296"/>
      <c r="J9" s="296"/>
      <c r="K9" s="294"/>
      <c r="L9" s="294"/>
      <c r="M9" s="294"/>
      <c r="N9" s="295"/>
      <c r="O9" s="738"/>
      <c r="P9" s="296"/>
      <c r="Q9" s="297"/>
      <c r="R9" s="297"/>
      <c r="S9" s="294"/>
      <c r="T9" s="295"/>
      <c r="U9" s="296"/>
      <c r="V9" s="296"/>
    </row>
    <row r="10" spans="1:52" s="568" customFormat="1">
      <c r="A10" s="571"/>
      <c r="B10" s="604"/>
      <c r="C10" s="303"/>
      <c r="D10" s="305"/>
      <c r="E10" s="305"/>
      <c r="F10" s="301"/>
      <c r="G10" s="310"/>
      <c r="H10" s="309"/>
      <c r="I10" s="323"/>
      <c r="J10" s="324"/>
      <c r="K10" s="305"/>
      <c r="L10" s="305"/>
      <c r="M10" s="305"/>
      <c r="N10" s="301"/>
      <c r="O10" s="739"/>
      <c r="P10" s="309"/>
      <c r="Q10" s="574"/>
      <c r="R10" s="574"/>
      <c r="S10" s="305"/>
      <c r="T10" s="301"/>
      <c r="U10" s="309"/>
      <c r="V10" s="309"/>
      <c r="X10" s="578"/>
      <c r="Y10" s="444"/>
      <c r="Z10" s="445"/>
      <c r="AA10" s="446"/>
      <c r="AB10" s="446"/>
      <c r="AC10" s="444"/>
      <c r="AD10" s="444"/>
      <c r="AE10" s="444"/>
      <c r="AF10" s="444"/>
      <c r="AG10" s="445"/>
      <c r="AH10" s="445"/>
      <c r="AI10" s="445"/>
      <c r="AJ10" s="445"/>
      <c r="AK10" s="444"/>
      <c r="AL10" s="444"/>
      <c r="AM10" s="444"/>
      <c r="AN10" s="444"/>
      <c r="AO10" s="444"/>
      <c r="AP10" s="444"/>
      <c r="AQ10" s="444"/>
      <c r="AR10" s="444"/>
      <c r="AS10" s="444"/>
      <c r="AT10" s="444"/>
      <c r="AU10" s="444"/>
      <c r="AV10" s="444"/>
      <c r="AW10" s="444"/>
      <c r="AX10" s="444"/>
      <c r="AY10" s="444"/>
      <c r="AZ10" s="444"/>
    </row>
    <row r="11" spans="1:52" s="568" customFormat="1">
      <c r="A11" s="305">
        <v>10191</v>
      </c>
      <c r="B11" s="283" t="s">
        <v>22</v>
      </c>
      <c r="C11" s="335">
        <f>VLOOKUP($A11,PRESUPUESTO_,2,FALSE)</f>
        <v>1.01</v>
      </c>
      <c r="D11" s="343" t="str">
        <f>VLOOKUP($A11,PRESUPUESTO_,3,FALSE)</f>
        <v>Movilización y demovilización de equipos</v>
      </c>
      <c r="E11" s="343"/>
      <c r="F11" s="343"/>
      <c r="G11" s="344"/>
      <c r="H11" s="344"/>
      <c r="I11" s="345"/>
      <c r="J11" s="332"/>
      <c r="K11" s="322">
        <f>SUM(K14:K23)</f>
        <v>39000</v>
      </c>
      <c r="L11" s="293"/>
      <c r="M11" s="293" t="str">
        <f>D11</f>
        <v>Movilización y demovilización de equipos</v>
      </c>
      <c r="N11" s="572"/>
      <c r="O11" s="573"/>
      <c r="P11" s="573"/>
      <c r="Q11" s="574"/>
      <c r="R11" s="574"/>
      <c r="S11" s="293" t="str">
        <f>D11</f>
        <v>Movilización y demovilización de equipos</v>
      </c>
      <c r="T11" s="572"/>
      <c r="U11" s="573"/>
      <c r="V11" s="573"/>
      <c r="X11" s="578">
        <v>103</v>
      </c>
      <c r="Y11" s="437"/>
      <c r="Z11" s="579"/>
      <c r="AA11" s="580"/>
      <c r="AB11" s="580"/>
    </row>
    <row r="12" spans="1:52" s="568" customFormat="1" ht="15.6">
      <c r="A12" s="292"/>
      <c r="B12" s="337" t="s">
        <v>23</v>
      </c>
      <c r="C12" s="346">
        <f>VLOOKUP($A11,RENDIMIENTO,5,FALSE)</f>
        <v>1</v>
      </c>
      <c r="D12" s="347" t="str">
        <f>VLOOKUP($A11,RENDIMIENTO,4,FALSE)</f>
        <v>glb</v>
      </c>
      <c r="E12" s="348"/>
      <c r="F12" s="349"/>
      <c r="G12" s="327"/>
      <c r="H12" s="328" t="s">
        <v>24</v>
      </c>
      <c r="I12" s="438">
        <f>K11</f>
        <v>39000</v>
      </c>
      <c r="J12" s="325" t="str">
        <f>VLOOKUP($A11,RENDIMIENTO,4,FALSE)</f>
        <v>glb</v>
      </c>
      <c r="K12" s="298"/>
      <c r="L12" s="298"/>
      <c r="M12" s="318">
        <f>VLOOKUP(A11,PRESUPUESTO_,5,FALSE)</f>
        <v>1</v>
      </c>
      <c r="N12" s="299" t="e">
        <v>#N/A</v>
      </c>
      <c r="O12" s="300" t="s">
        <v>27</v>
      </c>
      <c r="P12" s="300" t="e">
        <f>SUM(P14:P21)</f>
        <v>#REF!</v>
      </c>
      <c r="Q12" s="300">
        <f>VLOOKUP(A11,PRESUPUESTO_,10,FALSE)</f>
        <v>39000</v>
      </c>
      <c r="R12" s="572" t="e">
        <f>IF(Q12&lt;&gt;P12,"ver","ok")</f>
        <v>#REF!</v>
      </c>
      <c r="S12" s="293" t="e">
        <v>#N/A</v>
      </c>
      <c r="T12" s="299" t="e">
        <v>#N/A</v>
      </c>
      <c r="U12" s="300" t="s">
        <v>27</v>
      </c>
      <c r="V12" s="300" t="e">
        <f>SUM(#REF!)</f>
        <v>#REF!</v>
      </c>
      <c r="X12" s="578">
        <v>103</v>
      </c>
      <c r="Y12" s="439"/>
      <c r="Z12" s="440"/>
      <c r="AA12" s="441"/>
      <c r="AB12" s="441"/>
    </row>
    <row r="13" spans="1:52" s="568" customFormat="1" ht="23.25" customHeight="1">
      <c r="A13" s="572"/>
      <c r="B13" s="333" t="s">
        <v>28</v>
      </c>
      <c r="C13" s="329" t="s">
        <v>25</v>
      </c>
      <c r="D13" s="350"/>
      <c r="E13" s="330"/>
      <c r="F13" s="330" t="s">
        <v>15</v>
      </c>
      <c r="G13" s="336" t="s">
        <v>26</v>
      </c>
      <c r="H13" s="336" t="s">
        <v>3</v>
      </c>
      <c r="I13" s="336" t="s">
        <v>29</v>
      </c>
      <c r="J13" s="336" t="s">
        <v>30</v>
      </c>
      <c r="K13" s="576" t="s">
        <v>2</v>
      </c>
      <c r="L13" s="301"/>
      <c r="M13" s="349" t="s">
        <v>1</v>
      </c>
      <c r="N13" s="349" t="s">
        <v>15</v>
      </c>
      <c r="O13" s="351" t="s">
        <v>31</v>
      </c>
      <c r="P13" s="351" t="s">
        <v>32</v>
      </c>
      <c r="Q13" s="574"/>
      <c r="R13" s="574"/>
      <c r="S13" s="349" t="s">
        <v>1</v>
      </c>
      <c r="T13" s="349" t="s">
        <v>15</v>
      </c>
      <c r="U13" s="351" t="s">
        <v>31</v>
      </c>
      <c r="V13" s="351" t="s">
        <v>32</v>
      </c>
      <c r="X13" s="578">
        <v>103</v>
      </c>
      <c r="Y13" s="442"/>
      <c r="Z13" s="442"/>
      <c r="AA13" s="443"/>
      <c r="AB13" s="443"/>
    </row>
    <row r="14" spans="1:52" s="568" customFormat="1">
      <c r="A14" s="302" t="str">
        <f>CONCATENATE(A11,L14)</f>
        <v>10191(D)</v>
      </c>
      <c r="B14" s="450" t="s">
        <v>34</v>
      </c>
      <c r="C14" s="303"/>
      <c r="D14" s="304"/>
      <c r="E14" s="305"/>
      <c r="F14" s="306"/>
      <c r="G14" s="307"/>
      <c r="H14" s="308"/>
      <c r="I14" s="320"/>
      <c r="J14" s="451"/>
      <c r="K14" s="300">
        <f>SUM(J15:J22)</f>
        <v>39000</v>
      </c>
      <c r="L14" s="293" t="s">
        <v>35</v>
      </c>
      <c r="M14" s="571"/>
      <c r="N14" s="572"/>
      <c r="O14" s="573"/>
      <c r="P14" s="573"/>
      <c r="Q14" s="574"/>
      <c r="R14" s="574"/>
      <c r="S14" s="571"/>
      <c r="T14" s="572"/>
      <c r="U14" s="573"/>
      <c r="V14" s="573"/>
      <c r="X14" s="578">
        <v>103</v>
      </c>
      <c r="Z14" s="579"/>
      <c r="AA14" s="580"/>
      <c r="AB14" s="580"/>
      <c r="AX14" s="568">
        <v>6000</v>
      </c>
    </row>
    <row r="15" spans="1:52" s="568" customFormat="1">
      <c r="A15" s="571"/>
      <c r="B15" s="582" t="s">
        <v>591</v>
      </c>
      <c r="C15" s="354" t="str">
        <f>+'Equipos-Personal (HH y HM)'!A7</f>
        <v>Tractor sobre Orugas CAT D8T</v>
      </c>
      <c r="D15" s="577"/>
      <c r="E15" s="355"/>
      <c r="F15" s="576" t="s">
        <v>5</v>
      </c>
      <c r="G15" s="727"/>
      <c r="H15" s="581">
        <v>1</v>
      </c>
      <c r="I15" s="726">
        <v>5850</v>
      </c>
      <c r="J15" s="726">
        <f t="shared" ref="J15:J18" si="0">ROUND(H15*I15,2)</f>
        <v>5850</v>
      </c>
      <c r="K15" s="571"/>
      <c r="L15" s="571"/>
      <c r="M15" s="571" t="str">
        <f t="shared" ref="M15:M22" si="1">$C15</f>
        <v>Tractor sobre Orugas CAT D8T</v>
      </c>
      <c r="N15" s="572" t="str">
        <f t="shared" ref="N15:N22" si="2">$F15</f>
        <v>Und</v>
      </c>
      <c r="O15" s="573">
        <f t="shared" ref="O15:O22" si="3">H15*11*0</f>
        <v>0</v>
      </c>
      <c r="P15" s="573" t="e">
        <f>J15*#REF!</f>
        <v>#REF!</v>
      </c>
      <c r="Q15" s="574"/>
      <c r="R15" s="574"/>
      <c r="S15" s="571" t="str">
        <f t="shared" ref="S15:S22" si="4">$C15</f>
        <v>Tractor sobre Orugas CAT D8T</v>
      </c>
      <c r="T15" s="572" t="str">
        <f t="shared" ref="T15:T22" si="5">$F15</f>
        <v>Und</v>
      </c>
      <c r="U15" s="573" t="e">
        <f>ROUND(#REF!*$H15,2)</f>
        <v>#REF!</v>
      </c>
      <c r="V15" s="573" t="e">
        <f>ROUND(#REF!*$J15,2)</f>
        <v>#REF!</v>
      </c>
      <c r="X15" s="578">
        <v>103</v>
      </c>
      <c r="Z15" s="579"/>
      <c r="AA15" s="580"/>
      <c r="AB15" s="580"/>
    </row>
    <row r="16" spans="1:52" s="568" customFormat="1">
      <c r="A16" s="571"/>
      <c r="B16" s="582" t="s">
        <v>591</v>
      </c>
      <c r="C16" s="354" t="str">
        <f>+'Equipos-Personal (HH y HM)'!A10</f>
        <v>Cargador Frontal John Deere 744 K</v>
      </c>
      <c r="D16" s="577"/>
      <c r="E16" s="355"/>
      <c r="F16" s="576" t="s">
        <v>5</v>
      </c>
      <c r="G16" s="727"/>
      <c r="H16" s="581">
        <v>1</v>
      </c>
      <c r="I16" s="726">
        <v>1950</v>
      </c>
      <c r="J16" s="726">
        <f t="shared" si="0"/>
        <v>1950</v>
      </c>
      <c r="K16" s="571"/>
      <c r="L16" s="571"/>
      <c r="M16" s="571" t="str">
        <f t="shared" si="1"/>
        <v>Cargador Frontal John Deere 744 K</v>
      </c>
      <c r="N16" s="572" t="str">
        <f t="shared" si="2"/>
        <v>Und</v>
      </c>
      <c r="O16" s="573">
        <f t="shared" si="3"/>
        <v>0</v>
      </c>
      <c r="P16" s="573" t="e">
        <f>J16*#REF!</f>
        <v>#REF!</v>
      </c>
      <c r="Q16" s="574"/>
      <c r="R16" s="574"/>
      <c r="S16" s="571" t="str">
        <f t="shared" si="4"/>
        <v>Cargador Frontal John Deere 744 K</v>
      </c>
      <c r="T16" s="572" t="str">
        <f t="shared" si="5"/>
        <v>Und</v>
      </c>
      <c r="U16" s="573" t="e">
        <f>ROUND(#REF!*$H16,2)</f>
        <v>#REF!</v>
      </c>
      <c r="V16" s="573" t="e">
        <f>ROUND(#REF!*$J16,2)</f>
        <v>#REF!</v>
      </c>
      <c r="X16" s="578">
        <v>103</v>
      </c>
      <c r="Z16" s="579"/>
      <c r="AA16" s="580"/>
      <c r="AB16" s="580"/>
    </row>
    <row r="17" spans="1:38" s="568" customFormat="1">
      <c r="A17" s="571"/>
      <c r="B17" s="582" t="s">
        <v>591</v>
      </c>
      <c r="C17" s="354" t="str">
        <f>+'Equipos-Personal (HH y HM)'!A12</f>
        <v>Retroexcavadora Cat 420e</v>
      </c>
      <c r="D17" s="577"/>
      <c r="E17" s="355"/>
      <c r="F17" s="576" t="s">
        <v>5</v>
      </c>
      <c r="G17" s="727"/>
      <c r="H17" s="581">
        <v>1</v>
      </c>
      <c r="I17" s="726">
        <v>3900</v>
      </c>
      <c r="J17" s="726">
        <f t="shared" ref="J17" si="6">ROUND(H17*I17,2)</f>
        <v>3900</v>
      </c>
      <c r="K17" s="571"/>
      <c r="L17" s="571"/>
      <c r="M17" s="571" t="str">
        <f t="shared" si="1"/>
        <v>Retroexcavadora Cat 420e</v>
      </c>
      <c r="N17" s="572" t="str">
        <f t="shared" si="2"/>
        <v>Und</v>
      </c>
      <c r="O17" s="573">
        <f t="shared" si="3"/>
        <v>0</v>
      </c>
      <c r="P17" s="573" t="e">
        <f>J17*#REF!</f>
        <v>#REF!</v>
      </c>
      <c r="Q17" s="574"/>
      <c r="R17" s="574"/>
      <c r="S17" s="571" t="str">
        <f t="shared" si="4"/>
        <v>Retroexcavadora Cat 420e</v>
      </c>
      <c r="T17" s="572" t="str">
        <f t="shared" si="5"/>
        <v>Und</v>
      </c>
      <c r="U17" s="573" t="e">
        <f>ROUND(#REF!*$H17,2)</f>
        <v>#REF!</v>
      </c>
      <c r="V17" s="573" t="e">
        <f>ROUND(#REF!*$J17,2)</f>
        <v>#REF!</v>
      </c>
      <c r="X17" s="578">
        <v>103</v>
      </c>
      <c r="Z17" s="579"/>
      <c r="AA17" s="580"/>
      <c r="AB17" s="580"/>
    </row>
    <row r="18" spans="1:38" s="568" customFormat="1">
      <c r="A18" s="571"/>
      <c r="B18" s="582" t="s">
        <v>591</v>
      </c>
      <c r="C18" s="354" t="str">
        <f>+'Equipos-Personal (HH y HM)'!A13</f>
        <v>Volquete de 17 m3</v>
      </c>
      <c r="D18" s="577"/>
      <c r="E18" s="355"/>
      <c r="F18" s="576" t="s">
        <v>5</v>
      </c>
      <c r="G18" s="727"/>
      <c r="H18" s="581">
        <v>7</v>
      </c>
      <c r="I18" s="726">
        <v>1950</v>
      </c>
      <c r="J18" s="726">
        <f t="shared" si="0"/>
        <v>13650</v>
      </c>
      <c r="K18" s="571"/>
      <c r="L18" s="571"/>
      <c r="M18" s="571" t="str">
        <f t="shared" si="1"/>
        <v>Volquete de 17 m3</v>
      </c>
      <c r="N18" s="572" t="str">
        <f t="shared" si="2"/>
        <v>Und</v>
      </c>
      <c r="O18" s="573">
        <f t="shared" si="3"/>
        <v>0</v>
      </c>
      <c r="P18" s="573" t="e">
        <f>J18*#REF!</f>
        <v>#REF!</v>
      </c>
      <c r="Q18" s="574"/>
      <c r="R18" s="574"/>
      <c r="S18" s="571" t="str">
        <f t="shared" si="4"/>
        <v>Volquete de 17 m3</v>
      </c>
      <c r="T18" s="572" t="str">
        <f t="shared" si="5"/>
        <v>Und</v>
      </c>
      <c r="U18" s="573" t="e">
        <f>ROUND(#REF!*$H18,2)</f>
        <v>#REF!</v>
      </c>
      <c r="V18" s="573" t="e">
        <f>ROUND(#REF!*$J18,2)</f>
        <v>#REF!</v>
      </c>
      <c r="X18" s="578">
        <v>103</v>
      </c>
      <c r="Z18" s="579"/>
      <c r="AA18" s="580"/>
      <c r="AB18" s="580"/>
    </row>
    <row r="19" spans="1:38" s="568" customFormat="1">
      <c r="A19" s="571"/>
      <c r="B19" s="582" t="s">
        <v>591</v>
      </c>
      <c r="C19" s="354" t="str">
        <f>+'Equipos-Personal (HH y HM)'!A14</f>
        <v>Cisterna de agua 5,000 gln.</v>
      </c>
      <c r="D19" s="577"/>
      <c r="E19" s="355"/>
      <c r="F19" s="576" t="s">
        <v>5</v>
      </c>
      <c r="G19" s="727"/>
      <c r="H19" s="581">
        <v>1</v>
      </c>
      <c r="I19" s="726">
        <v>1950</v>
      </c>
      <c r="J19" s="726">
        <f t="shared" ref="J19:J21" si="7">ROUND(H19*I19,2)</f>
        <v>1950</v>
      </c>
      <c r="K19" s="571"/>
      <c r="L19" s="571"/>
      <c r="M19" s="571" t="str">
        <f t="shared" si="1"/>
        <v>Cisterna de agua 5,000 gln.</v>
      </c>
      <c r="N19" s="572" t="str">
        <f t="shared" si="2"/>
        <v>Und</v>
      </c>
      <c r="O19" s="573">
        <f t="shared" si="3"/>
        <v>0</v>
      </c>
      <c r="P19" s="573" t="e">
        <f>J19*#REF!</f>
        <v>#REF!</v>
      </c>
      <c r="Q19" s="574"/>
      <c r="R19" s="574"/>
      <c r="S19" s="571" t="str">
        <f t="shared" si="4"/>
        <v>Cisterna de agua 5,000 gln.</v>
      </c>
      <c r="T19" s="572" t="str">
        <f t="shared" si="5"/>
        <v>Und</v>
      </c>
      <c r="U19" s="573" t="e">
        <f>ROUND(#REF!*$H19,2)</f>
        <v>#REF!</v>
      </c>
      <c r="V19" s="573" t="e">
        <f>ROUND(#REF!*$J19,2)</f>
        <v>#REF!</v>
      </c>
      <c r="X19" s="578">
        <v>103</v>
      </c>
      <c r="Z19" s="579"/>
      <c r="AA19" s="580"/>
      <c r="AB19" s="580"/>
    </row>
    <row r="20" spans="1:38" s="568" customFormat="1">
      <c r="A20" s="571"/>
      <c r="B20" s="582" t="s">
        <v>591</v>
      </c>
      <c r="C20" s="354" t="str">
        <f>+'Equipos-Personal (HH y HM)'!A16</f>
        <v>Motoniveladora de 140 HP</v>
      </c>
      <c r="D20" s="577"/>
      <c r="E20" s="355"/>
      <c r="F20" s="576" t="s">
        <v>5</v>
      </c>
      <c r="G20" s="727"/>
      <c r="H20" s="581">
        <v>1</v>
      </c>
      <c r="I20" s="726">
        <v>3900</v>
      </c>
      <c r="J20" s="726">
        <f t="shared" ref="J20" si="8">ROUND(H20*I20,2)</f>
        <v>3900</v>
      </c>
      <c r="K20" s="571"/>
      <c r="L20" s="571"/>
      <c r="M20" s="571" t="str">
        <f t="shared" si="1"/>
        <v>Motoniveladora de 140 HP</v>
      </c>
      <c r="N20" s="572" t="str">
        <f t="shared" si="2"/>
        <v>Und</v>
      </c>
      <c r="O20" s="573">
        <f t="shared" si="3"/>
        <v>0</v>
      </c>
      <c r="P20" s="573" t="e">
        <f>J20*#REF!</f>
        <v>#REF!</v>
      </c>
      <c r="Q20" s="574"/>
      <c r="R20" s="574"/>
      <c r="S20" s="571" t="str">
        <f t="shared" si="4"/>
        <v>Motoniveladora de 140 HP</v>
      </c>
      <c r="T20" s="572" t="str">
        <f t="shared" si="5"/>
        <v>Und</v>
      </c>
      <c r="U20" s="573" t="e">
        <f>ROUND(#REF!*$H20,2)</f>
        <v>#REF!</v>
      </c>
      <c r="V20" s="573" t="e">
        <f>ROUND(#REF!*$J20,2)</f>
        <v>#REF!</v>
      </c>
      <c r="X20" s="578">
        <v>103</v>
      </c>
      <c r="Z20" s="579"/>
      <c r="AA20" s="580"/>
      <c r="AB20" s="580"/>
    </row>
    <row r="21" spans="1:38" s="568" customFormat="1">
      <c r="A21" s="571"/>
      <c r="B21" s="582" t="s">
        <v>591</v>
      </c>
      <c r="C21" s="354" t="str">
        <f>+'Equipos-Personal (HH y HM)'!A17</f>
        <v>Rodillo Liso Vibratorio Autopropulsado HAMM 20 Tn.</v>
      </c>
      <c r="D21" s="577"/>
      <c r="E21" s="355"/>
      <c r="F21" s="576" t="s">
        <v>5</v>
      </c>
      <c r="G21" s="727"/>
      <c r="H21" s="581">
        <v>1</v>
      </c>
      <c r="I21" s="726">
        <v>1950</v>
      </c>
      <c r="J21" s="726">
        <f t="shared" si="7"/>
        <v>1950</v>
      </c>
      <c r="K21" s="571"/>
      <c r="L21" s="571"/>
      <c r="M21" s="571" t="str">
        <f t="shared" si="1"/>
        <v>Rodillo Liso Vibratorio Autopropulsado HAMM 20 Tn.</v>
      </c>
      <c r="N21" s="572" t="str">
        <f t="shared" si="2"/>
        <v>Und</v>
      </c>
      <c r="O21" s="573">
        <f t="shared" si="3"/>
        <v>0</v>
      </c>
      <c r="P21" s="573" t="e">
        <f>J21*#REF!</f>
        <v>#REF!</v>
      </c>
      <c r="Q21" s="574"/>
      <c r="R21" s="574"/>
      <c r="S21" s="571" t="str">
        <f t="shared" si="4"/>
        <v>Rodillo Liso Vibratorio Autopropulsado HAMM 20 Tn.</v>
      </c>
      <c r="T21" s="572" t="str">
        <f t="shared" si="5"/>
        <v>Und</v>
      </c>
      <c r="U21" s="573" t="e">
        <f>ROUND(#REF!*$H21,2)</f>
        <v>#REF!</v>
      </c>
      <c r="V21" s="573" t="e">
        <f>ROUND(#REF!*$J21,2)</f>
        <v>#REF!</v>
      </c>
      <c r="X21" s="578">
        <v>103</v>
      </c>
      <c r="Z21" s="579"/>
      <c r="AA21" s="580"/>
      <c r="AB21" s="580"/>
    </row>
    <row r="22" spans="1:38" s="568" customFormat="1">
      <c r="A22" s="571"/>
      <c r="B22" s="582" t="s">
        <v>591</v>
      </c>
      <c r="C22" s="354" t="s">
        <v>106</v>
      </c>
      <c r="D22" s="577"/>
      <c r="E22" s="355"/>
      <c r="F22" s="576" t="s">
        <v>958</v>
      </c>
      <c r="G22" s="727"/>
      <c r="H22" s="581">
        <v>5</v>
      </c>
      <c r="I22" s="726">
        <v>1170</v>
      </c>
      <c r="J22" s="726">
        <f t="shared" ref="J22" si="9">ROUND(H22*I22,2)</f>
        <v>5850</v>
      </c>
      <c r="K22" s="571"/>
      <c r="L22" s="571"/>
      <c r="M22" s="571" t="str">
        <f t="shared" si="1"/>
        <v>Camión Furgon</v>
      </c>
      <c r="N22" s="572" t="str">
        <f t="shared" si="2"/>
        <v>Viajes</v>
      </c>
      <c r="O22" s="573">
        <f t="shared" si="3"/>
        <v>0</v>
      </c>
      <c r="P22" s="573" t="e">
        <f>J22*#REF!</f>
        <v>#REF!</v>
      </c>
      <c r="Q22" s="574"/>
      <c r="R22" s="574"/>
      <c r="S22" s="571" t="str">
        <f t="shared" si="4"/>
        <v>Camión Furgon</v>
      </c>
      <c r="T22" s="572" t="str">
        <f t="shared" si="5"/>
        <v>Viajes</v>
      </c>
      <c r="U22" s="573" t="e">
        <f>ROUND(#REF!*$H22,2)</f>
        <v>#REF!</v>
      </c>
      <c r="V22" s="573" t="e">
        <f>ROUND(#REF!*$J22,2)</f>
        <v>#REF!</v>
      </c>
      <c r="X22" s="578">
        <v>103</v>
      </c>
      <c r="Z22" s="579"/>
      <c r="AA22" s="580"/>
      <c r="AB22" s="580"/>
    </row>
    <row r="23" spans="1:38" s="568" customFormat="1">
      <c r="A23" s="571"/>
      <c r="B23" s="602"/>
      <c r="C23" s="346"/>
      <c r="D23" s="348"/>
      <c r="E23" s="348"/>
      <c r="F23" s="349"/>
      <c r="G23" s="351"/>
      <c r="H23" s="353"/>
      <c r="I23" s="331"/>
      <c r="J23" s="326">
        <f>K14</f>
        <v>39000</v>
      </c>
      <c r="K23" s="305"/>
      <c r="L23" s="305"/>
      <c r="M23" s="305"/>
      <c r="N23" s="301"/>
      <c r="O23" s="309"/>
      <c r="P23" s="309"/>
      <c r="Q23" s="574"/>
      <c r="R23" s="574"/>
      <c r="S23" s="305"/>
      <c r="T23" s="301"/>
      <c r="U23" s="309"/>
      <c r="V23" s="309"/>
      <c r="X23" s="578">
        <v>-3</v>
      </c>
      <c r="Y23" s="444"/>
      <c r="Z23" s="445"/>
      <c r="AA23" s="446"/>
      <c r="AB23" s="446"/>
    </row>
    <row r="24" spans="1:38" s="284" customFormat="1">
      <c r="A24" s="303"/>
      <c r="B24" s="734"/>
      <c r="C24" s="303"/>
      <c r="D24" s="305"/>
      <c r="E24" s="305"/>
      <c r="F24" s="301"/>
      <c r="G24" s="310"/>
      <c r="H24" s="309"/>
      <c r="I24" s="323"/>
      <c r="J24" s="324"/>
      <c r="K24" s="305"/>
      <c r="L24" s="305"/>
      <c r="M24" s="305"/>
      <c r="N24" s="301"/>
      <c r="O24" s="309"/>
      <c r="P24" s="309"/>
      <c r="Q24" s="574"/>
      <c r="R24" s="574"/>
      <c r="S24" s="305"/>
      <c r="T24" s="301"/>
      <c r="U24" s="309"/>
      <c r="V24" s="309"/>
    </row>
    <row r="25" spans="1:38" s="568" customFormat="1">
      <c r="A25" s="305">
        <v>10192</v>
      </c>
      <c r="B25" s="283" t="s">
        <v>22</v>
      </c>
      <c r="C25" s="335">
        <f>VLOOKUP($A25,PRESUPUESTO_,2,FALSE)</f>
        <v>1.02</v>
      </c>
      <c r="D25" s="343" t="str">
        <f>VLOOKUP($A25,PRESUPUESTO_,3,FALSE)</f>
        <v>Trazo, Nivelación y Replanteo</v>
      </c>
      <c r="E25" s="343"/>
      <c r="F25" s="343"/>
      <c r="G25" s="344"/>
      <c r="H25" s="344"/>
      <c r="I25" s="345"/>
      <c r="J25" s="332"/>
      <c r="K25" s="322">
        <f>SUM(K28:K38)</f>
        <v>1939.1000000000001</v>
      </c>
      <c r="L25" s="293"/>
      <c r="M25" s="293" t="str">
        <f>D25</f>
        <v>Trazo, Nivelación y Replanteo</v>
      </c>
      <c r="N25" s="572"/>
      <c r="O25" s="573"/>
      <c r="P25" s="573"/>
      <c r="Q25" s="574"/>
      <c r="R25" s="574"/>
      <c r="S25" s="293" t="str">
        <f>D25</f>
        <v>Trazo, Nivelación y Replanteo</v>
      </c>
      <c r="T25" s="572"/>
      <c r="U25" s="573"/>
      <c r="V25" s="573"/>
      <c r="X25" s="578">
        <v>103</v>
      </c>
      <c r="Y25" s="437"/>
      <c r="Z25" s="579"/>
      <c r="AA25" s="580"/>
      <c r="AB25" s="580"/>
    </row>
    <row r="26" spans="1:38" s="568" customFormat="1" ht="15.6">
      <c r="A26" s="292"/>
      <c r="B26" s="337" t="s">
        <v>23</v>
      </c>
      <c r="C26" s="346">
        <f>VLOOKUP($A25,RENDIMIENTO,5,FALSE)</f>
        <v>0.10625</v>
      </c>
      <c r="D26" s="347" t="str">
        <f>VLOOKUP($A25,RENDIMIENTO,4,FALSE)</f>
        <v>km</v>
      </c>
      <c r="E26" s="348" t="s">
        <v>646</v>
      </c>
      <c r="F26" s="349"/>
      <c r="G26" s="327"/>
      <c r="H26" s="328" t="s">
        <v>24</v>
      </c>
      <c r="I26" s="438">
        <f>K25</f>
        <v>1939.1000000000001</v>
      </c>
      <c r="J26" s="325" t="str">
        <f>VLOOKUP($A25,RENDIMIENTO,4,FALSE)</f>
        <v>km</v>
      </c>
      <c r="K26" s="298"/>
      <c r="L26" s="298"/>
      <c r="M26" s="318">
        <f>VLOOKUP(A25,PRESUPUESTO_,5,FALSE)</f>
        <v>28.61</v>
      </c>
      <c r="N26" s="299" t="e">
        <v>#N/A</v>
      </c>
      <c r="O26" s="300" t="s">
        <v>27</v>
      </c>
      <c r="P26" s="300" t="e">
        <f>SUM(P29:P37)</f>
        <v>#REF!</v>
      </c>
      <c r="Q26" s="300">
        <f>VLOOKUP(A25,PRESUPUESTO_,10,FALSE)</f>
        <v>55477.65</v>
      </c>
      <c r="R26" s="572" t="e">
        <f>IF(Q26&lt;&gt;P26,"ver","ok")</f>
        <v>#REF!</v>
      </c>
      <c r="S26" s="293" t="e">
        <v>#N/A</v>
      </c>
      <c r="T26" s="299" t="e">
        <v>#N/A</v>
      </c>
      <c r="U26" s="300" t="s">
        <v>27</v>
      </c>
      <c r="V26" s="300" t="e">
        <f>SUM(#REF!)</f>
        <v>#REF!</v>
      </c>
      <c r="X26" s="578">
        <v>103</v>
      </c>
      <c r="Y26" s="439"/>
      <c r="Z26" s="440" t="s">
        <v>708</v>
      </c>
      <c r="AA26" s="441" t="s">
        <v>709</v>
      </c>
      <c r="AB26" s="441" t="s">
        <v>710</v>
      </c>
      <c r="AC26" s="441" t="s">
        <v>711</v>
      </c>
      <c r="AD26" s="441" t="s">
        <v>712</v>
      </c>
      <c r="AE26" s="441" t="s">
        <v>713</v>
      </c>
      <c r="AF26" s="441" t="s">
        <v>714</v>
      </c>
      <c r="AG26" s="441" t="s">
        <v>715</v>
      </c>
      <c r="AH26" s="441" t="s">
        <v>716</v>
      </c>
      <c r="AI26" s="441" t="s">
        <v>717</v>
      </c>
      <c r="AJ26" s="441" t="s">
        <v>718</v>
      </c>
    </row>
    <row r="27" spans="1:38" s="568" customFormat="1" ht="23.25" customHeight="1">
      <c r="A27" s="572"/>
      <c r="B27" s="333" t="s">
        <v>28</v>
      </c>
      <c r="C27" s="329" t="s">
        <v>25</v>
      </c>
      <c r="D27" s="350"/>
      <c r="E27" s="330"/>
      <c r="F27" s="330" t="s">
        <v>15</v>
      </c>
      <c r="G27" s="336" t="s">
        <v>26</v>
      </c>
      <c r="H27" s="336" t="s">
        <v>3</v>
      </c>
      <c r="I27" s="336" t="s">
        <v>29</v>
      </c>
      <c r="J27" s="336" t="s">
        <v>30</v>
      </c>
      <c r="K27" s="576" t="s">
        <v>2</v>
      </c>
      <c r="L27" s="301"/>
      <c r="M27" s="349" t="s">
        <v>1</v>
      </c>
      <c r="N27" s="349" t="s">
        <v>15</v>
      </c>
      <c r="O27" s="351" t="s">
        <v>31</v>
      </c>
      <c r="P27" s="351" t="s">
        <v>32</v>
      </c>
      <c r="Q27" s="574"/>
      <c r="R27" s="574"/>
      <c r="S27" s="349" t="s">
        <v>1</v>
      </c>
      <c r="T27" s="349" t="s">
        <v>15</v>
      </c>
      <c r="U27" s="351" t="s">
        <v>31</v>
      </c>
      <c r="V27" s="351" t="s">
        <v>32</v>
      </c>
      <c r="X27" s="578">
        <v>103</v>
      </c>
      <c r="Y27" s="442"/>
      <c r="Z27" s="442"/>
      <c r="AA27" s="443"/>
      <c r="AB27" s="443"/>
      <c r="AG27" s="568" t="e">
        <f>+'[5]1.9 Duration'!#REF!</f>
        <v>#REF!</v>
      </c>
      <c r="AH27" s="568" t="e">
        <f>+'[5]1.9 Duration'!#REF!</f>
        <v>#REF!</v>
      </c>
      <c r="AI27" s="568" t="e">
        <f>+'[5]1.9 Duration'!#REF!</f>
        <v>#REF!</v>
      </c>
      <c r="AJ27" s="568" t="e">
        <f>+'[5]1.9 Duration'!#REF!</f>
        <v>#REF!</v>
      </c>
    </row>
    <row r="28" spans="1:38" s="568" customFormat="1">
      <c r="A28" s="302" t="str">
        <f>CONCATENATE(A25,L28)</f>
        <v>10192(C)</v>
      </c>
      <c r="B28" s="352" t="s">
        <v>0</v>
      </c>
      <c r="C28" s="338"/>
      <c r="D28" s="577"/>
      <c r="E28" s="577"/>
      <c r="F28" s="349"/>
      <c r="G28" s="351"/>
      <c r="H28" s="353"/>
      <c r="I28" s="353"/>
      <c r="J28" s="334"/>
      <c r="K28" s="322">
        <f>+J33</f>
        <v>1532.14</v>
      </c>
      <c r="L28" s="293" t="s">
        <v>33</v>
      </c>
      <c r="M28" s="571"/>
      <c r="N28" s="572"/>
      <c r="O28" s="573"/>
      <c r="P28" s="573"/>
      <c r="Q28" s="574"/>
      <c r="R28" s="574"/>
      <c r="S28" s="571"/>
      <c r="T28" s="572"/>
      <c r="U28" s="573"/>
      <c r="V28" s="573"/>
      <c r="X28" s="578">
        <v>103</v>
      </c>
      <c r="Z28" s="579"/>
      <c r="AA28" s="579"/>
      <c r="AB28" s="579"/>
      <c r="AC28" s="579"/>
      <c r="AD28" s="579"/>
      <c r="AE28" s="579"/>
      <c r="AF28" s="579"/>
      <c r="AG28" s="579"/>
      <c r="AH28" s="579"/>
      <c r="AI28" s="579"/>
      <c r="AJ28" s="579"/>
      <c r="AL28" s="444"/>
    </row>
    <row r="29" spans="1:38" s="568" customFormat="1">
      <c r="A29" s="571"/>
      <c r="B29" s="778" t="s">
        <v>161</v>
      </c>
      <c r="C29" s="354" t="str">
        <f t="shared" ref="C29:C32" si="10">VLOOKUP($B29,Recursos,2,FALSE)</f>
        <v>Topógrafo</v>
      </c>
      <c r="D29" s="577"/>
      <c r="E29" s="355"/>
      <c r="F29" s="576" t="str">
        <f t="shared" ref="F29:F32" si="11">VLOOKUP($B29,Recursos,3,FALSE)</f>
        <v>hh</v>
      </c>
      <c r="G29" s="779">
        <v>2</v>
      </c>
      <c r="H29" s="581">
        <f>G29/$C$26</f>
        <v>18.823529411764707</v>
      </c>
      <c r="I29" s="726">
        <f t="shared" ref="I29:I32" si="12">VLOOKUP($B29,Recursos,4,FALSE)</f>
        <v>28.247868327858573</v>
      </c>
      <c r="J29" s="726">
        <f t="shared" ref="J29:J32" si="13">ROUND(H29*I29,2)</f>
        <v>531.72</v>
      </c>
      <c r="K29" s="571"/>
      <c r="L29" s="571"/>
      <c r="M29" s="571" t="str">
        <f t="shared" ref="M29:M32" si="14">$C29</f>
        <v>Topógrafo</v>
      </c>
      <c r="N29" s="572" t="str">
        <f t="shared" ref="N29:N32" si="15">$F29</f>
        <v>hh</v>
      </c>
      <c r="O29" s="573">
        <f t="shared" ref="O29:O32" si="16">ROUND($M$26*$H29,2)</f>
        <v>538.54</v>
      </c>
      <c r="P29" s="573" t="e">
        <f>J29*#REF!</f>
        <v>#REF!</v>
      </c>
      <c r="Q29" s="574"/>
      <c r="R29" s="574"/>
      <c r="S29" s="571" t="str">
        <f t="shared" ref="S29:S32" si="17">$C29</f>
        <v>Topógrafo</v>
      </c>
      <c r="T29" s="572" t="str">
        <f t="shared" ref="T29:T32" si="18">$F29</f>
        <v>hh</v>
      </c>
      <c r="U29" s="573" t="e">
        <f>ROUND(#REF!*$H29,2)</f>
        <v>#REF!</v>
      </c>
      <c r="V29" s="573" t="e">
        <f>ROUND(#REF!*$J29,2)</f>
        <v>#REF!</v>
      </c>
      <c r="X29" s="578">
        <v>103</v>
      </c>
      <c r="Z29" s="579"/>
      <c r="AA29" s="579"/>
      <c r="AB29" s="579"/>
      <c r="AC29" s="579"/>
      <c r="AD29" s="579"/>
      <c r="AE29" s="579"/>
      <c r="AF29" s="579"/>
      <c r="AG29" s="579">
        <f>+$H$164*AG$162</f>
        <v>0</v>
      </c>
      <c r="AH29" s="579">
        <f>+$H$164*AH$162</f>
        <v>0</v>
      </c>
      <c r="AI29" s="579">
        <f>+$H$164*AI$162</f>
        <v>0</v>
      </c>
      <c r="AJ29" s="579">
        <f>+$H$164*AJ$162</f>
        <v>0</v>
      </c>
      <c r="AK29" s="568">
        <f t="shared" ref="AK29:AK32" si="19">SUM(Z29:AJ29)</f>
        <v>0</v>
      </c>
      <c r="AL29" s="444" t="str">
        <f t="shared" ref="AL29:AL32" si="20">IF(AK29=O29,"OK","CORREGIR")</f>
        <v>CORREGIR</v>
      </c>
    </row>
    <row r="30" spans="1:38" s="568" customFormat="1">
      <c r="A30" s="571"/>
      <c r="B30" s="778" t="s">
        <v>163</v>
      </c>
      <c r="C30" s="354" t="str">
        <f t="shared" si="10"/>
        <v>Cadista</v>
      </c>
      <c r="D30" s="577"/>
      <c r="E30" s="355"/>
      <c r="F30" s="576" t="str">
        <f t="shared" si="11"/>
        <v>hh</v>
      </c>
      <c r="G30" s="780">
        <v>1</v>
      </c>
      <c r="H30" s="581">
        <f>G30/$C$26</f>
        <v>9.4117647058823533</v>
      </c>
      <c r="I30" s="726">
        <f t="shared" si="12"/>
        <v>22.311787519762969</v>
      </c>
      <c r="J30" s="726">
        <f t="shared" si="13"/>
        <v>209.99</v>
      </c>
      <c r="K30" s="571"/>
      <c r="L30" s="571"/>
      <c r="M30" s="571" t="str">
        <f t="shared" si="14"/>
        <v>Cadista</v>
      </c>
      <c r="N30" s="572" t="str">
        <f t="shared" si="15"/>
        <v>hh</v>
      </c>
      <c r="O30" s="573">
        <f t="shared" si="16"/>
        <v>269.27</v>
      </c>
      <c r="P30" s="573" t="e">
        <f>J30*#REF!</f>
        <v>#REF!</v>
      </c>
      <c r="Q30" s="574"/>
      <c r="R30" s="574"/>
      <c r="S30" s="571" t="str">
        <f t="shared" si="17"/>
        <v>Cadista</v>
      </c>
      <c r="T30" s="572" t="str">
        <f t="shared" si="18"/>
        <v>hh</v>
      </c>
      <c r="U30" s="573" t="e">
        <f>ROUND(#REF!*$H30,2)</f>
        <v>#REF!</v>
      </c>
      <c r="V30" s="573" t="e">
        <f>ROUND(#REF!*$J30,2)</f>
        <v>#REF!</v>
      </c>
      <c r="X30" s="578">
        <v>103</v>
      </c>
      <c r="Z30" s="579"/>
      <c r="AA30" s="579"/>
      <c r="AB30" s="579"/>
      <c r="AC30" s="579"/>
      <c r="AD30" s="579"/>
      <c r="AE30" s="579"/>
      <c r="AF30" s="579"/>
      <c r="AG30" s="579">
        <f t="shared" ref="AG30:AJ32" si="21">+$H$165*AG$162</f>
        <v>0</v>
      </c>
      <c r="AH30" s="579">
        <f t="shared" si="21"/>
        <v>0</v>
      </c>
      <c r="AI30" s="579">
        <f t="shared" si="21"/>
        <v>0</v>
      </c>
      <c r="AJ30" s="579">
        <f t="shared" si="21"/>
        <v>0</v>
      </c>
      <c r="AK30" s="568">
        <f t="shared" si="19"/>
        <v>0</v>
      </c>
      <c r="AL30" s="444" t="str">
        <f t="shared" si="20"/>
        <v>CORREGIR</v>
      </c>
    </row>
    <row r="31" spans="1:38" s="568" customFormat="1">
      <c r="A31" s="571"/>
      <c r="B31" s="778" t="s">
        <v>162</v>
      </c>
      <c r="C31" s="354" t="str">
        <f t="shared" si="10"/>
        <v>Auxiliar de Topógrafo</v>
      </c>
      <c r="D31" s="577"/>
      <c r="E31" s="355"/>
      <c r="F31" s="576" t="str">
        <f t="shared" si="11"/>
        <v>hh</v>
      </c>
      <c r="G31" s="780">
        <v>2</v>
      </c>
      <c r="H31" s="581">
        <f>G31/$C$26</f>
        <v>18.823529411764707</v>
      </c>
      <c r="I31" s="726">
        <f t="shared" si="12"/>
        <v>22.311787519762969</v>
      </c>
      <c r="J31" s="726">
        <f t="shared" si="13"/>
        <v>419.99</v>
      </c>
      <c r="K31" s="571"/>
      <c r="L31" s="571"/>
      <c r="M31" s="571" t="str">
        <f t="shared" si="14"/>
        <v>Auxiliar de Topógrafo</v>
      </c>
      <c r="N31" s="572" t="str">
        <f t="shared" si="15"/>
        <v>hh</v>
      </c>
      <c r="O31" s="573">
        <f t="shared" si="16"/>
        <v>538.54</v>
      </c>
      <c r="P31" s="573" t="e">
        <f>J31*#REF!</f>
        <v>#REF!</v>
      </c>
      <c r="Q31" s="574"/>
      <c r="R31" s="574"/>
      <c r="S31" s="571" t="str">
        <f t="shared" si="17"/>
        <v>Auxiliar de Topógrafo</v>
      </c>
      <c r="T31" s="572" t="str">
        <f t="shared" si="18"/>
        <v>hh</v>
      </c>
      <c r="U31" s="573" t="e">
        <f>ROUND(#REF!*$H31,2)</f>
        <v>#REF!</v>
      </c>
      <c r="V31" s="573" t="e">
        <f>ROUND(#REF!*$J31,2)</f>
        <v>#REF!</v>
      </c>
      <c r="X31" s="578">
        <v>103</v>
      </c>
      <c r="Z31" s="579"/>
      <c r="AA31" s="579"/>
      <c r="AB31" s="579"/>
      <c r="AC31" s="579"/>
      <c r="AD31" s="579"/>
      <c r="AE31" s="579"/>
      <c r="AF31" s="579"/>
      <c r="AG31" s="579">
        <f t="shared" si="21"/>
        <v>0</v>
      </c>
      <c r="AH31" s="579">
        <f t="shared" si="21"/>
        <v>0</v>
      </c>
      <c r="AI31" s="579">
        <f t="shared" si="21"/>
        <v>0</v>
      </c>
      <c r="AJ31" s="579">
        <f t="shared" si="21"/>
        <v>0</v>
      </c>
      <c r="AK31" s="568">
        <f t="shared" si="19"/>
        <v>0</v>
      </c>
      <c r="AL31" s="444" t="str">
        <f t="shared" si="20"/>
        <v>CORREGIR</v>
      </c>
    </row>
    <row r="32" spans="1:38" s="568" customFormat="1">
      <c r="A32" s="571"/>
      <c r="B32" s="778" t="s">
        <v>168</v>
      </c>
      <c r="C32" s="354" t="str">
        <f t="shared" si="10"/>
        <v>Peón</v>
      </c>
      <c r="D32" s="577"/>
      <c r="E32" s="355"/>
      <c r="F32" s="576" t="str">
        <f t="shared" si="11"/>
        <v>hh</v>
      </c>
      <c r="G32" s="780">
        <v>2</v>
      </c>
      <c r="H32" s="581">
        <f>G32/$C$26</f>
        <v>18.823529411764707</v>
      </c>
      <c r="I32" s="726">
        <f t="shared" si="12"/>
        <v>19.679802166702849</v>
      </c>
      <c r="J32" s="726">
        <f t="shared" si="13"/>
        <v>370.44</v>
      </c>
      <c r="K32" s="571"/>
      <c r="L32" s="571"/>
      <c r="M32" s="571" t="str">
        <f t="shared" si="14"/>
        <v>Peón</v>
      </c>
      <c r="N32" s="572" t="str">
        <f t="shared" si="15"/>
        <v>hh</v>
      </c>
      <c r="O32" s="573">
        <f t="shared" si="16"/>
        <v>538.54</v>
      </c>
      <c r="P32" s="573" t="e">
        <f>J32*#REF!</f>
        <v>#REF!</v>
      </c>
      <c r="Q32" s="574"/>
      <c r="R32" s="574"/>
      <c r="S32" s="571" t="str">
        <f t="shared" si="17"/>
        <v>Peón</v>
      </c>
      <c r="T32" s="572" t="str">
        <f t="shared" si="18"/>
        <v>hh</v>
      </c>
      <c r="U32" s="573" t="e">
        <f>ROUND(#REF!*$H32,2)</f>
        <v>#REF!</v>
      </c>
      <c r="V32" s="573" t="e">
        <f>ROUND(#REF!*$J32,2)</f>
        <v>#REF!</v>
      </c>
      <c r="X32" s="578">
        <v>103</v>
      </c>
      <c r="Z32" s="579"/>
      <c r="AA32" s="579"/>
      <c r="AB32" s="579"/>
      <c r="AC32" s="579"/>
      <c r="AD32" s="579"/>
      <c r="AE32" s="579"/>
      <c r="AF32" s="579"/>
      <c r="AG32" s="579">
        <f t="shared" si="21"/>
        <v>0</v>
      </c>
      <c r="AH32" s="579">
        <f t="shared" si="21"/>
        <v>0</v>
      </c>
      <c r="AI32" s="579">
        <f t="shared" si="21"/>
        <v>0</v>
      </c>
      <c r="AJ32" s="579">
        <f t="shared" si="21"/>
        <v>0</v>
      </c>
      <c r="AK32" s="568">
        <f t="shared" si="19"/>
        <v>0</v>
      </c>
      <c r="AL32" s="444" t="str">
        <f t="shared" si="20"/>
        <v>CORREGIR</v>
      </c>
    </row>
    <row r="33" spans="1:54" s="568" customFormat="1">
      <c r="A33" s="571"/>
      <c r="B33" s="603"/>
      <c r="C33" s="346"/>
      <c r="D33" s="348"/>
      <c r="E33" s="348"/>
      <c r="F33" s="349"/>
      <c r="G33" s="351"/>
      <c r="H33" s="448"/>
      <c r="I33" s="448"/>
      <c r="J33" s="449">
        <f>SUM(J29:J32)</f>
        <v>1532.14</v>
      </c>
      <c r="K33" s="571"/>
      <c r="L33" s="571"/>
      <c r="M33" s="571"/>
      <c r="N33" s="572"/>
      <c r="O33" s="573"/>
      <c r="P33" s="573"/>
      <c r="Q33" s="574"/>
      <c r="R33" s="574"/>
      <c r="S33" s="571"/>
      <c r="T33" s="572"/>
      <c r="U33" s="573"/>
      <c r="V33" s="573"/>
      <c r="X33" s="578"/>
      <c r="Z33" s="579"/>
      <c r="AA33" s="579"/>
      <c r="AB33" s="579"/>
      <c r="AC33" s="579"/>
      <c r="AD33" s="579"/>
      <c r="AE33" s="579"/>
      <c r="AF33" s="579"/>
      <c r="AG33" s="579"/>
      <c r="AH33" s="579"/>
      <c r="AI33" s="579"/>
      <c r="AJ33" s="579"/>
    </row>
    <row r="34" spans="1:54" s="568" customFormat="1">
      <c r="A34" s="302" t="str">
        <f>CONCATENATE(A25,L34)</f>
        <v>10192(D)</v>
      </c>
      <c r="B34" s="450" t="s">
        <v>34</v>
      </c>
      <c r="C34" s="303"/>
      <c r="D34" s="304"/>
      <c r="E34" s="305"/>
      <c r="F34" s="306"/>
      <c r="G34" s="307"/>
      <c r="H34" s="308"/>
      <c r="I34" s="320"/>
      <c r="J34" s="451"/>
      <c r="K34" s="300">
        <f>SUM(J36:J37)</f>
        <v>406.96000000000004</v>
      </c>
      <c r="L34" s="293" t="s">
        <v>35</v>
      </c>
      <c r="M34" s="571"/>
      <c r="N34" s="572"/>
      <c r="O34" s="573"/>
      <c r="P34" s="573"/>
      <c r="Q34" s="574"/>
      <c r="R34" s="574"/>
      <c r="S34" s="571"/>
      <c r="T34" s="572"/>
      <c r="U34" s="573"/>
      <c r="V34" s="573"/>
      <c r="X34" s="578">
        <v>103</v>
      </c>
      <c r="Z34" s="579"/>
      <c r="AA34" s="579"/>
      <c r="AB34" s="579"/>
      <c r="AC34" s="579"/>
      <c r="AD34" s="579"/>
      <c r="AE34" s="579"/>
      <c r="AF34" s="579"/>
      <c r="AG34" s="579"/>
      <c r="AH34" s="579"/>
      <c r="AI34" s="579"/>
      <c r="AJ34" s="579"/>
    </row>
    <row r="35" spans="1:54" s="568" customFormat="1">
      <c r="A35" s="571"/>
      <c r="B35" s="778" t="s">
        <v>200</v>
      </c>
      <c r="C35" s="354" t="str">
        <f t="shared" ref="C35:C37" si="22">VLOOKUP($B35,Recursos,2,FALSE)</f>
        <v>Estación total</v>
      </c>
      <c r="D35" s="577"/>
      <c r="E35" s="355"/>
      <c r="F35" s="576" t="str">
        <f t="shared" ref="F35:F37" si="23">VLOOKUP($B35,Recursos,3,FALSE)</f>
        <v>hm</v>
      </c>
      <c r="G35" s="781">
        <v>0.25</v>
      </c>
      <c r="H35" s="581">
        <f t="shared" ref="H35:H36" si="24">G35/$C$26</f>
        <v>2.3529411764705883</v>
      </c>
      <c r="I35" s="726">
        <f>VLOOKUP($B35,Recursos,4,FALSE)</f>
        <v>11.399999999999999</v>
      </c>
      <c r="J35" s="726">
        <f t="shared" ref="J35" si="25">ROUND(H35*I35,2)</f>
        <v>26.82</v>
      </c>
      <c r="K35" s="571"/>
      <c r="L35" s="571"/>
      <c r="M35" s="571" t="str">
        <f t="shared" ref="M35:M37" si="26">$C35</f>
        <v>Estación total</v>
      </c>
      <c r="N35" s="572" t="str">
        <f t="shared" ref="N35:N37" si="27">$F35</f>
        <v>hm</v>
      </c>
      <c r="O35" s="573">
        <f t="shared" ref="O35:O36" si="28">ROUND($M$26*$H35,2)</f>
        <v>67.319999999999993</v>
      </c>
      <c r="P35" s="573" t="e">
        <f>J35*#REF!</f>
        <v>#REF!</v>
      </c>
      <c r="Q35" s="574"/>
      <c r="R35" s="574"/>
      <c r="S35" s="571" t="str">
        <f t="shared" ref="S35:S37" si="29">$C35</f>
        <v>Estación total</v>
      </c>
      <c r="T35" s="572" t="str">
        <f t="shared" ref="T35:T37" si="30">$F35</f>
        <v>hm</v>
      </c>
      <c r="U35" s="573" t="e">
        <f>ROUND(#REF!*$H35,2)</f>
        <v>#REF!</v>
      </c>
      <c r="V35" s="573" t="e">
        <f>ROUND(#REF!*$J35,2)</f>
        <v>#REF!</v>
      </c>
      <c r="X35" s="578">
        <v>103</v>
      </c>
      <c r="Z35" s="579"/>
      <c r="AA35" s="579"/>
      <c r="AB35" s="579"/>
      <c r="AC35" s="579"/>
      <c r="AD35" s="579"/>
      <c r="AE35" s="579"/>
      <c r="AF35" s="579"/>
      <c r="AG35" s="579">
        <f t="shared" ref="AG35:AJ36" si="31">+$H$169*AG$162</f>
        <v>0</v>
      </c>
      <c r="AH35" s="579">
        <f t="shared" si="31"/>
        <v>0</v>
      </c>
      <c r="AI35" s="579">
        <f t="shared" si="31"/>
        <v>0</v>
      </c>
      <c r="AJ35" s="579">
        <f t="shared" si="31"/>
        <v>0</v>
      </c>
      <c r="AK35" s="568">
        <f t="shared" ref="AK35" si="32">SUM(Z35:AJ35)</f>
        <v>0</v>
      </c>
      <c r="AL35" s="444" t="str">
        <f t="shared" ref="AL35" si="33">IF(AK35=O35,"OK","CORREGIR")</f>
        <v>CORREGIR</v>
      </c>
    </row>
    <row r="36" spans="1:54" s="568" customFormat="1">
      <c r="A36" s="571"/>
      <c r="B36" s="778" t="s">
        <v>199</v>
      </c>
      <c r="C36" s="354" t="str">
        <f t="shared" si="22"/>
        <v>GPS</v>
      </c>
      <c r="D36" s="577"/>
      <c r="E36" s="355"/>
      <c r="F36" s="576" t="str">
        <f t="shared" si="23"/>
        <v>hm</v>
      </c>
      <c r="G36" s="781">
        <v>0.75</v>
      </c>
      <c r="H36" s="581">
        <f t="shared" si="24"/>
        <v>7.0588235294117645</v>
      </c>
      <c r="I36" s="726">
        <f>VLOOKUP($B36,Recursos,4,FALSE)</f>
        <v>46.8</v>
      </c>
      <c r="J36" s="726">
        <f t="shared" ref="J36:J37" si="34">ROUND(H36*I36,2)</f>
        <v>330.35</v>
      </c>
      <c r="K36" s="571"/>
      <c r="L36" s="571"/>
      <c r="M36" s="571" t="str">
        <f t="shared" si="26"/>
        <v>GPS</v>
      </c>
      <c r="N36" s="572" t="str">
        <f t="shared" si="27"/>
        <v>hm</v>
      </c>
      <c r="O36" s="573">
        <f t="shared" si="28"/>
        <v>201.95</v>
      </c>
      <c r="P36" s="573" t="e">
        <f>J36*#REF!</f>
        <v>#REF!</v>
      </c>
      <c r="Q36" s="574"/>
      <c r="R36" s="574"/>
      <c r="S36" s="571" t="str">
        <f t="shared" si="29"/>
        <v>GPS</v>
      </c>
      <c r="T36" s="572" t="str">
        <f t="shared" si="30"/>
        <v>hm</v>
      </c>
      <c r="U36" s="573" t="e">
        <f>ROUND(#REF!*$H36,2)</f>
        <v>#REF!</v>
      </c>
      <c r="V36" s="573" t="e">
        <f>ROUND(#REF!*$J36,2)</f>
        <v>#REF!</v>
      </c>
      <c r="X36" s="578">
        <v>103</v>
      </c>
      <c r="Z36" s="579"/>
      <c r="AA36" s="579"/>
      <c r="AB36" s="579"/>
      <c r="AC36" s="579"/>
      <c r="AD36" s="579"/>
      <c r="AE36" s="579"/>
      <c r="AF36" s="579"/>
      <c r="AG36" s="579">
        <f t="shared" si="31"/>
        <v>0</v>
      </c>
      <c r="AH36" s="579">
        <f t="shared" si="31"/>
        <v>0</v>
      </c>
      <c r="AI36" s="579">
        <f t="shared" si="31"/>
        <v>0</v>
      </c>
      <c r="AJ36" s="579">
        <f t="shared" si="31"/>
        <v>0</v>
      </c>
      <c r="AK36" s="568">
        <f t="shared" ref="AK36" si="35">SUM(Z36:AJ36)</f>
        <v>0</v>
      </c>
      <c r="AL36" s="444" t="str">
        <f t="shared" ref="AL36" si="36">IF(AK36=O36,"OK","CORREGIR")</f>
        <v>CORREGIR</v>
      </c>
    </row>
    <row r="37" spans="1:54" s="568" customFormat="1">
      <c r="A37" s="571"/>
      <c r="B37" s="582" t="s">
        <v>216</v>
      </c>
      <c r="C37" s="354" t="str">
        <f t="shared" si="22"/>
        <v>Herramientas (% Mano Obra)</v>
      </c>
      <c r="D37" s="577"/>
      <c r="E37" s="355"/>
      <c r="F37" s="576" t="str">
        <f t="shared" si="23"/>
        <v>%</v>
      </c>
      <c r="G37" s="727"/>
      <c r="H37" s="321">
        <v>0.05</v>
      </c>
      <c r="I37" s="726">
        <f>J33</f>
        <v>1532.14</v>
      </c>
      <c r="J37" s="726">
        <f t="shared" si="34"/>
        <v>76.61</v>
      </c>
      <c r="K37" s="571"/>
      <c r="L37" s="571"/>
      <c r="M37" s="571" t="str">
        <f t="shared" si="26"/>
        <v>Herramientas (% Mano Obra)</v>
      </c>
      <c r="N37" s="572" t="str">
        <f t="shared" si="27"/>
        <v>%</v>
      </c>
      <c r="O37" s="573"/>
      <c r="P37" s="573" t="e">
        <f>J37*#REF!</f>
        <v>#REF!</v>
      </c>
      <c r="Q37" s="574"/>
      <c r="R37" s="574"/>
      <c r="S37" s="571" t="str">
        <f t="shared" si="29"/>
        <v>Herramientas (% Mano Obra)</v>
      </c>
      <c r="T37" s="572" t="str">
        <f t="shared" si="30"/>
        <v>%</v>
      </c>
      <c r="U37" s="573" t="e">
        <f>ROUND(#REF!*$H37,2)</f>
        <v>#REF!</v>
      </c>
      <c r="V37" s="573" t="e">
        <f>ROUND(#REF!*$J37,2)</f>
        <v>#REF!</v>
      </c>
      <c r="X37" s="578">
        <v>103</v>
      </c>
      <c r="Z37" s="579"/>
      <c r="AA37" s="580"/>
      <c r="AB37" s="580"/>
    </row>
    <row r="38" spans="1:54" s="568" customFormat="1">
      <c r="A38" s="571"/>
      <c r="B38" s="602"/>
      <c r="C38" s="346"/>
      <c r="D38" s="348"/>
      <c r="E38" s="348"/>
      <c r="F38" s="349"/>
      <c r="G38" s="351"/>
      <c r="H38" s="353"/>
      <c r="I38" s="331"/>
      <c r="J38" s="326">
        <f>K34</f>
        <v>406.96000000000004</v>
      </c>
      <c r="K38" s="305"/>
      <c r="L38" s="305"/>
      <c r="M38" s="305"/>
      <c r="N38" s="301"/>
      <c r="O38" s="309"/>
      <c r="P38" s="309"/>
      <c r="Q38" s="574"/>
      <c r="R38" s="574"/>
      <c r="S38" s="305"/>
      <c r="T38" s="301"/>
      <c r="U38" s="309"/>
      <c r="V38" s="309"/>
      <c r="X38" s="578">
        <v>-3</v>
      </c>
      <c r="Y38" s="444"/>
      <c r="Z38" s="445"/>
      <c r="AA38" s="446"/>
      <c r="AB38" s="446"/>
    </row>
    <row r="39" spans="1:54" s="568" customFormat="1">
      <c r="A39" s="571"/>
      <c r="B39" s="604"/>
      <c r="C39" s="303"/>
      <c r="D39" s="305"/>
      <c r="E39" s="305"/>
      <c r="F39" s="301"/>
      <c r="G39" s="310"/>
      <c r="H39" s="309"/>
      <c r="I39" s="323"/>
      <c r="J39" s="324"/>
      <c r="K39" s="305"/>
      <c r="L39" s="305"/>
      <c r="M39" s="305"/>
      <c r="N39" s="301"/>
      <c r="O39" s="309"/>
      <c r="P39" s="309"/>
      <c r="Q39" s="574"/>
      <c r="R39" s="574"/>
      <c r="S39" s="305"/>
      <c r="T39" s="301"/>
      <c r="U39" s="309"/>
      <c r="V39" s="309"/>
      <c r="X39" s="578"/>
      <c r="Y39" s="444"/>
      <c r="Z39" s="445"/>
      <c r="AA39" s="446"/>
      <c r="AB39" s="446"/>
      <c r="AC39" s="444"/>
      <c r="AD39" s="444"/>
      <c r="AE39" s="444"/>
      <c r="AF39" s="444"/>
      <c r="AG39" s="445"/>
      <c r="AH39" s="445"/>
      <c r="AI39" s="445"/>
      <c r="AJ39" s="445"/>
      <c r="AK39" s="444"/>
      <c r="AL39" s="444"/>
      <c r="AM39" s="444"/>
      <c r="AN39" s="444"/>
      <c r="AO39" s="444"/>
      <c r="AP39" s="444"/>
      <c r="AQ39" s="444"/>
      <c r="AR39" s="444"/>
      <c r="AS39" s="444"/>
      <c r="AT39" s="444"/>
      <c r="AU39" s="444"/>
      <c r="AV39" s="444"/>
      <c r="AW39" s="444"/>
      <c r="AX39" s="444"/>
      <c r="AY39" s="444"/>
      <c r="AZ39" s="444"/>
    </row>
    <row r="40" spans="1:54" s="568" customFormat="1" ht="15" customHeight="1">
      <c r="A40" s="305">
        <v>10197</v>
      </c>
      <c r="B40" s="283" t="s">
        <v>22</v>
      </c>
      <c r="C40" s="335">
        <f>VLOOKUP($A40,PRESUPUESTO_,2,FALSE)</f>
        <v>2.0099999999999998</v>
      </c>
      <c r="D40" s="343" t="str">
        <f>VLOOKUP($A40,PRESUPUESTO_,3,FALSE)</f>
        <v>Roce y Limpieza de Maleza</v>
      </c>
      <c r="E40" s="343"/>
      <c r="F40" s="343"/>
      <c r="G40" s="344"/>
      <c r="H40" s="344"/>
      <c r="I40" s="345"/>
      <c r="J40" s="332"/>
      <c r="K40" s="293">
        <f>SUM(K43:K53)</f>
        <v>3.05</v>
      </c>
      <c r="L40" s="293"/>
      <c r="M40" s="293" t="str">
        <f>D40</f>
        <v>Roce y Limpieza de Maleza</v>
      </c>
      <c r="N40" s="572"/>
      <c r="O40" s="573"/>
      <c r="P40" s="573"/>
      <c r="Q40" s="574"/>
      <c r="R40" s="574"/>
      <c r="S40" s="293" t="str">
        <f>D40</f>
        <v>Roce y Limpieza de Maleza</v>
      </c>
      <c r="T40" s="572"/>
      <c r="U40" s="573"/>
      <c r="V40" s="573"/>
      <c r="X40" s="578">
        <v>103</v>
      </c>
      <c r="Y40" s="437"/>
      <c r="Z40" s="1006" t="s">
        <v>910</v>
      </c>
      <c r="AA40" s="1007"/>
      <c r="AB40" s="1007"/>
      <c r="AC40" s="1007"/>
      <c r="AD40" s="1007"/>
      <c r="AE40" s="1007"/>
      <c r="AF40" s="1007"/>
      <c r="AG40" s="1007"/>
      <c r="AH40" s="1007"/>
      <c r="AI40" s="1007"/>
      <c r="AJ40" s="1008"/>
      <c r="AK40" s="1000" t="s">
        <v>911</v>
      </c>
      <c r="AL40" s="1001"/>
      <c r="AM40" s="1001"/>
      <c r="AN40" s="1002"/>
      <c r="AO40" s="1003" t="s">
        <v>912</v>
      </c>
      <c r="AP40" s="1004"/>
      <c r="AQ40" s="1004"/>
      <c r="AR40" s="1004"/>
      <c r="AS40" s="1004"/>
      <c r="AT40" s="1004"/>
      <c r="AU40" s="1004"/>
      <c r="AV40" s="1004"/>
      <c r="AW40" s="1004"/>
      <c r="AX40" s="1005"/>
      <c r="AY40" s="1003" t="s">
        <v>913</v>
      </c>
      <c r="AZ40" s="1005"/>
    </row>
    <row r="41" spans="1:54" s="568" customFormat="1" ht="15.6">
      <c r="A41" s="292"/>
      <c r="B41" s="337" t="s">
        <v>23</v>
      </c>
      <c r="C41" s="346">
        <f>VLOOKUP($A40,RENDIMIENTO,5,FALSE)</f>
        <v>350</v>
      </c>
      <c r="D41" s="347" t="str">
        <f>VLOOKUP($A40,RENDIMIENTO,4,FALSE)</f>
        <v>m2</v>
      </c>
      <c r="E41" s="348" t="s">
        <v>646</v>
      </c>
      <c r="F41" s="349"/>
      <c r="G41" s="327"/>
      <c r="H41" s="328" t="s">
        <v>24</v>
      </c>
      <c r="I41" s="438">
        <f>K40</f>
        <v>3.05</v>
      </c>
      <c r="J41" s="325" t="str">
        <f>VLOOKUP($A40,RENDIMIENTO,4,FALSE)</f>
        <v>m2</v>
      </c>
      <c r="K41" s="298"/>
      <c r="L41" s="298">
        <f>M41/(C41*8)</f>
        <v>3.0653571428571427</v>
      </c>
      <c r="M41" s="318">
        <f>VLOOKUP(A40,PRESUPUESTO_,5,FALSE)</f>
        <v>8583</v>
      </c>
      <c r="N41" s="299" t="e">
        <v>#N/A</v>
      </c>
      <c r="O41" s="300" t="s">
        <v>27</v>
      </c>
      <c r="P41" s="300" t="e">
        <f>SUM(P44:P52)</f>
        <v>#REF!</v>
      </c>
      <c r="Q41" s="300">
        <f>VLOOKUP(A40,PRESUPUESTO_,10,FALSE)</f>
        <v>26178.15</v>
      </c>
      <c r="R41" s="572" t="e">
        <f>IF(Q41&lt;&gt;P41,"ver","ok")</f>
        <v>#REF!</v>
      </c>
      <c r="S41" s="293" t="e">
        <v>#N/A</v>
      </c>
      <c r="T41" s="299" t="e">
        <v>#N/A</v>
      </c>
      <c r="U41" s="300" t="s">
        <v>27</v>
      </c>
      <c r="V41" s="300" t="e">
        <f>SUM(#REF!)</f>
        <v>#REF!</v>
      </c>
      <c r="X41" s="578">
        <v>103</v>
      </c>
      <c r="Y41" s="439"/>
      <c r="Z41" s="763" t="s">
        <v>708</v>
      </c>
      <c r="AA41" s="764" t="s">
        <v>709</v>
      </c>
      <c r="AB41" s="764" t="s">
        <v>710</v>
      </c>
      <c r="AC41" s="765" t="s">
        <v>711</v>
      </c>
      <c r="AD41" s="765" t="s">
        <v>712</v>
      </c>
      <c r="AE41" s="765" t="s">
        <v>713</v>
      </c>
      <c r="AF41" s="765" t="s">
        <v>714</v>
      </c>
      <c r="AG41" s="765" t="s">
        <v>715</v>
      </c>
      <c r="AH41" s="765" t="s">
        <v>716</v>
      </c>
      <c r="AI41" s="765" t="s">
        <v>717</v>
      </c>
      <c r="AJ41" s="766" t="s">
        <v>718</v>
      </c>
      <c r="AK41" s="767" t="s">
        <v>715</v>
      </c>
      <c r="AL41" s="764" t="s">
        <v>716</v>
      </c>
      <c r="AM41" s="764" t="s">
        <v>717</v>
      </c>
      <c r="AN41" s="768" t="s">
        <v>718</v>
      </c>
      <c r="AO41" s="767" t="s">
        <v>900</v>
      </c>
      <c r="AP41" s="764" t="s">
        <v>901</v>
      </c>
      <c r="AQ41" s="764" t="s">
        <v>902</v>
      </c>
      <c r="AR41" s="764" t="s">
        <v>903</v>
      </c>
      <c r="AS41" s="764" t="s">
        <v>904</v>
      </c>
      <c r="AT41" s="764" t="s">
        <v>905</v>
      </c>
      <c r="AU41" s="764" t="s">
        <v>906</v>
      </c>
      <c r="AV41" s="764" t="s">
        <v>907</v>
      </c>
      <c r="AW41" s="764" t="s">
        <v>908</v>
      </c>
      <c r="AX41" s="768" t="s">
        <v>909</v>
      </c>
      <c r="AY41" s="767" t="s">
        <v>914</v>
      </c>
      <c r="AZ41" s="768" t="s">
        <v>915</v>
      </c>
    </row>
    <row r="42" spans="1:54" s="568" customFormat="1" ht="23.25" customHeight="1">
      <c r="A42" s="572"/>
      <c r="B42" s="333" t="s">
        <v>28</v>
      </c>
      <c r="C42" s="329" t="s">
        <v>25</v>
      </c>
      <c r="D42" s="350"/>
      <c r="E42" s="330"/>
      <c r="F42" s="330" t="s">
        <v>15</v>
      </c>
      <c r="G42" s="336" t="s">
        <v>26</v>
      </c>
      <c r="H42" s="336" t="s">
        <v>3</v>
      </c>
      <c r="I42" s="336" t="s">
        <v>29</v>
      </c>
      <c r="J42" s="336" t="s">
        <v>30</v>
      </c>
      <c r="K42" s="576" t="s">
        <v>2</v>
      </c>
      <c r="L42" s="301"/>
      <c r="M42" s="349" t="s">
        <v>1</v>
      </c>
      <c r="N42" s="349" t="s">
        <v>15</v>
      </c>
      <c r="O42" s="351" t="s">
        <v>31</v>
      </c>
      <c r="P42" s="351" t="s">
        <v>32</v>
      </c>
      <c r="Q42" s="574"/>
      <c r="R42" s="574"/>
      <c r="S42" s="349" t="s">
        <v>1</v>
      </c>
      <c r="T42" s="349" t="s">
        <v>15</v>
      </c>
      <c r="U42" s="351" t="s">
        <v>31</v>
      </c>
      <c r="V42" s="351" t="s">
        <v>32</v>
      </c>
      <c r="X42" s="578">
        <v>103</v>
      </c>
      <c r="Y42" s="442"/>
      <c r="Z42" s="769" t="e">
        <f>+'[4]1.9 Duration'!#REF!</f>
        <v>#REF!</v>
      </c>
      <c r="AA42" s="443" t="e">
        <f>+'[4]1.9 Duration'!#REF!</f>
        <v>#REF!</v>
      </c>
      <c r="AB42" s="443" t="e">
        <f>+'[4]1.9 Duration'!#REF!</f>
        <v>#REF!</v>
      </c>
      <c r="AC42" s="444" t="e">
        <f>+'[4]1.9 Duration'!#REF!</f>
        <v>#REF!</v>
      </c>
      <c r="AD42" s="444" t="e">
        <f>+'[4]1.9 Duration'!#REF!</f>
        <v>#REF!</v>
      </c>
      <c r="AE42" s="444" t="e">
        <f>+'[4]1.9 Duration'!#REF!</f>
        <v>#REF!</v>
      </c>
      <c r="AF42" s="444" t="e">
        <f>+'[4]1.9 Duration'!#REF!</f>
        <v>#REF!</v>
      </c>
      <c r="AG42" s="444" t="e">
        <f>+'[4]1.9 Duration'!#REF!</f>
        <v>#REF!</v>
      </c>
      <c r="AH42" s="444" t="e">
        <f>+'[4]1.9 Duration'!#REF!</f>
        <v>#REF!</v>
      </c>
      <c r="AI42" s="444" t="e">
        <f>+'[4]1.9 Duration'!#REF!</f>
        <v>#REF!</v>
      </c>
      <c r="AJ42" s="731" t="e">
        <f>+'[4]1.9 Duration'!#REF!</f>
        <v>#REF!</v>
      </c>
      <c r="AK42" s="733" t="e">
        <f>'[4]1.9 Duration'!#REF!</f>
        <v>#REF!</v>
      </c>
      <c r="AL42" s="444" t="e">
        <f>'[4]1.9 Duration'!#REF!</f>
        <v>#REF!</v>
      </c>
      <c r="AM42" s="444" t="e">
        <f>'[4]1.9 Duration'!#REF!</f>
        <v>#REF!</v>
      </c>
      <c r="AN42" s="731" t="e">
        <f>'[4]1.9 Duration'!#REF!</f>
        <v>#REF!</v>
      </c>
      <c r="AO42" s="733" t="e">
        <f>+'[4]1.9 Duration'!#REF!</f>
        <v>#REF!</v>
      </c>
      <c r="AP42" s="444" t="e">
        <f>+'[4]1.9 Duration'!#REF!</f>
        <v>#REF!</v>
      </c>
      <c r="AQ42" s="444" t="e">
        <f>+'[4]1.9 Duration'!#REF!</f>
        <v>#REF!</v>
      </c>
      <c r="AR42" s="444" t="e">
        <f>+'[4]1.9 Duration'!#REF!</f>
        <v>#REF!</v>
      </c>
      <c r="AS42" s="444" t="e">
        <f>+'[4]1.9 Duration'!#REF!</f>
        <v>#REF!</v>
      </c>
      <c r="AT42" s="444">
        <f>+'[4]1.9 Duration'!F4</f>
        <v>0</v>
      </c>
      <c r="AU42" s="444">
        <f>+'[4]1.9 Duration'!F8</f>
        <v>4</v>
      </c>
      <c r="AV42" s="444">
        <f>+'[4]1.9 Duration'!F12</f>
        <v>1</v>
      </c>
      <c r="AW42" s="444">
        <f>+'[4]1.9 Duration'!F16</f>
        <v>2</v>
      </c>
      <c r="AX42" s="731">
        <f>+'[4]1.9 Duration'!F20</f>
        <v>65237.64219102684</v>
      </c>
      <c r="AY42" s="733">
        <f>+'[4]1.9 Duration'!F80</f>
        <v>27538.366166454529</v>
      </c>
      <c r="AZ42" s="731">
        <f>+'[4]1.9 Duration'!F84</f>
        <v>13922.23478589204</v>
      </c>
    </row>
    <row r="43" spans="1:54" s="568" customFormat="1">
      <c r="A43" s="302" t="str">
        <f>CONCATENATE(A40,L43)</f>
        <v>10197(C)</v>
      </c>
      <c r="B43" s="352" t="s">
        <v>0</v>
      </c>
      <c r="C43" s="338"/>
      <c r="D43" s="577"/>
      <c r="E43" s="577"/>
      <c r="F43" s="349"/>
      <c r="G43" s="351"/>
      <c r="H43" s="353"/>
      <c r="I43" s="353"/>
      <c r="J43" s="334"/>
      <c r="K43" s="322">
        <f>+J47</f>
        <v>0.62</v>
      </c>
      <c r="L43" s="293" t="s">
        <v>33</v>
      </c>
      <c r="M43" s="571"/>
      <c r="N43" s="572"/>
      <c r="O43" s="573"/>
      <c r="P43" s="573"/>
      <c r="Q43" s="574"/>
      <c r="R43" s="574"/>
      <c r="S43" s="571"/>
      <c r="T43" s="572"/>
      <c r="U43" s="573"/>
      <c r="V43" s="573"/>
      <c r="X43" s="578">
        <v>103</v>
      </c>
      <c r="Z43" s="730"/>
      <c r="AA43" s="446"/>
      <c r="AB43" s="446"/>
      <c r="AC43" s="444"/>
      <c r="AD43" s="444"/>
      <c r="AE43" s="444"/>
      <c r="AF43" s="444"/>
      <c r="AG43" s="444"/>
      <c r="AH43" s="444"/>
      <c r="AI43" s="444"/>
      <c r="AJ43" s="731"/>
      <c r="AK43" s="730"/>
      <c r="AL43" s="445"/>
      <c r="AM43" s="445"/>
      <c r="AN43" s="732"/>
      <c r="AO43" s="733"/>
      <c r="AP43" s="444"/>
      <c r="AQ43" s="444"/>
      <c r="AR43" s="444"/>
      <c r="AS43" s="444"/>
      <c r="AT43" s="444"/>
      <c r="AU43" s="444"/>
      <c r="AV43" s="444"/>
      <c r="AW43" s="444"/>
      <c r="AX43" s="731"/>
      <c r="AY43" s="733"/>
      <c r="AZ43" s="731"/>
    </row>
    <row r="44" spans="1:54" s="568" customFormat="1">
      <c r="A44" s="571"/>
      <c r="B44" s="582" t="s">
        <v>158</v>
      </c>
      <c r="C44" s="354" t="str">
        <f t="shared" ref="C44:C46" si="37">VLOOKUP($B44,Recursos,2,FALSE)</f>
        <v>Capataz</v>
      </c>
      <c r="D44" s="577"/>
      <c r="E44" s="355"/>
      <c r="F44" s="576" t="str">
        <f>VLOOKUP($B44,Recursos,3,FALSE)</f>
        <v>hh</v>
      </c>
      <c r="G44" s="575">
        <v>1</v>
      </c>
      <c r="H44" s="581">
        <f>ROUNDUP(G44/$C$41,4)</f>
        <v>2.8999999999999998E-3</v>
      </c>
      <c r="I44" s="726">
        <f t="shared" ref="I44:I46" si="38">VLOOKUP($B44,Recursos,4,FALSE)</f>
        <v>29.540832570012501</v>
      </c>
      <c r="J44" s="726">
        <f t="shared" ref="J44:J46" si="39">ROUND(H44*I44,2)</f>
        <v>0.09</v>
      </c>
      <c r="K44" s="571"/>
      <c r="L44" s="571"/>
      <c r="M44" s="571" t="str">
        <f t="shared" ref="M44:M46" si="40">$C44</f>
        <v>Capataz</v>
      </c>
      <c r="N44" s="572" t="str">
        <f t="shared" ref="N44:N46" si="41">$F44</f>
        <v>hh</v>
      </c>
      <c r="O44" s="573">
        <f>ROUND($M$41*$H44,2)</f>
        <v>24.89</v>
      </c>
      <c r="P44" s="573" t="e">
        <f>J44*#REF!</f>
        <v>#REF!</v>
      </c>
      <c r="Q44" s="574"/>
      <c r="R44" s="574"/>
      <c r="S44" s="571" t="str">
        <f t="shared" ref="S44:S46" si="42">$C44</f>
        <v>Capataz</v>
      </c>
      <c r="T44" s="572" t="str">
        <f t="shared" ref="T44:T46" si="43">$F44</f>
        <v>hh</v>
      </c>
      <c r="U44" s="573" t="e">
        <f>ROUND(#REF!*$H44,2)</f>
        <v>#REF!</v>
      </c>
      <c r="V44" s="573" t="e">
        <f>ROUND(#REF!*$J44,2)</f>
        <v>#REF!</v>
      </c>
      <c r="X44" s="578">
        <v>103</v>
      </c>
      <c r="Z44" s="730" t="e">
        <f>+$H44*#REF!</f>
        <v>#REF!</v>
      </c>
      <c r="AA44" s="446" t="e">
        <f>+$H44*#REF!</f>
        <v>#REF!</v>
      </c>
      <c r="AB44" s="446" t="e">
        <f>+$H44*#REF!</f>
        <v>#REF!</v>
      </c>
      <c r="AC44" s="444" t="e">
        <f>+$H44*#REF!</f>
        <v>#REF!</v>
      </c>
      <c r="AD44" s="444" t="e">
        <f>+$H44*#REF!</f>
        <v>#REF!</v>
      </c>
      <c r="AE44" s="444" t="e">
        <f>+$H44*#REF!</f>
        <v>#REF!</v>
      </c>
      <c r="AF44" s="444" t="e">
        <f>+$H44*#REF!</f>
        <v>#REF!</v>
      </c>
      <c r="AG44" s="444" t="e">
        <f>+$H44*#REF!</f>
        <v>#REF!</v>
      </c>
      <c r="AH44" s="444" t="e">
        <f>+$H44*#REF!</f>
        <v>#REF!</v>
      </c>
      <c r="AI44" s="444" t="e">
        <f>+$H44*#REF!</f>
        <v>#REF!</v>
      </c>
      <c r="AJ44" s="731" t="e">
        <f>+$H44*#REF!</f>
        <v>#REF!</v>
      </c>
      <c r="AK44" s="730" t="e">
        <f>+$H44*#REF!</f>
        <v>#REF!</v>
      </c>
      <c r="AL44" s="445" t="e">
        <f>+$H44*#REF!</f>
        <v>#REF!</v>
      </c>
      <c r="AM44" s="445" t="e">
        <f>+$H44*#REF!</f>
        <v>#REF!</v>
      </c>
      <c r="AN44" s="732" t="e">
        <f>+$H44*#REF!</f>
        <v>#REF!</v>
      </c>
      <c r="AO44" s="733" t="e">
        <f>+$H44*#REF!</f>
        <v>#REF!</v>
      </c>
      <c r="AP44" s="444" t="e">
        <f>+$H44*#REF!</f>
        <v>#REF!</v>
      </c>
      <c r="AQ44" s="444" t="e">
        <f>+$H44*#REF!</f>
        <v>#REF!</v>
      </c>
      <c r="AR44" s="444" t="e">
        <f>+$H44*#REF!</f>
        <v>#REF!</v>
      </c>
      <c r="AS44" s="444" t="e">
        <f>+$H44*#REF!</f>
        <v>#REF!</v>
      </c>
      <c r="AT44" s="444" t="e">
        <f>+$H44*#REF!</f>
        <v>#REF!</v>
      </c>
      <c r="AU44" s="444" t="e">
        <f>+$H44*#REF!</f>
        <v>#REF!</v>
      </c>
      <c r="AV44" s="444" t="e">
        <f>+$H44*#REF!</f>
        <v>#REF!</v>
      </c>
      <c r="AW44" s="444" t="e">
        <f>+$H44*#REF!</f>
        <v>#REF!</v>
      </c>
      <c r="AX44" s="731" t="e">
        <f>+$H44*#REF!</f>
        <v>#REF!</v>
      </c>
      <c r="AY44" s="733" t="e">
        <f>+$H44*#REF!</f>
        <v>#REF!</v>
      </c>
      <c r="AZ44" s="731" t="e">
        <f>+$H44*#REF!</f>
        <v>#REF!</v>
      </c>
      <c r="BA44" s="444" t="e">
        <f>SUM(Z44:AZ44)</f>
        <v>#REF!</v>
      </c>
      <c r="BB44" s="444" t="e">
        <f>IF(BA44=O44,"OK","CORREGIR")</f>
        <v>#REF!</v>
      </c>
    </row>
    <row r="45" spans="1:54" s="568" customFormat="1">
      <c r="A45" s="571"/>
      <c r="B45" s="582" t="s">
        <v>159</v>
      </c>
      <c r="C45" s="354" t="str">
        <f t="shared" si="37"/>
        <v>Operador de equipo pesado</v>
      </c>
      <c r="D45" s="577"/>
      <c r="E45" s="355"/>
      <c r="F45" s="576" t="str">
        <f>VLOOKUP($B45,Recursos,3,FALSE)</f>
        <v>hh</v>
      </c>
      <c r="G45" s="575">
        <v>5</v>
      </c>
      <c r="H45" s="581">
        <f>ROUNDUP(G45/$C$41,4)</f>
        <v>1.43E-2</v>
      </c>
      <c r="I45" s="726">
        <f t="shared" si="38"/>
        <v>29.046554894442803</v>
      </c>
      <c r="J45" s="726">
        <f t="shared" ref="J45" si="44">ROUND(H45*I45,2)</f>
        <v>0.42</v>
      </c>
      <c r="K45" s="571"/>
      <c r="L45" s="571"/>
      <c r="M45" s="571" t="str">
        <f t="shared" si="40"/>
        <v>Operador de equipo pesado</v>
      </c>
      <c r="N45" s="572" t="str">
        <f t="shared" si="41"/>
        <v>hh</v>
      </c>
      <c r="O45" s="573">
        <f>ROUND($M$41*$H45,2)</f>
        <v>122.74</v>
      </c>
      <c r="P45" s="573" t="e">
        <f>J45*#REF!</f>
        <v>#REF!</v>
      </c>
      <c r="Q45" s="574"/>
      <c r="R45" s="574"/>
      <c r="S45" s="571" t="str">
        <f t="shared" si="42"/>
        <v>Operador de equipo pesado</v>
      </c>
      <c r="T45" s="572" t="str">
        <f t="shared" si="43"/>
        <v>hh</v>
      </c>
      <c r="U45" s="573" t="e">
        <f>ROUND(#REF!*$H45,2)</f>
        <v>#REF!</v>
      </c>
      <c r="V45" s="573" t="e">
        <f>ROUND(#REF!*$J45,2)</f>
        <v>#REF!</v>
      </c>
      <c r="X45" s="578">
        <v>103</v>
      </c>
      <c r="Z45" s="730" t="e">
        <f>+$H45*#REF!</f>
        <v>#REF!</v>
      </c>
      <c r="AA45" s="446" t="e">
        <f>+$H45*#REF!</f>
        <v>#REF!</v>
      </c>
      <c r="AB45" s="446" t="e">
        <f>+$H45*#REF!</f>
        <v>#REF!</v>
      </c>
      <c r="AC45" s="444" t="e">
        <f>+$H45*#REF!</f>
        <v>#REF!</v>
      </c>
      <c r="AD45" s="444" t="e">
        <f>+$H45*#REF!</f>
        <v>#REF!</v>
      </c>
      <c r="AE45" s="444" t="e">
        <f>+$H45*#REF!</f>
        <v>#REF!</v>
      </c>
      <c r="AF45" s="444" t="e">
        <f>+$H45*#REF!</f>
        <v>#REF!</v>
      </c>
      <c r="AG45" s="444" t="e">
        <f>+$H45*#REF!</f>
        <v>#REF!</v>
      </c>
      <c r="AH45" s="444" t="e">
        <f>+$H45*#REF!</f>
        <v>#REF!</v>
      </c>
      <c r="AI45" s="444" t="e">
        <f>+$H45*#REF!</f>
        <v>#REF!</v>
      </c>
      <c r="AJ45" s="731" t="e">
        <f>+$H45*#REF!</f>
        <v>#REF!</v>
      </c>
      <c r="AK45" s="730" t="e">
        <f>+$H45*#REF!</f>
        <v>#REF!</v>
      </c>
      <c r="AL45" s="445" t="e">
        <f>+$H45*#REF!</f>
        <v>#REF!</v>
      </c>
      <c r="AM45" s="445" t="e">
        <f>+$H45*#REF!</f>
        <v>#REF!</v>
      </c>
      <c r="AN45" s="732" t="e">
        <f>+$H45*#REF!</f>
        <v>#REF!</v>
      </c>
      <c r="AO45" s="733" t="e">
        <f>+$H45*#REF!</f>
        <v>#REF!</v>
      </c>
      <c r="AP45" s="444" t="e">
        <f>+$H45*#REF!</f>
        <v>#REF!</v>
      </c>
      <c r="AQ45" s="444" t="e">
        <f>+$H45*#REF!</f>
        <v>#REF!</v>
      </c>
      <c r="AR45" s="444" t="e">
        <f>+$H45*#REF!</f>
        <v>#REF!</v>
      </c>
      <c r="AS45" s="444" t="e">
        <f>+$H45*#REF!</f>
        <v>#REF!</v>
      </c>
      <c r="AT45" s="444" t="e">
        <f>+$H45*#REF!</f>
        <v>#REF!</v>
      </c>
      <c r="AU45" s="444" t="e">
        <f>+$H45*#REF!</f>
        <v>#REF!</v>
      </c>
      <c r="AV45" s="444" t="e">
        <f>+$H45*#REF!</f>
        <v>#REF!</v>
      </c>
      <c r="AW45" s="444" t="e">
        <f>+$H45*#REF!</f>
        <v>#REF!</v>
      </c>
      <c r="AX45" s="731" t="e">
        <f>+$H45*#REF!</f>
        <v>#REF!</v>
      </c>
      <c r="AY45" s="733" t="e">
        <f>+$H45*#REF!</f>
        <v>#REF!</v>
      </c>
      <c r="AZ45" s="731" t="e">
        <f>+$H45*#REF!</f>
        <v>#REF!</v>
      </c>
      <c r="BA45" s="444" t="e">
        <f>SUM(Z45:AZ45)</f>
        <v>#REF!</v>
      </c>
      <c r="BB45" s="444" t="e">
        <f>IF(BA45=O45,"OK","CORREGIR")</f>
        <v>#REF!</v>
      </c>
    </row>
    <row r="46" spans="1:54" s="568" customFormat="1">
      <c r="A46" s="571"/>
      <c r="B46" s="582" t="s">
        <v>170</v>
      </c>
      <c r="C46" s="354" t="str">
        <f t="shared" si="37"/>
        <v>Vigía</v>
      </c>
      <c r="D46" s="577"/>
      <c r="E46" s="355"/>
      <c r="F46" s="576" t="str">
        <f t="shared" ref="F46" si="45">VLOOKUP($B46,Recursos,3,FALSE)</f>
        <v>hh</v>
      </c>
      <c r="G46" s="727">
        <v>2</v>
      </c>
      <c r="H46" s="581">
        <f>ROUNDUP(G46/$C$41,4)</f>
        <v>5.8000000000000005E-3</v>
      </c>
      <c r="I46" s="726">
        <f t="shared" si="38"/>
        <v>19.679802166702849</v>
      </c>
      <c r="J46" s="726">
        <f t="shared" si="39"/>
        <v>0.11</v>
      </c>
      <c r="K46" s="571"/>
      <c r="L46" s="571"/>
      <c r="M46" s="571" t="str">
        <f t="shared" si="40"/>
        <v>Vigía</v>
      </c>
      <c r="N46" s="572" t="str">
        <f t="shared" si="41"/>
        <v>hh</v>
      </c>
      <c r="O46" s="573">
        <f>ROUND($M$41*$H46,2)</f>
        <v>49.78</v>
      </c>
      <c r="P46" s="573" t="e">
        <f>J46*#REF!</f>
        <v>#REF!</v>
      </c>
      <c r="Q46" s="574"/>
      <c r="R46" s="574"/>
      <c r="S46" s="571" t="str">
        <f t="shared" si="42"/>
        <v>Vigía</v>
      </c>
      <c r="T46" s="572" t="str">
        <f t="shared" si="43"/>
        <v>hh</v>
      </c>
      <c r="U46" s="573" t="e">
        <f>ROUND(#REF!*$H46,2)</f>
        <v>#REF!</v>
      </c>
      <c r="V46" s="573" t="e">
        <f>ROUND(#REF!*$J46,2)</f>
        <v>#REF!</v>
      </c>
      <c r="X46" s="578">
        <v>103</v>
      </c>
      <c r="Z46" s="730" t="e">
        <f>+$H46*#REF!</f>
        <v>#REF!</v>
      </c>
      <c r="AA46" s="446" t="e">
        <f>+$H46*#REF!</f>
        <v>#REF!</v>
      </c>
      <c r="AB46" s="446" t="e">
        <f>+$H46*#REF!</f>
        <v>#REF!</v>
      </c>
      <c r="AC46" s="444" t="e">
        <f>+$H46*#REF!</f>
        <v>#REF!</v>
      </c>
      <c r="AD46" s="444" t="e">
        <f>+$H46*#REF!</f>
        <v>#REF!</v>
      </c>
      <c r="AE46" s="444" t="e">
        <f>+$H46*#REF!</f>
        <v>#REF!</v>
      </c>
      <c r="AF46" s="444" t="e">
        <f>+$H46*#REF!</f>
        <v>#REF!</v>
      </c>
      <c r="AG46" s="444" t="e">
        <f>+$H46*#REF!</f>
        <v>#REF!</v>
      </c>
      <c r="AH46" s="444" t="e">
        <f>+$H46*#REF!</f>
        <v>#REF!</v>
      </c>
      <c r="AI46" s="444" t="e">
        <f>+$H46*#REF!</f>
        <v>#REF!</v>
      </c>
      <c r="AJ46" s="731" t="e">
        <f>+$H46*#REF!</f>
        <v>#REF!</v>
      </c>
      <c r="AK46" s="730" t="e">
        <f>+$H46*#REF!</f>
        <v>#REF!</v>
      </c>
      <c r="AL46" s="445" t="e">
        <f>+$H46*#REF!</f>
        <v>#REF!</v>
      </c>
      <c r="AM46" s="445" t="e">
        <f>+$H46*#REF!</f>
        <v>#REF!</v>
      </c>
      <c r="AN46" s="732" t="e">
        <f>+$H46*#REF!</f>
        <v>#REF!</v>
      </c>
      <c r="AO46" s="733" t="e">
        <f>+$H46*#REF!</f>
        <v>#REF!</v>
      </c>
      <c r="AP46" s="444" t="e">
        <f>+$H46*#REF!</f>
        <v>#REF!</v>
      </c>
      <c r="AQ46" s="444" t="e">
        <f>+$H46*#REF!</f>
        <v>#REF!</v>
      </c>
      <c r="AR46" s="444" t="e">
        <f>+$H46*#REF!</f>
        <v>#REF!</v>
      </c>
      <c r="AS46" s="444" t="e">
        <f>+$H46*#REF!</f>
        <v>#REF!</v>
      </c>
      <c r="AT46" s="444" t="e">
        <f>+$H46*#REF!</f>
        <v>#REF!</v>
      </c>
      <c r="AU46" s="444" t="e">
        <f>+$H46*#REF!</f>
        <v>#REF!</v>
      </c>
      <c r="AV46" s="444" t="e">
        <f>+$H46*#REF!</f>
        <v>#REF!</v>
      </c>
      <c r="AW46" s="444" t="e">
        <f>+$H46*#REF!</f>
        <v>#REF!</v>
      </c>
      <c r="AX46" s="731" t="e">
        <f>+$H46*#REF!</f>
        <v>#REF!</v>
      </c>
      <c r="AY46" s="733" t="e">
        <f>+$H46*#REF!</f>
        <v>#REF!</v>
      </c>
      <c r="AZ46" s="731" t="e">
        <f>+$H46*#REF!</f>
        <v>#REF!</v>
      </c>
      <c r="BA46" s="568" t="e">
        <f t="shared" ref="BA46:BA51" si="46">SUM(Z46:AZ46)</f>
        <v>#REF!</v>
      </c>
      <c r="BB46" s="444" t="e">
        <f t="shared" ref="BB46:BB51" si="47">IF(BA46=O46,"OK","CORREGIR")</f>
        <v>#REF!</v>
      </c>
    </row>
    <row r="47" spans="1:54" s="568" customFormat="1">
      <c r="A47" s="571"/>
      <c r="B47" s="603"/>
      <c r="C47" s="346"/>
      <c r="D47" s="348"/>
      <c r="E47" s="348"/>
      <c r="F47" s="349"/>
      <c r="G47" s="351"/>
      <c r="H47" s="448"/>
      <c r="I47" s="448"/>
      <c r="J47" s="449">
        <f>SUM(J44:J46)</f>
        <v>0.62</v>
      </c>
      <c r="K47" s="571"/>
      <c r="L47" s="571"/>
      <c r="M47" s="571"/>
      <c r="N47" s="572"/>
      <c r="O47" s="573"/>
      <c r="P47" s="573"/>
      <c r="Q47" s="574"/>
      <c r="R47" s="574"/>
      <c r="S47" s="571"/>
      <c r="T47" s="572"/>
      <c r="U47" s="573"/>
      <c r="V47" s="573"/>
      <c r="X47" s="578"/>
      <c r="Z47" s="730"/>
      <c r="AA47" s="446"/>
      <c r="AB47" s="446"/>
      <c r="AC47" s="444"/>
      <c r="AD47" s="444"/>
      <c r="AE47" s="444"/>
      <c r="AF47" s="444"/>
      <c r="AG47" s="444"/>
      <c r="AH47" s="444"/>
      <c r="AI47" s="444"/>
      <c r="AJ47" s="731"/>
      <c r="AK47" s="730"/>
      <c r="AL47" s="445"/>
      <c r="AM47" s="445"/>
      <c r="AN47" s="732"/>
      <c r="AO47" s="733"/>
      <c r="AP47" s="444"/>
      <c r="AQ47" s="444"/>
      <c r="AR47" s="444"/>
      <c r="AS47" s="444"/>
      <c r="AT47" s="444"/>
      <c r="AU47" s="444"/>
      <c r="AV47" s="444"/>
      <c r="AW47" s="444"/>
      <c r="AX47" s="731"/>
      <c r="AY47" s="733"/>
      <c r="AZ47" s="731"/>
      <c r="BB47" s="444"/>
    </row>
    <row r="48" spans="1:54" s="568" customFormat="1">
      <c r="A48" s="302" t="str">
        <f>CONCATENATE(A40,L48)</f>
        <v>10197(D)</v>
      </c>
      <c r="B48" s="450" t="s">
        <v>34</v>
      </c>
      <c r="C48" s="303"/>
      <c r="D48" s="304"/>
      <c r="E48" s="305"/>
      <c r="F48" s="306"/>
      <c r="G48" s="307"/>
      <c r="H48" s="308"/>
      <c r="I48" s="320"/>
      <c r="J48" s="451"/>
      <c r="K48" s="300">
        <f>SUM(J49:J52)</f>
        <v>2.4299999999999997</v>
      </c>
      <c r="L48" s="293" t="s">
        <v>35</v>
      </c>
      <c r="M48" s="571"/>
      <c r="N48" s="572"/>
      <c r="O48" s="573"/>
      <c r="P48" s="573"/>
      <c r="Q48" s="574"/>
      <c r="R48" s="574"/>
      <c r="S48" s="571"/>
      <c r="T48" s="572"/>
      <c r="U48" s="573"/>
      <c r="V48" s="573"/>
      <c r="X48" s="578">
        <v>103</v>
      </c>
      <c r="Z48" s="730"/>
      <c r="AA48" s="446"/>
      <c r="AB48" s="446"/>
      <c r="AC48" s="444"/>
      <c r="AD48" s="444"/>
      <c r="AE48" s="444"/>
      <c r="AF48" s="444"/>
      <c r="AG48" s="444"/>
      <c r="AH48" s="444"/>
      <c r="AI48" s="444"/>
      <c r="AJ48" s="731"/>
      <c r="AK48" s="730"/>
      <c r="AL48" s="445"/>
      <c r="AM48" s="445"/>
      <c r="AN48" s="732"/>
      <c r="AO48" s="733"/>
      <c r="AP48" s="444"/>
      <c r="AQ48" s="444"/>
      <c r="AR48" s="444"/>
      <c r="AS48" s="444"/>
      <c r="AT48" s="444"/>
      <c r="AU48" s="444"/>
      <c r="AV48" s="444"/>
      <c r="AW48" s="444"/>
      <c r="AX48" s="731"/>
      <c r="AY48" s="733"/>
      <c r="AZ48" s="731"/>
      <c r="BB48" s="444"/>
    </row>
    <row r="49" spans="1:54" s="568" customFormat="1">
      <c r="A49" s="571"/>
      <c r="B49" s="582" t="s">
        <v>181</v>
      </c>
      <c r="C49" s="354" t="str">
        <f>VLOOKUP($B49,Recursos,2,FALSE)</f>
        <v>Cargador Frontal John Deere 744 K</v>
      </c>
      <c r="D49" s="577"/>
      <c r="E49" s="355"/>
      <c r="F49" s="576" t="str">
        <f t="shared" ref="F49:F52" si="48">VLOOKUP($B49,Recursos,3,FALSE)</f>
        <v>hm</v>
      </c>
      <c r="G49" s="575">
        <v>1</v>
      </c>
      <c r="H49" s="581">
        <f t="shared" ref="H49:H51" si="49">ROUNDUP(G49/$C$41,4)</f>
        <v>2.8999999999999998E-3</v>
      </c>
      <c r="I49" s="726">
        <f t="shared" ref="I49:I51" si="50">VLOOKUP($B49,Recursos,4,FALSE)</f>
        <v>190.56139237814901</v>
      </c>
      <c r="J49" s="726">
        <f t="shared" ref="J49:J52" si="51">ROUND(H49*I49,2)</f>
        <v>0.55000000000000004</v>
      </c>
      <c r="K49" s="571"/>
      <c r="L49" s="571"/>
      <c r="M49" s="571" t="str">
        <f t="shared" ref="M49:M52" si="52">$C49</f>
        <v>Cargador Frontal John Deere 744 K</v>
      </c>
      <c r="N49" s="572" t="str">
        <f t="shared" ref="N49:N52" si="53">$F49</f>
        <v>hm</v>
      </c>
      <c r="O49" s="573">
        <f t="shared" ref="O49:O51" si="54">ROUND($M$41*$H49,2)</f>
        <v>24.89</v>
      </c>
      <c r="P49" s="573" t="e">
        <f>J49*#REF!</f>
        <v>#REF!</v>
      </c>
      <c r="Q49" s="574"/>
      <c r="R49" s="574"/>
      <c r="S49" s="571" t="str">
        <f t="shared" ref="S49:S52" si="55">$C49</f>
        <v>Cargador Frontal John Deere 744 K</v>
      </c>
      <c r="T49" s="572" t="str">
        <f t="shared" ref="T49:T52" si="56">$F49</f>
        <v>hm</v>
      </c>
      <c r="U49" s="573" t="e">
        <f>ROUND(#REF!*$H49,2)</f>
        <v>#REF!</v>
      </c>
      <c r="V49" s="573" t="e">
        <f>ROUND(#REF!*$J49,2)</f>
        <v>#REF!</v>
      </c>
      <c r="X49" s="578">
        <v>103</v>
      </c>
      <c r="Z49" s="730" t="e">
        <f>+$H49*#REF!</f>
        <v>#REF!</v>
      </c>
      <c r="AA49" s="446" t="e">
        <f>+$H49*#REF!</f>
        <v>#REF!</v>
      </c>
      <c r="AB49" s="446" t="e">
        <f>+$H49*#REF!</f>
        <v>#REF!</v>
      </c>
      <c r="AC49" s="444" t="e">
        <f>+$H49*#REF!</f>
        <v>#REF!</v>
      </c>
      <c r="AD49" s="444" t="e">
        <f>+$H49*#REF!</f>
        <v>#REF!</v>
      </c>
      <c r="AE49" s="444" t="e">
        <f>+$H49*#REF!</f>
        <v>#REF!</v>
      </c>
      <c r="AF49" s="444" t="e">
        <f>+$H49*#REF!</f>
        <v>#REF!</v>
      </c>
      <c r="AG49" s="444" t="e">
        <f>+$H49*#REF!</f>
        <v>#REF!</v>
      </c>
      <c r="AH49" s="444" t="e">
        <f>+$H49*#REF!</f>
        <v>#REF!</v>
      </c>
      <c r="AI49" s="444" t="e">
        <f>+$H49*#REF!</f>
        <v>#REF!</v>
      </c>
      <c r="AJ49" s="731" t="e">
        <f>+$H49*#REF!</f>
        <v>#REF!</v>
      </c>
      <c r="AK49" s="730" t="e">
        <f>+$H49*#REF!</f>
        <v>#REF!</v>
      </c>
      <c r="AL49" s="445" t="e">
        <f>+$H49*#REF!</f>
        <v>#REF!</v>
      </c>
      <c r="AM49" s="445" t="e">
        <f>+$H49*#REF!</f>
        <v>#REF!</v>
      </c>
      <c r="AN49" s="732" t="e">
        <f>+$H49*#REF!</f>
        <v>#REF!</v>
      </c>
      <c r="AO49" s="733" t="e">
        <f>+$H49*#REF!</f>
        <v>#REF!</v>
      </c>
      <c r="AP49" s="444" t="e">
        <f>+$H49*#REF!</f>
        <v>#REF!</v>
      </c>
      <c r="AQ49" s="444" t="e">
        <f>+$H49*#REF!</f>
        <v>#REF!</v>
      </c>
      <c r="AR49" s="444" t="e">
        <f>+$H49*#REF!</f>
        <v>#REF!</v>
      </c>
      <c r="AS49" s="444" t="e">
        <f>+$H49*#REF!</f>
        <v>#REF!</v>
      </c>
      <c r="AT49" s="444" t="e">
        <f>+$H49*#REF!</f>
        <v>#REF!</v>
      </c>
      <c r="AU49" s="444" t="e">
        <f>+$H49*#REF!</f>
        <v>#REF!</v>
      </c>
      <c r="AV49" s="444" t="e">
        <f>+$H49*#REF!</f>
        <v>#REF!</v>
      </c>
      <c r="AW49" s="444" t="e">
        <f>+$H49*#REF!</f>
        <v>#REF!</v>
      </c>
      <c r="AX49" s="731" t="e">
        <f>+$H49*#REF!</f>
        <v>#REF!</v>
      </c>
      <c r="AY49" s="733" t="e">
        <f>+$H49*#REF!</f>
        <v>#REF!</v>
      </c>
      <c r="AZ49" s="731" t="e">
        <f>+$H49*#REF!</f>
        <v>#REF!</v>
      </c>
      <c r="BA49" s="568" t="e">
        <f t="shared" si="46"/>
        <v>#REF!</v>
      </c>
      <c r="BB49" s="444" t="e">
        <f t="shared" si="47"/>
        <v>#REF!</v>
      </c>
    </row>
    <row r="50" spans="1:54" s="568" customFormat="1">
      <c r="A50" s="571"/>
      <c r="B50" s="582" t="s">
        <v>182</v>
      </c>
      <c r="C50" s="354" t="str">
        <f>VLOOKUP($B50,Recursos,2,FALSE)</f>
        <v>Retroexcavadora Cat 420e</v>
      </c>
      <c r="D50" s="577"/>
      <c r="E50" s="355"/>
      <c r="F50" s="576" t="str">
        <f t="shared" si="48"/>
        <v>hm</v>
      </c>
      <c r="G50" s="575">
        <v>1</v>
      </c>
      <c r="H50" s="581">
        <f t="shared" si="49"/>
        <v>2.8999999999999998E-3</v>
      </c>
      <c r="I50" s="726">
        <f t="shared" si="50"/>
        <v>135.83139237814899</v>
      </c>
      <c r="J50" s="726">
        <f t="shared" ref="J50" si="57">ROUND(H50*I50,2)</f>
        <v>0.39</v>
      </c>
      <c r="K50" s="571"/>
      <c r="L50" s="571"/>
      <c r="M50" s="571" t="str">
        <f t="shared" si="52"/>
        <v>Retroexcavadora Cat 420e</v>
      </c>
      <c r="N50" s="572" t="str">
        <f t="shared" si="53"/>
        <v>hm</v>
      </c>
      <c r="O50" s="573">
        <f t="shared" si="54"/>
        <v>24.89</v>
      </c>
      <c r="P50" s="573" t="e">
        <f>J50*#REF!</f>
        <v>#REF!</v>
      </c>
      <c r="Q50" s="574"/>
      <c r="R50" s="574"/>
      <c r="S50" s="571" t="str">
        <f t="shared" si="55"/>
        <v>Retroexcavadora Cat 420e</v>
      </c>
      <c r="T50" s="572" t="str">
        <f t="shared" si="56"/>
        <v>hm</v>
      </c>
      <c r="U50" s="573" t="e">
        <f>ROUND(#REF!*$H50,2)</f>
        <v>#REF!</v>
      </c>
      <c r="V50" s="573" t="e">
        <f>ROUND(#REF!*$J50,2)</f>
        <v>#REF!</v>
      </c>
      <c r="X50" s="578">
        <v>103</v>
      </c>
      <c r="Z50" s="730" t="e">
        <f>+$H50*#REF!</f>
        <v>#REF!</v>
      </c>
      <c r="AA50" s="446" t="e">
        <f>+$H50*#REF!</f>
        <v>#REF!</v>
      </c>
      <c r="AB50" s="446" t="e">
        <f>+$H50*#REF!</f>
        <v>#REF!</v>
      </c>
      <c r="AC50" s="444" t="e">
        <f>+$H50*#REF!</f>
        <v>#REF!</v>
      </c>
      <c r="AD50" s="444" t="e">
        <f>+$H50*#REF!</f>
        <v>#REF!</v>
      </c>
      <c r="AE50" s="444" t="e">
        <f>+$H50*#REF!</f>
        <v>#REF!</v>
      </c>
      <c r="AF50" s="444" t="e">
        <f>+$H50*#REF!</f>
        <v>#REF!</v>
      </c>
      <c r="AG50" s="444" t="e">
        <f>+$H50*#REF!</f>
        <v>#REF!</v>
      </c>
      <c r="AH50" s="444" t="e">
        <f>+$H50*#REF!</f>
        <v>#REF!</v>
      </c>
      <c r="AI50" s="444" t="e">
        <f>+$H50*#REF!</f>
        <v>#REF!</v>
      </c>
      <c r="AJ50" s="731" t="e">
        <f>+$H50*#REF!</f>
        <v>#REF!</v>
      </c>
      <c r="AK50" s="730" t="e">
        <f>+$H50*#REF!</f>
        <v>#REF!</v>
      </c>
      <c r="AL50" s="445" t="e">
        <f>+$H50*#REF!</f>
        <v>#REF!</v>
      </c>
      <c r="AM50" s="445" t="e">
        <f>+$H50*#REF!</f>
        <v>#REF!</v>
      </c>
      <c r="AN50" s="732" t="e">
        <f>+$H50*#REF!</f>
        <v>#REF!</v>
      </c>
      <c r="AO50" s="733" t="e">
        <f>+$H50*#REF!</f>
        <v>#REF!</v>
      </c>
      <c r="AP50" s="444" t="e">
        <f>+$H50*#REF!</f>
        <v>#REF!</v>
      </c>
      <c r="AQ50" s="444" t="e">
        <f>+$H50*#REF!</f>
        <v>#REF!</v>
      </c>
      <c r="AR50" s="444" t="e">
        <f>+$H50*#REF!</f>
        <v>#REF!</v>
      </c>
      <c r="AS50" s="444" t="e">
        <f>+$H50*#REF!</f>
        <v>#REF!</v>
      </c>
      <c r="AT50" s="444" t="e">
        <f>+$H50*#REF!</f>
        <v>#REF!</v>
      </c>
      <c r="AU50" s="444" t="e">
        <f>+$H50*#REF!</f>
        <v>#REF!</v>
      </c>
      <c r="AV50" s="444" t="e">
        <f>+$H50*#REF!</f>
        <v>#REF!</v>
      </c>
      <c r="AW50" s="444" t="e">
        <f>+$H50*#REF!</f>
        <v>#REF!</v>
      </c>
      <c r="AX50" s="731" t="e">
        <f>+$H50*#REF!</f>
        <v>#REF!</v>
      </c>
      <c r="AY50" s="733" t="e">
        <f>+$H50*#REF!</f>
        <v>#REF!</v>
      </c>
      <c r="AZ50" s="731" t="e">
        <f>+$H50*#REF!</f>
        <v>#REF!</v>
      </c>
      <c r="BA50" s="568" t="e">
        <f t="shared" ref="BA50" si="58">SUM(Z50:AZ50)</f>
        <v>#REF!</v>
      </c>
      <c r="BB50" s="444" t="e">
        <f t="shared" ref="BB50" si="59">IF(BA50=O50,"OK","CORREGIR")</f>
        <v>#REF!</v>
      </c>
    </row>
    <row r="51" spans="1:54" s="568" customFormat="1">
      <c r="A51" s="571"/>
      <c r="B51" s="582" t="s">
        <v>183</v>
      </c>
      <c r="C51" s="354" t="str">
        <f>VLOOKUP($B51,Recursos,2,FALSE)</f>
        <v>Volquete de 17 m3</v>
      </c>
      <c r="D51" s="577"/>
      <c r="E51" s="355"/>
      <c r="F51" s="576" t="str">
        <f t="shared" si="48"/>
        <v>hm</v>
      </c>
      <c r="G51" s="575">
        <v>4</v>
      </c>
      <c r="H51" s="581">
        <f t="shared" si="49"/>
        <v>1.15E-2</v>
      </c>
      <c r="I51" s="726">
        <f t="shared" si="50"/>
        <v>127.051392378149</v>
      </c>
      <c r="J51" s="726">
        <f t="shared" si="51"/>
        <v>1.46</v>
      </c>
      <c r="K51" s="571"/>
      <c r="L51" s="571"/>
      <c r="M51" s="571" t="str">
        <f t="shared" si="52"/>
        <v>Volquete de 17 m3</v>
      </c>
      <c r="N51" s="572" t="str">
        <f t="shared" si="53"/>
        <v>hm</v>
      </c>
      <c r="O51" s="573">
        <f t="shared" si="54"/>
        <v>98.7</v>
      </c>
      <c r="P51" s="573" t="e">
        <f>J51*#REF!</f>
        <v>#REF!</v>
      </c>
      <c r="Q51" s="574"/>
      <c r="R51" s="574"/>
      <c r="S51" s="571" t="str">
        <f t="shared" si="55"/>
        <v>Volquete de 17 m3</v>
      </c>
      <c r="T51" s="572" t="str">
        <f t="shared" si="56"/>
        <v>hm</v>
      </c>
      <c r="U51" s="573" t="e">
        <f>ROUND(#REF!*$H51,2)</f>
        <v>#REF!</v>
      </c>
      <c r="V51" s="573" t="e">
        <f>ROUND(#REF!*$J51,2)</f>
        <v>#REF!</v>
      </c>
      <c r="X51" s="578">
        <v>103</v>
      </c>
      <c r="Z51" s="730" t="e">
        <f>+$H51*#REF!</f>
        <v>#REF!</v>
      </c>
      <c r="AA51" s="446" t="e">
        <f>+$H51*#REF!</f>
        <v>#REF!</v>
      </c>
      <c r="AB51" s="446" t="e">
        <f>+$H51*#REF!</f>
        <v>#REF!</v>
      </c>
      <c r="AC51" s="444" t="e">
        <f>+$H51*#REF!</f>
        <v>#REF!</v>
      </c>
      <c r="AD51" s="444" t="e">
        <f>+$H51*#REF!</f>
        <v>#REF!</v>
      </c>
      <c r="AE51" s="444" t="e">
        <f>+$H51*#REF!</f>
        <v>#REF!</v>
      </c>
      <c r="AF51" s="444" t="e">
        <f>+$H51*#REF!</f>
        <v>#REF!</v>
      </c>
      <c r="AG51" s="444" t="e">
        <f>+$H51*#REF!</f>
        <v>#REF!</v>
      </c>
      <c r="AH51" s="444" t="e">
        <f>+$H51*#REF!</f>
        <v>#REF!</v>
      </c>
      <c r="AI51" s="444" t="e">
        <f>+$H51*#REF!</f>
        <v>#REF!</v>
      </c>
      <c r="AJ51" s="731" t="e">
        <f>+$H51*#REF!</f>
        <v>#REF!</v>
      </c>
      <c r="AK51" s="730" t="e">
        <f>+$H51*#REF!</f>
        <v>#REF!</v>
      </c>
      <c r="AL51" s="445" t="e">
        <f>+$H51*#REF!</f>
        <v>#REF!</v>
      </c>
      <c r="AM51" s="445" t="e">
        <f>+$H51*#REF!</f>
        <v>#REF!</v>
      </c>
      <c r="AN51" s="732" t="e">
        <f>+$H51*#REF!</f>
        <v>#REF!</v>
      </c>
      <c r="AO51" s="733" t="e">
        <f>+$H51*#REF!</f>
        <v>#REF!</v>
      </c>
      <c r="AP51" s="444" t="e">
        <f>+$H51*#REF!</f>
        <v>#REF!</v>
      </c>
      <c r="AQ51" s="444" t="e">
        <f>+$H51*#REF!</f>
        <v>#REF!</v>
      </c>
      <c r="AR51" s="444" t="e">
        <f>+$H51*#REF!</f>
        <v>#REF!</v>
      </c>
      <c r="AS51" s="444" t="e">
        <f>+$H51*#REF!</f>
        <v>#REF!</v>
      </c>
      <c r="AT51" s="444" t="e">
        <f>+$H51*#REF!</f>
        <v>#REF!</v>
      </c>
      <c r="AU51" s="444" t="e">
        <f>+$H51*#REF!</f>
        <v>#REF!</v>
      </c>
      <c r="AV51" s="444" t="e">
        <f>+$H51*#REF!</f>
        <v>#REF!</v>
      </c>
      <c r="AW51" s="444" t="e">
        <f>+$H51*#REF!</f>
        <v>#REF!</v>
      </c>
      <c r="AX51" s="731" t="e">
        <f>+$H51*#REF!</f>
        <v>#REF!</v>
      </c>
      <c r="AY51" s="733" t="e">
        <f>+$H51*#REF!</f>
        <v>#REF!</v>
      </c>
      <c r="AZ51" s="731" t="e">
        <f>+$H51*#REF!</f>
        <v>#REF!</v>
      </c>
      <c r="BA51" s="568" t="e">
        <f t="shared" si="46"/>
        <v>#REF!</v>
      </c>
      <c r="BB51" s="444" t="e">
        <f t="shared" si="47"/>
        <v>#REF!</v>
      </c>
    </row>
    <row r="52" spans="1:54" s="568" customFormat="1">
      <c r="A52" s="571"/>
      <c r="B52" s="582" t="s">
        <v>216</v>
      </c>
      <c r="C52" s="354" t="str">
        <f t="shared" ref="C52" si="60">VLOOKUP($B52,Recursos,2,FALSE)</f>
        <v>Herramientas (% Mano Obra)</v>
      </c>
      <c r="D52" s="577"/>
      <c r="E52" s="355"/>
      <c r="F52" s="576" t="str">
        <f t="shared" si="48"/>
        <v>%</v>
      </c>
      <c r="G52" s="727"/>
      <c r="H52" s="321">
        <v>0.05</v>
      </c>
      <c r="I52" s="726">
        <f>J47</f>
        <v>0.62</v>
      </c>
      <c r="J52" s="726">
        <f t="shared" si="51"/>
        <v>0.03</v>
      </c>
      <c r="K52" s="571"/>
      <c r="L52" s="571"/>
      <c r="M52" s="571" t="str">
        <f t="shared" si="52"/>
        <v>Herramientas (% Mano Obra)</v>
      </c>
      <c r="N52" s="572" t="str">
        <f t="shared" si="53"/>
        <v>%</v>
      </c>
      <c r="O52" s="573"/>
      <c r="P52" s="573" t="e">
        <f>J52*#REF!</f>
        <v>#REF!</v>
      </c>
      <c r="Q52" s="574"/>
      <c r="R52" s="574"/>
      <c r="S52" s="571" t="str">
        <f t="shared" si="55"/>
        <v>Herramientas (% Mano Obra)</v>
      </c>
      <c r="T52" s="572" t="str">
        <f t="shared" si="56"/>
        <v>%</v>
      </c>
      <c r="U52" s="573" t="e">
        <f>ROUND(#REF!*$H52,2)</f>
        <v>#REF!</v>
      </c>
      <c r="V52" s="573" t="e">
        <f>ROUND(#REF!*$J52,2)</f>
        <v>#REF!</v>
      </c>
      <c r="X52" s="578">
        <v>103</v>
      </c>
      <c r="Z52" s="730"/>
      <c r="AA52" s="446"/>
      <c r="AB52" s="446"/>
      <c r="AC52" s="444"/>
      <c r="AD52" s="444"/>
      <c r="AE52" s="444"/>
      <c r="AF52" s="444"/>
      <c r="AG52" s="445"/>
      <c r="AH52" s="445"/>
      <c r="AI52" s="445"/>
      <c r="AJ52" s="732"/>
      <c r="AK52" s="733"/>
      <c r="AL52" s="444"/>
      <c r="AM52" s="444"/>
      <c r="AN52" s="731"/>
      <c r="AO52" s="733"/>
      <c r="AP52" s="444"/>
      <c r="AQ52" s="444"/>
      <c r="AR52" s="444"/>
      <c r="AS52" s="444"/>
      <c r="AT52" s="444"/>
      <c r="AU52" s="444"/>
      <c r="AV52" s="444"/>
      <c r="AW52" s="444"/>
      <c r="AX52" s="731"/>
      <c r="AY52" s="733"/>
      <c r="AZ52" s="731"/>
    </row>
    <row r="53" spans="1:54" s="568" customFormat="1">
      <c r="A53" s="571"/>
      <c r="B53" s="602"/>
      <c r="C53" s="346"/>
      <c r="D53" s="348"/>
      <c r="E53" s="348"/>
      <c r="F53" s="349"/>
      <c r="G53" s="351"/>
      <c r="H53" s="353"/>
      <c r="I53" s="331"/>
      <c r="J53" s="326">
        <f>K48</f>
        <v>2.4299999999999997</v>
      </c>
      <c r="K53" s="305"/>
      <c r="L53" s="305">
        <f>+M56/(C56*8)</f>
        <v>33.658823529411762</v>
      </c>
      <c r="M53" s="305"/>
      <c r="N53" s="301"/>
      <c r="O53" s="309"/>
      <c r="P53" s="309"/>
      <c r="Q53" s="574"/>
      <c r="R53" s="574"/>
      <c r="S53" s="305"/>
      <c r="T53" s="301"/>
      <c r="U53" s="309"/>
      <c r="V53" s="309"/>
      <c r="X53" s="578">
        <v>-3</v>
      </c>
      <c r="Y53" s="444"/>
      <c r="Z53" s="770"/>
      <c r="AA53" s="771"/>
      <c r="AB53" s="771"/>
      <c r="AC53" s="772"/>
      <c r="AD53" s="772"/>
      <c r="AE53" s="772"/>
      <c r="AF53" s="772"/>
      <c r="AG53" s="773"/>
      <c r="AH53" s="773"/>
      <c r="AI53" s="773"/>
      <c r="AJ53" s="774"/>
      <c r="AK53" s="775"/>
      <c r="AL53" s="772"/>
      <c r="AM53" s="772"/>
      <c r="AN53" s="776"/>
      <c r="AO53" s="775"/>
      <c r="AP53" s="772"/>
      <c r="AQ53" s="772"/>
      <c r="AR53" s="772"/>
      <c r="AS53" s="772"/>
      <c r="AT53" s="772"/>
      <c r="AU53" s="772"/>
      <c r="AV53" s="772"/>
      <c r="AW53" s="772"/>
      <c r="AX53" s="776"/>
      <c r="AY53" s="775"/>
      <c r="AZ53" s="776"/>
    </row>
    <row r="54" spans="1:54" s="284" customFormat="1">
      <c r="A54" s="571"/>
      <c r="B54" s="604"/>
      <c r="C54" s="303"/>
      <c r="D54" s="305"/>
      <c r="E54" s="305"/>
      <c r="F54" s="301"/>
      <c r="G54" s="310"/>
      <c r="H54" s="309"/>
      <c r="I54" s="309"/>
      <c r="J54" s="311"/>
      <c r="K54" s="305"/>
      <c r="L54" s="305"/>
      <c r="M54" s="305"/>
      <c r="N54" s="301"/>
      <c r="O54" s="309"/>
      <c r="P54" s="309"/>
      <c r="Q54" s="574"/>
      <c r="R54" s="574"/>
      <c r="S54" s="305"/>
      <c r="T54" s="301"/>
      <c r="U54" s="309"/>
      <c r="V54" s="309"/>
      <c r="AG54" s="579"/>
      <c r="AH54" s="579"/>
      <c r="AI54" s="579"/>
      <c r="AJ54" s="579"/>
    </row>
    <row r="55" spans="1:54" s="568" customFormat="1" ht="15.6">
      <c r="A55" s="305">
        <v>10198</v>
      </c>
      <c r="B55" s="283" t="s">
        <v>22</v>
      </c>
      <c r="C55" s="335">
        <f>VLOOKUP($A55,PRESUPUESTO_,2,FALSE)</f>
        <v>2.02</v>
      </c>
      <c r="D55" s="343" t="str">
        <f>VLOOKUP($A55,PRESUPUESTO_,3,FALSE)</f>
        <v>Mejoramiento de vías Existentes</v>
      </c>
      <c r="E55" s="343"/>
      <c r="F55" s="343"/>
      <c r="G55" s="344"/>
      <c r="H55" s="344"/>
      <c r="I55" s="345"/>
      <c r="J55" s="332"/>
      <c r="K55" s="293">
        <f>SUM(K58:K73)</f>
        <v>16100.09</v>
      </c>
      <c r="L55" s="293"/>
      <c r="M55" s="293" t="str">
        <f>D55</f>
        <v>Mejoramiento de vías Existentes</v>
      </c>
      <c r="N55" s="572"/>
      <c r="O55" s="573"/>
      <c r="P55" s="573"/>
      <c r="Q55" s="574"/>
      <c r="R55" s="574"/>
      <c r="S55" s="293" t="str">
        <f>D55</f>
        <v>Mejoramiento de vías Existentes</v>
      </c>
      <c r="T55" s="572"/>
      <c r="U55" s="573"/>
      <c r="V55" s="573"/>
      <c r="X55" s="578">
        <v>103</v>
      </c>
      <c r="Y55" s="437"/>
      <c r="Z55" s="1006" t="s">
        <v>910</v>
      </c>
      <c r="AA55" s="1007"/>
      <c r="AB55" s="1007"/>
      <c r="AC55" s="1007"/>
      <c r="AD55" s="1007"/>
      <c r="AE55" s="1007"/>
      <c r="AF55" s="1007"/>
      <c r="AG55" s="1007"/>
      <c r="AH55" s="1007"/>
      <c r="AI55" s="1007"/>
      <c r="AJ55" s="1008"/>
      <c r="AK55" s="1000" t="s">
        <v>911</v>
      </c>
      <c r="AL55" s="1001"/>
      <c r="AM55" s="1001"/>
      <c r="AN55" s="1002"/>
      <c r="AO55" s="1003" t="s">
        <v>912</v>
      </c>
      <c r="AP55" s="1004"/>
      <c r="AQ55" s="1004"/>
      <c r="AR55" s="1004"/>
      <c r="AS55" s="1004"/>
      <c r="AT55" s="1004"/>
      <c r="AU55" s="1004"/>
      <c r="AV55" s="1004"/>
      <c r="AW55" s="1004"/>
      <c r="AX55" s="1005"/>
      <c r="AY55" s="1003" t="s">
        <v>913</v>
      </c>
      <c r="AZ55" s="1005"/>
    </row>
    <row r="56" spans="1:54" s="568" customFormat="1" ht="15.6">
      <c r="A56" s="292"/>
      <c r="B56" s="337" t="s">
        <v>23</v>
      </c>
      <c r="C56" s="346">
        <f>VLOOKUP($A55,RENDIMIENTO,5,FALSE)</f>
        <v>0.10625</v>
      </c>
      <c r="D56" s="347" t="str">
        <f>VLOOKUP($A55,RENDIMIENTO,4,FALSE)</f>
        <v>km</v>
      </c>
      <c r="E56" s="348" t="s">
        <v>646</v>
      </c>
      <c r="F56" s="349"/>
      <c r="G56" s="327"/>
      <c r="H56" s="328" t="s">
        <v>24</v>
      </c>
      <c r="I56" s="438">
        <f>K55</f>
        <v>16100.09</v>
      </c>
      <c r="J56" s="325" t="str">
        <f>VLOOKUP($A55,RENDIMIENTO,4,FALSE)</f>
        <v>km</v>
      </c>
      <c r="K56" s="298"/>
      <c r="L56" s="298"/>
      <c r="M56" s="318">
        <f>VLOOKUP(A55,PRESUPUESTO_,5,FALSE)</f>
        <v>28.61</v>
      </c>
      <c r="N56" s="299" t="e">
        <v>#N/A</v>
      </c>
      <c r="O56" s="300" t="s">
        <v>27</v>
      </c>
      <c r="P56" s="300" t="e">
        <f>SUM(P59:P73)</f>
        <v>#REF!</v>
      </c>
      <c r="Q56" s="300">
        <f>VLOOKUP(A55,PRESUPUESTO_,10,FALSE)</f>
        <v>460623.57</v>
      </c>
      <c r="R56" s="572" t="e">
        <f>IF(Q56&lt;&gt;P56,"ver","ok")</f>
        <v>#REF!</v>
      </c>
      <c r="S56" s="293" t="e">
        <v>#N/A</v>
      </c>
      <c r="T56" s="299" t="e">
        <v>#N/A</v>
      </c>
      <c r="U56" s="300" t="s">
        <v>27</v>
      </c>
      <c r="V56" s="300" t="e">
        <f>SUM(#REF!)</f>
        <v>#REF!</v>
      </c>
      <c r="X56" s="578">
        <v>103</v>
      </c>
      <c r="Y56" s="439"/>
      <c r="Z56" s="763" t="s">
        <v>708</v>
      </c>
      <c r="AA56" s="764" t="s">
        <v>709</v>
      </c>
      <c r="AB56" s="764" t="s">
        <v>710</v>
      </c>
      <c r="AC56" s="765" t="s">
        <v>711</v>
      </c>
      <c r="AD56" s="765" t="s">
        <v>712</v>
      </c>
      <c r="AE56" s="765" t="s">
        <v>713</v>
      </c>
      <c r="AF56" s="765" t="s">
        <v>714</v>
      </c>
      <c r="AG56" s="765" t="s">
        <v>715</v>
      </c>
      <c r="AH56" s="765" t="s">
        <v>716</v>
      </c>
      <c r="AI56" s="765" t="s">
        <v>717</v>
      </c>
      <c r="AJ56" s="766" t="s">
        <v>718</v>
      </c>
      <c r="AK56" s="767" t="s">
        <v>715</v>
      </c>
      <c r="AL56" s="764" t="s">
        <v>716</v>
      </c>
      <c r="AM56" s="764" t="s">
        <v>717</v>
      </c>
      <c r="AN56" s="768" t="s">
        <v>718</v>
      </c>
      <c r="AO56" s="767" t="s">
        <v>900</v>
      </c>
      <c r="AP56" s="764" t="s">
        <v>901</v>
      </c>
      <c r="AQ56" s="764" t="s">
        <v>902</v>
      </c>
      <c r="AR56" s="764" t="s">
        <v>903</v>
      </c>
      <c r="AS56" s="764" t="s">
        <v>904</v>
      </c>
      <c r="AT56" s="764" t="s">
        <v>905</v>
      </c>
      <c r="AU56" s="764" t="s">
        <v>906</v>
      </c>
      <c r="AV56" s="764" t="s">
        <v>907</v>
      </c>
      <c r="AW56" s="764" t="s">
        <v>908</v>
      </c>
      <c r="AX56" s="768" t="s">
        <v>909</v>
      </c>
      <c r="AY56" s="767" t="s">
        <v>914</v>
      </c>
      <c r="AZ56" s="768" t="s">
        <v>915</v>
      </c>
    </row>
    <row r="57" spans="1:54" s="568" customFormat="1" ht="31.5" customHeight="1">
      <c r="A57" s="572"/>
      <c r="B57" s="333" t="s">
        <v>28</v>
      </c>
      <c r="C57" s="329" t="s">
        <v>25</v>
      </c>
      <c r="D57" s="350"/>
      <c r="E57" s="330"/>
      <c r="F57" s="330" t="s">
        <v>15</v>
      </c>
      <c r="G57" s="336" t="s">
        <v>26</v>
      </c>
      <c r="H57" s="336" t="s">
        <v>3</v>
      </c>
      <c r="I57" s="336" t="s">
        <v>29</v>
      </c>
      <c r="J57" s="336" t="s">
        <v>30</v>
      </c>
      <c r="K57" s="576" t="s">
        <v>2</v>
      </c>
      <c r="L57" s="301"/>
      <c r="M57" s="349" t="s">
        <v>1</v>
      </c>
      <c r="N57" s="349" t="s">
        <v>15</v>
      </c>
      <c r="O57" s="351" t="s">
        <v>31</v>
      </c>
      <c r="P57" s="351" t="s">
        <v>32</v>
      </c>
      <c r="Q57" s="574"/>
      <c r="R57" s="574"/>
      <c r="S57" s="349" t="s">
        <v>1</v>
      </c>
      <c r="T57" s="349" t="s">
        <v>15</v>
      </c>
      <c r="U57" s="351" t="s">
        <v>31</v>
      </c>
      <c r="V57" s="351" t="s">
        <v>32</v>
      </c>
      <c r="X57" s="578">
        <v>103</v>
      </c>
      <c r="Y57" s="442"/>
      <c r="Z57" s="769" t="e">
        <f>+'[4]1.9 Duration'!#REF!</f>
        <v>#REF!</v>
      </c>
      <c r="AA57" s="443" t="e">
        <f>+'[4]1.9 Duration'!#REF!</f>
        <v>#REF!</v>
      </c>
      <c r="AB57" s="443" t="e">
        <f>+'[4]1.9 Duration'!#REF!</f>
        <v>#REF!</v>
      </c>
      <c r="AC57" s="444" t="e">
        <f>+'[4]1.9 Duration'!#REF!</f>
        <v>#REF!</v>
      </c>
      <c r="AD57" s="444" t="e">
        <f>+'[4]1.9 Duration'!#REF!</f>
        <v>#REF!</v>
      </c>
      <c r="AE57" s="444" t="e">
        <f>+'[4]1.9 Duration'!#REF!</f>
        <v>#REF!</v>
      </c>
      <c r="AF57" s="444" t="e">
        <f>+'[4]1.9 Duration'!#REF!</f>
        <v>#REF!</v>
      </c>
      <c r="AG57" s="444" t="e">
        <f>+'[4]1.9 Duration'!#REF!</f>
        <v>#REF!</v>
      </c>
      <c r="AH57" s="444" t="e">
        <f>+'[4]1.9 Duration'!#REF!</f>
        <v>#REF!</v>
      </c>
      <c r="AI57" s="444" t="e">
        <f>+'[4]1.9 Duration'!#REF!</f>
        <v>#REF!</v>
      </c>
      <c r="AJ57" s="731" t="e">
        <f>+'[4]1.9 Duration'!#REF!</f>
        <v>#REF!</v>
      </c>
      <c r="AK57" s="730" t="e">
        <f>+'[4]1.9 Duration'!#REF!</f>
        <v>#REF!</v>
      </c>
      <c r="AL57" s="445" t="e">
        <f>+'[4]1.9 Duration'!#REF!</f>
        <v>#REF!</v>
      </c>
      <c r="AM57" s="445" t="e">
        <f>+'[4]1.9 Duration'!#REF!</f>
        <v>#REF!</v>
      </c>
      <c r="AN57" s="732" t="e">
        <f>+'[4]1.9 Duration'!#REF!</f>
        <v>#REF!</v>
      </c>
      <c r="AO57" s="733" t="e">
        <f>+'[4]1.9 Duration'!#REF!</f>
        <v>#REF!</v>
      </c>
      <c r="AP57" s="444" t="e">
        <f>+'[4]1.9 Duration'!#REF!</f>
        <v>#REF!</v>
      </c>
      <c r="AQ57" s="444" t="e">
        <f>+'[4]1.9 Duration'!#REF!</f>
        <v>#REF!</v>
      </c>
      <c r="AR57" s="444" t="e">
        <f>+'[4]1.9 Duration'!#REF!</f>
        <v>#REF!</v>
      </c>
      <c r="AS57" s="444">
        <f>+'[4]1.9 Duration'!F1</f>
        <v>0</v>
      </c>
      <c r="AT57" s="444">
        <f>+'[4]1.9 Duration'!F5</f>
        <v>1</v>
      </c>
      <c r="AU57" s="444">
        <f>+'[4]1.9 Duration'!F9</f>
        <v>12000</v>
      </c>
      <c r="AV57" s="444">
        <f>+'[4]1.9 Duration'!F13</f>
        <v>0</v>
      </c>
      <c r="AW57" s="444">
        <f>+'[4]1.9 Duration'!F17</f>
        <v>0</v>
      </c>
      <c r="AX57" s="731">
        <f>+'[4]1.9 Duration'!F21</f>
        <v>21745.88073034228</v>
      </c>
      <c r="AY57" s="733">
        <f>+'[4]1.9 Duration'!F81</f>
        <v>0</v>
      </c>
      <c r="AZ57" s="731">
        <f>+'[4]1.9 Duration'!F85</f>
        <v>13894.212523719159</v>
      </c>
    </row>
    <row r="58" spans="1:54" s="568" customFormat="1">
      <c r="A58" s="302" t="str">
        <f>CONCATENATE(A55,L58)</f>
        <v>10198(C)</v>
      </c>
      <c r="B58" s="352" t="s">
        <v>0</v>
      </c>
      <c r="C58" s="338"/>
      <c r="D58" s="577"/>
      <c r="E58" s="577"/>
      <c r="F58" s="349"/>
      <c r="G58" s="351"/>
      <c r="H58" s="353"/>
      <c r="I58" s="353"/>
      <c r="J58" s="334"/>
      <c r="K58" s="322">
        <f>+J63</f>
        <v>2112.4299999999998</v>
      </c>
      <c r="L58" s="293" t="s">
        <v>33</v>
      </c>
      <c r="M58" s="571"/>
      <c r="N58" s="572"/>
      <c r="O58" s="573"/>
      <c r="P58" s="573"/>
      <c r="Q58" s="574"/>
      <c r="R58" s="574"/>
      <c r="S58" s="571"/>
      <c r="T58" s="572"/>
      <c r="U58" s="573"/>
      <c r="V58" s="573"/>
      <c r="X58" s="578">
        <v>103</v>
      </c>
      <c r="Z58" s="730"/>
      <c r="AA58" s="446"/>
      <c r="AB58" s="446"/>
      <c r="AC58" s="444"/>
      <c r="AD58" s="444"/>
      <c r="AE58" s="444"/>
      <c r="AF58" s="444"/>
      <c r="AG58" s="444"/>
      <c r="AH58" s="444"/>
      <c r="AI58" s="444"/>
      <c r="AJ58" s="731"/>
      <c r="AK58" s="733"/>
      <c r="AL58" s="444"/>
      <c r="AM58" s="444"/>
      <c r="AN58" s="731"/>
      <c r="AO58" s="733"/>
      <c r="AP58" s="444"/>
      <c r="AQ58" s="444"/>
      <c r="AR58" s="444"/>
      <c r="AS58" s="444"/>
      <c r="AT58" s="444"/>
      <c r="AU58" s="444"/>
      <c r="AV58" s="444"/>
      <c r="AW58" s="444"/>
      <c r="AX58" s="731"/>
      <c r="AY58" s="733"/>
      <c r="AZ58" s="731"/>
    </row>
    <row r="59" spans="1:54" s="568" customFormat="1">
      <c r="A59" s="571"/>
      <c r="B59" s="582" t="s">
        <v>158</v>
      </c>
      <c r="C59" s="354" t="str">
        <f t="shared" ref="C59:C62" si="61">VLOOKUP($B59,Recursos,2,FALSE)</f>
        <v>Capataz</v>
      </c>
      <c r="D59" s="577"/>
      <c r="E59" s="355"/>
      <c r="F59" s="576" t="str">
        <f>VLOOKUP($B59,Recursos,3,FALSE)</f>
        <v>hh</v>
      </c>
      <c r="G59" s="575">
        <v>1</v>
      </c>
      <c r="H59" s="581">
        <f>ROUNDUP(G59/$C$56,4)</f>
        <v>9.4117999999999995</v>
      </c>
      <c r="I59" s="726">
        <f t="shared" ref="I59:I62" si="62">VLOOKUP($B59,Recursos,4,FALSE)</f>
        <v>29.540832570012501</v>
      </c>
      <c r="J59" s="726">
        <f t="shared" ref="J59:J62" si="63">ROUND(H59*I59,2)</f>
        <v>278.02999999999997</v>
      </c>
      <c r="K59" s="571"/>
      <c r="L59" s="571"/>
      <c r="M59" s="571" t="str">
        <f t="shared" ref="M59:M62" si="64">$C59</f>
        <v>Capataz</v>
      </c>
      <c r="N59" s="572" t="str">
        <f t="shared" ref="N59:N62" si="65">$F59</f>
        <v>hh</v>
      </c>
      <c r="O59" s="573">
        <f>ROUND($M$56*$H59,2)</f>
        <v>269.27</v>
      </c>
      <c r="P59" s="573" t="e">
        <f>J59*#REF!</f>
        <v>#REF!</v>
      </c>
      <c r="Q59" s="574"/>
      <c r="R59" s="574"/>
      <c r="S59" s="571" t="str">
        <f t="shared" ref="S59:S62" si="66">$C59</f>
        <v>Capataz</v>
      </c>
      <c r="T59" s="572" t="str">
        <f t="shared" ref="T59:T62" si="67">$F59</f>
        <v>hh</v>
      </c>
      <c r="U59" s="573" t="e">
        <f>ROUND(#REF!*$H59,2)</f>
        <v>#REF!</v>
      </c>
      <c r="V59" s="573" t="e">
        <f>ROUND(#REF!*$J59,2)</f>
        <v>#REF!</v>
      </c>
      <c r="X59" s="578">
        <v>103</v>
      </c>
      <c r="Z59" s="730" t="e">
        <f>+$H59*#REF!</f>
        <v>#REF!</v>
      </c>
      <c r="AA59" s="446" t="e">
        <f>+$H59*#REF!</f>
        <v>#REF!</v>
      </c>
      <c r="AB59" s="446" t="e">
        <f>+$H59*#REF!</f>
        <v>#REF!</v>
      </c>
      <c r="AC59" s="444" t="e">
        <f>+$H59*#REF!</f>
        <v>#REF!</v>
      </c>
      <c r="AD59" s="444" t="e">
        <f>+$H59*#REF!</f>
        <v>#REF!</v>
      </c>
      <c r="AE59" s="444" t="e">
        <f>+$H59*#REF!</f>
        <v>#REF!</v>
      </c>
      <c r="AF59" s="444" t="e">
        <f>+$H59*#REF!</f>
        <v>#REF!</v>
      </c>
      <c r="AG59" s="444" t="e">
        <f>+$H59*#REF!</f>
        <v>#REF!</v>
      </c>
      <c r="AH59" s="444" t="e">
        <f>+$H59*#REF!</f>
        <v>#REF!</v>
      </c>
      <c r="AI59" s="444" t="e">
        <f>+$H59*#REF!</f>
        <v>#REF!</v>
      </c>
      <c r="AJ59" s="731" t="e">
        <f>+$H59*#REF!</f>
        <v>#REF!</v>
      </c>
      <c r="AK59" s="733" t="e">
        <f>+#REF!*#REF!</f>
        <v>#REF!</v>
      </c>
      <c r="AL59" s="444" t="e">
        <f>+#REF!*#REF!</f>
        <v>#REF!</v>
      </c>
      <c r="AM59" s="444" t="e">
        <f>+#REF!*#REF!</f>
        <v>#REF!</v>
      </c>
      <c r="AN59" s="731" t="e">
        <f>+#REF!*#REF!</f>
        <v>#REF!</v>
      </c>
      <c r="AO59" s="733" t="e">
        <f>+$H59*#REF!</f>
        <v>#REF!</v>
      </c>
      <c r="AP59" s="444" t="e">
        <f>+$H59*#REF!</f>
        <v>#REF!</v>
      </c>
      <c r="AQ59" s="444" t="e">
        <f>+$H59*#REF!</f>
        <v>#REF!</v>
      </c>
      <c r="AR59" s="444" t="e">
        <f>+$H59*#REF!</f>
        <v>#REF!</v>
      </c>
      <c r="AS59" s="444" t="e">
        <f>+$H59*#REF!</f>
        <v>#REF!</v>
      </c>
      <c r="AT59" s="444" t="e">
        <f>+$H59*#REF!</f>
        <v>#REF!</v>
      </c>
      <c r="AU59" s="444" t="e">
        <f>+$H59*#REF!</f>
        <v>#REF!</v>
      </c>
      <c r="AV59" s="444" t="e">
        <f>+$H59*#REF!</f>
        <v>#REF!</v>
      </c>
      <c r="AW59" s="444" t="e">
        <f>+$H59*#REF!</f>
        <v>#REF!</v>
      </c>
      <c r="AX59" s="731" t="e">
        <f>+$H59*#REF!</f>
        <v>#REF!</v>
      </c>
      <c r="AY59" s="733" t="e">
        <f>+$H59*#REF!</f>
        <v>#REF!</v>
      </c>
      <c r="AZ59" s="731" t="e">
        <f>+$H59*#REF!</f>
        <v>#REF!</v>
      </c>
      <c r="BA59" s="444" t="e">
        <f>SUM(Z59:AZ59)</f>
        <v>#REF!</v>
      </c>
      <c r="BB59" s="444" t="e">
        <f>IF(BA59=O59,"OK","CORREGIR")</f>
        <v>#REF!</v>
      </c>
    </row>
    <row r="60" spans="1:54" s="568" customFormat="1">
      <c r="A60" s="571"/>
      <c r="B60" s="582" t="s">
        <v>159</v>
      </c>
      <c r="C60" s="354" t="str">
        <f t="shared" si="61"/>
        <v>Operador de equipo pesado</v>
      </c>
      <c r="D60" s="577"/>
      <c r="E60" s="355"/>
      <c r="F60" s="576" t="str">
        <f t="shared" ref="F60:F62" si="68">VLOOKUP($B60,Recursos,3,FALSE)</f>
        <v>hh</v>
      </c>
      <c r="G60" s="727">
        <v>4</v>
      </c>
      <c r="H60" s="581">
        <f>ROUNDUP(G60/$C$56,4)</f>
        <v>37.647100000000002</v>
      </c>
      <c r="I60" s="726">
        <f t="shared" si="62"/>
        <v>29.046554894442803</v>
      </c>
      <c r="J60" s="726">
        <f t="shared" si="63"/>
        <v>1093.52</v>
      </c>
      <c r="K60" s="571"/>
      <c r="L60" s="571"/>
      <c r="M60" s="571" t="str">
        <f t="shared" si="64"/>
        <v>Operador de equipo pesado</v>
      </c>
      <c r="N60" s="572" t="str">
        <f t="shared" si="65"/>
        <v>hh</v>
      </c>
      <c r="O60" s="573">
        <f>ROUND($M$56*$H60,2)</f>
        <v>1077.08</v>
      </c>
      <c r="P60" s="573" t="e">
        <f>J60*#REF!</f>
        <v>#REF!</v>
      </c>
      <c r="Q60" s="574"/>
      <c r="R60" s="574"/>
      <c r="S60" s="571" t="str">
        <f t="shared" si="66"/>
        <v>Operador de equipo pesado</v>
      </c>
      <c r="T60" s="572" t="str">
        <f t="shared" si="67"/>
        <v>hh</v>
      </c>
      <c r="U60" s="573" t="e">
        <f>ROUND(#REF!*$H60,2)</f>
        <v>#REF!</v>
      </c>
      <c r="V60" s="573" t="e">
        <f>ROUND(#REF!*$J60,2)</f>
        <v>#REF!</v>
      </c>
      <c r="X60" s="578">
        <v>103</v>
      </c>
      <c r="Z60" s="730" t="e">
        <f>+$H60*#REF!</f>
        <v>#REF!</v>
      </c>
      <c r="AA60" s="446" t="e">
        <f>+$H60*#REF!</f>
        <v>#REF!</v>
      </c>
      <c r="AB60" s="446" t="e">
        <f>+$H60*#REF!</f>
        <v>#REF!</v>
      </c>
      <c r="AC60" s="444" t="e">
        <f>+$H60*#REF!</f>
        <v>#REF!</v>
      </c>
      <c r="AD60" s="444" t="e">
        <f>+$H60*#REF!</f>
        <v>#REF!</v>
      </c>
      <c r="AE60" s="444" t="e">
        <f>+$H60*#REF!</f>
        <v>#REF!</v>
      </c>
      <c r="AF60" s="444" t="e">
        <f>+$H60*#REF!</f>
        <v>#REF!</v>
      </c>
      <c r="AG60" s="444" t="e">
        <f>+$H60*#REF!</f>
        <v>#REF!</v>
      </c>
      <c r="AH60" s="444" t="e">
        <f>+$H60*#REF!</f>
        <v>#REF!</v>
      </c>
      <c r="AI60" s="444" t="e">
        <f>+$H60*#REF!</f>
        <v>#REF!</v>
      </c>
      <c r="AJ60" s="731" t="e">
        <f>+$H60*#REF!</f>
        <v>#REF!</v>
      </c>
      <c r="AK60" s="733" t="e">
        <f>+#REF!*#REF!</f>
        <v>#REF!</v>
      </c>
      <c r="AL60" s="444" t="e">
        <f>+#REF!*#REF!</f>
        <v>#REF!</v>
      </c>
      <c r="AM60" s="444" t="e">
        <f>+#REF!*#REF!</f>
        <v>#REF!</v>
      </c>
      <c r="AN60" s="731" t="e">
        <f>+#REF!*#REF!</f>
        <v>#REF!</v>
      </c>
      <c r="AO60" s="733" t="e">
        <f>+$H60*#REF!</f>
        <v>#REF!</v>
      </c>
      <c r="AP60" s="444" t="e">
        <f>+$H60*#REF!</f>
        <v>#REF!</v>
      </c>
      <c r="AQ60" s="444" t="e">
        <f>+$H60*#REF!</f>
        <v>#REF!</v>
      </c>
      <c r="AR60" s="444" t="e">
        <f>+$H60*#REF!</f>
        <v>#REF!</v>
      </c>
      <c r="AS60" s="444" t="e">
        <f>+$H60*#REF!</f>
        <v>#REF!</v>
      </c>
      <c r="AT60" s="444" t="e">
        <f>+$H60*#REF!</f>
        <v>#REF!</v>
      </c>
      <c r="AU60" s="444" t="e">
        <f>+$H60*#REF!</f>
        <v>#REF!</v>
      </c>
      <c r="AV60" s="444" t="e">
        <f>+$H60*#REF!</f>
        <v>#REF!</v>
      </c>
      <c r="AW60" s="444" t="e">
        <f>+$H60*#REF!</f>
        <v>#REF!</v>
      </c>
      <c r="AX60" s="731" t="e">
        <f>+$H60*#REF!</f>
        <v>#REF!</v>
      </c>
      <c r="AY60" s="733" t="e">
        <f>+$H60*#REF!</f>
        <v>#REF!</v>
      </c>
      <c r="AZ60" s="731" t="e">
        <f>+$H60*#REF!</f>
        <v>#REF!</v>
      </c>
      <c r="BA60" s="568" t="e">
        <f t="shared" ref="BA60" si="69">SUM(Z60:AZ60)</f>
        <v>#REF!</v>
      </c>
      <c r="BB60" s="444" t="e">
        <f t="shared" ref="BB60" si="70">IF(BA60=O60,"OK","CORREGIR")</f>
        <v>#REF!</v>
      </c>
    </row>
    <row r="61" spans="1:54" s="568" customFormat="1">
      <c r="A61" s="571"/>
      <c r="B61" s="582" t="s">
        <v>168</v>
      </c>
      <c r="C61" s="354" t="str">
        <f t="shared" si="61"/>
        <v>Peón</v>
      </c>
      <c r="D61" s="577"/>
      <c r="E61" s="355"/>
      <c r="F61" s="576" t="str">
        <f t="shared" si="68"/>
        <v>hh</v>
      </c>
      <c r="G61" s="727">
        <v>2</v>
      </c>
      <c r="H61" s="581">
        <f>ROUNDUP(G61/$C$56,4)</f>
        <v>18.823599999999999</v>
      </c>
      <c r="I61" s="726">
        <f t="shared" si="62"/>
        <v>19.679802166702849</v>
      </c>
      <c r="J61" s="726">
        <f t="shared" ref="J61" si="71">ROUND(H61*I61,2)</f>
        <v>370.44</v>
      </c>
      <c r="K61" s="571"/>
      <c r="L61" s="571"/>
      <c r="M61" s="571" t="str">
        <f t="shared" si="64"/>
        <v>Peón</v>
      </c>
      <c r="N61" s="572" t="str">
        <f t="shared" si="65"/>
        <v>hh</v>
      </c>
      <c r="O61" s="573">
        <f>ROUND($M$56*$H61,2)</f>
        <v>538.54</v>
      </c>
      <c r="P61" s="573" t="e">
        <f>J61*#REF!</f>
        <v>#REF!</v>
      </c>
      <c r="Q61" s="574"/>
      <c r="R61" s="574"/>
      <c r="S61" s="571" t="str">
        <f t="shared" si="66"/>
        <v>Peón</v>
      </c>
      <c r="T61" s="572" t="str">
        <f t="shared" si="67"/>
        <v>hh</v>
      </c>
      <c r="U61" s="573" t="e">
        <f>ROUND(#REF!*$H61,2)</f>
        <v>#REF!</v>
      </c>
      <c r="V61" s="573" t="e">
        <f>ROUND(#REF!*$J61,2)</f>
        <v>#REF!</v>
      </c>
      <c r="X61" s="578">
        <v>103</v>
      </c>
      <c r="Z61" s="730" t="e">
        <f>+$H61*#REF!</f>
        <v>#REF!</v>
      </c>
      <c r="AA61" s="446" t="e">
        <f>+$H61*#REF!</f>
        <v>#REF!</v>
      </c>
      <c r="AB61" s="446" t="e">
        <f>+$H61*#REF!</f>
        <v>#REF!</v>
      </c>
      <c r="AC61" s="444" t="e">
        <f>+$H61*#REF!</f>
        <v>#REF!</v>
      </c>
      <c r="AD61" s="444" t="e">
        <f>+$H61*#REF!</f>
        <v>#REF!</v>
      </c>
      <c r="AE61" s="444" t="e">
        <f>+$H61*#REF!</f>
        <v>#REF!</v>
      </c>
      <c r="AF61" s="444" t="e">
        <f>+$H61*#REF!</f>
        <v>#REF!</v>
      </c>
      <c r="AG61" s="444" t="e">
        <f>+$H61*#REF!</f>
        <v>#REF!</v>
      </c>
      <c r="AH61" s="444" t="e">
        <f>+$H61*#REF!</f>
        <v>#REF!</v>
      </c>
      <c r="AI61" s="444" t="e">
        <f>+$H61*#REF!</f>
        <v>#REF!</v>
      </c>
      <c r="AJ61" s="731" t="e">
        <f>+$H61*#REF!</f>
        <v>#REF!</v>
      </c>
      <c r="AK61" s="733" t="e">
        <f>+#REF!*#REF!</f>
        <v>#REF!</v>
      </c>
      <c r="AL61" s="444" t="e">
        <f>+#REF!*#REF!</f>
        <v>#REF!</v>
      </c>
      <c r="AM61" s="444" t="e">
        <f>+#REF!*#REF!</f>
        <v>#REF!</v>
      </c>
      <c r="AN61" s="731" t="e">
        <f>+#REF!*#REF!</f>
        <v>#REF!</v>
      </c>
      <c r="AO61" s="733" t="e">
        <f>+$H61*#REF!</f>
        <v>#REF!</v>
      </c>
      <c r="AP61" s="444" t="e">
        <f>+$H61*#REF!</f>
        <v>#REF!</v>
      </c>
      <c r="AQ61" s="444" t="e">
        <f>+$H61*#REF!</f>
        <v>#REF!</v>
      </c>
      <c r="AR61" s="444" t="e">
        <f>+$H61*#REF!</f>
        <v>#REF!</v>
      </c>
      <c r="AS61" s="444" t="e">
        <f>+$H61*#REF!</f>
        <v>#REF!</v>
      </c>
      <c r="AT61" s="444" t="e">
        <f>+$H61*#REF!</f>
        <v>#REF!</v>
      </c>
      <c r="AU61" s="444" t="e">
        <f>+$H61*#REF!</f>
        <v>#REF!</v>
      </c>
      <c r="AV61" s="444" t="e">
        <f>+$H61*#REF!</f>
        <v>#REF!</v>
      </c>
      <c r="AW61" s="444" t="e">
        <f>+$H61*#REF!</f>
        <v>#REF!</v>
      </c>
      <c r="AX61" s="731" t="e">
        <f>+$H61*#REF!</f>
        <v>#REF!</v>
      </c>
      <c r="AY61" s="733" t="e">
        <f>+$H61*#REF!</f>
        <v>#REF!</v>
      </c>
      <c r="AZ61" s="731" t="e">
        <f>+$H61*#REF!</f>
        <v>#REF!</v>
      </c>
      <c r="BA61" s="568" t="e">
        <f t="shared" ref="BA61" si="72">SUM(Z61:AZ61)</f>
        <v>#REF!</v>
      </c>
      <c r="BB61" s="444" t="e">
        <f t="shared" ref="BB61" si="73">IF(BA61=O61,"OK","CORREGIR")</f>
        <v>#REF!</v>
      </c>
    </row>
    <row r="62" spans="1:54" s="568" customFormat="1">
      <c r="A62" s="571"/>
      <c r="B62" s="582" t="s">
        <v>170</v>
      </c>
      <c r="C62" s="354" t="str">
        <f t="shared" si="61"/>
        <v>Vigía</v>
      </c>
      <c r="D62" s="577"/>
      <c r="E62" s="355"/>
      <c r="F62" s="576" t="str">
        <f t="shared" si="68"/>
        <v>hh</v>
      </c>
      <c r="G62" s="727">
        <v>2</v>
      </c>
      <c r="H62" s="581">
        <f>ROUNDUP(G62/$C$56,4)</f>
        <v>18.823599999999999</v>
      </c>
      <c r="I62" s="726">
        <f t="shared" si="62"/>
        <v>19.679802166702849</v>
      </c>
      <c r="J62" s="726">
        <f t="shared" si="63"/>
        <v>370.44</v>
      </c>
      <c r="K62" s="571"/>
      <c r="L62" s="571"/>
      <c r="M62" s="571" t="str">
        <f t="shared" si="64"/>
        <v>Vigía</v>
      </c>
      <c r="N62" s="572" t="str">
        <f t="shared" si="65"/>
        <v>hh</v>
      </c>
      <c r="O62" s="573">
        <f>ROUND($M$56*$H62,2)</f>
        <v>538.54</v>
      </c>
      <c r="P62" s="573" t="e">
        <f>J62*#REF!</f>
        <v>#REF!</v>
      </c>
      <c r="Q62" s="574"/>
      <c r="R62" s="574"/>
      <c r="S62" s="571" t="str">
        <f t="shared" si="66"/>
        <v>Vigía</v>
      </c>
      <c r="T62" s="572" t="str">
        <f t="shared" si="67"/>
        <v>hh</v>
      </c>
      <c r="U62" s="573" t="e">
        <f>ROUND(#REF!*$H62,2)</f>
        <v>#REF!</v>
      </c>
      <c r="V62" s="573" t="e">
        <f>ROUND(#REF!*$J62,2)</f>
        <v>#REF!</v>
      </c>
      <c r="X62" s="578">
        <v>103</v>
      </c>
      <c r="Z62" s="730" t="e">
        <f>+$H62*#REF!</f>
        <v>#REF!</v>
      </c>
      <c r="AA62" s="446" t="e">
        <f>+$H62*#REF!</f>
        <v>#REF!</v>
      </c>
      <c r="AB62" s="446" t="e">
        <f>+$H62*#REF!</f>
        <v>#REF!</v>
      </c>
      <c r="AC62" s="444" t="e">
        <f>+$H62*#REF!</f>
        <v>#REF!</v>
      </c>
      <c r="AD62" s="444" t="e">
        <f>+$H62*#REF!</f>
        <v>#REF!</v>
      </c>
      <c r="AE62" s="444" t="e">
        <f>+$H62*#REF!</f>
        <v>#REF!</v>
      </c>
      <c r="AF62" s="444" t="e">
        <f>+$H62*#REF!</f>
        <v>#REF!</v>
      </c>
      <c r="AG62" s="444" t="e">
        <f>+$H62*#REF!</f>
        <v>#REF!</v>
      </c>
      <c r="AH62" s="444" t="e">
        <f>+$H62*#REF!</f>
        <v>#REF!</v>
      </c>
      <c r="AI62" s="444" t="e">
        <f>+$H62*#REF!</f>
        <v>#REF!</v>
      </c>
      <c r="AJ62" s="731" t="e">
        <f>+$H62*#REF!</f>
        <v>#REF!</v>
      </c>
      <c r="AK62" s="733" t="e">
        <f>+#REF!*#REF!</f>
        <v>#REF!</v>
      </c>
      <c r="AL62" s="444" t="e">
        <f>+#REF!*#REF!</f>
        <v>#REF!</v>
      </c>
      <c r="AM62" s="444" t="e">
        <f>+#REF!*#REF!</f>
        <v>#REF!</v>
      </c>
      <c r="AN62" s="731" t="e">
        <f>+#REF!*#REF!</f>
        <v>#REF!</v>
      </c>
      <c r="AO62" s="733" t="e">
        <f>+$H62*#REF!</f>
        <v>#REF!</v>
      </c>
      <c r="AP62" s="444" t="e">
        <f>+$H62*#REF!</f>
        <v>#REF!</v>
      </c>
      <c r="AQ62" s="444" t="e">
        <f>+$H62*#REF!</f>
        <v>#REF!</v>
      </c>
      <c r="AR62" s="444" t="e">
        <f>+$H62*#REF!</f>
        <v>#REF!</v>
      </c>
      <c r="AS62" s="444" t="e">
        <f>+$H62*#REF!</f>
        <v>#REF!</v>
      </c>
      <c r="AT62" s="444" t="e">
        <f>+$H62*#REF!</f>
        <v>#REF!</v>
      </c>
      <c r="AU62" s="444" t="e">
        <f>+$H62*#REF!</f>
        <v>#REF!</v>
      </c>
      <c r="AV62" s="444" t="e">
        <f>+$H62*#REF!</f>
        <v>#REF!</v>
      </c>
      <c r="AW62" s="444" t="e">
        <f>+$H62*#REF!</f>
        <v>#REF!</v>
      </c>
      <c r="AX62" s="731" t="e">
        <f>+$H62*#REF!</f>
        <v>#REF!</v>
      </c>
      <c r="AY62" s="733" t="e">
        <f>+$H62*#REF!</f>
        <v>#REF!</v>
      </c>
      <c r="AZ62" s="731" t="e">
        <f>+$H62*#REF!</f>
        <v>#REF!</v>
      </c>
      <c r="BA62" s="568" t="e">
        <f t="shared" ref="BA62" si="74">SUM(Z62:AZ62)</f>
        <v>#REF!</v>
      </c>
      <c r="BB62" s="444" t="e">
        <f t="shared" ref="BB62" si="75">IF(BA62=O62,"OK","CORREGIR")</f>
        <v>#REF!</v>
      </c>
    </row>
    <row r="63" spans="1:54" s="568" customFormat="1">
      <c r="A63" s="571"/>
      <c r="B63" s="603"/>
      <c r="C63" s="346"/>
      <c r="D63" s="348"/>
      <c r="E63" s="348"/>
      <c r="F63" s="349"/>
      <c r="G63" s="351"/>
      <c r="H63" s="448"/>
      <c r="I63" s="448"/>
      <c r="J63" s="449">
        <f>SUM(J59:J62)</f>
        <v>2112.4299999999998</v>
      </c>
      <c r="K63" s="571"/>
      <c r="L63" s="571"/>
      <c r="M63" s="571"/>
      <c r="N63" s="572"/>
      <c r="O63" s="573"/>
      <c r="P63" s="573"/>
      <c r="Q63" s="574"/>
      <c r="R63" s="574"/>
      <c r="S63" s="571"/>
      <c r="T63" s="572"/>
      <c r="U63" s="573"/>
      <c r="V63" s="573"/>
      <c r="X63" s="578"/>
      <c r="Z63" s="730"/>
      <c r="AA63" s="446"/>
      <c r="AB63" s="446"/>
      <c r="AC63" s="444"/>
      <c r="AD63" s="444"/>
      <c r="AE63" s="444"/>
      <c r="AF63" s="444"/>
      <c r="AG63" s="444"/>
      <c r="AH63" s="444"/>
      <c r="AI63" s="444"/>
      <c r="AJ63" s="731"/>
      <c r="AK63" s="733"/>
      <c r="AL63" s="444"/>
      <c r="AM63" s="444"/>
      <c r="AN63" s="731"/>
      <c r="AO63" s="733"/>
      <c r="AP63" s="444"/>
      <c r="AQ63" s="444"/>
      <c r="AR63" s="444"/>
      <c r="AS63" s="444"/>
      <c r="AT63" s="444"/>
      <c r="AU63" s="444"/>
      <c r="AV63" s="444"/>
      <c r="AW63" s="444"/>
      <c r="AX63" s="731"/>
      <c r="AY63" s="733"/>
      <c r="AZ63" s="731"/>
    </row>
    <row r="64" spans="1:54" s="568" customFormat="1">
      <c r="A64" s="302" t="str">
        <f>CONCATENATE(A55,L64)</f>
        <v>10198(D)</v>
      </c>
      <c r="B64" s="450" t="s">
        <v>34</v>
      </c>
      <c r="C64" s="303"/>
      <c r="D64" s="304"/>
      <c r="E64" s="305"/>
      <c r="F64" s="306"/>
      <c r="G64" s="307"/>
      <c r="H64" s="308"/>
      <c r="I64" s="320"/>
      <c r="J64" s="451"/>
      <c r="K64" s="300">
        <f>SUM(J65:J69)</f>
        <v>5587.6600000000008</v>
      </c>
      <c r="L64" s="293" t="s">
        <v>35</v>
      </c>
      <c r="M64" s="571"/>
      <c r="N64" s="572"/>
      <c r="O64" s="573"/>
      <c r="P64" s="573"/>
      <c r="Q64" s="574"/>
      <c r="R64" s="574"/>
      <c r="S64" s="571"/>
      <c r="T64" s="572"/>
      <c r="U64" s="573"/>
      <c r="V64" s="573"/>
      <c r="X64" s="578">
        <v>103</v>
      </c>
      <c r="Z64" s="730"/>
      <c r="AA64" s="446"/>
      <c r="AB64" s="446"/>
      <c r="AC64" s="444"/>
      <c r="AD64" s="444"/>
      <c r="AE64" s="444"/>
      <c r="AF64" s="444"/>
      <c r="AG64" s="444"/>
      <c r="AH64" s="444"/>
      <c r="AI64" s="444"/>
      <c r="AJ64" s="731"/>
      <c r="AK64" s="733"/>
      <c r="AL64" s="444"/>
      <c r="AM64" s="444"/>
      <c r="AN64" s="731"/>
      <c r="AO64" s="733"/>
      <c r="AP64" s="444"/>
      <c r="AQ64" s="444"/>
      <c r="AR64" s="444"/>
      <c r="AS64" s="444"/>
      <c r="AT64" s="444"/>
      <c r="AU64" s="444"/>
      <c r="AV64" s="444"/>
      <c r="AW64" s="444"/>
      <c r="AX64" s="731"/>
      <c r="AY64" s="733"/>
      <c r="AZ64" s="731"/>
    </row>
    <row r="65" spans="1:54" s="568" customFormat="1">
      <c r="A65" s="571"/>
      <c r="B65" s="582" t="s">
        <v>189</v>
      </c>
      <c r="C65" s="354" t="str">
        <f>VLOOKUP($B65,Recursos,2,FALSE)</f>
        <v>Rodillo Liso Vibratorio Autopropulsado HAMM 20 Tn.</v>
      </c>
      <c r="D65" s="577"/>
      <c r="E65" s="355"/>
      <c r="F65" s="576" t="str">
        <f t="shared" ref="F65:F69" si="76">VLOOKUP($B65,Recursos,3,FALSE)</f>
        <v>hm</v>
      </c>
      <c r="G65" s="575">
        <v>1</v>
      </c>
      <c r="H65" s="581">
        <f t="shared" ref="H65:H68" si="77">ROUNDUP(G65/$C$56,4)</f>
        <v>9.4117999999999995</v>
      </c>
      <c r="I65" s="726">
        <f t="shared" ref="I65:I68" si="78">VLOOKUP($B65,Recursos,4,FALSE)</f>
        <v>172.08639237814899</v>
      </c>
      <c r="J65" s="726">
        <f t="shared" ref="J65:J67" si="79">ROUND(H65*I65,2)</f>
        <v>1619.64</v>
      </c>
      <c r="K65" s="571"/>
      <c r="L65" s="571"/>
      <c r="M65" s="571" t="str">
        <f t="shared" ref="M65:M69" si="80">$C65</f>
        <v>Rodillo Liso Vibratorio Autopropulsado HAMM 20 Tn.</v>
      </c>
      <c r="N65" s="572" t="str">
        <f t="shared" ref="N65:N69" si="81">$F65</f>
        <v>hm</v>
      </c>
      <c r="O65" s="573">
        <f>ROUND($M$56*$H65,2)</f>
        <v>269.27</v>
      </c>
      <c r="P65" s="573" t="e">
        <f>J65*#REF!</f>
        <v>#REF!</v>
      </c>
      <c r="Q65" s="574"/>
      <c r="R65" s="574"/>
      <c r="S65" s="571" t="str">
        <f t="shared" ref="S65:S69" si="82">$C65</f>
        <v>Rodillo Liso Vibratorio Autopropulsado HAMM 20 Tn.</v>
      </c>
      <c r="T65" s="572" t="str">
        <f t="shared" ref="T65:T69" si="83">$F65</f>
        <v>hm</v>
      </c>
      <c r="U65" s="573" t="e">
        <f>ROUND(#REF!*$H65,2)</f>
        <v>#REF!</v>
      </c>
      <c r="V65" s="573" t="e">
        <f>ROUND(#REF!*$J65,2)</f>
        <v>#REF!</v>
      </c>
      <c r="X65" s="578">
        <v>103</v>
      </c>
      <c r="Z65" s="730" t="e">
        <f>+$H65*#REF!</f>
        <v>#REF!</v>
      </c>
      <c r="AA65" s="446" t="e">
        <f>+$H65*#REF!</f>
        <v>#REF!</v>
      </c>
      <c r="AB65" s="446" t="e">
        <f>+$H65*#REF!</f>
        <v>#REF!</v>
      </c>
      <c r="AC65" s="444" t="e">
        <f>+$H65*#REF!</f>
        <v>#REF!</v>
      </c>
      <c r="AD65" s="444" t="e">
        <f>+$H65*#REF!</f>
        <v>#REF!</v>
      </c>
      <c r="AE65" s="444" t="e">
        <f>+$H65*#REF!</f>
        <v>#REF!</v>
      </c>
      <c r="AF65" s="444" t="e">
        <f>+$H65*#REF!</f>
        <v>#REF!</v>
      </c>
      <c r="AG65" s="444" t="e">
        <f>+$H65*#REF!</f>
        <v>#REF!</v>
      </c>
      <c r="AH65" s="444" t="e">
        <f>+$H65*#REF!</f>
        <v>#REF!</v>
      </c>
      <c r="AI65" s="444" t="e">
        <f>+$H65*#REF!</f>
        <v>#REF!</v>
      </c>
      <c r="AJ65" s="731" t="e">
        <f>+$H65*#REF!</f>
        <v>#REF!</v>
      </c>
      <c r="AK65" s="733" t="e">
        <f>+#REF!*#REF!</f>
        <v>#REF!</v>
      </c>
      <c r="AL65" s="444" t="e">
        <f>+#REF!*#REF!</f>
        <v>#REF!</v>
      </c>
      <c r="AM65" s="444" t="e">
        <f>+#REF!*#REF!</f>
        <v>#REF!</v>
      </c>
      <c r="AN65" s="731" t="e">
        <f>+#REF!*#REF!</f>
        <v>#REF!</v>
      </c>
      <c r="AO65" s="733" t="e">
        <f>+$H65*#REF!</f>
        <v>#REF!</v>
      </c>
      <c r="AP65" s="444" t="e">
        <f>+$H65*#REF!</f>
        <v>#REF!</v>
      </c>
      <c r="AQ65" s="444" t="e">
        <f>+$H65*#REF!</f>
        <v>#REF!</v>
      </c>
      <c r="AR65" s="444" t="e">
        <f>+$H65*#REF!</f>
        <v>#REF!</v>
      </c>
      <c r="AS65" s="444" t="e">
        <f>+$H65*#REF!</f>
        <v>#REF!</v>
      </c>
      <c r="AT65" s="444" t="e">
        <f>+$H65*#REF!</f>
        <v>#REF!</v>
      </c>
      <c r="AU65" s="444" t="e">
        <f>+$H65*#REF!</f>
        <v>#REF!</v>
      </c>
      <c r="AV65" s="444" t="e">
        <f>+$H65*#REF!</f>
        <v>#REF!</v>
      </c>
      <c r="AW65" s="444" t="e">
        <f>+$H65*#REF!</f>
        <v>#REF!</v>
      </c>
      <c r="AX65" s="731" t="e">
        <f>+$H65*#REF!</f>
        <v>#REF!</v>
      </c>
      <c r="AY65" s="733" t="e">
        <f>+$H65*#REF!</f>
        <v>#REF!</v>
      </c>
      <c r="AZ65" s="731" t="e">
        <f>+$H65*#REF!</f>
        <v>#REF!</v>
      </c>
      <c r="BA65" s="568" t="e">
        <f t="shared" ref="BA65:BA67" si="84">SUM(Z65:AZ65)</f>
        <v>#REF!</v>
      </c>
      <c r="BB65" s="444" t="e">
        <f t="shared" ref="BB65:BB67" si="85">IF(BA65=O65,"OK","CORREGIR")</f>
        <v>#REF!</v>
      </c>
    </row>
    <row r="66" spans="1:54" s="568" customFormat="1">
      <c r="A66" s="571"/>
      <c r="B66" s="582" t="s">
        <v>177</v>
      </c>
      <c r="C66" s="354" t="str">
        <f>VLOOKUP($B66,Recursos,2,FALSE)</f>
        <v>Tractor sobre Orugas CAT D8T</v>
      </c>
      <c r="D66" s="577"/>
      <c r="E66" s="355"/>
      <c r="F66" s="576" t="str">
        <f t="shared" si="76"/>
        <v>hm</v>
      </c>
      <c r="G66" s="575">
        <v>1</v>
      </c>
      <c r="H66" s="581">
        <f t="shared" si="77"/>
        <v>9.4117999999999995</v>
      </c>
      <c r="I66" s="726">
        <f t="shared" si="78"/>
        <v>308.49639237814898</v>
      </c>
      <c r="J66" s="726">
        <f t="shared" si="79"/>
        <v>2903.51</v>
      </c>
      <c r="K66" s="571"/>
      <c r="L66" s="571"/>
      <c r="M66" s="571" t="str">
        <f t="shared" si="80"/>
        <v>Tractor sobre Orugas CAT D8T</v>
      </c>
      <c r="N66" s="572" t="str">
        <f t="shared" si="81"/>
        <v>hm</v>
      </c>
      <c r="O66" s="573">
        <f>ROUND($M$56*$H66,2)</f>
        <v>269.27</v>
      </c>
      <c r="P66" s="573" t="e">
        <f>J66*#REF!</f>
        <v>#REF!</v>
      </c>
      <c r="Q66" s="574"/>
      <c r="R66" s="574"/>
      <c r="S66" s="571" t="str">
        <f t="shared" si="82"/>
        <v>Tractor sobre Orugas CAT D8T</v>
      </c>
      <c r="T66" s="572" t="str">
        <f t="shared" si="83"/>
        <v>hm</v>
      </c>
      <c r="U66" s="573" t="e">
        <f>ROUND(#REF!*$H66,2)</f>
        <v>#REF!</v>
      </c>
      <c r="V66" s="573" t="e">
        <f>ROUND(#REF!*$J66,2)</f>
        <v>#REF!</v>
      </c>
      <c r="X66" s="578">
        <v>103</v>
      </c>
      <c r="Z66" s="730" t="e">
        <f>+$H66*#REF!</f>
        <v>#REF!</v>
      </c>
      <c r="AA66" s="446" t="e">
        <f>+$H66*#REF!</f>
        <v>#REF!</v>
      </c>
      <c r="AB66" s="446" t="e">
        <f>+$H66*#REF!</f>
        <v>#REF!</v>
      </c>
      <c r="AC66" s="444" t="e">
        <f>+$H66*#REF!</f>
        <v>#REF!</v>
      </c>
      <c r="AD66" s="444" t="e">
        <f>+$H66*#REF!</f>
        <v>#REF!</v>
      </c>
      <c r="AE66" s="444" t="e">
        <f>+$H66*#REF!</f>
        <v>#REF!</v>
      </c>
      <c r="AF66" s="444" t="e">
        <f>+$H66*#REF!</f>
        <v>#REF!</v>
      </c>
      <c r="AG66" s="444" t="e">
        <f>+$H66*#REF!</f>
        <v>#REF!</v>
      </c>
      <c r="AH66" s="444" t="e">
        <f>+$H66*#REF!</f>
        <v>#REF!</v>
      </c>
      <c r="AI66" s="444" t="e">
        <f>+$H66*#REF!</f>
        <v>#REF!</v>
      </c>
      <c r="AJ66" s="731" t="e">
        <f>+$H66*#REF!</f>
        <v>#REF!</v>
      </c>
      <c r="AK66" s="733" t="e">
        <f>+#REF!*#REF!</f>
        <v>#REF!</v>
      </c>
      <c r="AL66" s="444" t="e">
        <f>+#REF!*#REF!</f>
        <v>#REF!</v>
      </c>
      <c r="AM66" s="444" t="e">
        <f>+#REF!*#REF!</f>
        <v>#REF!</v>
      </c>
      <c r="AN66" s="731" t="e">
        <f>+#REF!*#REF!</f>
        <v>#REF!</v>
      </c>
      <c r="AO66" s="733" t="e">
        <f>+$H66*#REF!</f>
        <v>#REF!</v>
      </c>
      <c r="AP66" s="444" t="e">
        <f>+$H66*#REF!</f>
        <v>#REF!</v>
      </c>
      <c r="AQ66" s="444" t="e">
        <f>+$H66*#REF!</f>
        <v>#REF!</v>
      </c>
      <c r="AR66" s="444" t="e">
        <f>+$H66*#REF!</f>
        <v>#REF!</v>
      </c>
      <c r="AS66" s="444" t="e">
        <f>+$H66*#REF!</f>
        <v>#REF!</v>
      </c>
      <c r="AT66" s="444" t="e">
        <f>+$H66*#REF!</f>
        <v>#REF!</v>
      </c>
      <c r="AU66" s="444" t="e">
        <f>+$H66*#REF!</f>
        <v>#REF!</v>
      </c>
      <c r="AV66" s="444" t="e">
        <f>+$H66*#REF!</f>
        <v>#REF!</v>
      </c>
      <c r="AW66" s="444" t="e">
        <f>+$H66*#REF!</f>
        <v>#REF!</v>
      </c>
      <c r="AX66" s="731" t="e">
        <f>+$H66*#REF!</f>
        <v>#REF!</v>
      </c>
      <c r="AY66" s="733" t="e">
        <f>+$H66*#REF!</f>
        <v>#REF!</v>
      </c>
      <c r="AZ66" s="731" t="e">
        <f>+$H66*#REF!</f>
        <v>#REF!</v>
      </c>
      <c r="BA66" s="568" t="e">
        <f t="shared" si="84"/>
        <v>#REF!</v>
      </c>
      <c r="BB66" s="444" t="e">
        <f t="shared" si="85"/>
        <v>#REF!</v>
      </c>
    </row>
    <row r="67" spans="1:54" s="568" customFormat="1">
      <c r="A67" s="571"/>
      <c r="B67" s="582" t="s">
        <v>185</v>
      </c>
      <c r="C67" s="354" t="str">
        <f>VLOOKUP($B67,Recursos,2,FALSE)</f>
        <v>Cisterna de agua 5,000 gln.</v>
      </c>
      <c r="D67" s="577"/>
      <c r="E67" s="355"/>
      <c r="F67" s="576" t="str">
        <f t="shared" si="76"/>
        <v>hm</v>
      </c>
      <c r="G67" s="575">
        <v>1</v>
      </c>
      <c r="H67" s="581">
        <f t="shared" si="77"/>
        <v>9.4117999999999995</v>
      </c>
      <c r="I67" s="726">
        <f t="shared" si="78"/>
        <v>101.88139237814801</v>
      </c>
      <c r="J67" s="726">
        <f t="shared" si="79"/>
        <v>958.89</v>
      </c>
      <c r="K67" s="571"/>
      <c r="L67" s="571"/>
      <c r="M67" s="571" t="str">
        <f t="shared" si="80"/>
        <v>Cisterna de agua 5,000 gln.</v>
      </c>
      <c r="N67" s="572" t="str">
        <f t="shared" si="81"/>
        <v>hm</v>
      </c>
      <c r="O67" s="573">
        <f>ROUND($M$56*$H67,2)</f>
        <v>269.27</v>
      </c>
      <c r="P67" s="573" t="e">
        <f>J67*#REF!</f>
        <v>#REF!</v>
      </c>
      <c r="Q67" s="574"/>
      <c r="R67" s="574"/>
      <c r="S67" s="571" t="str">
        <f t="shared" si="82"/>
        <v>Cisterna de agua 5,000 gln.</v>
      </c>
      <c r="T67" s="572" t="str">
        <f t="shared" si="83"/>
        <v>hm</v>
      </c>
      <c r="U67" s="573" t="e">
        <f>ROUND(#REF!*$H67,2)</f>
        <v>#REF!</v>
      </c>
      <c r="V67" s="573" t="e">
        <f>ROUND(#REF!*$J67,2)</f>
        <v>#REF!</v>
      </c>
      <c r="X67" s="578">
        <v>103</v>
      </c>
      <c r="Z67" s="730" t="e">
        <f>+$H67*#REF!</f>
        <v>#REF!</v>
      </c>
      <c r="AA67" s="446" t="e">
        <f>+$H67*#REF!</f>
        <v>#REF!</v>
      </c>
      <c r="AB67" s="446" t="e">
        <f>+$H67*#REF!</f>
        <v>#REF!</v>
      </c>
      <c r="AC67" s="444" t="e">
        <f>+$H67*#REF!</f>
        <v>#REF!</v>
      </c>
      <c r="AD67" s="444" t="e">
        <f>+$H67*#REF!</f>
        <v>#REF!</v>
      </c>
      <c r="AE67" s="444" t="e">
        <f>+$H67*#REF!</f>
        <v>#REF!</v>
      </c>
      <c r="AF67" s="444" t="e">
        <f>+$H67*#REF!</f>
        <v>#REF!</v>
      </c>
      <c r="AG67" s="444" t="e">
        <f>+$H67*#REF!</f>
        <v>#REF!</v>
      </c>
      <c r="AH67" s="444" t="e">
        <f>+$H67*#REF!</f>
        <v>#REF!</v>
      </c>
      <c r="AI67" s="444" t="e">
        <f>+$H67*#REF!</f>
        <v>#REF!</v>
      </c>
      <c r="AJ67" s="731" t="e">
        <f>+$H67*#REF!</f>
        <v>#REF!</v>
      </c>
      <c r="AK67" s="733" t="e">
        <f>+#REF!*#REF!</f>
        <v>#REF!</v>
      </c>
      <c r="AL67" s="444" t="e">
        <f>+#REF!*#REF!</f>
        <v>#REF!</v>
      </c>
      <c r="AM67" s="444" t="e">
        <f>+#REF!*#REF!</f>
        <v>#REF!</v>
      </c>
      <c r="AN67" s="731" t="e">
        <f>+#REF!*#REF!</f>
        <v>#REF!</v>
      </c>
      <c r="AO67" s="733" t="e">
        <f>+$H67*#REF!</f>
        <v>#REF!</v>
      </c>
      <c r="AP67" s="444" t="e">
        <f>+$H67*#REF!</f>
        <v>#REF!</v>
      </c>
      <c r="AQ67" s="444" t="e">
        <f>+$H67*#REF!</f>
        <v>#REF!</v>
      </c>
      <c r="AR67" s="444" t="e">
        <f>+$H67*#REF!</f>
        <v>#REF!</v>
      </c>
      <c r="AS67" s="444" t="e">
        <f>+$H67*#REF!</f>
        <v>#REF!</v>
      </c>
      <c r="AT67" s="444" t="e">
        <f>+$H67*#REF!</f>
        <v>#REF!</v>
      </c>
      <c r="AU67" s="444" t="e">
        <f>+$H67*#REF!</f>
        <v>#REF!</v>
      </c>
      <c r="AV67" s="444" t="e">
        <f>+$H67*#REF!</f>
        <v>#REF!</v>
      </c>
      <c r="AW67" s="444" t="e">
        <f>+$H67*#REF!</f>
        <v>#REF!</v>
      </c>
      <c r="AX67" s="731" t="e">
        <f>+$H67*#REF!</f>
        <v>#REF!</v>
      </c>
      <c r="AY67" s="733" t="e">
        <f>+$H67*#REF!</f>
        <v>#REF!</v>
      </c>
      <c r="AZ67" s="731" t="e">
        <f>+$H67*#REF!</f>
        <v>#REF!</v>
      </c>
      <c r="BA67" s="568" t="e">
        <f t="shared" si="84"/>
        <v>#REF!</v>
      </c>
      <c r="BB67" s="444" t="e">
        <f t="shared" si="85"/>
        <v>#REF!</v>
      </c>
    </row>
    <row r="68" spans="1:54" s="568" customFormat="1">
      <c r="A68" s="571"/>
      <c r="B68" s="582" t="s">
        <v>188</v>
      </c>
      <c r="C68" s="354" t="str">
        <f>VLOOKUP($B68,Recursos,2,FALSE)</f>
        <v>Motoniveladora de 140 HP</v>
      </c>
      <c r="D68" s="577"/>
      <c r="E68" s="355"/>
      <c r="F68" s="576" t="str">
        <f t="shared" si="76"/>
        <v>hm</v>
      </c>
      <c r="G68" s="575">
        <v>1</v>
      </c>
      <c r="H68" s="581">
        <f t="shared" si="77"/>
        <v>9.4117999999999995</v>
      </c>
      <c r="I68" s="726">
        <f t="shared" si="78"/>
        <v>0</v>
      </c>
      <c r="J68" s="726">
        <f t="shared" ref="J68:J69" si="86">ROUND(H68*I68,2)</f>
        <v>0</v>
      </c>
      <c r="K68" s="571"/>
      <c r="L68" s="571"/>
      <c r="M68" s="571" t="str">
        <f t="shared" si="80"/>
        <v>Motoniveladora de 140 HP</v>
      </c>
      <c r="N68" s="572" t="str">
        <f t="shared" si="81"/>
        <v>hm</v>
      </c>
      <c r="O68" s="573">
        <f>ROUND($M$56*$H68,2)</f>
        <v>269.27</v>
      </c>
      <c r="P68" s="573" t="e">
        <f>J68*#REF!</f>
        <v>#REF!</v>
      </c>
      <c r="Q68" s="574"/>
      <c r="R68" s="574"/>
      <c r="S68" s="571" t="str">
        <f t="shared" si="82"/>
        <v>Motoniveladora de 140 HP</v>
      </c>
      <c r="T68" s="572" t="str">
        <f t="shared" si="83"/>
        <v>hm</v>
      </c>
      <c r="U68" s="573" t="e">
        <f>ROUND(#REF!*$H68,2)</f>
        <v>#REF!</v>
      </c>
      <c r="V68" s="573" t="e">
        <f>ROUND(#REF!*$J68,2)</f>
        <v>#REF!</v>
      </c>
      <c r="X68" s="578">
        <v>103</v>
      </c>
      <c r="Z68" s="730" t="e">
        <f>+$H68*#REF!</f>
        <v>#REF!</v>
      </c>
      <c r="AA68" s="446" t="e">
        <f>+$H68*#REF!</f>
        <v>#REF!</v>
      </c>
      <c r="AB68" s="446" t="e">
        <f>+$H68*#REF!</f>
        <v>#REF!</v>
      </c>
      <c r="AC68" s="444" t="e">
        <f>+$H68*#REF!</f>
        <v>#REF!</v>
      </c>
      <c r="AD68" s="444" t="e">
        <f>+$H68*#REF!</f>
        <v>#REF!</v>
      </c>
      <c r="AE68" s="444" t="e">
        <f>+$H68*#REF!</f>
        <v>#REF!</v>
      </c>
      <c r="AF68" s="444" t="e">
        <f>+$H68*#REF!</f>
        <v>#REF!</v>
      </c>
      <c r="AG68" s="444" t="e">
        <f>+$H68*#REF!</f>
        <v>#REF!</v>
      </c>
      <c r="AH68" s="444" t="e">
        <f>+$H68*#REF!</f>
        <v>#REF!</v>
      </c>
      <c r="AI68" s="444" t="e">
        <f>+$H68*#REF!</f>
        <v>#REF!</v>
      </c>
      <c r="AJ68" s="731" t="e">
        <f>+$H68*#REF!</f>
        <v>#REF!</v>
      </c>
      <c r="AK68" s="733" t="e">
        <f>+#REF!*#REF!</f>
        <v>#REF!</v>
      </c>
      <c r="AL68" s="444" t="e">
        <f>+#REF!*#REF!</f>
        <v>#REF!</v>
      </c>
      <c r="AM68" s="444" t="e">
        <f>+#REF!*#REF!</f>
        <v>#REF!</v>
      </c>
      <c r="AN68" s="731" t="e">
        <f>+#REF!*#REF!</f>
        <v>#REF!</v>
      </c>
      <c r="AO68" s="733" t="e">
        <f>+$H68*#REF!</f>
        <v>#REF!</v>
      </c>
      <c r="AP68" s="444" t="e">
        <f>+$H68*#REF!</f>
        <v>#REF!</v>
      </c>
      <c r="AQ68" s="444" t="e">
        <f>+$H68*#REF!</f>
        <v>#REF!</v>
      </c>
      <c r="AR68" s="444" t="e">
        <f>+$H68*#REF!</f>
        <v>#REF!</v>
      </c>
      <c r="AS68" s="444" t="e">
        <f>+$H68*#REF!</f>
        <v>#REF!</v>
      </c>
      <c r="AT68" s="444" t="e">
        <f>+$H68*#REF!</f>
        <v>#REF!</v>
      </c>
      <c r="AU68" s="444" t="e">
        <f>+$H68*#REF!</f>
        <v>#REF!</v>
      </c>
      <c r="AV68" s="444" t="e">
        <f>+$H68*#REF!</f>
        <v>#REF!</v>
      </c>
      <c r="AW68" s="444" t="e">
        <f>+$H68*#REF!</f>
        <v>#REF!</v>
      </c>
      <c r="AX68" s="731" t="e">
        <f>+$H68*#REF!</f>
        <v>#REF!</v>
      </c>
      <c r="AY68" s="733" t="e">
        <f>+$H68*#REF!</f>
        <v>#REF!</v>
      </c>
      <c r="AZ68" s="731" t="e">
        <f>+$H68*#REF!</f>
        <v>#REF!</v>
      </c>
      <c r="BA68" s="568" t="e">
        <f t="shared" ref="BA68" si="87">SUM(Z68:AZ68)</f>
        <v>#REF!</v>
      </c>
      <c r="BB68" s="444" t="e">
        <f t="shared" ref="BB68" si="88">IF(BA68=O68,"OK","CORREGIR")</f>
        <v>#REF!</v>
      </c>
    </row>
    <row r="69" spans="1:54" s="568" customFormat="1">
      <c r="A69" s="571"/>
      <c r="B69" s="582" t="s">
        <v>216</v>
      </c>
      <c r="C69" s="354" t="str">
        <f t="shared" ref="C69" si="89">VLOOKUP($B69,Recursos,2,FALSE)</f>
        <v>Herramientas (% Mano Obra)</v>
      </c>
      <c r="D69" s="577"/>
      <c r="E69" s="355"/>
      <c r="F69" s="576" t="str">
        <f t="shared" si="76"/>
        <v>%</v>
      </c>
      <c r="G69" s="727"/>
      <c r="H69" s="321">
        <v>0.05</v>
      </c>
      <c r="I69" s="726">
        <f>J63</f>
        <v>2112.4299999999998</v>
      </c>
      <c r="J69" s="726">
        <f t="shared" si="86"/>
        <v>105.62</v>
      </c>
      <c r="K69" s="571"/>
      <c r="L69" s="571"/>
      <c r="M69" s="571" t="str">
        <f t="shared" si="80"/>
        <v>Herramientas (% Mano Obra)</v>
      </c>
      <c r="N69" s="572" t="str">
        <f t="shared" si="81"/>
        <v>%</v>
      </c>
      <c r="O69" s="573"/>
      <c r="P69" s="573" t="e">
        <f>J69*#REF!</f>
        <v>#REF!</v>
      </c>
      <c r="Q69" s="574"/>
      <c r="R69" s="574"/>
      <c r="S69" s="571" t="str">
        <f t="shared" si="82"/>
        <v>Herramientas (% Mano Obra)</v>
      </c>
      <c r="T69" s="572" t="str">
        <f t="shared" si="83"/>
        <v>%</v>
      </c>
      <c r="U69" s="573" t="e">
        <f>ROUND(#REF!*$H69,2)</f>
        <v>#REF!</v>
      </c>
      <c r="V69" s="573" t="e">
        <f>ROUND(#REF!*$J69,2)</f>
        <v>#REF!</v>
      </c>
      <c r="X69" s="578">
        <v>103</v>
      </c>
      <c r="Z69" s="730"/>
      <c r="AA69" s="446"/>
      <c r="AB69" s="446"/>
      <c r="AC69" s="444"/>
      <c r="AD69" s="444"/>
      <c r="AE69" s="444"/>
      <c r="AF69" s="444"/>
      <c r="AG69" s="444"/>
      <c r="AH69" s="444"/>
      <c r="AI69" s="444"/>
      <c r="AJ69" s="731"/>
      <c r="AK69" s="733"/>
      <c r="AL69" s="444"/>
      <c r="AM69" s="444"/>
      <c r="AN69" s="731"/>
      <c r="AO69" s="733"/>
      <c r="AP69" s="444"/>
      <c r="AQ69" s="444"/>
      <c r="AR69" s="444"/>
      <c r="AS69" s="444"/>
      <c r="AT69" s="444"/>
      <c r="AU69" s="444"/>
      <c r="AV69" s="444"/>
      <c r="AW69" s="444"/>
      <c r="AX69" s="731"/>
      <c r="AY69" s="733"/>
      <c r="AZ69" s="731"/>
    </row>
    <row r="70" spans="1:54" s="568" customFormat="1">
      <c r="A70" s="571"/>
      <c r="B70" s="602"/>
      <c r="C70" s="346"/>
      <c r="D70" s="348"/>
      <c r="E70" s="348"/>
      <c r="F70" s="349"/>
      <c r="G70" s="351"/>
      <c r="H70" s="353"/>
      <c r="I70" s="331"/>
      <c r="J70" s="326">
        <f>K64</f>
        <v>5587.6600000000008</v>
      </c>
      <c r="K70" s="305"/>
      <c r="L70" s="305"/>
      <c r="M70" s="305"/>
      <c r="N70" s="301"/>
      <c r="O70" s="309"/>
      <c r="P70" s="309"/>
      <c r="Q70" s="574"/>
      <c r="R70" s="574"/>
      <c r="S70" s="305"/>
      <c r="T70" s="301"/>
      <c r="U70" s="309"/>
      <c r="V70" s="309"/>
      <c r="X70" s="578">
        <v>-3</v>
      </c>
      <c r="Y70" s="444"/>
      <c r="Z70" s="770"/>
      <c r="AA70" s="771"/>
      <c r="AB70" s="771"/>
      <c r="AC70" s="772"/>
      <c r="AD70" s="772"/>
      <c r="AE70" s="772"/>
      <c r="AF70" s="772"/>
      <c r="AG70" s="772"/>
      <c r="AH70" s="772"/>
      <c r="AI70" s="772"/>
      <c r="AJ70" s="776"/>
      <c r="AK70" s="775"/>
      <c r="AL70" s="772"/>
      <c r="AM70" s="772"/>
      <c r="AN70" s="776"/>
      <c r="AO70" s="775"/>
      <c r="AP70" s="772"/>
      <c r="AQ70" s="772"/>
      <c r="AR70" s="772"/>
      <c r="AS70" s="772"/>
      <c r="AT70" s="772"/>
      <c r="AU70" s="772"/>
      <c r="AV70" s="772"/>
      <c r="AW70" s="772"/>
      <c r="AX70" s="776"/>
      <c r="AY70" s="775"/>
      <c r="AZ70" s="776"/>
    </row>
    <row r="71" spans="1:54" s="568" customFormat="1">
      <c r="A71" s="302" t="str">
        <f>CONCATENATE(A55,L71)</f>
        <v>10198(D)</v>
      </c>
      <c r="B71" s="450" t="s">
        <v>950</v>
      </c>
      <c r="C71" s="303"/>
      <c r="D71" s="304"/>
      <c r="E71" s="305"/>
      <c r="F71" s="306"/>
      <c r="G71" s="307"/>
      <c r="H71" s="308"/>
      <c r="I71" s="320"/>
      <c r="J71" s="451"/>
      <c r="K71" s="300">
        <f>SUM(J72:J72)</f>
        <v>8400</v>
      </c>
      <c r="L71" s="293" t="s">
        <v>35</v>
      </c>
      <c r="M71" s="571"/>
      <c r="N71" s="572"/>
      <c r="O71" s="573"/>
      <c r="P71" s="573"/>
      <c r="Q71" s="574"/>
      <c r="R71" s="574"/>
      <c r="S71" s="571"/>
      <c r="T71" s="572"/>
      <c r="U71" s="573"/>
      <c r="V71" s="573"/>
      <c r="X71" s="578">
        <v>103</v>
      </c>
      <c r="Z71" s="730"/>
      <c r="AA71" s="446"/>
      <c r="AB71" s="446"/>
      <c r="AC71" s="444"/>
      <c r="AD71" s="444"/>
      <c r="AE71" s="444"/>
      <c r="AF71" s="444"/>
      <c r="AG71" s="444"/>
      <c r="AH71" s="444"/>
      <c r="AI71" s="444"/>
      <c r="AJ71" s="731"/>
      <c r="AK71" s="733"/>
      <c r="AL71" s="444"/>
      <c r="AM71" s="444"/>
      <c r="AN71" s="731"/>
      <c r="AO71" s="733"/>
      <c r="AP71" s="444"/>
      <c r="AQ71" s="444"/>
      <c r="AR71" s="444"/>
      <c r="AS71" s="444"/>
      <c r="AT71" s="444"/>
      <c r="AU71" s="444"/>
      <c r="AV71" s="444"/>
      <c r="AW71" s="444"/>
      <c r="AX71" s="731"/>
      <c r="AY71" s="733"/>
      <c r="AZ71" s="731"/>
    </row>
    <row r="72" spans="1:54" s="568" customFormat="1">
      <c r="A72" s="571"/>
      <c r="B72" s="582">
        <v>10199</v>
      </c>
      <c r="C72" s="354" t="str">
        <f>VLOOKUP($B72,PRESUPUESTO_,3,FALSE)</f>
        <v>Carguio y transporte de material para mejoramiento</v>
      </c>
      <c r="D72" s="577"/>
      <c r="E72" s="355"/>
      <c r="F72" s="576"/>
      <c r="G72" s="575"/>
      <c r="H72" s="581">
        <f>0.15*1000*4</f>
        <v>600</v>
      </c>
      <c r="I72" s="726">
        <f>+I77</f>
        <v>14</v>
      </c>
      <c r="J72" s="726">
        <f t="shared" ref="J72" si="90">ROUND(H72*I72,2)</f>
        <v>8400</v>
      </c>
      <c r="K72" s="571"/>
      <c r="L72" s="571"/>
      <c r="M72" s="571" t="str">
        <f t="shared" ref="M72" si="91">$C72</f>
        <v>Carguio y transporte de material para mejoramiento</v>
      </c>
      <c r="N72" s="572">
        <f t="shared" ref="N72" si="92">$F72</f>
        <v>0</v>
      </c>
      <c r="O72" s="573">
        <f>SUM(O83:O89)</f>
        <v>3203.17</v>
      </c>
      <c r="P72" s="573" t="e">
        <f>J72*#REF!</f>
        <v>#REF!</v>
      </c>
      <c r="Q72" s="574"/>
      <c r="R72" s="574"/>
      <c r="S72" s="571" t="str">
        <f t="shared" ref="S72" si="93">$C72</f>
        <v>Carguio y transporte de material para mejoramiento</v>
      </c>
      <c r="T72" s="572">
        <f t="shared" ref="T72" si="94">$F72</f>
        <v>0</v>
      </c>
      <c r="U72" s="573" t="e">
        <f>ROUND(#REF!*$H72,2)</f>
        <v>#REF!</v>
      </c>
      <c r="V72" s="573" t="e">
        <f>ROUND(#REF!*$J72,2)</f>
        <v>#REF!</v>
      </c>
      <c r="X72" s="578">
        <v>103</v>
      </c>
      <c r="Z72" s="730" t="e">
        <f>+$H72*#REF!</f>
        <v>#REF!</v>
      </c>
      <c r="AA72" s="446" t="e">
        <f>+$H72*#REF!</f>
        <v>#REF!</v>
      </c>
      <c r="AB72" s="446" t="e">
        <f>+$H72*#REF!</f>
        <v>#REF!</v>
      </c>
      <c r="AC72" s="444" t="e">
        <f>+$H72*#REF!</f>
        <v>#REF!</v>
      </c>
      <c r="AD72" s="444" t="e">
        <f>+$H72*#REF!</f>
        <v>#REF!</v>
      </c>
      <c r="AE72" s="444" t="e">
        <f>+$H72*#REF!</f>
        <v>#REF!</v>
      </c>
      <c r="AF72" s="444" t="e">
        <f>+$H72*#REF!</f>
        <v>#REF!</v>
      </c>
      <c r="AG72" s="444" t="e">
        <f>+$H72*#REF!</f>
        <v>#REF!</v>
      </c>
      <c r="AH72" s="444" t="e">
        <f>+$H72*#REF!</f>
        <v>#REF!</v>
      </c>
      <c r="AI72" s="444" t="e">
        <f>+$H72*#REF!</f>
        <v>#REF!</v>
      </c>
      <c r="AJ72" s="731" t="e">
        <f>+$H72*#REF!</f>
        <v>#REF!</v>
      </c>
      <c r="AK72" s="733" t="e">
        <f>+#REF!*#REF!</f>
        <v>#REF!</v>
      </c>
      <c r="AL72" s="444" t="e">
        <f>+#REF!*#REF!</f>
        <v>#REF!</v>
      </c>
      <c r="AM72" s="444" t="e">
        <f>+#REF!*#REF!</f>
        <v>#REF!</v>
      </c>
      <c r="AN72" s="731" t="e">
        <f>+#REF!*#REF!</f>
        <v>#REF!</v>
      </c>
      <c r="AO72" s="733" t="e">
        <f>+$H72*#REF!</f>
        <v>#REF!</v>
      </c>
      <c r="AP72" s="444" t="e">
        <f>+$H72*#REF!</f>
        <v>#REF!</v>
      </c>
      <c r="AQ72" s="444" t="e">
        <f>+$H72*#REF!</f>
        <v>#REF!</v>
      </c>
      <c r="AR72" s="444" t="e">
        <f>+$H72*#REF!</f>
        <v>#REF!</v>
      </c>
      <c r="AS72" s="444" t="e">
        <f>+$H72*#REF!</f>
        <v>#REF!</v>
      </c>
      <c r="AT72" s="444" t="e">
        <f>+$H72*#REF!</f>
        <v>#REF!</v>
      </c>
      <c r="AU72" s="444" t="e">
        <f>+$H72*#REF!</f>
        <v>#REF!</v>
      </c>
      <c r="AV72" s="444" t="e">
        <f>+$H72*#REF!</f>
        <v>#REF!</v>
      </c>
      <c r="AW72" s="444" t="e">
        <f>+$H72*#REF!</f>
        <v>#REF!</v>
      </c>
      <c r="AX72" s="731" t="e">
        <f>+$H72*#REF!</f>
        <v>#REF!</v>
      </c>
      <c r="AY72" s="733" t="e">
        <f>+$H72*#REF!</f>
        <v>#REF!</v>
      </c>
      <c r="AZ72" s="731" t="e">
        <f>+$H72*#REF!</f>
        <v>#REF!</v>
      </c>
      <c r="BA72" s="568" t="e">
        <f t="shared" ref="BA72" si="95">SUM(Z72:AZ72)</f>
        <v>#REF!</v>
      </c>
      <c r="BB72" s="444" t="e">
        <f t="shared" ref="BB72" si="96">IF(BA72=O72,"OK","CORREGIR")</f>
        <v>#REF!</v>
      </c>
    </row>
    <row r="73" spans="1:54" s="568" customFormat="1">
      <c r="A73" s="571"/>
      <c r="B73" s="602"/>
      <c r="C73" s="346"/>
      <c r="D73" s="348"/>
      <c r="E73" s="348"/>
      <c r="F73" s="349"/>
      <c r="G73" s="351"/>
      <c r="H73" s="353"/>
      <c r="I73" s="331"/>
      <c r="J73" s="326">
        <f>K71</f>
        <v>8400</v>
      </c>
      <c r="K73" s="305"/>
      <c r="L73" s="305"/>
      <c r="M73" s="305"/>
      <c r="N73" s="301"/>
      <c r="O73" s="309"/>
      <c r="P73" s="309"/>
      <c r="Q73" s="574"/>
      <c r="R73" s="574"/>
      <c r="S73" s="305"/>
      <c r="T73" s="301"/>
      <c r="U73" s="309"/>
      <c r="V73" s="309"/>
      <c r="X73" s="578">
        <v>-3</v>
      </c>
      <c r="Y73" s="444"/>
      <c r="Z73" s="770"/>
      <c r="AA73" s="771"/>
      <c r="AB73" s="771"/>
      <c r="AC73" s="772"/>
      <c r="AD73" s="772"/>
      <c r="AE73" s="772"/>
      <c r="AF73" s="772"/>
      <c r="AG73" s="772"/>
      <c r="AH73" s="772"/>
      <c r="AI73" s="772"/>
      <c r="AJ73" s="776"/>
      <c r="AK73" s="775"/>
      <c r="AL73" s="772"/>
      <c r="AM73" s="772"/>
      <c r="AN73" s="776"/>
      <c r="AO73" s="775"/>
      <c r="AP73" s="772"/>
      <c r="AQ73" s="772"/>
      <c r="AR73" s="772"/>
      <c r="AS73" s="772"/>
      <c r="AT73" s="772"/>
      <c r="AU73" s="772"/>
      <c r="AV73" s="772"/>
      <c r="AW73" s="772"/>
      <c r="AX73" s="776"/>
      <c r="AY73" s="775"/>
      <c r="AZ73" s="776"/>
    </row>
    <row r="74" spans="1:54" s="284" customFormat="1">
      <c r="A74" s="571"/>
      <c r="B74" s="604"/>
      <c r="C74" s="303"/>
      <c r="D74" s="305"/>
      <c r="E74" s="305"/>
      <c r="F74" s="301"/>
      <c r="G74" s="310"/>
      <c r="H74" s="309"/>
      <c r="I74" s="309"/>
      <c r="J74" s="311"/>
      <c r="K74" s="305"/>
      <c r="L74" s="305"/>
      <c r="M74" s="305"/>
      <c r="N74" s="301"/>
      <c r="O74" s="309"/>
      <c r="P74" s="309"/>
      <c r="Q74" s="574"/>
      <c r="R74" s="574"/>
      <c r="S74" s="305"/>
      <c r="T74" s="301"/>
      <c r="U74" s="309"/>
      <c r="V74" s="309"/>
      <c r="Z74" s="445"/>
      <c r="AA74" s="445"/>
      <c r="AB74" s="445"/>
      <c r="AC74" s="445"/>
      <c r="AD74" s="445"/>
      <c r="AE74" s="445"/>
      <c r="AF74" s="445"/>
      <c r="AG74" s="445"/>
      <c r="AH74" s="445"/>
      <c r="AI74" s="445"/>
      <c r="AJ74" s="445"/>
      <c r="AK74" s="445"/>
      <c r="AL74" s="445"/>
      <c r="AM74" s="445"/>
      <c r="AN74" s="445"/>
      <c r="AO74" s="445"/>
      <c r="AP74" s="445"/>
      <c r="AQ74" s="445"/>
      <c r="AR74" s="445"/>
      <c r="AS74" s="445"/>
      <c r="AT74" s="445"/>
      <c r="AU74" s="445"/>
      <c r="AV74" s="445"/>
      <c r="AW74" s="445"/>
      <c r="AX74" s="445"/>
      <c r="AY74" s="445"/>
      <c r="AZ74" s="445"/>
    </row>
    <row r="75" spans="1:54" s="284" customFormat="1">
      <c r="A75" s="571"/>
      <c r="B75" s="604"/>
      <c r="C75" s="303"/>
      <c r="D75" s="305"/>
      <c r="E75" s="305"/>
      <c r="F75" s="301"/>
      <c r="G75" s="310"/>
      <c r="H75" s="309"/>
      <c r="I75" s="309"/>
      <c r="J75" s="311"/>
      <c r="K75" s="305"/>
      <c r="L75" s="305"/>
      <c r="M75" s="305"/>
      <c r="N75" s="301"/>
      <c r="O75" s="309"/>
      <c r="P75" s="309"/>
      <c r="Q75" s="574"/>
      <c r="R75" s="574"/>
      <c r="S75" s="305"/>
      <c r="T75" s="301"/>
      <c r="U75" s="309"/>
      <c r="V75" s="309"/>
      <c r="Z75" s="445"/>
      <c r="AA75" s="445"/>
      <c r="AB75" s="445"/>
      <c r="AC75" s="445"/>
      <c r="AD75" s="445"/>
      <c r="AE75" s="445"/>
      <c r="AF75" s="445"/>
      <c r="AG75" s="445"/>
      <c r="AH75" s="445"/>
      <c r="AI75" s="445"/>
      <c r="AJ75" s="445"/>
      <c r="AK75" s="445"/>
      <c r="AL75" s="445"/>
      <c r="AM75" s="445"/>
      <c r="AN75" s="445"/>
      <c r="AO75" s="445"/>
      <c r="AP75" s="445"/>
      <c r="AQ75" s="445"/>
      <c r="AR75" s="445"/>
      <c r="AS75" s="445"/>
      <c r="AT75" s="445"/>
      <c r="AU75" s="445"/>
      <c r="AV75" s="445"/>
      <c r="AW75" s="445"/>
      <c r="AX75" s="445"/>
      <c r="AY75" s="445"/>
      <c r="AZ75" s="445"/>
    </row>
    <row r="76" spans="1:54" s="568" customFormat="1" ht="15.6">
      <c r="A76" s="305">
        <v>10199</v>
      </c>
      <c r="B76" s="283" t="s">
        <v>22</v>
      </c>
      <c r="C76" s="782" t="str">
        <f>VLOOKUP($A76,PRESUPUESTO_,2,FALSE)</f>
        <v>2.02A</v>
      </c>
      <c r="D76" s="783" t="str">
        <f>VLOOKUP($A76,PRESUPUESTO_,3,FALSE)</f>
        <v>Carguio y transporte de material para mejoramiento</v>
      </c>
      <c r="E76" s="783"/>
      <c r="F76" s="783"/>
      <c r="G76" s="784"/>
      <c r="H76" s="784"/>
      <c r="I76" s="785"/>
      <c r="J76" s="786"/>
      <c r="K76" s="322">
        <f>SUM(K79:K92)</f>
        <v>14</v>
      </c>
      <c r="L76" s="293"/>
      <c r="M76" s="293" t="str">
        <f>D76</f>
        <v>Carguio y transporte de material para mejoramiento</v>
      </c>
      <c r="N76" s="572"/>
      <c r="O76" s="573"/>
      <c r="P76" s="573"/>
      <c r="Q76" s="574"/>
      <c r="R76" s="574"/>
      <c r="S76" s="293" t="str">
        <f>D76</f>
        <v>Carguio y transporte de material para mejoramiento</v>
      </c>
      <c r="T76" s="572"/>
      <c r="U76" s="573"/>
      <c r="V76" s="573"/>
      <c r="X76" s="578">
        <v>103</v>
      </c>
      <c r="Y76" s="437"/>
      <c r="Z76" s="441" t="s">
        <v>900</v>
      </c>
      <c r="AA76" s="441" t="s">
        <v>901</v>
      </c>
      <c r="AB76" s="441" t="s">
        <v>902</v>
      </c>
      <c r="AC76" s="441" t="s">
        <v>903</v>
      </c>
      <c r="AD76" s="441" t="s">
        <v>904</v>
      </c>
      <c r="AE76" s="441" t="s">
        <v>905</v>
      </c>
      <c r="AF76" s="441" t="s">
        <v>906</v>
      </c>
      <c r="AG76" s="441" t="s">
        <v>907</v>
      </c>
      <c r="AH76" s="441" t="s">
        <v>908</v>
      </c>
      <c r="AI76" s="441" t="s">
        <v>909</v>
      </c>
    </row>
    <row r="77" spans="1:54" s="568" customFormat="1">
      <c r="A77" s="292"/>
      <c r="B77" s="337" t="s">
        <v>23</v>
      </c>
      <c r="C77" s="346">
        <f>VLOOKUP($A76,RENDIMIENTO,5,FALSE)</f>
        <v>110</v>
      </c>
      <c r="D77" s="347" t="str">
        <f>VLOOKUP($A76,RENDIMIENTO,4,FALSE)</f>
        <v>m3</v>
      </c>
      <c r="E77" s="348" t="s">
        <v>646</v>
      </c>
      <c r="F77" s="349"/>
      <c r="G77" s="327"/>
      <c r="H77" s="328" t="s">
        <v>24</v>
      </c>
      <c r="I77" s="438">
        <f>K76</f>
        <v>14</v>
      </c>
      <c r="J77" s="325" t="str">
        <f>VLOOKUP($A76,RENDIMIENTO,4,FALSE)</f>
        <v>m3</v>
      </c>
      <c r="K77" s="298"/>
      <c r="L77" s="298"/>
      <c r="M77" s="318">
        <f>VLOOKUP(A76,PRESUPUESTO_,5,FALSE)</f>
        <v>28.61</v>
      </c>
      <c r="N77" s="299" t="e">
        <v>#N/A</v>
      </c>
      <c r="O77" s="300" t="s">
        <v>27</v>
      </c>
      <c r="P77" s="300" t="e">
        <f>SUM(P80:P91)</f>
        <v>#REF!</v>
      </c>
      <c r="Q77" s="300">
        <f>VLOOKUP(A76,PRESUPUESTO_,10,FALSE)</f>
        <v>240324</v>
      </c>
      <c r="R77" s="572" t="e">
        <f>IF(Q77&lt;&gt;P77,"ver","ok")</f>
        <v>#REF!</v>
      </c>
      <c r="S77" s="293" t="e">
        <v>#N/A</v>
      </c>
      <c r="T77" s="299" t="e">
        <v>#N/A</v>
      </c>
      <c r="U77" s="300" t="s">
        <v>27</v>
      </c>
      <c r="V77" s="300" t="e">
        <f>SUM(#REF!)</f>
        <v>#REF!</v>
      </c>
      <c r="X77" s="578">
        <v>103</v>
      </c>
      <c r="Y77" s="439"/>
      <c r="Z77" s="568" t="e">
        <f>+'[4]1.9 Duration'!#REF!</f>
        <v>#REF!</v>
      </c>
      <c r="AA77" s="568" t="e">
        <f>+'[4]1.9 Duration'!#REF!</f>
        <v>#REF!</v>
      </c>
      <c r="AB77" s="568" t="e">
        <f>+'[4]1.9 Duration'!#REF!</f>
        <v>#REF!</v>
      </c>
      <c r="AC77" s="568" t="e">
        <f>+'[4]1.9 Duration'!#REF!</f>
        <v>#REF!</v>
      </c>
      <c r="AD77" s="568" t="e">
        <f>+'[4]1.9 Duration'!#REF!</f>
        <v>#REF!</v>
      </c>
      <c r="AE77" s="568" t="e">
        <f>+'[4]1.9 Duration'!#REF!</f>
        <v>#REF!</v>
      </c>
      <c r="AF77" s="568" t="e">
        <f>+'[4]1.9 Duration'!#REF!</f>
        <v>#REF!</v>
      </c>
      <c r="AG77" s="568" t="e">
        <f>+'[4]1.9 Duration'!#REF!</f>
        <v>#REF!</v>
      </c>
      <c r="AH77" s="568" t="e">
        <f>+'[4]1.9 Duration'!#REF!</f>
        <v>#REF!</v>
      </c>
      <c r="AI77" s="568" t="e">
        <f>+'[4]1.9 Duration'!#REF!</f>
        <v>#REF!</v>
      </c>
    </row>
    <row r="78" spans="1:54" s="568" customFormat="1" ht="31.5" customHeight="1">
      <c r="A78" s="572"/>
      <c r="B78" s="333" t="s">
        <v>28</v>
      </c>
      <c r="C78" s="329" t="s">
        <v>25</v>
      </c>
      <c r="D78" s="350"/>
      <c r="E78" s="330"/>
      <c r="F78" s="330" t="s">
        <v>15</v>
      </c>
      <c r="G78" s="336" t="s">
        <v>26</v>
      </c>
      <c r="H78" s="336" t="s">
        <v>3</v>
      </c>
      <c r="I78" s="336" t="s">
        <v>29</v>
      </c>
      <c r="J78" s="336" t="s">
        <v>30</v>
      </c>
      <c r="K78" s="576" t="s">
        <v>2</v>
      </c>
      <c r="L78" s="301"/>
      <c r="M78" s="349" t="s">
        <v>1</v>
      </c>
      <c r="N78" s="349" t="s">
        <v>15</v>
      </c>
      <c r="O78" s="351" t="s">
        <v>31</v>
      </c>
      <c r="P78" s="351" t="s">
        <v>32</v>
      </c>
      <c r="Q78" s="762">
        <f>M77/(C77*11*2)/30</f>
        <v>3.9407713498622587E-4</v>
      </c>
      <c r="R78" s="574"/>
      <c r="S78" s="349" t="s">
        <v>1</v>
      </c>
      <c r="T78" s="349" t="s">
        <v>15</v>
      </c>
      <c r="U78" s="351" t="s">
        <v>31</v>
      </c>
      <c r="V78" s="351" t="s">
        <v>32</v>
      </c>
      <c r="X78" s="578">
        <v>103</v>
      </c>
      <c r="Y78" s="442"/>
    </row>
    <row r="79" spans="1:54" s="568" customFormat="1" hidden="1">
      <c r="A79" s="302" t="str">
        <f>CONCATENATE(A76,L79)</f>
        <v>10199(B)</v>
      </c>
      <c r="B79" s="352" t="s">
        <v>898</v>
      </c>
      <c r="C79" s="338"/>
      <c r="D79" s="577"/>
      <c r="E79" s="577"/>
      <c r="F79" s="349"/>
      <c r="G79" s="351"/>
      <c r="H79" s="353"/>
      <c r="I79" s="353"/>
      <c r="J79" s="334"/>
      <c r="K79" s="322">
        <f>+J81</f>
        <v>0</v>
      </c>
      <c r="L79" s="293" t="s">
        <v>20</v>
      </c>
      <c r="M79" s="571"/>
      <c r="N79" s="572"/>
      <c r="O79" s="573"/>
      <c r="P79" s="573"/>
      <c r="Q79" s="574"/>
      <c r="R79" s="574"/>
      <c r="S79" s="571"/>
      <c r="T79" s="572"/>
      <c r="U79" s="573"/>
      <c r="V79" s="573"/>
      <c r="X79" s="578">
        <v>103</v>
      </c>
    </row>
    <row r="80" spans="1:54" s="568" customFormat="1" hidden="1">
      <c r="A80" s="571"/>
      <c r="B80" s="582" t="s">
        <v>207</v>
      </c>
      <c r="C80" s="354" t="str">
        <f>VLOOKUP($B80,Recursos,2,FALSE)</f>
        <v>Materiales varios</v>
      </c>
      <c r="D80" s="577"/>
      <c r="E80" s="355"/>
      <c r="F80" s="576" t="str">
        <f>VLOOKUP($B80,Recursos,3,FALSE)</f>
        <v>glb</v>
      </c>
      <c r="G80" s="575">
        <v>0</v>
      </c>
      <c r="H80" s="581">
        <v>0</v>
      </c>
      <c r="I80" s="726">
        <f>VLOOKUP($B80,Recursos,4,FALSE)</f>
        <v>0</v>
      </c>
      <c r="J80" s="726">
        <f t="shared" ref="J80" si="97">ROUND(H80*I80,2)</f>
        <v>0</v>
      </c>
      <c r="K80" s="571"/>
      <c r="L80" s="571"/>
      <c r="M80" s="571" t="str">
        <f>$C80</f>
        <v>Materiales varios</v>
      </c>
      <c r="N80" s="572" t="str">
        <f>$F80</f>
        <v>glb</v>
      </c>
      <c r="O80" s="573">
        <f t="shared" ref="O80" si="98">ROUND($M$77*$H80,2)</f>
        <v>0</v>
      </c>
      <c r="P80" s="573" t="e">
        <f>J80*#REF!</f>
        <v>#REF!</v>
      </c>
      <c r="Q80" s="574"/>
      <c r="R80" s="574"/>
      <c r="S80" s="571" t="str">
        <f>$C80</f>
        <v>Materiales varios</v>
      </c>
      <c r="T80" s="572" t="str">
        <f>$F80</f>
        <v>glb</v>
      </c>
      <c r="U80" s="573" t="e">
        <f>ROUND(#REF!*$H80,2)</f>
        <v>#REF!</v>
      </c>
      <c r="V80" s="573" t="e">
        <f>ROUND(#REF!*$J80,2)</f>
        <v>#REF!</v>
      </c>
      <c r="X80" s="578">
        <v>103</v>
      </c>
    </row>
    <row r="81" spans="1:52" s="568" customFormat="1" hidden="1">
      <c r="A81" s="571"/>
      <c r="B81" s="603"/>
      <c r="C81" s="346"/>
      <c r="D81" s="348"/>
      <c r="E81" s="348"/>
      <c r="F81" s="349"/>
      <c r="G81" s="351"/>
      <c r="H81" s="448"/>
      <c r="I81" s="448"/>
      <c r="J81" s="449">
        <f>SUM(J79:J80)</f>
        <v>0</v>
      </c>
      <c r="K81" s="571"/>
      <c r="L81" s="571"/>
      <c r="M81" s="571"/>
      <c r="N81" s="572"/>
      <c r="O81" s="573"/>
      <c r="P81" s="573"/>
      <c r="Q81" s="574"/>
      <c r="R81" s="574"/>
      <c r="S81" s="571"/>
      <c r="T81" s="572"/>
      <c r="U81" s="573"/>
      <c r="V81" s="573"/>
      <c r="X81" s="578"/>
    </row>
    <row r="82" spans="1:52" s="568" customFormat="1">
      <c r="A82" s="302" t="str">
        <f>CONCATENATE(A76,L82)</f>
        <v>10199(C)</v>
      </c>
      <c r="B82" s="352" t="s">
        <v>0</v>
      </c>
      <c r="C82" s="338"/>
      <c r="D82" s="577"/>
      <c r="E82" s="577"/>
      <c r="F82" s="349"/>
      <c r="G82" s="351"/>
      <c r="H82" s="353"/>
      <c r="I82" s="353"/>
      <c r="J82" s="334"/>
      <c r="K82" s="322">
        <f>+J86</f>
        <v>2.88</v>
      </c>
      <c r="L82" s="293" t="s">
        <v>33</v>
      </c>
      <c r="M82" s="571"/>
      <c r="N82" s="572"/>
      <c r="O82" s="573"/>
      <c r="P82" s="573"/>
      <c r="Q82" s="574"/>
      <c r="R82" s="574"/>
      <c r="S82" s="571"/>
      <c r="T82" s="572"/>
      <c r="U82" s="573"/>
      <c r="V82" s="573"/>
      <c r="X82" s="578">
        <v>103</v>
      </c>
    </row>
    <row r="83" spans="1:52" s="568" customFormat="1">
      <c r="A83" s="571"/>
      <c r="B83" s="582" t="s">
        <v>158</v>
      </c>
      <c r="C83" s="354" t="str">
        <f>VLOOKUP($B83,Recursos,2,FALSE)</f>
        <v>Capataz</v>
      </c>
      <c r="D83" s="577"/>
      <c r="E83" s="355"/>
      <c r="F83" s="576" t="str">
        <f>VLOOKUP($B83,Recursos,3,FALSE)</f>
        <v>hh</v>
      </c>
      <c r="G83" s="575">
        <v>0.5</v>
      </c>
      <c r="H83" s="581">
        <f>ROUNDUP(G83/C77,4)</f>
        <v>4.5999999999999999E-3</v>
      </c>
      <c r="I83" s="726">
        <f>VLOOKUP($B83,Recursos,4,FALSE)</f>
        <v>29.540832570012501</v>
      </c>
      <c r="J83" s="726">
        <f t="shared" ref="J83:J85" si="99">ROUND(H83*I83,2)</f>
        <v>0.14000000000000001</v>
      </c>
      <c r="K83" s="571"/>
      <c r="L83" s="571"/>
      <c r="M83" s="571" t="str">
        <f>$C83</f>
        <v>Capataz</v>
      </c>
      <c r="N83" s="572" t="str">
        <f>$F83</f>
        <v>hh</v>
      </c>
      <c r="O83" s="573">
        <f>ROUND($M$77*$H83*$H$72,2)</f>
        <v>78.959999999999994</v>
      </c>
      <c r="P83" s="573" t="e">
        <f>J83*#REF!</f>
        <v>#REF!</v>
      </c>
      <c r="Q83" s="574"/>
      <c r="R83" s="574"/>
      <c r="S83" s="571" t="str">
        <f>$C83</f>
        <v>Capataz</v>
      </c>
      <c r="T83" s="572" t="str">
        <f>$F83</f>
        <v>hh</v>
      </c>
      <c r="U83" s="573" t="e">
        <f>ROUND(#REF!*$H83,2)</f>
        <v>#REF!</v>
      </c>
      <c r="V83" s="573" t="e">
        <f>ROUND(#REF!*$J83,2)</f>
        <v>#REF!</v>
      </c>
      <c r="X83" s="578">
        <v>103</v>
      </c>
      <c r="Z83" s="568" t="e">
        <f>+#REF!*#REF!</f>
        <v>#REF!</v>
      </c>
      <c r="AA83" s="568" t="e">
        <f>+#REF!*#REF!</f>
        <v>#REF!</v>
      </c>
      <c r="AB83" s="568" t="e">
        <f>+#REF!*#REF!</f>
        <v>#REF!</v>
      </c>
      <c r="AC83" s="568" t="e">
        <f>+#REF!*#REF!</f>
        <v>#REF!</v>
      </c>
      <c r="AD83" s="568" t="e">
        <f>+#REF!*#REF!</f>
        <v>#REF!</v>
      </c>
      <c r="AE83" s="568" t="e">
        <f>+#REF!*#REF!</f>
        <v>#REF!</v>
      </c>
      <c r="AF83" s="568" t="e">
        <f>+#REF!*#REF!</f>
        <v>#REF!</v>
      </c>
      <c r="AG83" s="568" t="e">
        <f>+#REF!*#REF!</f>
        <v>#REF!</v>
      </c>
      <c r="AH83" s="568" t="e">
        <f>+#REF!*#REF!</f>
        <v>#REF!</v>
      </c>
      <c r="AI83" s="568" t="e">
        <f>+#REF!*#REF!</f>
        <v>#REF!</v>
      </c>
      <c r="AK83" s="568" t="e">
        <f>SUM(Z83:AI83)</f>
        <v>#REF!</v>
      </c>
      <c r="AL83" s="444" t="e">
        <f t="shared" ref="AL83:AL85" si="100">IF(AK83=O83,"OK","CORREGIR")</f>
        <v>#REF!</v>
      </c>
    </row>
    <row r="84" spans="1:52" s="568" customFormat="1">
      <c r="A84" s="571"/>
      <c r="B84" s="582" t="s">
        <v>159</v>
      </c>
      <c r="C84" s="354" t="str">
        <f>VLOOKUP($B84,Recursos,2,FALSE)</f>
        <v>Operador de equipo pesado</v>
      </c>
      <c r="D84" s="577"/>
      <c r="E84" s="355"/>
      <c r="F84" s="576" t="str">
        <f>VLOOKUP($B84,Recursos,3,FALSE)</f>
        <v>hh</v>
      </c>
      <c r="G84" s="727">
        <v>9</v>
      </c>
      <c r="H84" s="581">
        <f>ROUNDUP(G84/C77,4)</f>
        <v>8.1900000000000001E-2</v>
      </c>
      <c r="I84" s="726">
        <f>VLOOKUP($B84,Recursos,4,FALSE)</f>
        <v>29.046554894442803</v>
      </c>
      <c r="J84" s="726">
        <f t="shared" ref="J84" si="101">ROUND(H84*I84,2)</f>
        <v>2.38</v>
      </c>
      <c r="K84" s="571"/>
      <c r="L84" s="571"/>
      <c r="M84" s="571" t="str">
        <f>$C84</f>
        <v>Operador de equipo pesado</v>
      </c>
      <c r="N84" s="572" t="str">
        <f>$F84</f>
        <v>hh</v>
      </c>
      <c r="O84" s="573">
        <f>ROUND($M$77*$H84*$H$72,2)</f>
        <v>1405.9</v>
      </c>
      <c r="P84" s="573" t="e">
        <f>J84*#REF!</f>
        <v>#REF!</v>
      </c>
      <c r="Q84" s="574"/>
      <c r="R84" s="574"/>
      <c r="S84" s="571" t="str">
        <f>$C84</f>
        <v>Operador de equipo pesado</v>
      </c>
      <c r="T84" s="572" t="str">
        <f>$F84</f>
        <v>hh</v>
      </c>
      <c r="U84" s="573" t="e">
        <f>ROUND(#REF!*$H84,2)</f>
        <v>#REF!</v>
      </c>
      <c r="V84" s="573" t="e">
        <f>ROUND(#REF!*$J84,2)</f>
        <v>#REF!</v>
      </c>
      <c r="X84" s="578">
        <v>103</v>
      </c>
      <c r="Z84" s="568" t="e">
        <f>+#REF!*#REF!</f>
        <v>#REF!</v>
      </c>
      <c r="AA84" s="568" t="e">
        <f>+#REF!*#REF!</f>
        <v>#REF!</v>
      </c>
      <c r="AB84" s="568" t="e">
        <f>+#REF!*#REF!</f>
        <v>#REF!</v>
      </c>
      <c r="AC84" s="568" t="e">
        <f>+#REF!*#REF!</f>
        <v>#REF!</v>
      </c>
      <c r="AD84" s="568" t="e">
        <f>+#REF!*#REF!</f>
        <v>#REF!</v>
      </c>
      <c r="AE84" s="568" t="e">
        <f>+#REF!*#REF!</f>
        <v>#REF!</v>
      </c>
      <c r="AF84" s="568" t="e">
        <f>+#REF!*#REF!</f>
        <v>#REF!</v>
      </c>
      <c r="AG84" s="568" t="e">
        <f>+#REF!*#REF!</f>
        <v>#REF!</v>
      </c>
      <c r="AH84" s="568" t="e">
        <f>+#REF!*#REF!</f>
        <v>#REF!</v>
      </c>
      <c r="AI84" s="568" t="e">
        <f>+#REF!*#REF!</f>
        <v>#REF!</v>
      </c>
      <c r="AK84" s="568" t="e">
        <f t="shared" ref="AK84" si="102">SUM(Z84:AI84)</f>
        <v>#REF!</v>
      </c>
      <c r="AL84" s="444" t="e">
        <f t="shared" ref="AL84" si="103">IF(AK84=O84,"OK","CORREGIR")</f>
        <v>#REF!</v>
      </c>
    </row>
    <row r="85" spans="1:52" s="568" customFormat="1">
      <c r="A85" s="571"/>
      <c r="B85" s="582" t="s">
        <v>170</v>
      </c>
      <c r="C85" s="354" t="str">
        <f>VLOOKUP($B85,Recursos,2,FALSE)</f>
        <v>Vigía</v>
      </c>
      <c r="D85" s="577"/>
      <c r="E85" s="355"/>
      <c r="F85" s="576" t="str">
        <f>VLOOKUP($B85,Recursos,3,FALSE)</f>
        <v>hh</v>
      </c>
      <c r="G85" s="727">
        <v>2</v>
      </c>
      <c r="H85" s="581">
        <f>ROUNDUP(G85/C77,4)</f>
        <v>1.8200000000000001E-2</v>
      </c>
      <c r="I85" s="726">
        <f>VLOOKUP($B85,Recursos,4,FALSE)</f>
        <v>19.679802166702849</v>
      </c>
      <c r="J85" s="726">
        <f t="shared" si="99"/>
        <v>0.36</v>
      </c>
      <c r="K85" s="571"/>
      <c r="L85" s="571"/>
      <c r="M85" s="571" t="str">
        <f>$C85</f>
        <v>Vigía</v>
      </c>
      <c r="N85" s="572" t="str">
        <f>$F85</f>
        <v>hh</v>
      </c>
      <c r="O85" s="573">
        <f>ROUND($M$77*$H85*$H$72,2)</f>
        <v>312.42</v>
      </c>
      <c r="P85" s="573" t="e">
        <f>J85*#REF!</f>
        <v>#REF!</v>
      </c>
      <c r="Q85" s="574"/>
      <c r="R85" s="574"/>
      <c r="S85" s="571" t="str">
        <f>$C85</f>
        <v>Vigía</v>
      </c>
      <c r="T85" s="572" t="str">
        <f>$F85</f>
        <v>hh</v>
      </c>
      <c r="U85" s="573" t="e">
        <f>ROUND(#REF!*$H85,2)</f>
        <v>#REF!</v>
      </c>
      <c r="V85" s="573" t="e">
        <f>ROUND(#REF!*$J85,2)</f>
        <v>#REF!</v>
      </c>
      <c r="X85" s="578">
        <v>103</v>
      </c>
      <c r="Z85" s="568" t="e">
        <f>+#REF!*#REF!</f>
        <v>#REF!</v>
      </c>
      <c r="AA85" s="568" t="e">
        <f>+#REF!*#REF!</f>
        <v>#REF!</v>
      </c>
      <c r="AB85" s="568" t="e">
        <f>+#REF!*#REF!</f>
        <v>#REF!</v>
      </c>
      <c r="AC85" s="568" t="e">
        <f>+#REF!*#REF!</f>
        <v>#REF!</v>
      </c>
      <c r="AD85" s="568" t="e">
        <f>+#REF!*#REF!</f>
        <v>#REF!</v>
      </c>
      <c r="AE85" s="568" t="e">
        <f>+#REF!*#REF!</f>
        <v>#REF!</v>
      </c>
      <c r="AF85" s="568" t="e">
        <f>+#REF!*#REF!</f>
        <v>#REF!</v>
      </c>
      <c r="AG85" s="568" t="e">
        <f>+#REF!*#REF!</f>
        <v>#REF!</v>
      </c>
      <c r="AH85" s="568" t="e">
        <f>+#REF!*#REF!</f>
        <v>#REF!</v>
      </c>
      <c r="AI85" s="568" t="e">
        <f>+#REF!*#REF!</f>
        <v>#REF!</v>
      </c>
      <c r="AK85" s="568" t="e">
        <f t="shared" ref="AK85" si="104">SUM(Z85:AI85)</f>
        <v>#REF!</v>
      </c>
      <c r="AL85" s="444" t="e">
        <f t="shared" si="100"/>
        <v>#REF!</v>
      </c>
    </row>
    <row r="86" spans="1:52" s="568" customFormat="1">
      <c r="A86" s="571"/>
      <c r="B86" s="603"/>
      <c r="C86" s="346"/>
      <c r="D86" s="348"/>
      <c r="E86" s="348"/>
      <c r="F86" s="349"/>
      <c r="G86" s="351"/>
      <c r="H86" s="448"/>
      <c r="I86" s="448"/>
      <c r="J86" s="449">
        <f>SUM(J83:J85)</f>
        <v>2.88</v>
      </c>
      <c r="K86" s="571"/>
      <c r="L86" s="571"/>
      <c r="M86" s="571"/>
      <c r="N86" s="572"/>
      <c r="O86" s="573"/>
      <c r="P86" s="573"/>
      <c r="Q86" s="574"/>
      <c r="R86" s="574"/>
      <c r="S86" s="571"/>
      <c r="T86" s="572"/>
      <c r="U86" s="573"/>
      <c r="V86" s="573"/>
      <c r="X86" s="578"/>
    </row>
    <row r="87" spans="1:52" s="568" customFormat="1">
      <c r="A87" s="302" t="str">
        <f>CONCATENATE(A76,L87)</f>
        <v>10199(D)</v>
      </c>
      <c r="B87" s="450" t="s">
        <v>34</v>
      </c>
      <c r="C87" s="303"/>
      <c r="D87" s="304"/>
      <c r="E87" s="305"/>
      <c r="F87" s="306"/>
      <c r="G87" s="307"/>
      <c r="H87" s="308"/>
      <c r="I87" s="320"/>
      <c r="J87" s="451"/>
      <c r="K87" s="300">
        <f>SUM(J88:J91)</f>
        <v>11.120000000000001</v>
      </c>
      <c r="L87" s="293" t="s">
        <v>35</v>
      </c>
      <c r="M87" s="571"/>
      <c r="N87" s="572"/>
      <c r="O87" s="573"/>
      <c r="P87" s="573"/>
      <c r="Q87" s="574"/>
      <c r="R87" s="574"/>
      <c r="S87" s="571"/>
      <c r="T87" s="572"/>
      <c r="U87" s="573"/>
      <c r="V87" s="573"/>
      <c r="X87" s="578">
        <v>103</v>
      </c>
    </row>
    <row r="88" spans="1:52" s="568" customFormat="1">
      <c r="A88" s="571"/>
      <c r="B88" s="582" t="s">
        <v>181</v>
      </c>
      <c r="C88" s="354" t="str">
        <f t="shared" ref="C88:C91" si="105">VLOOKUP($B88,Recursos,2,FALSE)</f>
        <v>Cargador Frontal John Deere 744 K</v>
      </c>
      <c r="D88" s="577"/>
      <c r="E88" s="355"/>
      <c r="F88" s="576" t="str">
        <f t="shared" ref="F88:F91" si="106">VLOOKUP($B88,Recursos,3,FALSE)</f>
        <v>hm</v>
      </c>
      <c r="G88" s="575">
        <v>1</v>
      </c>
      <c r="H88" s="581">
        <f>ROUNDUP(G88/C77,4)</f>
        <v>9.0999999999999987E-3</v>
      </c>
      <c r="I88" s="726">
        <f t="shared" ref="I88:I90" si="107">VLOOKUP($B88,Recursos,4,FALSE)</f>
        <v>190.56139237814901</v>
      </c>
      <c r="J88" s="726">
        <f t="shared" ref="J88:J91" si="108">ROUND(H88*I88,2)</f>
        <v>1.73</v>
      </c>
      <c r="K88" s="571"/>
      <c r="L88" s="571"/>
      <c r="M88" s="571" t="str">
        <f t="shared" ref="M88:M91" si="109">$C88</f>
        <v>Cargador Frontal John Deere 744 K</v>
      </c>
      <c r="N88" s="572" t="str">
        <f t="shared" ref="N88:N91" si="110">$F88</f>
        <v>hm</v>
      </c>
      <c r="O88" s="573">
        <f t="shared" ref="O88:O90" si="111">ROUND($M$77*$H88*$H$72,2)</f>
        <v>156.21</v>
      </c>
      <c r="P88" s="573" t="e">
        <f>J88*#REF!</f>
        <v>#REF!</v>
      </c>
      <c r="Q88" s="574"/>
      <c r="R88" s="574"/>
      <c r="S88" s="571" t="str">
        <f t="shared" ref="S88:S91" si="112">$C88</f>
        <v>Cargador Frontal John Deere 744 K</v>
      </c>
      <c r="T88" s="572" t="str">
        <f t="shared" ref="T88:T91" si="113">$F88</f>
        <v>hm</v>
      </c>
      <c r="U88" s="573" t="e">
        <f>ROUND(#REF!*$H88,2)</f>
        <v>#REF!</v>
      </c>
      <c r="V88" s="573" t="e">
        <f>ROUND(#REF!*$J88,2)</f>
        <v>#REF!</v>
      </c>
      <c r="X88" s="578">
        <v>103</v>
      </c>
      <c r="Z88" s="568" t="e">
        <f>+#REF!*#REF!</f>
        <v>#REF!</v>
      </c>
      <c r="AA88" s="568" t="e">
        <f>+#REF!*#REF!</f>
        <v>#REF!</v>
      </c>
      <c r="AB88" s="568" t="e">
        <f>+#REF!*#REF!</f>
        <v>#REF!</v>
      </c>
      <c r="AC88" s="568" t="e">
        <f>+#REF!*#REF!</f>
        <v>#REF!</v>
      </c>
      <c r="AD88" s="568" t="e">
        <f>+#REF!*#REF!</f>
        <v>#REF!</v>
      </c>
      <c r="AE88" s="568" t="e">
        <f>+#REF!*#REF!</f>
        <v>#REF!</v>
      </c>
      <c r="AF88" s="568" t="e">
        <f>+#REF!*#REF!</f>
        <v>#REF!</v>
      </c>
      <c r="AG88" s="568" t="e">
        <f>+#REF!*#REF!</f>
        <v>#REF!</v>
      </c>
      <c r="AH88" s="568" t="e">
        <f>+#REF!*#REF!</f>
        <v>#REF!</v>
      </c>
      <c r="AI88" s="568" t="e">
        <f>+#REF!*#REF!</f>
        <v>#REF!</v>
      </c>
      <c r="AK88" s="568" t="e">
        <f t="shared" ref="AK88:AK90" si="114">SUM(Z88:AI88)</f>
        <v>#REF!</v>
      </c>
      <c r="AL88" s="444" t="e">
        <f t="shared" ref="AL88:AL90" si="115">IF(AK88=O88,"OK","CORREGIR")</f>
        <v>#REF!</v>
      </c>
    </row>
    <row r="89" spans="1:52" s="568" customFormat="1">
      <c r="A89" s="571"/>
      <c r="B89" s="582" t="s">
        <v>183</v>
      </c>
      <c r="C89" s="354" t="str">
        <f t="shared" si="105"/>
        <v>Volquete de 17 m3</v>
      </c>
      <c r="D89" s="577"/>
      <c r="E89" s="355"/>
      <c r="F89" s="576" t="str">
        <f t="shared" si="106"/>
        <v>hm</v>
      </c>
      <c r="G89" s="575">
        <v>8</v>
      </c>
      <c r="H89" s="581">
        <f>ROUNDUP(G89/C77,4)</f>
        <v>7.2800000000000004E-2</v>
      </c>
      <c r="I89" s="726">
        <f t="shared" si="107"/>
        <v>127.051392378149</v>
      </c>
      <c r="J89" s="726">
        <f t="shared" si="108"/>
        <v>9.25</v>
      </c>
      <c r="K89" s="571"/>
      <c r="L89" s="571"/>
      <c r="M89" s="571" t="str">
        <f t="shared" si="109"/>
        <v>Volquete de 17 m3</v>
      </c>
      <c r="N89" s="572" t="str">
        <f t="shared" si="110"/>
        <v>hm</v>
      </c>
      <c r="O89" s="573">
        <f t="shared" si="111"/>
        <v>1249.68</v>
      </c>
      <c r="P89" s="573" t="e">
        <f>J89*#REF!</f>
        <v>#REF!</v>
      </c>
      <c r="Q89" s="574"/>
      <c r="R89" s="574"/>
      <c r="S89" s="571" t="str">
        <f t="shared" si="112"/>
        <v>Volquete de 17 m3</v>
      </c>
      <c r="T89" s="572" t="str">
        <f t="shared" si="113"/>
        <v>hm</v>
      </c>
      <c r="U89" s="573" t="e">
        <f>ROUND(#REF!*$H89,2)</f>
        <v>#REF!</v>
      </c>
      <c r="V89" s="573" t="e">
        <f>ROUND(#REF!*$J89,2)</f>
        <v>#REF!</v>
      </c>
      <c r="X89" s="578">
        <v>103</v>
      </c>
      <c r="Z89" s="568" t="e">
        <f>+#REF!*#REF!</f>
        <v>#REF!</v>
      </c>
      <c r="AA89" s="568" t="e">
        <f>+#REF!*#REF!</f>
        <v>#REF!</v>
      </c>
      <c r="AB89" s="568" t="e">
        <f>+#REF!*#REF!</f>
        <v>#REF!</v>
      </c>
      <c r="AC89" s="568" t="e">
        <f>+#REF!*#REF!</f>
        <v>#REF!</v>
      </c>
      <c r="AD89" s="568" t="e">
        <f>+#REF!*#REF!</f>
        <v>#REF!</v>
      </c>
      <c r="AE89" s="568" t="e">
        <f>+#REF!*#REF!</f>
        <v>#REF!</v>
      </c>
      <c r="AF89" s="568" t="e">
        <f>+#REF!*#REF!</f>
        <v>#REF!</v>
      </c>
      <c r="AG89" s="568" t="e">
        <f>+#REF!*#REF!</f>
        <v>#REF!</v>
      </c>
      <c r="AH89" s="568" t="e">
        <f>+#REF!*#REF!</f>
        <v>#REF!</v>
      </c>
      <c r="AI89" s="568" t="e">
        <f>+#REF!*#REF!</f>
        <v>#REF!</v>
      </c>
      <c r="AK89" s="568" t="e">
        <f t="shared" si="114"/>
        <v>#REF!</v>
      </c>
      <c r="AL89" s="444" t="e">
        <f t="shared" si="115"/>
        <v>#REF!</v>
      </c>
    </row>
    <row r="90" spans="1:52" s="568" customFormat="1">
      <c r="A90" s="571"/>
      <c r="B90" s="582" t="s">
        <v>197</v>
      </c>
      <c r="C90" s="354" t="str">
        <f t="shared" si="105"/>
        <v>Luminaria 4K</v>
      </c>
      <c r="D90" s="577"/>
      <c r="E90" s="355"/>
      <c r="F90" s="576" t="str">
        <f t="shared" si="106"/>
        <v>hm</v>
      </c>
      <c r="G90" s="575">
        <v>0</v>
      </c>
      <c r="H90" s="581">
        <f>ROUNDUP(G90/C77,4)</f>
        <v>0</v>
      </c>
      <c r="I90" s="726">
        <f t="shared" si="107"/>
        <v>0</v>
      </c>
      <c r="J90" s="726">
        <f t="shared" si="108"/>
        <v>0</v>
      </c>
      <c r="K90" s="571"/>
      <c r="L90" s="571"/>
      <c r="M90" s="571" t="str">
        <f t="shared" si="109"/>
        <v>Luminaria 4K</v>
      </c>
      <c r="N90" s="572" t="str">
        <f t="shared" si="110"/>
        <v>hm</v>
      </c>
      <c r="O90" s="573">
        <f t="shared" si="111"/>
        <v>0</v>
      </c>
      <c r="P90" s="573" t="e">
        <f>J90*#REF!</f>
        <v>#REF!</v>
      </c>
      <c r="Q90" s="574"/>
      <c r="R90" s="574"/>
      <c r="S90" s="571" t="str">
        <f t="shared" si="112"/>
        <v>Luminaria 4K</v>
      </c>
      <c r="T90" s="572" t="str">
        <f t="shared" si="113"/>
        <v>hm</v>
      </c>
      <c r="U90" s="573" t="e">
        <f>ROUND(#REF!*$H90,2)</f>
        <v>#REF!</v>
      </c>
      <c r="V90" s="573" t="e">
        <f>ROUND(#REF!*$J90,2)</f>
        <v>#REF!</v>
      </c>
      <c r="X90" s="578">
        <v>103</v>
      </c>
      <c r="Z90" s="568" t="e">
        <f>+#REF!*#REF!</f>
        <v>#REF!</v>
      </c>
      <c r="AA90" s="568" t="e">
        <f>+#REF!*#REF!</f>
        <v>#REF!</v>
      </c>
      <c r="AB90" s="568" t="e">
        <f>+#REF!*#REF!</f>
        <v>#REF!</v>
      </c>
      <c r="AC90" s="568" t="e">
        <f>+#REF!*#REF!</f>
        <v>#REF!</v>
      </c>
      <c r="AD90" s="568" t="e">
        <f>+#REF!*#REF!</f>
        <v>#REF!</v>
      </c>
      <c r="AE90" s="568" t="e">
        <f>+#REF!*#REF!</f>
        <v>#REF!</v>
      </c>
      <c r="AF90" s="568" t="e">
        <f>+#REF!*#REF!</f>
        <v>#REF!</v>
      </c>
      <c r="AG90" s="568" t="e">
        <f>+#REF!*#REF!</f>
        <v>#REF!</v>
      </c>
      <c r="AH90" s="568" t="e">
        <f>+#REF!*#REF!</f>
        <v>#REF!</v>
      </c>
      <c r="AI90" s="568" t="e">
        <f>+#REF!*#REF!</f>
        <v>#REF!</v>
      </c>
      <c r="AK90" s="568" t="e">
        <f t="shared" si="114"/>
        <v>#REF!</v>
      </c>
      <c r="AL90" s="444" t="e">
        <f t="shared" si="115"/>
        <v>#REF!</v>
      </c>
    </row>
    <row r="91" spans="1:52" s="568" customFormat="1">
      <c r="A91" s="571"/>
      <c r="B91" s="582" t="s">
        <v>216</v>
      </c>
      <c r="C91" s="354" t="str">
        <f t="shared" si="105"/>
        <v>Herramientas (% Mano Obra)</v>
      </c>
      <c r="D91" s="577"/>
      <c r="E91" s="355"/>
      <c r="F91" s="576" t="str">
        <f t="shared" si="106"/>
        <v>%</v>
      </c>
      <c r="G91" s="727"/>
      <c r="H91" s="321">
        <v>0.05</v>
      </c>
      <c r="I91" s="726">
        <f>J86</f>
        <v>2.88</v>
      </c>
      <c r="J91" s="726">
        <f t="shared" si="108"/>
        <v>0.14000000000000001</v>
      </c>
      <c r="K91" s="571"/>
      <c r="L91" s="571"/>
      <c r="M91" s="571" t="str">
        <f t="shared" si="109"/>
        <v>Herramientas (% Mano Obra)</v>
      </c>
      <c r="N91" s="572" t="str">
        <f t="shared" si="110"/>
        <v>%</v>
      </c>
      <c r="O91" s="573"/>
      <c r="P91" s="573" t="e">
        <f>J91*#REF!</f>
        <v>#REF!</v>
      </c>
      <c r="Q91" s="574"/>
      <c r="R91" s="574"/>
      <c r="S91" s="571" t="str">
        <f t="shared" si="112"/>
        <v>Herramientas (% Mano Obra)</v>
      </c>
      <c r="T91" s="572" t="str">
        <f t="shared" si="113"/>
        <v>%</v>
      </c>
      <c r="U91" s="573" t="e">
        <f>ROUND(#REF!*$H91,2)</f>
        <v>#REF!</v>
      </c>
      <c r="V91" s="573" t="e">
        <f>ROUND(#REF!*$J91,2)</f>
        <v>#REF!</v>
      </c>
      <c r="X91" s="578">
        <v>103</v>
      </c>
    </row>
    <row r="92" spans="1:52" s="568" customFormat="1">
      <c r="A92" s="571"/>
      <c r="B92" s="602"/>
      <c r="C92" s="346"/>
      <c r="D92" s="348"/>
      <c r="E92" s="348"/>
      <c r="F92" s="349"/>
      <c r="G92" s="351"/>
      <c r="H92" s="353"/>
      <c r="I92" s="331"/>
      <c r="J92" s="326">
        <f>K87</f>
        <v>11.120000000000001</v>
      </c>
      <c r="K92" s="305"/>
      <c r="L92" s="305"/>
      <c r="M92" s="305"/>
      <c r="N92" s="301"/>
      <c r="O92" s="309"/>
      <c r="P92" s="309"/>
      <c r="Q92" s="574"/>
      <c r="R92" s="574"/>
      <c r="S92" s="305"/>
      <c r="T92" s="301"/>
      <c r="U92" s="309"/>
      <c r="V92" s="309"/>
      <c r="X92" s="578">
        <v>-3</v>
      </c>
      <c r="Y92" s="444"/>
      <c r="Z92" s="445"/>
      <c r="AA92" s="446"/>
      <c r="AB92" s="446"/>
    </row>
    <row r="93" spans="1:52" s="568" customFormat="1">
      <c r="A93" s="571"/>
      <c r="B93" s="604"/>
      <c r="C93" s="303"/>
      <c r="D93" s="305"/>
      <c r="E93" s="305"/>
      <c r="F93" s="301"/>
      <c r="G93" s="310"/>
      <c r="H93" s="309"/>
      <c r="I93" s="323"/>
      <c r="J93" s="324"/>
      <c r="K93" s="305"/>
      <c r="L93" s="305"/>
      <c r="M93" s="305"/>
      <c r="N93" s="310"/>
      <c r="O93" s="309"/>
      <c r="P93" s="309"/>
      <c r="Q93" s="574"/>
      <c r="R93" s="574"/>
      <c r="S93" s="305"/>
      <c r="T93" s="301"/>
      <c r="U93" s="309"/>
      <c r="V93" s="309"/>
      <c r="X93" s="578"/>
      <c r="Y93" s="444"/>
      <c r="Z93" s="445"/>
      <c r="AA93" s="446"/>
      <c r="AB93" s="446"/>
      <c r="AC93" s="444"/>
      <c r="AD93" s="444"/>
      <c r="AE93" s="444"/>
      <c r="AF93" s="444"/>
      <c r="AG93" s="445"/>
      <c r="AH93" s="445"/>
      <c r="AI93" s="445"/>
      <c r="AJ93" s="445"/>
      <c r="AK93" s="444"/>
      <c r="AL93" s="444"/>
      <c r="AM93" s="444"/>
      <c r="AN93" s="444"/>
      <c r="AO93" s="444"/>
      <c r="AP93" s="444"/>
      <c r="AQ93" s="444"/>
      <c r="AR93" s="444"/>
      <c r="AS93" s="444"/>
      <c r="AT93" s="444"/>
      <c r="AU93" s="444"/>
      <c r="AV93" s="444"/>
      <c r="AW93" s="444"/>
      <c r="AX93" s="444"/>
      <c r="AY93" s="444"/>
      <c r="AZ93" s="444"/>
    </row>
    <row r="94" spans="1:52" s="568" customFormat="1">
      <c r="A94" s="571"/>
      <c r="B94" s="604"/>
      <c r="C94" s="303"/>
      <c r="D94" s="305"/>
      <c r="E94" s="305"/>
      <c r="F94" s="301"/>
      <c r="G94" s="310"/>
      <c r="H94" s="309"/>
      <c r="I94" s="323"/>
      <c r="J94" s="324"/>
      <c r="K94" s="305"/>
      <c r="L94" s="305"/>
      <c r="M94" s="305"/>
      <c r="N94" s="301"/>
      <c r="O94" s="739"/>
      <c r="P94" s="309"/>
      <c r="Q94" s="574"/>
      <c r="R94" s="574"/>
      <c r="S94" s="305"/>
      <c r="T94" s="301"/>
      <c r="U94" s="309"/>
      <c r="V94" s="309"/>
      <c r="X94" s="578"/>
      <c r="Y94" s="444"/>
      <c r="Z94" s="445"/>
      <c r="AA94" s="446"/>
      <c r="AB94" s="446"/>
      <c r="AC94" s="444"/>
      <c r="AD94" s="444"/>
      <c r="AE94" s="444"/>
      <c r="AF94" s="444"/>
      <c r="AG94" s="445"/>
      <c r="AH94" s="445"/>
      <c r="AI94" s="445"/>
      <c r="AJ94" s="445"/>
      <c r="AK94" s="444"/>
      <c r="AL94" s="444"/>
      <c r="AM94" s="444"/>
      <c r="AN94" s="444"/>
      <c r="AO94" s="444"/>
      <c r="AP94" s="444"/>
      <c r="AQ94" s="444"/>
      <c r="AR94" s="444"/>
      <c r="AS94" s="444"/>
      <c r="AT94" s="444"/>
      <c r="AU94" s="444"/>
      <c r="AV94" s="444"/>
      <c r="AW94" s="444"/>
      <c r="AX94" s="444"/>
      <c r="AY94" s="444"/>
      <c r="AZ94" s="444"/>
    </row>
    <row r="95" spans="1:52" s="568" customFormat="1">
      <c r="A95" s="571"/>
      <c r="B95" s="604"/>
      <c r="C95" s="303"/>
      <c r="D95" s="305"/>
      <c r="E95" s="305"/>
      <c r="F95" s="301"/>
      <c r="G95" s="310"/>
      <c r="H95" s="309"/>
      <c r="I95" s="323"/>
      <c r="J95" s="324"/>
      <c r="K95" s="305"/>
      <c r="L95" s="305"/>
      <c r="M95" s="305"/>
      <c r="N95" s="301"/>
      <c r="O95" s="739"/>
      <c r="P95" s="309"/>
      <c r="Q95" s="574"/>
      <c r="R95" s="574"/>
      <c r="S95" s="305"/>
      <c r="T95" s="301"/>
      <c r="U95" s="309"/>
      <c r="V95" s="309"/>
      <c r="X95" s="578"/>
      <c r="Y95" s="444"/>
      <c r="Z95" s="445"/>
      <c r="AA95" s="446"/>
      <c r="AB95" s="446"/>
      <c r="AC95" s="444"/>
      <c r="AD95" s="444"/>
      <c r="AE95" s="444"/>
      <c r="AF95" s="444"/>
      <c r="AG95" s="445"/>
      <c r="AH95" s="445"/>
      <c r="AI95" s="445"/>
      <c r="AJ95" s="445"/>
      <c r="AK95" s="444"/>
      <c r="AL95" s="444"/>
      <c r="AM95" s="444"/>
      <c r="AN95" s="444"/>
      <c r="AO95" s="444"/>
      <c r="AP95" s="444"/>
      <c r="AQ95" s="444"/>
      <c r="AR95" s="444"/>
      <c r="AS95" s="444"/>
      <c r="AT95" s="444"/>
      <c r="AU95" s="444"/>
      <c r="AV95" s="444"/>
      <c r="AW95" s="444"/>
      <c r="AX95" s="444"/>
      <c r="AY95" s="444"/>
      <c r="AZ95" s="444"/>
    </row>
    <row r="96" spans="1:52" s="568" customFormat="1">
      <c r="A96" s="571"/>
      <c r="B96" s="604"/>
      <c r="C96" s="303"/>
      <c r="D96" s="305"/>
      <c r="E96" s="305"/>
      <c r="F96" s="301"/>
      <c r="G96" s="310"/>
      <c r="H96" s="309"/>
      <c r="I96" s="323"/>
      <c r="J96" s="324"/>
      <c r="K96" s="305"/>
      <c r="L96" s="305"/>
      <c r="M96" s="305"/>
      <c r="N96" s="301"/>
      <c r="O96" s="739"/>
      <c r="P96" s="309"/>
      <c r="Q96" s="574"/>
      <c r="R96" s="574"/>
      <c r="S96" s="305"/>
      <c r="T96" s="301"/>
      <c r="U96" s="309"/>
      <c r="V96" s="309"/>
      <c r="X96" s="578"/>
      <c r="Y96" s="444"/>
      <c r="Z96" s="445"/>
      <c r="AA96" s="446"/>
      <c r="AB96" s="446"/>
      <c r="AC96" s="444"/>
      <c r="AD96" s="444"/>
      <c r="AE96" s="444"/>
      <c r="AF96" s="444"/>
      <c r="AG96" s="445"/>
      <c r="AH96" s="445"/>
      <c r="AI96" s="445"/>
      <c r="AJ96" s="445"/>
      <c r="AK96" s="444"/>
      <c r="AL96" s="444"/>
      <c r="AM96" s="444"/>
      <c r="AN96" s="444"/>
      <c r="AO96" s="444"/>
      <c r="AP96" s="444"/>
      <c r="AQ96" s="444"/>
      <c r="AR96" s="444"/>
      <c r="AS96" s="444"/>
      <c r="AT96" s="444"/>
      <c r="AU96" s="444"/>
      <c r="AV96" s="444"/>
      <c r="AW96" s="444"/>
      <c r="AX96" s="444"/>
      <c r="AY96" s="444"/>
      <c r="AZ96" s="444"/>
    </row>
    <row r="97" spans="1:52" s="568" customFormat="1">
      <c r="A97" s="571"/>
      <c r="B97" s="604"/>
      <c r="C97" s="303"/>
      <c r="D97" s="305"/>
      <c r="E97" s="305"/>
      <c r="F97" s="301"/>
      <c r="G97" s="310"/>
      <c r="H97" s="309"/>
      <c r="I97" s="323"/>
      <c r="J97" s="324"/>
      <c r="K97" s="305"/>
      <c r="L97" s="305"/>
      <c r="M97" s="305"/>
      <c r="N97" s="301"/>
      <c r="O97" s="739"/>
      <c r="P97" s="309"/>
      <c r="Q97" s="574"/>
      <c r="R97" s="574"/>
      <c r="S97" s="305"/>
      <c r="T97" s="301"/>
      <c r="U97" s="309"/>
      <c r="V97" s="309"/>
      <c r="X97" s="578"/>
      <c r="Y97" s="444"/>
      <c r="Z97" s="445"/>
      <c r="AA97" s="446"/>
      <c r="AB97" s="446"/>
      <c r="AC97" s="444"/>
      <c r="AD97" s="444"/>
      <c r="AE97" s="444"/>
      <c r="AF97" s="444"/>
      <c r="AG97" s="445"/>
      <c r="AH97" s="445"/>
      <c r="AI97" s="445"/>
      <c r="AJ97" s="445"/>
      <c r="AK97" s="444"/>
      <c r="AL97" s="444"/>
      <c r="AM97" s="444"/>
      <c r="AN97" s="444"/>
      <c r="AO97" s="444"/>
      <c r="AP97" s="444"/>
      <c r="AQ97" s="444"/>
      <c r="AR97" s="444"/>
      <c r="AS97" s="444"/>
      <c r="AT97" s="444"/>
      <c r="AU97" s="444"/>
      <c r="AV97" s="444"/>
      <c r="AW97" s="444"/>
      <c r="AX97" s="444"/>
      <c r="AY97" s="444"/>
      <c r="AZ97" s="444"/>
    </row>
    <row r="98" spans="1:52" s="568" customFormat="1">
      <c r="A98" s="571"/>
      <c r="B98" s="604"/>
      <c r="C98" s="303"/>
      <c r="D98" s="305"/>
      <c r="E98" s="305"/>
      <c r="F98" s="301"/>
      <c r="G98" s="310"/>
      <c r="H98" s="309"/>
      <c r="I98" s="323"/>
      <c r="J98" s="324"/>
      <c r="K98" s="305"/>
      <c r="L98" s="305"/>
      <c r="M98" s="305"/>
      <c r="N98" s="301"/>
      <c r="O98" s="739"/>
      <c r="P98" s="309"/>
      <c r="Q98" s="574"/>
      <c r="R98" s="574"/>
      <c r="S98" s="305"/>
      <c r="T98" s="301"/>
      <c r="U98" s="309"/>
      <c r="V98" s="309"/>
      <c r="X98" s="578"/>
      <c r="Y98" s="444"/>
      <c r="Z98" s="445"/>
      <c r="AA98" s="446"/>
      <c r="AB98" s="446"/>
      <c r="AC98" s="444"/>
      <c r="AD98" s="444"/>
      <c r="AE98" s="444"/>
      <c r="AF98" s="444"/>
      <c r="AG98" s="445"/>
      <c r="AH98" s="445"/>
      <c r="AI98" s="445"/>
      <c r="AJ98" s="445"/>
      <c r="AK98" s="444"/>
      <c r="AL98" s="444"/>
      <c r="AM98" s="444"/>
      <c r="AN98" s="444"/>
      <c r="AO98" s="444"/>
      <c r="AP98" s="444"/>
      <c r="AQ98" s="444"/>
      <c r="AR98" s="444"/>
      <c r="AS98" s="444"/>
      <c r="AT98" s="444"/>
      <c r="AU98" s="444"/>
      <c r="AV98" s="444"/>
      <c r="AW98" s="444"/>
      <c r="AX98" s="444"/>
      <c r="AY98" s="444"/>
      <c r="AZ98" s="444"/>
    </row>
    <row r="99" spans="1:52" s="568" customFormat="1">
      <c r="A99" s="571"/>
      <c r="B99" s="604"/>
      <c r="C99" s="303"/>
      <c r="D99" s="305"/>
      <c r="E99" s="305"/>
      <c r="F99" s="301"/>
      <c r="G99" s="310"/>
      <c r="H99" s="309"/>
      <c r="I99" s="323"/>
      <c r="J99" s="324"/>
      <c r="K99" s="305"/>
      <c r="L99" s="305"/>
      <c r="M99" s="305"/>
      <c r="N99" s="301"/>
      <c r="O99" s="739"/>
      <c r="P99" s="309"/>
      <c r="Q99" s="574"/>
      <c r="R99" s="574"/>
      <c r="S99" s="305"/>
      <c r="T99" s="301"/>
      <c r="U99" s="309"/>
      <c r="V99" s="309"/>
      <c r="X99" s="578"/>
      <c r="Y99" s="444"/>
      <c r="Z99" s="445"/>
      <c r="AA99" s="446"/>
      <c r="AB99" s="446"/>
      <c r="AC99" s="444"/>
      <c r="AD99" s="444"/>
      <c r="AE99" s="444"/>
      <c r="AF99" s="444"/>
      <c r="AG99" s="445"/>
      <c r="AH99" s="445"/>
      <c r="AI99" s="445"/>
      <c r="AJ99" s="445"/>
      <c r="AK99" s="444"/>
      <c r="AL99" s="444"/>
      <c r="AM99" s="444"/>
      <c r="AN99" s="444"/>
      <c r="AO99" s="444"/>
      <c r="AP99" s="444"/>
      <c r="AQ99" s="444"/>
      <c r="AR99" s="444"/>
      <c r="AS99" s="444"/>
      <c r="AT99" s="444"/>
      <c r="AU99" s="444"/>
      <c r="AV99" s="444"/>
      <c r="AW99" s="444"/>
      <c r="AX99" s="444"/>
      <c r="AY99" s="444"/>
      <c r="AZ99" s="444"/>
    </row>
    <row r="100" spans="1:52" s="568" customFormat="1">
      <c r="A100" s="571"/>
      <c r="B100" s="604"/>
      <c r="C100" s="303"/>
      <c r="D100" s="305"/>
      <c r="E100" s="305"/>
      <c r="F100" s="301"/>
      <c r="G100" s="310"/>
      <c r="H100" s="309"/>
      <c r="I100" s="323"/>
      <c r="J100" s="324"/>
      <c r="K100" s="305"/>
      <c r="L100" s="305"/>
      <c r="M100" s="305"/>
      <c r="N100" s="301"/>
      <c r="O100" s="739"/>
      <c r="P100" s="309"/>
      <c r="Q100" s="574"/>
      <c r="R100" s="574"/>
      <c r="S100" s="305"/>
      <c r="T100" s="301"/>
      <c r="U100" s="309"/>
      <c r="V100" s="309"/>
      <c r="X100" s="578"/>
      <c r="Y100" s="444"/>
      <c r="Z100" s="445"/>
      <c r="AA100" s="446"/>
      <c r="AB100" s="446"/>
      <c r="AC100" s="444"/>
      <c r="AD100" s="444"/>
      <c r="AE100" s="444"/>
      <c r="AF100" s="444"/>
      <c r="AG100" s="445"/>
      <c r="AH100" s="445"/>
      <c r="AI100" s="445"/>
      <c r="AJ100" s="445"/>
      <c r="AK100" s="444"/>
      <c r="AL100" s="444"/>
      <c r="AM100" s="444"/>
      <c r="AN100" s="444"/>
      <c r="AO100" s="444"/>
      <c r="AP100" s="444"/>
      <c r="AQ100" s="444"/>
      <c r="AR100" s="444"/>
      <c r="AS100" s="444"/>
      <c r="AT100" s="444"/>
      <c r="AU100" s="444"/>
      <c r="AV100" s="444"/>
      <c r="AW100" s="444"/>
      <c r="AX100" s="444"/>
      <c r="AY100" s="444"/>
      <c r="AZ100" s="444"/>
    </row>
    <row r="101" spans="1:52" s="568" customFormat="1">
      <c r="A101" s="571"/>
      <c r="B101" s="604"/>
      <c r="C101" s="303"/>
      <c r="D101" s="305"/>
      <c r="E101" s="305"/>
      <c r="F101" s="301"/>
      <c r="G101" s="310"/>
      <c r="H101" s="309"/>
      <c r="I101" s="323"/>
      <c r="J101" s="324"/>
      <c r="K101" s="305"/>
      <c r="L101" s="305"/>
      <c r="M101" s="305"/>
      <c r="N101" s="301"/>
      <c r="O101" s="739"/>
      <c r="P101" s="309"/>
      <c r="Q101" s="574"/>
      <c r="R101" s="574"/>
      <c r="S101" s="305"/>
      <c r="T101" s="301"/>
      <c r="U101" s="309"/>
      <c r="V101" s="309"/>
      <c r="X101" s="578"/>
      <c r="Y101" s="444"/>
      <c r="Z101" s="445"/>
      <c r="AA101" s="446"/>
      <c r="AB101" s="446"/>
      <c r="AC101" s="444"/>
      <c r="AD101" s="444"/>
      <c r="AE101" s="444"/>
      <c r="AF101" s="444"/>
      <c r="AG101" s="445"/>
      <c r="AH101" s="445"/>
      <c r="AI101" s="445"/>
      <c r="AJ101" s="445"/>
      <c r="AK101" s="444"/>
      <c r="AL101" s="444"/>
      <c r="AM101" s="444"/>
      <c r="AN101" s="444"/>
      <c r="AO101" s="444"/>
      <c r="AP101" s="444"/>
      <c r="AQ101" s="444"/>
      <c r="AR101" s="444"/>
      <c r="AS101" s="444"/>
      <c r="AT101" s="444"/>
      <c r="AU101" s="444"/>
      <c r="AV101" s="444"/>
      <c r="AW101" s="444"/>
      <c r="AX101" s="444"/>
      <c r="AY101" s="444"/>
      <c r="AZ101" s="444"/>
    </row>
    <row r="102" spans="1:52" s="568" customFormat="1">
      <c r="A102" s="571"/>
      <c r="B102" s="604"/>
      <c r="C102" s="303"/>
      <c r="D102" s="305"/>
      <c r="E102" s="305"/>
      <c r="F102" s="301"/>
      <c r="G102" s="310"/>
      <c r="H102" s="309"/>
      <c r="I102" s="323"/>
      <c r="J102" s="324"/>
      <c r="K102" s="305"/>
      <c r="L102" s="305"/>
      <c r="M102" s="305"/>
      <c r="N102" s="301"/>
      <c r="O102" s="739"/>
      <c r="P102" s="309"/>
      <c r="Q102" s="574"/>
      <c r="R102" s="574"/>
      <c r="S102" s="305"/>
      <c r="T102" s="301"/>
      <c r="U102" s="309"/>
      <c r="V102" s="309"/>
      <c r="X102" s="578"/>
      <c r="Y102" s="444"/>
      <c r="Z102" s="445"/>
      <c r="AA102" s="446"/>
      <c r="AB102" s="446"/>
      <c r="AC102" s="444"/>
      <c r="AD102" s="444"/>
      <c r="AE102" s="444"/>
      <c r="AF102" s="444"/>
      <c r="AG102" s="445"/>
      <c r="AH102" s="445"/>
      <c r="AI102" s="445"/>
      <c r="AJ102" s="445"/>
      <c r="AK102" s="444"/>
      <c r="AL102" s="444"/>
      <c r="AM102" s="444"/>
      <c r="AN102" s="444"/>
      <c r="AO102" s="444"/>
      <c r="AP102" s="444"/>
      <c r="AQ102" s="444"/>
      <c r="AR102" s="444"/>
      <c r="AS102" s="444"/>
      <c r="AT102" s="444"/>
      <c r="AU102" s="444"/>
      <c r="AV102" s="444"/>
      <c r="AW102" s="444"/>
      <c r="AX102" s="444"/>
      <c r="AY102" s="444"/>
      <c r="AZ102" s="444"/>
    </row>
    <row r="103" spans="1:52" s="568" customFormat="1">
      <c r="A103" s="571"/>
      <c r="B103" s="604"/>
      <c r="C103" s="303"/>
      <c r="D103" s="305"/>
      <c r="E103" s="305"/>
      <c r="F103" s="301"/>
      <c r="G103" s="310"/>
      <c r="H103" s="309"/>
      <c r="I103" s="323"/>
      <c r="J103" s="324"/>
      <c r="K103" s="305"/>
      <c r="L103" s="305"/>
      <c r="M103" s="305"/>
      <c r="N103" s="301"/>
      <c r="O103" s="739"/>
      <c r="P103" s="309"/>
      <c r="Q103" s="574"/>
      <c r="R103" s="574"/>
      <c r="S103" s="305"/>
      <c r="T103" s="301"/>
      <c r="U103" s="309"/>
      <c r="V103" s="309"/>
      <c r="X103" s="578"/>
      <c r="Y103" s="444"/>
      <c r="Z103" s="445"/>
      <c r="AA103" s="446"/>
      <c r="AB103" s="446"/>
      <c r="AC103" s="444"/>
      <c r="AD103" s="444"/>
      <c r="AE103" s="444"/>
      <c r="AF103" s="444"/>
      <c r="AG103" s="445"/>
      <c r="AH103" s="445"/>
      <c r="AI103" s="445"/>
      <c r="AJ103" s="445"/>
      <c r="AK103" s="444"/>
      <c r="AL103" s="444"/>
      <c r="AM103" s="444"/>
      <c r="AN103" s="444"/>
      <c r="AO103" s="444"/>
      <c r="AP103" s="444"/>
      <c r="AQ103" s="444"/>
      <c r="AR103" s="444"/>
      <c r="AS103" s="444"/>
      <c r="AT103" s="444"/>
      <c r="AU103" s="444"/>
      <c r="AV103" s="444"/>
      <c r="AW103" s="444"/>
      <c r="AX103" s="444"/>
      <c r="AY103" s="444"/>
      <c r="AZ103" s="444"/>
    </row>
    <row r="104" spans="1:52" s="284" customFormat="1">
      <c r="A104" s="571"/>
      <c r="B104" s="604"/>
      <c r="C104" s="303"/>
      <c r="D104" s="305"/>
      <c r="E104" s="305"/>
      <c r="F104" s="301"/>
      <c r="G104" s="310"/>
      <c r="H104" s="309"/>
      <c r="I104" s="309"/>
      <c r="J104" s="311"/>
      <c r="K104" s="305"/>
      <c r="L104" s="305"/>
      <c r="M104" s="305"/>
      <c r="N104" s="301"/>
      <c r="O104" s="739"/>
      <c r="P104" s="309"/>
      <c r="Q104" s="574"/>
      <c r="R104" s="574"/>
      <c r="S104" s="305"/>
      <c r="T104" s="301"/>
      <c r="U104" s="309"/>
      <c r="V104" s="309"/>
    </row>
    <row r="105" spans="1:52" s="284" customFormat="1">
      <c r="A105" s="294"/>
      <c r="B105" s="305"/>
      <c r="C105" s="303"/>
      <c r="D105" s="305"/>
      <c r="E105" s="305"/>
      <c r="F105" s="301"/>
      <c r="G105" s="310"/>
      <c r="H105" s="309"/>
      <c r="I105" s="309"/>
      <c r="J105" s="311"/>
      <c r="K105" s="305"/>
      <c r="L105" s="305"/>
      <c r="M105" s="305"/>
      <c r="N105" s="301"/>
      <c r="O105" s="739"/>
      <c r="P105" s="309"/>
      <c r="Q105" s="297"/>
      <c r="R105" s="297"/>
      <c r="S105" s="305"/>
      <c r="T105" s="301"/>
      <c r="U105" s="309"/>
      <c r="V105" s="309"/>
    </row>
    <row r="106" spans="1:52" s="284" customFormat="1">
      <c r="A106" s="294"/>
      <c r="B106" s="305"/>
      <c r="C106" s="303"/>
      <c r="D106" s="305"/>
      <c r="E106" s="305"/>
      <c r="F106" s="301"/>
      <c r="G106" s="310"/>
      <c r="H106" s="309"/>
      <c r="I106" s="309"/>
      <c r="J106" s="311"/>
      <c r="K106" s="305"/>
      <c r="L106" s="305"/>
      <c r="M106" s="305"/>
      <c r="N106" s="301"/>
      <c r="O106" s="739"/>
      <c r="P106" s="309"/>
      <c r="Q106" s="297"/>
      <c r="R106" s="297"/>
      <c r="S106" s="305"/>
      <c r="T106" s="301"/>
      <c r="U106" s="309"/>
      <c r="V106" s="309"/>
    </row>
    <row r="107" spans="1:52" s="284" customFormat="1">
      <c r="A107" s="294"/>
      <c r="B107" s="305"/>
      <c r="C107" s="303"/>
      <c r="D107" s="305"/>
      <c r="E107" s="305"/>
      <c r="F107" s="301"/>
      <c r="G107" s="310"/>
      <c r="H107" s="309"/>
      <c r="I107" s="309"/>
      <c r="J107" s="311"/>
      <c r="K107" s="305"/>
      <c r="L107" s="305"/>
      <c r="M107" s="305"/>
      <c r="N107" s="301"/>
      <c r="O107" s="739"/>
      <c r="P107" s="309"/>
      <c r="Q107" s="297"/>
      <c r="R107" s="297"/>
      <c r="S107" s="305"/>
      <c r="T107" s="301"/>
      <c r="U107" s="309"/>
      <c r="V107" s="309"/>
    </row>
    <row r="108" spans="1:52" s="284" customFormat="1">
      <c r="A108" s="294"/>
      <c r="B108" s="305"/>
      <c r="C108" s="303"/>
      <c r="D108" s="305"/>
      <c r="E108" s="305"/>
      <c r="F108" s="301"/>
      <c r="G108" s="310"/>
      <c r="H108" s="309"/>
      <c r="I108" s="309"/>
      <c r="J108" s="311"/>
      <c r="K108" s="305"/>
      <c r="L108" s="305"/>
      <c r="M108" s="305"/>
      <c r="N108" s="301"/>
      <c r="O108" s="739"/>
      <c r="P108" s="309"/>
      <c r="Q108" s="297"/>
      <c r="R108" s="297"/>
      <c r="S108" s="305"/>
      <c r="T108" s="301"/>
      <c r="U108" s="309"/>
      <c r="V108" s="309"/>
    </row>
    <row r="109" spans="1:52" s="284" customFormat="1">
      <c r="A109" s="571"/>
      <c r="B109" s="305"/>
      <c r="C109" s="303"/>
      <c r="D109" s="305"/>
      <c r="E109" s="305"/>
      <c r="F109" s="301"/>
      <c r="G109" s="310"/>
      <c r="H109" s="309"/>
      <c r="I109" s="309"/>
      <c r="J109" s="311"/>
      <c r="K109" s="305"/>
      <c r="L109" s="305"/>
      <c r="M109" s="305"/>
      <c r="N109" s="301"/>
      <c r="O109" s="739"/>
      <c r="P109" s="309"/>
      <c r="Q109" s="574"/>
      <c r="R109" s="574"/>
      <c r="S109" s="305"/>
      <c r="T109" s="301"/>
      <c r="U109" s="309"/>
      <c r="V109" s="309"/>
    </row>
    <row r="112" spans="1:52">
      <c r="P112" s="558"/>
    </row>
    <row r="113" spans="13:16">
      <c r="P113" s="558"/>
    </row>
    <row r="114" spans="13:16">
      <c r="M114" s="289" t="s">
        <v>16</v>
      </c>
      <c r="N114" s="289">
        <f t="shared" ref="N114:N127" si="116">SUMIF($M$10:$M$104,M114,$O$10:$O$104)</f>
        <v>373.11999999999995</v>
      </c>
    </row>
    <row r="115" spans="13:16">
      <c r="M115" s="289" t="s">
        <v>121</v>
      </c>
      <c r="N115" s="289">
        <f t="shared" si="116"/>
        <v>0</v>
      </c>
    </row>
    <row r="116" spans="13:16">
      <c r="M116" s="289" t="s">
        <v>17</v>
      </c>
      <c r="N116" s="289">
        <f t="shared" si="116"/>
        <v>0</v>
      </c>
    </row>
    <row r="117" spans="13:16">
      <c r="M117" s="289" t="s">
        <v>122</v>
      </c>
      <c r="N117" s="289">
        <f t="shared" si="116"/>
        <v>538.54</v>
      </c>
    </row>
    <row r="118" spans="13:16">
      <c r="M118" s="289" t="s">
        <v>123</v>
      </c>
      <c r="N118" s="289">
        <f t="shared" si="116"/>
        <v>538.54</v>
      </c>
    </row>
    <row r="119" spans="13:16">
      <c r="M119" s="289" t="s">
        <v>124</v>
      </c>
      <c r="N119" s="289">
        <f t="shared" si="116"/>
        <v>269.27</v>
      </c>
    </row>
    <row r="120" spans="13:16">
      <c r="M120" s="289" t="s">
        <v>785</v>
      </c>
      <c r="N120" s="289">
        <f t="shared" si="116"/>
        <v>0</v>
      </c>
    </row>
    <row r="121" spans="13:16">
      <c r="M121" s="289" t="s">
        <v>786</v>
      </c>
      <c r="N121" s="289">
        <f t="shared" si="116"/>
        <v>0</v>
      </c>
    </row>
    <row r="122" spans="13:16">
      <c r="M122" s="289" t="s">
        <v>127</v>
      </c>
      <c r="N122" s="289">
        <f t="shared" si="116"/>
        <v>0</v>
      </c>
    </row>
    <row r="123" spans="13:16">
      <c r="M123" s="289" t="s">
        <v>18</v>
      </c>
      <c r="N123" s="289">
        <f t="shared" si="116"/>
        <v>0</v>
      </c>
    </row>
    <row r="124" spans="13:16">
      <c r="M124" s="289" t="s">
        <v>50</v>
      </c>
      <c r="N124" s="289">
        <f t="shared" si="116"/>
        <v>1077.08</v>
      </c>
    </row>
    <row r="125" spans="13:16">
      <c r="M125" s="289" t="s">
        <v>43</v>
      </c>
      <c r="N125" s="289">
        <f t="shared" si="116"/>
        <v>0</v>
      </c>
    </row>
    <row r="126" spans="13:16">
      <c r="M126" s="289" t="s">
        <v>42</v>
      </c>
      <c r="N126" s="289">
        <f t="shared" si="116"/>
        <v>900.74</v>
      </c>
    </row>
    <row r="127" spans="13:16">
      <c r="M127" s="289" t="s">
        <v>128</v>
      </c>
      <c r="N127" s="289">
        <f t="shared" si="116"/>
        <v>0</v>
      </c>
    </row>
    <row r="129" spans="13:14">
      <c r="M129" s="289" t="s">
        <v>44</v>
      </c>
      <c r="N129" s="289">
        <f t="shared" ref="N129:N142" si="117">SUMIF($M$10:$M$104,M129,$O$10:$O$104)</f>
        <v>269.27</v>
      </c>
    </row>
    <row r="130" spans="13:14">
      <c r="M130" s="289" t="s">
        <v>799</v>
      </c>
      <c r="N130" s="289">
        <f t="shared" si="117"/>
        <v>0</v>
      </c>
    </row>
    <row r="131" spans="13:14">
      <c r="M131" s="289" t="s">
        <v>48</v>
      </c>
      <c r="N131" s="289">
        <f t="shared" si="117"/>
        <v>0</v>
      </c>
    </row>
    <row r="132" spans="13:14">
      <c r="M132" s="289" t="s">
        <v>102</v>
      </c>
      <c r="N132" s="289">
        <f t="shared" si="117"/>
        <v>0</v>
      </c>
    </row>
    <row r="133" spans="13:14">
      <c r="M133" s="289" t="s">
        <v>103</v>
      </c>
      <c r="N133" s="289">
        <f t="shared" si="117"/>
        <v>181.10000000000002</v>
      </c>
    </row>
    <row r="134" spans="13:14">
      <c r="M134" s="289" t="s">
        <v>104</v>
      </c>
      <c r="N134" s="289">
        <f t="shared" si="117"/>
        <v>24.89</v>
      </c>
    </row>
    <row r="135" spans="13:14">
      <c r="M135" s="289" t="s">
        <v>49</v>
      </c>
      <c r="N135" s="289">
        <f t="shared" si="117"/>
        <v>1348.38</v>
      </c>
    </row>
    <row r="136" spans="13:14">
      <c r="M136" s="289" t="s">
        <v>105</v>
      </c>
      <c r="N136" s="289">
        <f t="shared" si="117"/>
        <v>0</v>
      </c>
    </row>
    <row r="137" spans="13:14">
      <c r="M137" s="289" t="s">
        <v>46</v>
      </c>
      <c r="N137" s="289">
        <f t="shared" si="117"/>
        <v>269.27</v>
      </c>
    </row>
    <row r="138" spans="13:14">
      <c r="M138" s="289" t="s">
        <v>686</v>
      </c>
      <c r="N138" s="289">
        <f t="shared" si="117"/>
        <v>0</v>
      </c>
    </row>
    <row r="139" spans="13:14">
      <c r="M139" s="289" t="s">
        <v>106</v>
      </c>
      <c r="N139" s="289">
        <f t="shared" si="117"/>
        <v>0</v>
      </c>
    </row>
    <row r="140" spans="13:14">
      <c r="M140" s="289" t="s">
        <v>107</v>
      </c>
      <c r="N140" s="289">
        <f t="shared" si="117"/>
        <v>269.27</v>
      </c>
    </row>
    <row r="141" spans="13:14">
      <c r="M141" s="289" t="s">
        <v>108</v>
      </c>
      <c r="N141" s="289">
        <f t="shared" si="117"/>
        <v>269.27</v>
      </c>
    </row>
    <row r="142" spans="13:14">
      <c r="M142" s="289" t="s">
        <v>45</v>
      </c>
      <c r="N142" s="289">
        <f t="shared" si="117"/>
        <v>0</v>
      </c>
    </row>
    <row r="144" spans="13:14">
      <c r="M144" s="289" t="s">
        <v>110</v>
      </c>
      <c r="N144" s="289">
        <f t="shared" ref="N144:N153" si="118">SUMIF($M$10:$M$104,M144,$O$10:$O$104)</f>
        <v>0</v>
      </c>
    </row>
    <row r="145" spans="13:14">
      <c r="M145" s="289" t="s">
        <v>749</v>
      </c>
      <c r="N145" s="289">
        <f t="shared" si="118"/>
        <v>0</v>
      </c>
    </row>
    <row r="146" spans="13:14">
      <c r="M146" s="289" t="s">
        <v>621</v>
      </c>
      <c r="N146" s="289">
        <f t="shared" si="118"/>
        <v>0</v>
      </c>
    </row>
    <row r="147" spans="13:14">
      <c r="M147" s="289" t="s">
        <v>47</v>
      </c>
      <c r="N147" s="289">
        <f t="shared" si="118"/>
        <v>0</v>
      </c>
    </row>
    <row r="148" spans="13:14">
      <c r="M148" s="289" t="s">
        <v>694</v>
      </c>
      <c r="N148" s="289">
        <f t="shared" si="118"/>
        <v>0</v>
      </c>
    </row>
    <row r="149" spans="13:14">
      <c r="M149" s="289" t="s">
        <v>488</v>
      </c>
      <c r="N149" s="289">
        <f t="shared" si="118"/>
        <v>201.95</v>
      </c>
    </row>
    <row r="150" spans="13:14">
      <c r="M150" s="289" t="s">
        <v>113</v>
      </c>
      <c r="N150" s="289">
        <f t="shared" si="118"/>
        <v>67.319999999999993</v>
      </c>
    </row>
    <row r="151" spans="13:14">
      <c r="M151" s="289" t="s">
        <v>746</v>
      </c>
      <c r="N151" s="289">
        <f t="shared" si="118"/>
        <v>0</v>
      </c>
    </row>
    <row r="152" spans="13:14">
      <c r="M152" s="289" t="s">
        <v>788</v>
      </c>
      <c r="N152" s="289">
        <f t="shared" si="118"/>
        <v>0</v>
      </c>
    </row>
    <row r="153" spans="13:14">
      <c r="M153" s="289" t="s">
        <v>790</v>
      </c>
      <c r="N153" s="289">
        <f t="shared" si="118"/>
        <v>0</v>
      </c>
    </row>
  </sheetData>
  <autoFilter ref="A9:AC111" xr:uid="{00000000-0009-0000-0000-000003000000}"/>
  <mergeCells count="12">
    <mergeCell ref="S7:T7"/>
    <mergeCell ref="B4:J4"/>
    <mergeCell ref="M4:P4"/>
    <mergeCell ref="S4:V4"/>
    <mergeCell ref="Z40:AJ40"/>
    <mergeCell ref="AK40:AN40"/>
    <mergeCell ref="AO40:AX40"/>
    <mergeCell ref="AY40:AZ40"/>
    <mergeCell ref="Z55:AJ55"/>
    <mergeCell ref="AK55:AN55"/>
    <mergeCell ref="AO55:AX55"/>
    <mergeCell ref="AY55:AZ55"/>
  </mergeCells>
  <phoneticPr fontId="16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2:M156"/>
  <sheetViews>
    <sheetView view="pageBreakPreview" zoomScale="60" zoomScaleNormal="85" workbookViewId="0">
      <selection activeCell="B175" sqref="B175"/>
    </sheetView>
  </sheetViews>
  <sheetFormatPr baseColWidth="10" defaultColWidth="11.5546875" defaultRowHeight="13.2"/>
  <cols>
    <col min="2" max="2" width="51" customWidth="1"/>
    <col min="3" max="3" width="9.33203125" customWidth="1"/>
    <col min="5" max="5" width="0" hidden="1" customWidth="1"/>
    <col min="6" max="6" width="15.6640625" customWidth="1"/>
    <col min="7" max="7" width="0" hidden="1" customWidth="1"/>
  </cols>
  <sheetData>
    <row r="2" spans="1:11" s="565" customFormat="1" ht="15.6">
      <c r="A2" s="1011" t="s">
        <v>963</v>
      </c>
      <c r="B2" s="1011"/>
      <c r="C2" s="1011"/>
      <c r="D2" s="1011"/>
      <c r="E2" s="1011"/>
      <c r="F2" s="1011"/>
      <c r="G2" s="1011"/>
    </row>
    <row r="3" spans="1:11" s="565" customFormat="1"/>
    <row r="4" spans="1:11" s="565" customFormat="1">
      <c r="A4" s="567" t="str">
        <f>+'1.2 APU'!B6</f>
        <v>PROYECTO:</v>
      </c>
      <c r="B4" s="565" t="str">
        <f>+'1.2 APU'!C6</f>
        <v>MEJORAMIENTO DE VÍAS Y ACCESOS EXISTENTES SUBPROYECTOS A3-A4</v>
      </c>
    </row>
    <row r="5" spans="1:11" s="565" customFormat="1">
      <c r="A5" s="567" t="str">
        <f>+'1.2 APU'!B7</f>
        <v>POSTOR:</v>
      </c>
      <c r="B5" s="565" t="str">
        <f>+'1.2 APU'!C7</f>
        <v>ZOVICSA</v>
      </c>
    </row>
    <row r="6" spans="1:11" s="565" customFormat="1">
      <c r="A6" s="567" t="str">
        <f>+'1.2 APU'!B8</f>
        <v>FECHA        :</v>
      </c>
      <c r="B6" s="452">
        <f>+'1.2 APU'!C8</f>
        <v>44655</v>
      </c>
    </row>
    <row r="7" spans="1:11" s="565" customFormat="1"/>
    <row r="9" spans="1:11">
      <c r="A9" s="967" t="s">
        <v>964</v>
      </c>
      <c r="B9" s="967" t="s">
        <v>14</v>
      </c>
      <c r="C9" s="967" t="s">
        <v>15</v>
      </c>
      <c r="D9" s="967" t="s">
        <v>965</v>
      </c>
      <c r="E9" s="968"/>
      <c r="F9" s="967" t="s">
        <v>966</v>
      </c>
    </row>
    <row r="10" spans="1:11">
      <c r="A10" s="570" t="s">
        <v>157</v>
      </c>
      <c r="B10" s="965" t="s">
        <v>132</v>
      </c>
      <c r="C10" s="570"/>
      <c r="D10" s="570"/>
      <c r="E10" s="570"/>
      <c r="F10" s="570"/>
    </row>
    <row r="11" spans="1:11">
      <c r="A11" s="966" t="s">
        <v>158</v>
      </c>
      <c r="B11" s="570" t="s">
        <v>16</v>
      </c>
      <c r="C11" s="966" t="s">
        <v>133</v>
      </c>
      <c r="D11" s="877">
        <v>29.540832570012501</v>
      </c>
      <c r="E11" s="570"/>
      <c r="F11" s="569">
        <f>SUMIF('1.2 APU'!$B$9:$B$111,'1.4 Insumos'!A11,'1.2 APU'!$O$9:$O$111)</f>
        <v>373.11999999999995</v>
      </c>
    </row>
    <row r="12" spans="1:11">
      <c r="A12" s="570" t="s">
        <v>159</v>
      </c>
      <c r="B12" s="966" t="s">
        <v>952</v>
      </c>
      <c r="C12" s="966" t="s">
        <v>133</v>
      </c>
      <c r="D12" s="877">
        <v>29.046554894442803</v>
      </c>
      <c r="E12" s="570"/>
      <c r="F12" s="569">
        <f>SUMIF('1.2 APU'!$B$9:$B$111,'1.4 Insumos'!A12,'1.2 APU'!$O$9:$O$111)</f>
        <v>2605.7200000000003</v>
      </c>
      <c r="J12" s="565"/>
      <c r="K12" s="565"/>
    </row>
    <row r="13" spans="1:11">
      <c r="A13" s="570" t="s">
        <v>160</v>
      </c>
      <c r="B13" s="570" t="s">
        <v>17</v>
      </c>
      <c r="C13" s="966" t="s">
        <v>133</v>
      </c>
      <c r="D13" s="877">
        <v>28.247868327858573</v>
      </c>
      <c r="E13" s="570"/>
      <c r="F13" s="569">
        <f>SUMIF('1.2 APU'!$B$9:$B$111,'1.4 Insumos'!A13,'1.2 APU'!$O$9:$O$111)</f>
        <v>0</v>
      </c>
      <c r="J13" s="565"/>
      <c r="K13" s="565"/>
    </row>
    <row r="14" spans="1:11">
      <c r="A14" s="570" t="s">
        <v>161</v>
      </c>
      <c r="B14" s="570" t="s">
        <v>122</v>
      </c>
      <c r="C14" s="966" t="s">
        <v>133</v>
      </c>
      <c r="D14" s="877">
        <v>28.247868327858573</v>
      </c>
      <c r="E14" s="570"/>
      <c r="F14" s="569">
        <f>SUMIF('1.2 APU'!$B$9:$B$111,'1.4 Insumos'!A14,'1.2 APU'!$O$9:$O$111)</f>
        <v>538.54</v>
      </c>
      <c r="J14" s="565"/>
      <c r="K14" s="565"/>
    </row>
    <row r="15" spans="1:11">
      <c r="A15" s="570" t="s">
        <v>162</v>
      </c>
      <c r="B15" s="570" t="s">
        <v>123</v>
      </c>
      <c r="C15" s="966" t="s">
        <v>133</v>
      </c>
      <c r="D15" s="877">
        <v>22.311787519762969</v>
      </c>
      <c r="E15" s="570"/>
      <c r="F15" s="569">
        <f>SUMIF('1.2 APU'!$B$9:$B$111,'1.4 Insumos'!A15,'1.2 APU'!$O$9:$O$111)</f>
        <v>538.54</v>
      </c>
      <c r="J15" s="565"/>
      <c r="K15" s="565"/>
    </row>
    <row r="16" spans="1:11">
      <c r="A16" s="570" t="s">
        <v>163</v>
      </c>
      <c r="B16" s="570" t="s">
        <v>124</v>
      </c>
      <c r="C16" s="966" t="s">
        <v>133</v>
      </c>
      <c r="D16" s="877">
        <v>22.311787519762969</v>
      </c>
      <c r="E16" s="570"/>
      <c r="F16" s="569">
        <f>SUMIF('1.2 APU'!$B$9:$B$111,'1.4 Insumos'!A16,'1.2 APU'!$O$9:$O$111)</f>
        <v>269.27</v>
      </c>
      <c r="J16" s="565"/>
      <c r="K16" s="565"/>
    </row>
    <row r="17" spans="1:11" hidden="1">
      <c r="A17" s="570" t="s">
        <v>164</v>
      </c>
      <c r="B17" s="966" t="s">
        <v>785</v>
      </c>
      <c r="C17" s="966" t="s">
        <v>133</v>
      </c>
      <c r="D17" s="877"/>
      <c r="E17" s="570"/>
      <c r="F17" s="569">
        <f>SUMIF('1.2 APU'!$B$9:$B$111,'1.4 Insumos'!A17,'1.2 APU'!$O$9:$O$111)</f>
        <v>0</v>
      </c>
      <c r="J17" s="565"/>
      <c r="K17" s="565"/>
    </row>
    <row r="18" spans="1:11" hidden="1">
      <c r="A18" s="570" t="s">
        <v>165</v>
      </c>
      <c r="B18" s="966" t="s">
        <v>786</v>
      </c>
      <c r="C18" s="966" t="s">
        <v>133</v>
      </c>
      <c r="D18" s="877"/>
      <c r="E18" s="570"/>
      <c r="F18" s="569">
        <f>SUMIF('1.2 APU'!$B$9:$B$111,'1.4 Insumos'!A18,'1.2 APU'!$O$9:$O$111)</f>
        <v>0</v>
      </c>
      <c r="J18" s="565"/>
      <c r="K18" s="565"/>
    </row>
    <row r="19" spans="1:11" hidden="1">
      <c r="A19" s="570" t="s">
        <v>166</v>
      </c>
      <c r="B19" s="570" t="s">
        <v>127</v>
      </c>
      <c r="C19" s="966" t="s">
        <v>133</v>
      </c>
      <c r="D19" s="877"/>
      <c r="E19" s="570"/>
      <c r="F19" s="569">
        <f>SUMIF('1.2 APU'!$B$9:$B$111,'1.4 Insumos'!A19,'1.2 APU'!$O$9:$O$111)</f>
        <v>0</v>
      </c>
      <c r="J19" s="565"/>
      <c r="K19" s="565"/>
    </row>
    <row r="20" spans="1:11" hidden="1">
      <c r="A20" s="570" t="s">
        <v>167</v>
      </c>
      <c r="B20" s="966" t="s">
        <v>18</v>
      </c>
      <c r="C20" s="966" t="s">
        <v>133</v>
      </c>
      <c r="D20" s="877">
        <v>20.706091296850097</v>
      </c>
      <c r="E20" s="570"/>
      <c r="F20" s="569">
        <f>SUMIF('1.2 APU'!$B$9:$B$111,'1.4 Insumos'!A20,'1.2 APU'!$O$9:$O$111)</f>
        <v>0</v>
      </c>
      <c r="J20" s="565"/>
      <c r="K20" s="565"/>
    </row>
    <row r="21" spans="1:11">
      <c r="A21" s="570" t="s">
        <v>168</v>
      </c>
      <c r="B21" s="570" t="s">
        <v>50</v>
      </c>
      <c r="C21" s="966" t="s">
        <v>133</v>
      </c>
      <c r="D21" s="877">
        <v>19.679802166702849</v>
      </c>
      <c r="E21" s="570"/>
      <c r="F21" s="569">
        <f>SUMIF('1.2 APU'!$B$9:$B$111,'1.4 Insumos'!A21,'1.2 APU'!$O$9:$O$111)</f>
        <v>1077.08</v>
      </c>
      <c r="J21" s="565"/>
      <c r="K21" s="565"/>
    </row>
    <row r="22" spans="1:11">
      <c r="A22" s="570" t="s">
        <v>169</v>
      </c>
      <c r="B22" s="570" t="s">
        <v>43</v>
      </c>
      <c r="C22" s="966" t="s">
        <v>133</v>
      </c>
      <c r="D22" s="877">
        <v>19.679802166702849</v>
      </c>
      <c r="E22" s="570"/>
      <c r="F22" s="569">
        <f>SUMIF('1.2 APU'!$B$9:$B$111,'1.4 Insumos'!A22,'1.2 APU'!$O$9:$O$111)</f>
        <v>0</v>
      </c>
      <c r="J22" s="565"/>
      <c r="K22" s="565"/>
    </row>
    <row r="23" spans="1:11">
      <c r="A23" s="570" t="s">
        <v>170</v>
      </c>
      <c r="B23" s="966" t="s">
        <v>42</v>
      </c>
      <c r="C23" s="966" t="s">
        <v>133</v>
      </c>
      <c r="D23" s="877">
        <v>19.679802166702849</v>
      </c>
      <c r="E23" s="570"/>
      <c r="F23" s="569">
        <f>SUMIF('1.2 APU'!$B$9:$B$111,'1.4 Insumos'!A23,'1.2 APU'!$O$9:$O$111)</f>
        <v>900.74</v>
      </c>
      <c r="J23" s="565"/>
      <c r="K23" s="565"/>
    </row>
    <row r="24" spans="1:11" hidden="1">
      <c r="A24" s="570" t="s">
        <v>171</v>
      </c>
      <c r="B24" s="966" t="s">
        <v>128</v>
      </c>
      <c r="C24" s="966" t="s">
        <v>133</v>
      </c>
      <c r="D24" s="877"/>
      <c r="E24" s="570"/>
      <c r="F24" s="569">
        <f>SUMIF('1.2 APU'!$B$9:$B$111,'1.4 Insumos'!A24,'1.2 APU'!$O$9:$O$111)</f>
        <v>0</v>
      </c>
      <c r="J24" s="565"/>
      <c r="K24" s="565"/>
    </row>
    <row r="25" spans="1:11" hidden="1">
      <c r="A25" s="570" t="s">
        <v>172</v>
      </c>
      <c r="B25" s="966" t="s">
        <v>129</v>
      </c>
      <c r="C25" s="966" t="s">
        <v>133</v>
      </c>
      <c r="D25" s="877"/>
      <c r="E25" s="570"/>
      <c r="F25" s="569">
        <f>SUMIF('1.2 APU'!$B$9:$B$111,'1.4 Insumos'!A25,'1.2 APU'!$O$9:$O$111)</f>
        <v>0</v>
      </c>
      <c r="J25" s="565"/>
      <c r="K25" s="565"/>
    </row>
    <row r="26" spans="1:11" hidden="1">
      <c r="A26" s="570" t="s">
        <v>173</v>
      </c>
      <c r="B26" s="966" t="s">
        <v>130</v>
      </c>
      <c r="C26" s="966" t="s">
        <v>133</v>
      </c>
      <c r="D26" s="877"/>
      <c r="E26" s="570"/>
      <c r="F26" s="569">
        <f>SUMIF('1.2 APU'!$B$9:$B$111,'1.4 Insumos'!A26,'1.2 APU'!$O$9:$O$111)</f>
        <v>0</v>
      </c>
      <c r="J26" s="565"/>
      <c r="K26" s="565"/>
    </row>
    <row r="27" spans="1:11" hidden="1">
      <c r="A27" s="570" t="s">
        <v>174</v>
      </c>
      <c r="B27" s="966" t="s">
        <v>131</v>
      </c>
      <c r="C27" s="966" t="s">
        <v>133</v>
      </c>
      <c r="D27" s="877"/>
      <c r="E27" s="570"/>
      <c r="F27" s="569">
        <f>SUMIF('1.2 APU'!$B$9:$B$111,'1.4 Insumos'!A27,'1.2 APU'!$O$9:$O$111)</f>
        <v>0</v>
      </c>
      <c r="J27" s="565"/>
      <c r="K27" s="565"/>
    </row>
    <row r="28" spans="1:11" hidden="1">
      <c r="A28" s="570" t="s">
        <v>175</v>
      </c>
      <c r="B28" s="966" t="s">
        <v>156</v>
      </c>
      <c r="C28" s="966" t="s">
        <v>133</v>
      </c>
      <c r="D28" s="877"/>
      <c r="E28" s="570"/>
      <c r="F28" s="569">
        <f>SUMIF('1.2 APU'!$B$9:$B$111,'1.4 Insumos'!A28,'1.2 APU'!$O$9:$O$111)</f>
        <v>0</v>
      </c>
      <c r="J28" s="565"/>
      <c r="K28" s="565"/>
    </row>
    <row r="29" spans="1:11">
      <c r="A29" s="966" t="s">
        <v>176</v>
      </c>
      <c r="B29" s="965" t="s">
        <v>116</v>
      </c>
      <c r="C29" s="570"/>
      <c r="D29" s="877"/>
      <c r="E29" s="966"/>
      <c r="F29" s="569"/>
      <c r="K29" s="565"/>
    </row>
    <row r="30" spans="1:11">
      <c r="A30" s="966" t="s">
        <v>177</v>
      </c>
      <c r="B30" s="966" t="s">
        <v>44</v>
      </c>
      <c r="C30" s="966" t="s">
        <v>101</v>
      </c>
      <c r="D30" s="877">
        <v>308.49639237814898</v>
      </c>
      <c r="E30" s="570"/>
      <c r="F30" s="569">
        <f>SUMIF('1.2 APU'!$B$9:$B$111,'1.4 Insumos'!A30,'1.2 APU'!$O$9:$O$111)</f>
        <v>269.27</v>
      </c>
      <c r="J30" s="565"/>
      <c r="K30" s="565"/>
    </row>
    <row r="31" spans="1:11">
      <c r="A31" s="570" t="s">
        <v>178</v>
      </c>
      <c r="B31" s="570" t="s">
        <v>51</v>
      </c>
      <c r="C31" s="966" t="s">
        <v>101</v>
      </c>
      <c r="D31" s="877">
        <v>212.42639237814899</v>
      </c>
      <c r="E31" s="570"/>
      <c r="F31" s="569">
        <f>SUMIF('1.2 APU'!$B$9:$B$111,'1.4 Insumos'!A31,'1.2 APU'!$O$9:$O$111)</f>
        <v>0</v>
      </c>
      <c r="J31" s="565"/>
      <c r="K31" s="565"/>
    </row>
    <row r="32" spans="1:11">
      <c r="A32" s="570" t="s">
        <v>179</v>
      </c>
      <c r="B32" s="570" t="s">
        <v>48</v>
      </c>
      <c r="C32" s="966" t="s">
        <v>101</v>
      </c>
      <c r="D32" s="877">
        <v>235.59639237814901</v>
      </c>
      <c r="E32" s="570"/>
      <c r="F32" s="569">
        <f>SUMIF('1.2 APU'!$B$9:$B$111,'1.4 Insumos'!A32,'1.2 APU'!$O$9:$O$111)</f>
        <v>0</v>
      </c>
      <c r="J32" s="565"/>
      <c r="K32" s="565"/>
    </row>
    <row r="33" spans="1:11">
      <c r="A33" s="570" t="s">
        <v>180</v>
      </c>
      <c r="B33" s="966" t="s">
        <v>102</v>
      </c>
      <c r="C33" s="966" t="s">
        <v>101</v>
      </c>
      <c r="D33" s="877">
        <v>215.12139237814901</v>
      </c>
      <c r="E33" s="570"/>
      <c r="F33" s="569">
        <f>SUMIF('1.2 APU'!$B$9:$B$111,'1.4 Insumos'!A33,'1.2 APU'!$O$9:$O$111)</f>
        <v>0</v>
      </c>
      <c r="J33" s="565"/>
      <c r="K33" s="565"/>
    </row>
    <row r="34" spans="1:11">
      <c r="A34" s="570" t="s">
        <v>181</v>
      </c>
      <c r="B34" s="966" t="s">
        <v>103</v>
      </c>
      <c r="C34" s="966" t="s">
        <v>101</v>
      </c>
      <c r="D34" s="877">
        <v>190.56139237814901</v>
      </c>
      <c r="E34" s="570"/>
      <c r="F34" s="569">
        <f>SUMIF('1.2 APU'!$B$9:$B$111,'1.4 Insumos'!A34,'1.2 APU'!$O$9:$O$111)</f>
        <v>181.10000000000002</v>
      </c>
      <c r="J34" s="565"/>
      <c r="K34" s="565"/>
    </row>
    <row r="35" spans="1:11" ht="12.6" customHeight="1">
      <c r="A35" s="570" t="s">
        <v>182</v>
      </c>
      <c r="B35" s="966" t="s">
        <v>104</v>
      </c>
      <c r="C35" s="966" t="s">
        <v>101</v>
      </c>
      <c r="D35" s="877">
        <v>135.83139237814899</v>
      </c>
      <c r="E35" s="570"/>
      <c r="F35" s="569">
        <f>SUMIF('1.2 APU'!$B$9:$B$111,'1.4 Insumos'!A35,'1.2 APU'!$O$9:$O$111)</f>
        <v>24.89</v>
      </c>
      <c r="J35" s="565"/>
      <c r="K35" s="565"/>
    </row>
    <row r="36" spans="1:11">
      <c r="A36" s="570" t="s">
        <v>183</v>
      </c>
      <c r="B36" s="966" t="s">
        <v>49</v>
      </c>
      <c r="C36" s="966" t="s">
        <v>101</v>
      </c>
      <c r="D36" s="877">
        <v>127.051392378149</v>
      </c>
      <c r="E36" s="570"/>
      <c r="F36" s="569">
        <f>SUMIF('1.2 APU'!$B$9:$B$111,'1.4 Insumos'!A36,'1.2 APU'!$O$9:$O$111)</f>
        <v>1348.38</v>
      </c>
      <c r="J36" s="565"/>
      <c r="K36" s="565"/>
    </row>
    <row r="37" spans="1:11">
      <c r="A37" s="570" t="s">
        <v>184</v>
      </c>
      <c r="B37" s="966" t="s">
        <v>105</v>
      </c>
      <c r="C37" s="966" t="s">
        <v>101</v>
      </c>
      <c r="D37" s="877">
        <v>135.05139237814899</v>
      </c>
      <c r="E37" s="570"/>
      <c r="F37" s="569">
        <f>SUMIF('1.2 APU'!$B$9:$B$111,'1.4 Insumos'!A37,'1.2 APU'!$O$9:$O$111)</f>
        <v>0</v>
      </c>
      <c r="J37" s="565"/>
      <c r="K37" s="565"/>
    </row>
    <row r="38" spans="1:11">
      <c r="A38" s="570" t="s">
        <v>185</v>
      </c>
      <c r="B38" s="966" t="s">
        <v>46</v>
      </c>
      <c r="C38" s="966" t="s">
        <v>101</v>
      </c>
      <c r="D38" s="877">
        <v>101.88139237814801</v>
      </c>
      <c r="E38" s="570"/>
      <c r="F38" s="569">
        <f>SUMIF('1.2 APU'!$B$9:$B$111,'1.4 Insumos'!A38,'1.2 APU'!$O$9:$O$111)</f>
        <v>269.27</v>
      </c>
      <c r="J38" s="565"/>
      <c r="K38" s="565"/>
    </row>
    <row r="39" spans="1:11" hidden="1">
      <c r="A39" s="966" t="s">
        <v>186</v>
      </c>
      <c r="B39" s="966" t="s">
        <v>686</v>
      </c>
      <c r="C39" s="966" t="s">
        <v>101</v>
      </c>
      <c r="D39" s="877"/>
      <c r="E39" s="570"/>
      <c r="F39" s="569">
        <f>SUMIF('1.2 APU'!$B$9:$B$111,'1.4 Insumos'!A39,'1.2 APU'!$O$9:$O$111)</f>
        <v>0</v>
      </c>
      <c r="J39" s="565"/>
      <c r="K39" s="565"/>
    </row>
    <row r="40" spans="1:11" hidden="1">
      <c r="A40" s="570" t="s">
        <v>187</v>
      </c>
      <c r="B40" s="966" t="s">
        <v>106</v>
      </c>
      <c r="C40" s="966" t="s">
        <v>101</v>
      </c>
      <c r="D40" s="877"/>
      <c r="E40" s="570"/>
      <c r="F40" s="569">
        <f>SUMIF('1.2 APU'!$B$9:$B$111,'1.4 Insumos'!A40,'1.2 APU'!$O$9:$O$111)</f>
        <v>0</v>
      </c>
      <c r="J40" s="565"/>
      <c r="K40" s="565"/>
    </row>
    <row r="41" spans="1:11" hidden="1">
      <c r="A41" s="570" t="s">
        <v>188</v>
      </c>
      <c r="B41" s="966" t="s">
        <v>107</v>
      </c>
      <c r="C41" s="966" t="s">
        <v>101</v>
      </c>
      <c r="D41" s="877"/>
      <c r="E41" s="570"/>
      <c r="F41" s="569">
        <f>SUMIF('1.2 APU'!$B$9:$B$111,'1.4 Insumos'!A41,'1.2 APU'!$O$9:$O$111)</f>
        <v>269.27</v>
      </c>
      <c r="J41" s="565"/>
      <c r="K41" s="565"/>
    </row>
    <row r="42" spans="1:11">
      <c r="A42" s="570" t="s">
        <v>189</v>
      </c>
      <c r="B42" s="966" t="s">
        <v>108</v>
      </c>
      <c r="C42" s="966" t="s">
        <v>101</v>
      </c>
      <c r="D42" s="877">
        <v>172.08639237814899</v>
      </c>
      <c r="E42" s="570"/>
      <c r="F42" s="569">
        <f>SUMIF('1.2 APU'!$B$9:$B$111,'1.4 Insumos'!A42,'1.2 APU'!$O$9:$O$111)</f>
        <v>269.27</v>
      </c>
      <c r="J42" s="565"/>
      <c r="K42" s="565"/>
    </row>
    <row r="43" spans="1:11">
      <c r="A43" s="966" t="s">
        <v>190</v>
      </c>
      <c r="B43" s="966" t="s">
        <v>45</v>
      </c>
      <c r="C43" s="966" t="s">
        <v>101</v>
      </c>
      <c r="D43" s="877">
        <v>126.661392378149</v>
      </c>
      <c r="E43" s="570"/>
      <c r="F43" s="569">
        <f>SUMIF('1.2 APU'!$B$9:$B$111,'1.4 Insumos'!A43,'1.2 APU'!$O$9:$O$111)</f>
        <v>0</v>
      </c>
      <c r="J43" s="565"/>
      <c r="K43" s="565"/>
    </row>
    <row r="44" spans="1:11">
      <c r="A44" s="966" t="s">
        <v>191</v>
      </c>
      <c r="B44" s="966" t="s">
        <v>109</v>
      </c>
      <c r="C44" s="966" t="s">
        <v>101</v>
      </c>
      <c r="D44" s="877"/>
      <c r="E44" s="570"/>
      <c r="F44" s="569">
        <f>SUMIF('1.2 APU'!$B$9:$B$111,'1.4 Insumos'!A44,'1.2 APU'!$O$9:$O$111)</f>
        <v>0</v>
      </c>
      <c r="J44" s="565"/>
      <c r="K44" s="565"/>
    </row>
    <row r="45" spans="1:11" hidden="1">
      <c r="A45" s="966" t="s">
        <v>192</v>
      </c>
      <c r="B45" s="966" t="s">
        <v>135</v>
      </c>
      <c r="C45" s="966" t="s">
        <v>4</v>
      </c>
      <c r="D45" s="877"/>
      <c r="E45" s="570"/>
      <c r="F45" s="569">
        <f>SUMIF('1.2 APU'!$B$9:$B$111,'1.4 Insumos'!A45,'1.2 APU'!$O$9:$O$111)</f>
        <v>0</v>
      </c>
      <c r="J45" s="565"/>
      <c r="K45" s="565"/>
    </row>
    <row r="46" spans="1:11" hidden="1">
      <c r="A46" s="966" t="s">
        <v>193</v>
      </c>
      <c r="B46" s="966" t="s">
        <v>492</v>
      </c>
      <c r="C46" s="966" t="s">
        <v>101</v>
      </c>
      <c r="D46" s="877"/>
      <c r="E46" s="570"/>
      <c r="F46" s="569">
        <f>SUMIF('1.2 APU'!$B$9:$B$111,'1.4 Insumos'!A46,'1.2 APU'!$O$9:$O$111)</f>
        <v>0</v>
      </c>
      <c r="J46" s="565"/>
      <c r="K46" s="565"/>
    </row>
    <row r="47" spans="1:11">
      <c r="A47" s="966" t="s">
        <v>194</v>
      </c>
      <c r="B47" s="965" t="s">
        <v>115</v>
      </c>
      <c r="C47" s="966"/>
      <c r="D47" s="877"/>
      <c r="E47" s="570"/>
      <c r="F47" s="569"/>
      <c r="J47" s="565"/>
      <c r="K47" s="565"/>
    </row>
    <row r="48" spans="1:11">
      <c r="A48" s="966" t="s">
        <v>195</v>
      </c>
      <c r="B48" s="966" t="s">
        <v>110</v>
      </c>
      <c r="C48" s="966" t="s">
        <v>101</v>
      </c>
      <c r="D48" s="877">
        <v>80.796392378148823</v>
      </c>
      <c r="E48" s="570"/>
      <c r="F48" s="569">
        <f>SUMIF('1.2 APU'!$B$9:$B$111,'1.4 Insumos'!A48,'1.2 APU'!$O$9:$O$111)</f>
        <v>0</v>
      </c>
      <c r="J48" s="565"/>
      <c r="K48" s="565"/>
    </row>
    <row r="49" spans="1:13" hidden="1">
      <c r="A49" s="966" t="s">
        <v>592</v>
      </c>
      <c r="B49" s="966" t="s">
        <v>749</v>
      </c>
      <c r="C49" s="966" t="s">
        <v>101</v>
      </c>
      <c r="D49" s="877"/>
      <c r="E49" s="570"/>
      <c r="F49" s="569">
        <f>SUMIF('1.2 APU'!$B$9:$B$111,'1.4 Insumos'!A49,'1.2 APU'!$O$9:$O$111)</f>
        <v>0</v>
      </c>
      <c r="J49" s="565"/>
      <c r="K49" s="565"/>
    </row>
    <row r="50" spans="1:13" s="565" customFormat="1" hidden="1">
      <c r="A50" s="966" t="s">
        <v>196</v>
      </c>
      <c r="B50" s="966" t="s">
        <v>621</v>
      </c>
      <c r="C50" s="966" t="s">
        <v>101</v>
      </c>
      <c r="D50" s="877"/>
      <c r="E50" s="570"/>
      <c r="F50" s="569">
        <f>SUMIF('1.2 APU'!$B$9:$B$111,'1.4 Insumos'!A50,'1.2 APU'!$O$9:$O$111)</f>
        <v>0</v>
      </c>
    </row>
    <row r="51" spans="1:13" hidden="1">
      <c r="A51" s="966" t="s">
        <v>197</v>
      </c>
      <c r="B51" s="966" t="s">
        <v>47</v>
      </c>
      <c r="C51" s="966" t="s">
        <v>101</v>
      </c>
      <c r="D51" s="877"/>
      <c r="E51" s="570"/>
      <c r="F51" s="569">
        <f>SUMIF('1.2 APU'!$B$9:$B$111,'1.4 Insumos'!A51,'1.2 APU'!$O$9:$O$111)</f>
        <v>0</v>
      </c>
      <c r="J51" s="565"/>
      <c r="K51" s="565"/>
    </row>
    <row r="52" spans="1:13" hidden="1">
      <c r="A52" s="966" t="s">
        <v>198</v>
      </c>
      <c r="B52" s="966" t="s">
        <v>694</v>
      </c>
      <c r="C52" s="966" t="s">
        <v>101</v>
      </c>
      <c r="D52" s="877"/>
      <c r="E52" s="570"/>
      <c r="F52" s="569">
        <f>SUMIF('1.2 APU'!$B$9:$B$111,'1.4 Insumos'!A52,'1.2 APU'!$O$9:$O$111)</f>
        <v>0</v>
      </c>
      <c r="J52" s="565"/>
      <c r="K52" s="565"/>
    </row>
    <row r="53" spans="1:13">
      <c r="A53" s="966" t="s">
        <v>199</v>
      </c>
      <c r="B53" s="966" t="s">
        <v>488</v>
      </c>
      <c r="C53" s="966" t="s">
        <v>101</v>
      </c>
      <c r="D53" s="877">
        <v>46.8</v>
      </c>
      <c r="E53" s="570"/>
      <c r="F53" s="569">
        <f>SUMIF('1.2 APU'!$B$9:$B$111,'1.4 Insumos'!A53,'1.2 APU'!$O$9:$O$111)</f>
        <v>201.95</v>
      </c>
      <c r="J53" s="565"/>
      <c r="K53" s="565"/>
    </row>
    <row r="54" spans="1:13">
      <c r="A54" s="966" t="s">
        <v>200</v>
      </c>
      <c r="B54" s="966" t="s">
        <v>113</v>
      </c>
      <c r="C54" s="966" t="s">
        <v>101</v>
      </c>
      <c r="D54" s="877">
        <v>11.399999999999999</v>
      </c>
      <c r="E54" s="570"/>
      <c r="F54" s="569">
        <f>SUMIF('1.2 APU'!$B$9:$B$111,'1.4 Insumos'!A54,'1.2 APU'!$O$9:$O$111)</f>
        <v>67.319999999999993</v>
      </c>
      <c r="J54" s="565"/>
      <c r="K54" s="565"/>
      <c r="M54" s="566"/>
    </row>
    <row r="55" spans="1:13" hidden="1">
      <c r="A55" s="1" t="s">
        <v>201</v>
      </c>
      <c r="B55" s="1" t="s">
        <v>746</v>
      </c>
      <c r="C55" s="1" t="s">
        <v>101</v>
      </c>
      <c r="D55" s="108"/>
      <c r="F55" s="129">
        <f>SUMIF('1.2 APU'!$B$9:$B$111,'1.4 Insumos'!A55,'1.2 APU'!$O$9:$O$111)</f>
        <v>0</v>
      </c>
      <c r="J55" s="565"/>
      <c r="K55" s="565"/>
    </row>
    <row r="56" spans="1:13" hidden="1">
      <c r="A56" s="1" t="s">
        <v>202</v>
      </c>
      <c r="B56" s="1" t="s">
        <v>502</v>
      </c>
      <c r="C56" s="1" t="s">
        <v>101</v>
      </c>
      <c r="D56" s="290"/>
      <c r="F56" s="129">
        <f>SUMIF('1.2 APU'!$B$9:$B$111,'1.4 Insumos'!A56,'1.2 APU'!$O$9:$O$111)</f>
        <v>0</v>
      </c>
      <c r="J56" s="565"/>
      <c r="K56" s="565"/>
      <c r="L56" s="566"/>
    </row>
    <row r="57" spans="1:13" hidden="1">
      <c r="A57" s="1" t="s">
        <v>203</v>
      </c>
      <c r="B57" s="566" t="s">
        <v>555</v>
      </c>
      <c r="C57" s="1" t="s">
        <v>101</v>
      </c>
      <c r="D57" s="1"/>
      <c r="F57" s="129">
        <f>SUMIF('1.2 APU'!$B$9:$B$111,'1.4 Insumos'!A57,'1.2 APU'!$O$9:$O$111)</f>
        <v>0</v>
      </c>
      <c r="J57" s="565"/>
      <c r="K57" s="565"/>
    </row>
    <row r="58" spans="1:13" s="565" customFormat="1" hidden="1">
      <c r="A58" s="566" t="s">
        <v>787</v>
      </c>
      <c r="B58" s="566" t="s">
        <v>800</v>
      </c>
      <c r="C58" s="566" t="s">
        <v>70</v>
      </c>
      <c r="D58" s="566"/>
      <c r="F58" s="129">
        <f>SUMIF('1.2 APU'!$B$9:$B$111,'1.4 Insumos'!A58,'1.2 APU'!$O$9:$O$111)</f>
        <v>0</v>
      </c>
    </row>
    <row r="59" spans="1:13" s="565" customFormat="1" hidden="1">
      <c r="A59" s="566" t="s">
        <v>789</v>
      </c>
      <c r="B59" s="566" t="s">
        <v>801</v>
      </c>
      <c r="C59" s="566" t="s">
        <v>101</v>
      </c>
      <c r="D59" s="566"/>
      <c r="F59" s="129">
        <f>SUMIF('1.2 APU'!$B$9:$B$111,'1.4 Insumos'!A59,'1.2 APU'!$O$9:$O$111)</f>
        <v>0</v>
      </c>
    </row>
    <row r="60" spans="1:13" hidden="1">
      <c r="A60" s="1" t="s">
        <v>204</v>
      </c>
      <c r="B60" s="125" t="s">
        <v>120</v>
      </c>
      <c r="C60" s="1"/>
      <c r="D60" s="1"/>
      <c r="F60" s="129"/>
      <c r="J60" s="565"/>
      <c r="K60" s="565"/>
    </row>
    <row r="61" spans="1:13" hidden="1">
      <c r="A61" s="1" t="s">
        <v>205</v>
      </c>
      <c r="B61" s="1" t="s">
        <v>117</v>
      </c>
      <c r="C61" s="1" t="s">
        <v>486</v>
      </c>
      <c r="D61" s="1"/>
      <c r="F61" s="129">
        <f>SUMIF('1.2 APU'!$B$9:$B$111,'1.4 Insumos'!A61,'1.2 APU'!$O$9:$O$111)</f>
        <v>0</v>
      </c>
      <c r="J61" s="565"/>
      <c r="K61" s="565"/>
    </row>
    <row r="62" spans="1:13" hidden="1">
      <c r="A62" s="1" t="s">
        <v>206</v>
      </c>
      <c r="B62" s="1" t="s">
        <v>118</v>
      </c>
      <c r="C62" s="1"/>
      <c r="D62" s="1"/>
      <c r="F62" s="129">
        <f>SUMIF('1.2 APU'!$B$9:$B$111,'1.4 Insumos'!A62,'1.2 APU'!$O$9:$O$111)</f>
        <v>0</v>
      </c>
      <c r="J62" s="565"/>
      <c r="K62" s="565"/>
    </row>
    <row r="63" spans="1:13" hidden="1">
      <c r="A63" s="1" t="s">
        <v>207</v>
      </c>
      <c r="B63" s="1" t="s">
        <v>119</v>
      </c>
      <c r="C63" s="1" t="s">
        <v>52</v>
      </c>
      <c r="D63" s="1"/>
      <c r="F63" s="129">
        <f>SUMIF('1.2 APU'!$B$9:$B$111,'1.4 Insumos'!A63,'1.2 APU'!$O$9:$O$111)</f>
        <v>0</v>
      </c>
      <c r="J63" s="565"/>
      <c r="K63" s="565"/>
    </row>
    <row r="64" spans="1:13" hidden="1">
      <c r="A64" s="1" t="s">
        <v>208</v>
      </c>
      <c r="B64" s="1" t="s">
        <v>134</v>
      </c>
      <c r="C64" s="1"/>
      <c r="D64" s="1"/>
      <c r="F64" s="129">
        <f>SUMIF('1.2 APU'!$B$9:$B$111,'1.4 Insumos'!A64,'1.2 APU'!$O$9:$O$111)</f>
        <v>0</v>
      </c>
      <c r="J64" s="565"/>
      <c r="K64" s="565"/>
    </row>
    <row r="65" spans="1:11" hidden="1">
      <c r="A65" s="1" t="s">
        <v>209</v>
      </c>
      <c r="B65" s="1" t="s">
        <v>136</v>
      </c>
      <c r="C65" s="1" t="s">
        <v>52</v>
      </c>
      <c r="D65" s="1"/>
      <c r="F65" s="129">
        <f>SUMIF('1.2 APU'!$B$9:$B$111,'1.4 Insumos'!A65,'1.2 APU'!$O$9:$O$111)</f>
        <v>0</v>
      </c>
      <c r="J65" s="565"/>
      <c r="K65" s="565"/>
    </row>
    <row r="66" spans="1:11" hidden="1">
      <c r="A66" s="1" t="s">
        <v>210</v>
      </c>
      <c r="B66" s="1" t="s">
        <v>138</v>
      </c>
      <c r="C66" s="1" t="s">
        <v>52</v>
      </c>
      <c r="D66" s="1"/>
      <c r="F66" s="129">
        <f>SUMIF('1.2 APU'!$B$9:$B$111,'1.4 Insumos'!A66,'1.2 APU'!$O$9:$O$111)</f>
        <v>0</v>
      </c>
      <c r="J66" s="565"/>
      <c r="K66" s="565"/>
    </row>
    <row r="67" spans="1:11" hidden="1">
      <c r="A67" s="1" t="s">
        <v>211</v>
      </c>
      <c r="B67" s="1" t="s">
        <v>684</v>
      </c>
      <c r="C67" s="1" t="s">
        <v>70</v>
      </c>
      <c r="D67" s="1"/>
      <c r="F67" s="129">
        <f>SUMIF('1.2 APU'!$B$9:$B$111,'1.4 Insumos'!A67,'1.2 APU'!$O$9:$O$111)</f>
        <v>0</v>
      </c>
      <c r="J67" s="565"/>
      <c r="K67" s="565"/>
    </row>
    <row r="68" spans="1:11" hidden="1">
      <c r="A68" s="1" t="s">
        <v>212</v>
      </c>
      <c r="B68" s="1" t="s">
        <v>139</v>
      </c>
      <c r="C68" s="1" t="s">
        <v>52</v>
      </c>
      <c r="D68" s="1"/>
      <c r="F68" s="129">
        <f>SUMIF('1.2 APU'!$B$9:$B$111,'1.4 Insumos'!A68,'1.2 APU'!$O$9:$O$111)</f>
        <v>0</v>
      </c>
      <c r="J68" s="565"/>
      <c r="K68" s="565"/>
    </row>
    <row r="69" spans="1:11" hidden="1">
      <c r="A69" s="1" t="s">
        <v>213</v>
      </c>
      <c r="B69" s="1" t="s">
        <v>140</v>
      </c>
      <c r="C69" s="1" t="s">
        <v>52</v>
      </c>
      <c r="D69" s="1"/>
      <c r="F69" s="129">
        <f>SUMIF('1.2 APU'!$B$9:$B$111,'1.4 Insumos'!A69,'1.2 APU'!$O$9:$O$111)</f>
        <v>0</v>
      </c>
      <c r="J69" s="565"/>
      <c r="K69" s="565"/>
    </row>
    <row r="70" spans="1:11" hidden="1">
      <c r="A70" s="1" t="s">
        <v>214</v>
      </c>
      <c r="B70" s="1" t="s">
        <v>505</v>
      </c>
      <c r="C70" s="1" t="s">
        <v>507</v>
      </c>
      <c r="D70" s="1"/>
      <c r="F70" s="129">
        <f>SUMIF('1.2 APU'!$B$9:$B$111,'1.4 Insumos'!A70,'1.2 APU'!$O$9:$O$111)</f>
        <v>0</v>
      </c>
      <c r="J70" s="565"/>
      <c r="K70" s="565"/>
    </row>
    <row r="71" spans="1:11" hidden="1">
      <c r="A71" s="1" t="s">
        <v>215</v>
      </c>
      <c r="B71" s="1" t="s">
        <v>152</v>
      </c>
      <c r="C71" s="1" t="s">
        <v>52</v>
      </c>
      <c r="D71" s="1"/>
      <c r="F71" s="129">
        <f>SUMIF('1.2 APU'!$B$9:$B$111,'1.4 Insumos'!A71,'1.2 APU'!$O$9:$O$111)</f>
        <v>0</v>
      </c>
      <c r="J71" s="565"/>
      <c r="K71" s="565"/>
    </row>
    <row r="72" spans="1:11" hidden="1">
      <c r="A72" s="1" t="s">
        <v>216</v>
      </c>
      <c r="B72" s="1" t="s">
        <v>137</v>
      </c>
      <c r="C72" s="1" t="s">
        <v>8</v>
      </c>
      <c r="D72" s="1"/>
      <c r="F72" s="129">
        <f>SUMIF('1.2 APU'!$B$9:$B$111,'1.4 Insumos'!A72,'1.2 APU'!$O$9:$O$111)</f>
        <v>0</v>
      </c>
      <c r="J72" s="565"/>
      <c r="K72" s="565"/>
    </row>
    <row r="73" spans="1:11" hidden="1">
      <c r="A73" s="1" t="s">
        <v>217</v>
      </c>
      <c r="B73" s="1" t="s">
        <v>141</v>
      </c>
      <c r="C73" s="1" t="s">
        <v>4</v>
      </c>
      <c r="D73" s="1"/>
      <c r="F73" s="129">
        <f>SUMIF('1.2 APU'!$B$9:$B$111,'1.4 Insumos'!A73,'1.2 APU'!$O$9:$O$111)</f>
        <v>0</v>
      </c>
      <c r="J73" s="565"/>
      <c r="K73" s="565"/>
    </row>
    <row r="74" spans="1:11" hidden="1">
      <c r="A74" s="1" t="s">
        <v>218</v>
      </c>
      <c r="B74" s="1" t="s">
        <v>142</v>
      </c>
      <c r="C74" s="1" t="s">
        <v>4</v>
      </c>
      <c r="D74" s="1"/>
      <c r="F74" s="129">
        <f>SUMIF('1.2 APU'!$B$9:$B$111,'1.4 Insumos'!A74,'1.2 APU'!$O$9:$O$111)</f>
        <v>0</v>
      </c>
      <c r="J74" s="565"/>
      <c r="K74" s="565"/>
    </row>
    <row r="75" spans="1:11" hidden="1">
      <c r="A75" s="1" t="s">
        <v>219</v>
      </c>
      <c r="B75" s="1" t="s">
        <v>143</v>
      </c>
      <c r="C75" s="1" t="s">
        <v>4</v>
      </c>
      <c r="D75" s="1"/>
      <c r="F75" s="129">
        <f>SUMIF('1.2 APU'!$B$9:$B$111,'1.4 Insumos'!A75,'1.2 APU'!$O$9:$O$111)</f>
        <v>0</v>
      </c>
      <c r="J75" s="565"/>
      <c r="K75" s="565"/>
    </row>
    <row r="76" spans="1:11" hidden="1">
      <c r="A76" s="1" t="s">
        <v>220</v>
      </c>
      <c r="B76" s="1" t="s">
        <v>144</v>
      </c>
      <c r="C76" s="1" t="s">
        <v>4</v>
      </c>
      <c r="D76" s="1"/>
      <c r="F76" s="129">
        <f>SUMIF('1.2 APU'!$B$9:$B$111,'1.4 Insumos'!A76,'1.2 APU'!$O$9:$O$111)</f>
        <v>0</v>
      </c>
      <c r="J76" s="565"/>
      <c r="K76" s="565"/>
    </row>
    <row r="77" spans="1:11" hidden="1">
      <c r="A77" s="1" t="s">
        <v>221</v>
      </c>
      <c r="B77" s="1" t="s">
        <v>145</v>
      </c>
      <c r="C77" s="1" t="s">
        <v>4</v>
      </c>
      <c r="D77" s="1"/>
      <c r="F77" s="129">
        <f>SUMIF('1.2 APU'!$B$9:$B$111,'1.4 Insumos'!A77,'1.2 APU'!$O$9:$O$111)</f>
        <v>0</v>
      </c>
      <c r="J77" s="565"/>
      <c r="K77" s="565"/>
    </row>
    <row r="78" spans="1:11" hidden="1">
      <c r="A78" s="1" t="s">
        <v>222</v>
      </c>
      <c r="B78" s="1" t="s">
        <v>146</v>
      </c>
      <c r="C78" s="1" t="s">
        <v>4</v>
      </c>
      <c r="D78" s="1"/>
      <c r="F78" s="129">
        <f>SUMIF('1.2 APU'!$B$9:$B$111,'1.4 Insumos'!A78,'1.2 APU'!$O$9:$O$111)</f>
        <v>0</v>
      </c>
      <c r="J78" s="565"/>
      <c r="K78" s="565"/>
    </row>
    <row r="79" spans="1:11" hidden="1">
      <c r="A79" s="1" t="s">
        <v>223</v>
      </c>
      <c r="B79" s="1" t="s">
        <v>147</v>
      </c>
      <c r="C79" s="1" t="s">
        <v>4</v>
      </c>
      <c r="D79" s="1"/>
      <c r="F79" s="129">
        <f>SUMIF('1.2 APU'!$B$9:$B$111,'1.4 Insumos'!A79,'1.2 APU'!$O$9:$O$111)</f>
        <v>0</v>
      </c>
      <c r="J79" s="565"/>
      <c r="K79" s="565"/>
    </row>
    <row r="80" spans="1:11" hidden="1">
      <c r="A80" s="1" t="s">
        <v>224</v>
      </c>
      <c r="B80" s="1" t="s">
        <v>489</v>
      </c>
      <c r="C80" s="1" t="s">
        <v>4</v>
      </c>
      <c r="D80" s="1"/>
      <c r="F80" s="129">
        <f>SUMIF('1.2 APU'!$B$9:$B$111,'1.4 Insumos'!A80,'1.2 APU'!$O$9:$O$111)</f>
        <v>0</v>
      </c>
      <c r="J80" s="565"/>
      <c r="K80" s="565"/>
    </row>
    <row r="81" spans="1:11" hidden="1">
      <c r="A81" s="1" t="s">
        <v>225</v>
      </c>
      <c r="B81" s="1" t="s">
        <v>148</v>
      </c>
      <c r="C81" s="1" t="s">
        <v>4</v>
      </c>
      <c r="D81" s="1"/>
      <c r="F81" s="129">
        <f>SUMIF('1.2 APU'!$B$9:$B$111,'1.4 Insumos'!A81,'1.2 APU'!$O$9:$O$111)</f>
        <v>0</v>
      </c>
      <c r="J81" s="565"/>
      <c r="K81" s="565"/>
    </row>
    <row r="82" spans="1:11" hidden="1">
      <c r="A82" s="1" t="s">
        <v>226</v>
      </c>
      <c r="B82" s="1" t="s">
        <v>149</v>
      </c>
      <c r="C82" s="1" t="s">
        <v>4</v>
      </c>
      <c r="D82" s="1"/>
      <c r="F82" s="129">
        <f>SUMIF('1.2 APU'!$B$9:$B$111,'1.4 Insumos'!A82,'1.2 APU'!$O$9:$O$111)</f>
        <v>0</v>
      </c>
      <c r="J82" s="565"/>
      <c r="K82" s="565"/>
    </row>
    <row r="83" spans="1:11" hidden="1">
      <c r="A83" s="1" t="s">
        <v>227</v>
      </c>
      <c r="B83" s="1" t="s">
        <v>150</v>
      </c>
      <c r="C83" s="1" t="s">
        <v>4</v>
      </c>
      <c r="D83" s="1"/>
      <c r="F83" s="129">
        <f>SUMIF('1.2 APU'!$B$9:$B$111,'1.4 Insumos'!A83,'1.2 APU'!$O$9:$O$111)</f>
        <v>0</v>
      </c>
      <c r="J83" s="565"/>
      <c r="K83" s="565"/>
    </row>
    <row r="84" spans="1:11" hidden="1">
      <c r="A84" s="1" t="s">
        <v>228</v>
      </c>
      <c r="B84" s="1" t="s">
        <v>151</v>
      </c>
      <c r="C84" s="1" t="s">
        <v>4</v>
      </c>
      <c r="D84" s="1"/>
      <c r="F84" s="129">
        <f>SUMIF('1.2 APU'!$B$9:$B$111,'1.4 Insumos'!A84,'1.2 APU'!$O$9:$O$111)</f>
        <v>0</v>
      </c>
      <c r="J84" s="565"/>
      <c r="K84" s="565"/>
    </row>
    <row r="85" spans="1:11" hidden="1">
      <c r="A85" s="1" t="s">
        <v>229</v>
      </c>
      <c r="B85" s="1" t="s">
        <v>119</v>
      </c>
      <c r="C85" s="1" t="s">
        <v>52</v>
      </c>
      <c r="D85" s="1"/>
      <c r="F85" s="129">
        <f>SUMIF('1.2 APU'!$B$9:$B$111,'1.4 Insumos'!A85,'1.2 APU'!$O$9:$O$111)</f>
        <v>0</v>
      </c>
      <c r="J85" s="565"/>
      <c r="K85" s="565"/>
    </row>
    <row r="86" spans="1:11" hidden="1">
      <c r="A86" s="1" t="s">
        <v>230</v>
      </c>
      <c r="B86" s="1" t="s">
        <v>119</v>
      </c>
      <c r="C86" s="1" t="s">
        <v>52</v>
      </c>
      <c r="D86" s="1"/>
      <c r="F86" s="129">
        <f>SUMIF('1.2 APU'!$B$9:$B$111,'1.4 Insumos'!A86,'1.2 APU'!$O$9:$O$111)</f>
        <v>0</v>
      </c>
      <c r="J86" s="565"/>
      <c r="K86" s="565"/>
    </row>
    <row r="87" spans="1:11" hidden="1">
      <c r="A87" s="1" t="s">
        <v>231</v>
      </c>
      <c r="B87" s="1" t="s">
        <v>154</v>
      </c>
      <c r="C87" s="1" t="s">
        <v>70</v>
      </c>
      <c r="D87" s="1"/>
      <c r="F87" s="129">
        <f>SUMIF('1.2 APU'!$B$9:$B$111,'1.4 Insumos'!A87,'1.2 APU'!$O$9:$O$111)</f>
        <v>0</v>
      </c>
      <c r="J87" s="565"/>
      <c r="K87" s="565"/>
    </row>
    <row r="88" spans="1:11" hidden="1">
      <c r="A88" s="1" t="s">
        <v>232</v>
      </c>
      <c r="B88" s="1" t="s">
        <v>119</v>
      </c>
      <c r="C88" s="1" t="s">
        <v>52</v>
      </c>
      <c r="D88" s="1"/>
      <c r="F88" s="129">
        <f>SUMIF('1.2 APU'!$B$9:$B$111,'1.4 Insumos'!A88,'1.2 APU'!$O$9:$O$111)</f>
        <v>0</v>
      </c>
      <c r="J88" s="565"/>
      <c r="K88" s="565"/>
    </row>
    <row r="89" spans="1:11" hidden="1">
      <c r="A89" s="1" t="s">
        <v>233</v>
      </c>
      <c r="B89" s="1" t="s">
        <v>155</v>
      </c>
      <c r="C89" s="1" t="s">
        <v>52</v>
      </c>
      <c r="D89" s="1"/>
      <c r="F89" s="129">
        <f>SUMIF('1.2 APU'!$B$9:$B$111,'1.4 Insumos'!A89,'1.2 APU'!$O$9:$O$111)</f>
        <v>0</v>
      </c>
      <c r="J89" s="565"/>
      <c r="K89" s="565"/>
    </row>
    <row r="90" spans="1:11" hidden="1">
      <c r="A90" s="1" t="s">
        <v>234</v>
      </c>
      <c r="B90" s="1" t="s">
        <v>666</v>
      </c>
      <c r="C90" s="1" t="s">
        <v>486</v>
      </c>
      <c r="D90" s="1"/>
      <c r="F90" s="129">
        <f>SUMIF('1.2 APU'!$B$9:$B$111,'1.4 Insumos'!A90,'1.2 APU'!$O$9:$O$111)</f>
        <v>0</v>
      </c>
      <c r="J90" s="565"/>
      <c r="K90" s="565"/>
    </row>
    <row r="91" spans="1:11" hidden="1">
      <c r="A91" s="1" t="s">
        <v>235</v>
      </c>
      <c r="B91" s="1" t="s">
        <v>490</v>
      </c>
      <c r="C91" s="1"/>
      <c r="D91" s="1"/>
      <c r="F91" s="129">
        <f>SUMIF('1.2 APU'!$B$9:$B$111,'1.4 Insumos'!A91,'1.2 APU'!$O$9:$O$111)</f>
        <v>0</v>
      </c>
      <c r="J91" s="565"/>
      <c r="K91" s="565"/>
    </row>
    <row r="92" spans="1:11" hidden="1">
      <c r="A92" s="1" t="s">
        <v>236</v>
      </c>
      <c r="B92" s="1" t="s">
        <v>119</v>
      </c>
      <c r="C92" s="1"/>
      <c r="D92" s="1"/>
      <c r="F92" s="129">
        <f>SUMIF('1.2 APU'!$B$9:$B$111,'1.4 Insumos'!A92,'1.2 APU'!$O$9:$O$111)</f>
        <v>0</v>
      </c>
      <c r="J92" s="565"/>
      <c r="K92" s="565"/>
    </row>
    <row r="93" spans="1:11" hidden="1">
      <c r="A93" s="1" t="s">
        <v>237</v>
      </c>
      <c r="B93" s="1" t="s">
        <v>491</v>
      </c>
      <c r="C93" s="1"/>
      <c r="D93" s="1"/>
      <c r="F93" s="129">
        <f>SUMIF('1.2 APU'!$B$9:$B$111,'1.4 Insumos'!A93,'1.2 APU'!$O$9:$O$111)</f>
        <v>0</v>
      </c>
      <c r="J93" s="565"/>
      <c r="K93" s="565"/>
    </row>
    <row r="94" spans="1:11" hidden="1">
      <c r="A94" s="1" t="s">
        <v>238</v>
      </c>
      <c r="B94" s="1" t="s">
        <v>509</v>
      </c>
      <c r="C94" s="1" t="s">
        <v>476</v>
      </c>
      <c r="D94" s="1"/>
      <c r="F94" s="129">
        <f>SUMIF('1.2 APU'!$B$9:$B$111,'1.4 Insumos'!A94,'1.2 APU'!$O$9:$O$111)</f>
        <v>0</v>
      </c>
      <c r="J94" s="565"/>
      <c r="K94" s="565"/>
    </row>
    <row r="95" spans="1:11" hidden="1">
      <c r="A95" s="1" t="s">
        <v>239</v>
      </c>
      <c r="B95" s="1" t="s">
        <v>534</v>
      </c>
      <c r="C95" s="1" t="s">
        <v>4</v>
      </c>
      <c r="D95" s="1"/>
      <c r="E95" s="1"/>
      <c r="F95" s="129">
        <f>SUMIF('1.2 APU'!$B$9:$B$111,'1.4 Insumos'!A95,'1.2 APU'!$O$9:$O$111)</f>
        <v>0</v>
      </c>
      <c r="J95" s="565"/>
      <c r="K95" s="565"/>
    </row>
    <row r="96" spans="1:11" hidden="1">
      <c r="A96" s="1" t="s">
        <v>240</v>
      </c>
      <c r="B96" s="1" t="s">
        <v>576</v>
      </c>
      <c r="C96" s="1" t="s">
        <v>486</v>
      </c>
      <c r="D96" s="1"/>
      <c r="F96" s="129">
        <f>SUMIF('1.2 APU'!$B$9:$B$111,'1.4 Insumos'!A96,'1.2 APU'!$O$9:$O$111)</f>
        <v>0</v>
      </c>
      <c r="J96" s="565"/>
      <c r="K96" s="565"/>
    </row>
    <row r="97" spans="1:11" hidden="1">
      <c r="A97" s="1" t="s">
        <v>241</v>
      </c>
      <c r="B97" s="1" t="s">
        <v>499</v>
      </c>
      <c r="C97" s="1" t="s">
        <v>101</v>
      </c>
      <c r="D97" s="1"/>
      <c r="F97" s="129">
        <f>SUMIF('1.2 APU'!$B$9:$B$111,'1.4 Insumos'!A97,'1.2 APU'!$O$9:$O$111)</f>
        <v>0</v>
      </c>
      <c r="J97" s="565"/>
      <c r="K97" s="565"/>
    </row>
    <row r="98" spans="1:11" hidden="1">
      <c r="A98" s="1" t="s">
        <v>242</v>
      </c>
      <c r="B98" s="1" t="s">
        <v>508</v>
      </c>
      <c r="C98" s="1" t="s">
        <v>486</v>
      </c>
      <c r="D98" s="1"/>
      <c r="E98" s="282"/>
      <c r="F98" s="129">
        <f>SUMIF('1.2 APU'!$B$9:$B$111,'1.4 Insumos'!A98,'1.2 APU'!$O$9:$O$111)</f>
        <v>0</v>
      </c>
      <c r="J98" s="565"/>
      <c r="K98" s="565"/>
    </row>
    <row r="99" spans="1:11" hidden="1">
      <c r="A99" s="1" t="s">
        <v>243</v>
      </c>
      <c r="B99" s="1" t="s">
        <v>496</v>
      </c>
      <c r="C99" s="1" t="s">
        <v>497</v>
      </c>
      <c r="D99" s="1"/>
      <c r="F99" s="129">
        <f>SUMIF('1.2 APU'!$B$9:$B$111,'1.4 Insumos'!A99,'1.2 APU'!$O$9:$O$111)</f>
        <v>0</v>
      </c>
      <c r="J99" s="565"/>
      <c r="K99" s="565"/>
    </row>
    <row r="100" spans="1:11" hidden="1">
      <c r="A100" s="1" t="s">
        <v>244</v>
      </c>
      <c r="B100" s="1" t="s">
        <v>498</v>
      </c>
      <c r="C100" s="1" t="s">
        <v>101</v>
      </c>
      <c r="D100" s="1"/>
      <c r="F100" s="129">
        <f>SUMIF('1.2 APU'!$B$9:$B$111,'1.4 Insumos'!A100,'1.2 APU'!$O$9:$O$111)</f>
        <v>0</v>
      </c>
      <c r="J100" s="565"/>
      <c r="K100" s="565"/>
    </row>
    <row r="101" spans="1:11" hidden="1">
      <c r="A101" s="1" t="s">
        <v>245</v>
      </c>
      <c r="B101" s="1" t="s">
        <v>495</v>
      </c>
      <c r="C101" s="1" t="s">
        <v>9</v>
      </c>
      <c r="D101" s="1"/>
      <c r="F101" s="129">
        <f>SUMIF('1.2 APU'!$B$9:$B$111,'1.4 Insumos'!A101,'1.2 APU'!$O$9:$O$111)</f>
        <v>0</v>
      </c>
      <c r="J101" s="565"/>
      <c r="K101" s="565"/>
    </row>
    <row r="102" spans="1:11" hidden="1">
      <c r="A102" s="1" t="s">
        <v>246</v>
      </c>
      <c r="B102" s="1" t="s">
        <v>494</v>
      </c>
      <c r="C102" s="1" t="s">
        <v>101</v>
      </c>
      <c r="D102" s="1"/>
      <c r="F102" s="129">
        <f>SUMIF('1.2 APU'!$B$9:$B$111,'1.4 Insumos'!A102,'1.2 APU'!$O$9:$O$111)</f>
        <v>0</v>
      </c>
      <c r="J102" s="565"/>
      <c r="K102" s="565"/>
    </row>
    <row r="103" spans="1:11" s="290" customFormat="1" hidden="1">
      <c r="A103" s="1" t="s">
        <v>247</v>
      </c>
      <c r="B103" s="1" t="s">
        <v>493</v>
      </c>
      <c r="C103" s="1" t="s">
        <v>8</v>
      </c>
      <c r="D103" s="1"/>
      <c r="F103" s="129">
        <f>SUMIF('1.2 APU'!$B$9:$B$111,'1.4 Insumos'!A103,'1.2 APU'!$O$9:$O$111)</f>
        <v>0</v>
      </c>
      <c r="J103" s="565"/>
      <c r="K103" s="565"/>
    </row>
    <row r="104" spans="1:11" hidden="1">
      <c r="A104" s="1" t="s">
        <v>500</v>
      </c>
      <c r="B104" s="1" t="s">
        <v>555</v>
      </c>
      <c r="C104" s="1" t="s">
        <v>487</v>
      </c>
      <c r="D104" s="1"/>
      <c r="E104" s="290"/>
      <c r="F104" s="129">
        <f>SUMIF('1.2 APU'!$B$9:$B$111,'1.4 Insumos'!A104,'1.2 APU'!$O$9:$O$111)</f>
        <v>0</v>
      </c>
      <c r="J104" s="565"/>
      <c r="K104" s="565"/>
    </row>
    <row r="105" spans="1:11" hidden="1">
      <c r="A105" s="1" t="s">
        <v>503</v>
      </c>
      <c r="B105" s="1" t="s">
        <v>502</v>
      </c>
      <c r="C105" s="1" t="s">
        <v>487</v>
      </c>
      <c r="D105" s="1"/>
      <c r="F105" s="129">
        <f>SUMIF('1.2 APU'!$B$9:$B$111,'1.4 Insumos'!A105,'1.2 APU'!$O$9:$O$111)</f>
        <v>0</v>
      </c>
      <c r="J105" s="565"/>
      <c r="K105" s="565"/>
    </row>
    <row r="106" spans="1:11" hidden="1">
      <c r="A106" s="1" t="s">
        <v>504</v>
      </c>
      <c r="B106" s="1" t="s">
        <v>557</v>
      </c>
      <c r="C106" s="1" t="s">
        <v>507</v>
      </c>
      <c r="D106" s="1"/>
      <c r="F106" s="129">
        <f>SUMIF('1.2 APU'!$B$9:$B$111,'1.4 Insumos'!A106,'1.2 APU'!$O$9:$O$111)</f>
        <v>0</v>
      </c>
      <c r="J106" s="565"/>
      <c r="K106" s="565"/>
    </row>
    <row r="107" spans="1:11" hidden="1">
      <c r="A107" s="1" t="s">
        <v>506</v>
      </c>
      <c r="B107" s="1" t="s">
        <v>747</v>
      </c>
      <c r="C107" s="1" t="s">
        <v>507</v>
      </c>
      <c r="D107" s="1"/>
      <c r="F107" s="129">
        <f>SUMIF('1.2 APU'!$B$9:$B$111,'1.4 Insumos'!A107,'1.2 APU'!$O$9:$O$111)</f>
        <v>0</v>
      </c>
      <c r="J107" s="565"/>
      <c r="K107" s="565"/>
    </row>
    <row r="108" spans="1:11" hidden="1">
      <c r="A108" s="1" t="s">
        <v>514</v>
      </c>
      <c r="B108" s="1" t="s">
        <v>511</v>
      </c>
      <c r="C108" s="1" t="s">
        <v>70</v>
      </c>
      <c r="D108" s="1"/>
      <c r="F108" s="129">
        <f>SUMIF('1.2 APU'!$B$9:$B$111,'1.4 Insumos'!A108,'1.2 APU'!$O$9:$O$111)</f>
        <v>0</v>
      </c>
      <c r="J108" s="565"/>
      <c r="K108" s="565"/>
    </row>
    <row r="109" spans="1:11" hidden="1">
      <c r="A109" s="1" t="s">
        <v>515</v>
      </c>
      <c r="B109" s="1" t="s">
        <v>512</v>
      </c>
      <c r="C109" s="1" t="s">
        <v>70</v>
      </c>
      <c r="D109" s="1"/>
      <c r="F109" s="129">
        <f>SUMIF('1.2 APU'!$B$9:$B$111,'1.4 Insumos'!A109,'1.2 APU'!$O$9:$O$111)</f>
        <v>0</v>
      </c>
      <c r="J109" s="565"/>
      <c r="K109" s="565"/>
    </row>
    <row r="110" spans="1:11" hidden="1">
      <c r="A110" s="1" t="s">
        <v>510</v>
      </c>
      <c r="B110" s="1" t="s">
        <v>513</v>
      </c>
      <c r="C110" s="1" t="s">
        <v>70</v>
      </c>
      <c r="D110" s="1"/>
      <c r="F110" s="129">
        <f>SUMIF('1.2 APU'!$B$9:$B$111,'1.4 Insumos'!A110,'1.2 APU'!$O$9:$O$111)</f>
        <v>0</v>
      </c>
      <c r="J110" s="565"/>
      <c r="K110" s="565"/>
    </row>
    <row r="111" spans="1:11" hidden="1">
      <c r="A111" s="1" t="s">
        <v>554</v>
      </c>
      <c r="B111" s="1" t="s">
        <v>501</v>
      </c>
      <c r="C111" s="1" t="s">
        <v>153</v>
      </c>
      <c r="D111" s="1"/>
      <c r="F111" s="129">
        <f>SUMIF('1.2 APU'!$B$9:$B$111,'1.4 Insumos'!A111,'1.2 APU'!$O$9:$O$111)</f>
        <v>0</v>
      </c>
      <c r="J111" s="565"/>
      <c r="K111" s="565"/>
    </row>
    <row r="112" spans="1:11" hidden="1">
      <c r="A112" s="1" t="s">
        <v>556</v>
      </c>
      <c r="B112" s="1" t="s">
        <v>111</v>
      </c>
      <c r="C112" s="1" t="s">
        <v>487</v>
      </c>
      <c r="D112" s="1"/>
      <c r="F112" s="129">
        <f>SUMIF('1.2 APU'!$B$9:$B$111,'1.4 Insumos'!A112,'1.2 APU'!$O$9:$O$111)</f>
        <v>0</v>
      </c>
      <c r="J112" s="565"/>
      <c r="K112" s="565"/>
    </row>
    <row r="113" spans="1:11" hidden="1">
      <c r="A113" s="1" t="s">
        <v>559</v>
      </c>
      <c r="B113" s="1" t="s">
        <v>558</v>
      </c>
      <c r="C113" s="1" t="s">
        <v>52</v>
      </c>
      <c r="D113" s="1"/>
      <c r="F113" s="129">
        <f>SUMIF('1.2 APU'!$B$9:$B$111,'1.4 Insumos'!A113,'1.2 APU'!$O$9:$O$111)</f>
        <v>0</v>
      </c>
      <c r="J113" s="565"/>
      <c r="K113" s="565"/>
    </row>
    <row r="114" spans="1:11" hidden="1">
      <c r="A114" s="1" t="s">
        <v>563</v>
      </c>
      <c r="B114" s="1" t="s">
        <v>560</v>
      </c>
      <c r="C114" s="1" t="s">
        <v>52</v>
      </c>
      <c r="D114" s="1"/>
      <c r="F114" s="129">
        <f>SUMIF('1.2 APU'!$B$9:$B$111,'1.4 Insumos'!A114,'1.2 APU'!$O$9:$O$111)</f>
        <v>0</v>
      </c>
      <c r="J114" s="565"/>
      <c r="K114" s="565"/>
    </row>
    <row r="115" spans="1:11" hidden="1">
      <c r="A115" s="1" t="s">
        <v>564</v>
      </c>
      <c r="B115" s="1" t="s">
        <v>561</v>
      </c>
      <c r="C115" s="1" t="s">
        <v>52</v>
      </c>
      <c r="D115" s="1"/>
      <c r="F115" s="129">
        <f>SUMIF('1.2 APU'!$B$9:$B$111,'1.4 Insumos'!A115,'1.2 APU'!$O$9:$O$111)</f>
        <v>0</v>
      </c>
      <c r="J115" s="565"/>
      <c r="K115" s="565"/>
    </row>
    <row r="116" spans="1:11" hidden="1">
      <c r="A116" s="1" t="s">
        <v>565</v>
      </c>
      <c r="B116" s="1" t="s">
        <v>569</v>
      </c>
      <c r="C116" s="1" t="s">
        <v>562</v>
      </c>
      <c r="D116" s="1"/>
      <c r="F116" s="129">
        <f>SUMIF('1.2 APU'!$B$9:$B$111,'1.4 Insumos'!A116,'1.2 APU'!$O$9:$O$111)</f>
        <v>0</v>
      </c>
      <c r="J116" s="565"/>
      <c r="K116" s="565"/>
    </row>
    <row r="117" spans="1:11" hidden="1">
      <c r="A117" s="1" t="s">
        <v>566</v>
      </c>
      <c r="B117" s="1" t="s">
        <v>570</v>
      </c>
      <c r="C117" s="1" t="s">
        <v>562</v>
      </c>
      <c r="D117" s="1"/>
      <c r="F117" s="129">
        <f>SUMIF('1.2 APU'!$B$9:$B$111,'1.4 Insumos'!A117,'1.2 APU'!$O$9:$O$111)</f>
        <v>0</v>
      </c>
      <c r="J117" s="565"/>
      <c r="K117" s="565"/>
    </row>
    <row r="118" spans="1:11" hidden="1">
      <c r="A118" s="1" t="s">
        <v>567</v>
      </c>
      <c r="B118" s="1" t="s">
        <v>572</v>
      </c>
      <c r="C118" s="1" t="s">
        <v>70</v>
      </c>
      <c r="D118" s="1"/>
      <c r="F118" s="129">
        <f>SUMIF('1.2 APU'!$B$9:$B$111,'1.4 Insumos'!A118,'1.2 APU'!$O$9:$O$111)</f>
        <v>0</v>
      </c>
      <c r="J118" s="565"/>
      <c r="K118" s="565"/>
    </row>
    <row r="119" spans="1:11" hidden="1">
      <c r="A119" s="1" t="s">
        <v>568</v>
      </c>
      <c r="B119" s="1" t="s">
        <v>571</v>
      </c>
      <c r="C119" s="1" t="s">
        <v>52</v>
      </c>
      <c r="D119" s="1"/>
      <c r="F119" s="129">
        <f>SUMIF('1.2 APU'!$B$9:$B$111,'1.4 Insumos'!A119,'1.2 APU'!$O$9:$O$111)</f>
        <v>0</v>
      </c>
      <c r="J119" s="565"/>
      <c r="K119" s="565"/>
    </row>
    <row r="120" spans="1:11" hidden="1">
      <c r="A120" s="1" t="s">
        <v>578</v>
      </c>
      <c r="B120" s="1" t="s">
        <v>577</v>
      </c>
      <c r="C120" s="1" t="s">
        <v>101</v>
      </c>
      <c r="D120" s="291"/>
      <c r="F120" s="129">
        <f>SUMIF('1.2 APU'!$B$9:$B$111,'1.4 Insumos'!A120,'1.2 APU'!$O$9:$O$111)</f>
        <v>0</v>
      </c>
      <c r="J120" s="565"/>
      <c r="K120" s="565"/>
    </row>
    <row r="121" spans="1:11" hidden="1">
      <c r="A121" s="1" t="s">
        <v>579</v>
      </c>
      <c r="B121" s="1" t="s">
        <v>580</v>
      </c>
      <c r="C121" s="1" t="s">
        <v>101</v>
      </c>
      <c r="D121" s="108"/>
      <c r="F121" s="129">
        <f>SUMIF('1.2 APU'!$B$9:$B$111,'1.4 Insumos'!A121,'1.2 APU'!$O$9:$O$111)</f>
        <v>0</v>
      </c>
      <c r="J121" s="565"/>
      <c r="K121" s="565"/>
    </row>
    <row r="122" spans="1:11" hidden="1">
      <c r="A122" s="291" t="s">
        <v>584</v>
      </c>
      <c r="B122" s="108" t="s">
        <v>622</v>
      </c>
      <c r="C122" s="291" t="s">
        <v>582</v>
      </c>
      <c r="D122" s="291"/>
      <c r="F122" s="129">
        <f>SUMIF('1.2 APU'!$B$9:$B$111,'1.4 Insumos'!A122,'1.2 APU'!$O$9:$O$111)</f>
        <v>0</v>
      </c>
      <c r="J122" s="565"/>
      <c r="K122" s="565"/>
    </row>
    <row r="123" spans="1:11" hidden="1">
      <c r="A123" s="1" t="s">
        <v>585</v>
      </c>
      <c r="B123" t="s">
        <v>623</v>
      </c>
      <c r="C123" t="s">
        <v>624</v>
      </c>
      <c r="D123" s="108"/>
      <c r="F123" s="129">
        <f>SUMIF('1.2 APU'!$B$9:$B$111,'1.4 Insumos'!A123,'1.2 APU'!$O$9:$O$111)</f>
        <v>0</v>
      </c>
      <c r="J123" s="565"/>
      <c r="K123" s="565"/>
    </row>
    <row r="124" spans="1:11" hidden="1">
      <c r="A124" s="1" t="s">
        <v>586</v>
      </c>
      <c r="B124" t="s">
        <v>610</v>
      </c>
      <c r="C124" t="s">
        <v>52</v>
      </c>
      <c r="D124" s="108"/>
      <c r="F124" s="129">
        <f>SUMIF('1.2 APU'!$B$9:$B$111,'1.4 Insumos'!A124,'1.2 APU'!$O$9:$O$111)</f>
        <v>0</v>
      </c>
      <c r="J124" s="565"/>
      <c r="K124" s="565"/>
    </row>
    <row r="125" spans="1:11" hidden="1">
      <c r="A125" s="1" t="s">
        <v>587</v>
      </c>
      <c r="B125" t="s">
        <v>611</v>
      </c>
      <c r="C125" s="290" t="s">
        <v>52</v>
      </c>
      <c r="D125" s="108"/>
      <c r="F125" s="129">
        <f>SUMIF('1.2 APU'!$B$9:$B$111,'1.4 Insumos'!A125,'1.2 APU'!$O$9:$O$111)</f>
        <v>0</v>
      </c>
      <c r="J125" s="565"/>
      <c r="K125" s="565"/>
    </row>
    <row r="126" spans="1:11" hidden="1">
      <c r="A126" s="1" t="s">
        <v>588</v>
      </c>
      <c r="B126" t="s">
        <v>612</v>
      </c>
      <c r="C126" s="290" t="s">
        <v>52</v>
      </c>
      <c r="F126" s="129">
        <f>SUMIF('1.2 APU'!$B$9:$B$111,'1.4 Insumos'!A126,'1.2 APU'!$O$9:$O$111)</f>
        <v>0</v>
      </c>
      <c r="J126" s="565"/>
      <c r="K126" s="565"/>
    </row>
    <row r="127" spans="1:11" hidden="1">
      <c r="A127" s="1" t="s">
        <v>589</v>
      </c>
      <c r="B127" t="s">
        <v>614</v>
      </c>
      <c r="C127" t="s">
        <v>133</v>
      </c>
      <c r="F127" s="129">
        <f>SUMIF('1.2 APU'!$B$9:$B$111,'1.4 Insumos'!A127,'1.2 APU'!$O$9:$O$111)</f>
        <v>0</v>
      </c>
      <c r="J127" s="565"/>
      <c r="K127" s="565"/>
    </row>
    <row r="128" spans="1:11" hidden="1">
      <c r="A128" s="1" t="s">
        <v>590</v>
      </c>
      <c r="B128" s="290" t="s">
        <v>613</v>
      </c>
      <c r="C128" s="1" t="s">
        <v>133</v>
      </c>
      <c r="D128" s="290"/>
      <c r="F128" s="129">
        <f>SUMIF('1.2 APU'!$B$9:$B$111,'1.4 Insumos'!A128,'1.2 APU'!$O$9:$O$111)</f>
        <v>0</v>
      </c>
      <c r="J128" s="565"/>
      <c r="K128" s="565"/>
    </row>
    <row r="129" spans="1:11" hidden="1">
      <c r="A129" s="1" t="s">
        <v>591</v>
      </c>
      <c r="B129" s="290" t="s">
        <v>625</v>
      </c>
      <c r="C129" s="290" t="s">
        <v>624</v>
      </c>
      <c r="D129" s="290"/>
      <c r="F129" s="129">
        <f>SUMIF('1.2 APU'!$B$9:$B$111,'1.4 Insumos'!A129,'1.2 APU'!$O$9:$O$111)</f>
        <v>0</v>
      </c>
      <c r="J129" s="565"/>
      <c r="K129" s="565"/>
    </row>
    <row r="130" spans="1:11" hidden="1">
      <c r="A130" s="600" t="s">
        <v>739</v>
      </c>
      <c r="B130" s="503"/>
      <c r="C130" s="503" t="s">
        <v>153</v>
      </c>
      <c r="F130" s="129">
        <f>SUMIF('1.2 APU'!$B$9:$B$111,'1.4 Insumos'!A130,'1.2 APU'!$O$9:$O$111)</f>
        <v>0</v>
      </c>
      <c r="J130" s="565"/>
      <c r="K130" s="565"/>
    </row>
    <row r="131" spans="1:11" hidden="1">
      <c r="A131" s="1" t="s">
        <v>593</v>
      </c>
      <c r="F131" s="129">
        <f>SUMIF('1.2 APU'!$B$9:$B$111,'1.4 Insumos'!A131,'1.2 APU'!$O$9:$O$111)</f>
        <v>0</v>
      </c>
      <c r="J131" s="565"/>
      <c r="K131" s="565"/>
    </row>
    <row r="132" spans="1:11" hidden="1">
      <c r="A132" s="1" t="s">
        <v>594</v>
      </c>
      <c r="B132" t="s">
        <v>615</v>
      </c>
      <c r="C132" s="290" t="s">
        <v>101</v>
      </c>
      <c r="D132" s="290"/>
      <c r="F132" s="129">
        <f>SUMIF('1.2 APU'!$B$9:$B$111,'1.4 Insumos'!A132,'1.2 APU'!$O$9:$O$111)</f>
        <v>0</v>
      </c>
      <c r="J132" s="565"/>
      <c r="K132" s="565"/>
    </row>
    <row r="133" spans="1:11" hidden="1">
      <c r="A133" s="1" t="s">
        <v>595</v>
      </c>
      <c r="B133" t="s">
        <v>616</v>
      </c>
      <c r="C133" s="290" t="s">
        <v>52</v>
      </c>
      <c r="D133" s="290"/>
      <c r="F133" s="129">
        <f>SUMIF('1.2 APU'!$B$9:$B$111,'1.4 Insumos'!A133,'1.2 APU'!$O$9:$O$111)</f>
        <v>0</v>
      </c>
      <c r="J133" s="565"/>
      <c r="K133" s="565"/>
    </row>
    <row r="134" spans="1:11" hidden="1">
      <c r="A134" s="1" t="s">
        <v>596</v>
      </c>
      <c r="B134" t="s">
        <v>617</v>
      </c>
      <c r="C134" s="290" t="s">
        <v>52</v>
      </c>
      <c r="D134" s="290"/>
      <c r="F134" s="129">
        <f>SUMIF('1.2 APU'!$B$9:$B$111,'1.4 Insumos'!A134,'1.2 APU'!$O$9:$O$111)</f>
        <v>0</v>
      </c>
      <c r="J134" s="565"/>
      <c r="K134" s="565"/>
    </row>
    <row r="135" spans="1:11" hidden="1">
      <c r="A135" s="1" t="s">
        <v>597</v>
      </c>
      <c r="B135" t="s">
        <v>618</v>
      </c>
      <c r="C135" s="290" t="s">
        <v>52</v>
      </c>
      <c r="D135" s="290"/>
      <c r="F135" s="129">
        <f>SUMIF('1.2 APU'!$B$9:$B$111,'1.4 Insumos'!A135,'1.2 APU'!$O$9:$O$111)</f>
        <v>0</v>
      </c>
      <c r="J135" s="565"/>
      <c r="K135" s="565"/>
    </row>
    <row r="136" spans="1:11" hidden="1">
      <c r="A136" s="1" t="s">
        <v>598</v>
      </c>
      <c r="B136" t="s">
        <v>619</v>
      </c>
      <c r="C136" s="290" t="s">
        <v>101</v>
      </c>
      <c r="D136" s="290"/>
      <c r="F136" s="129">
        <f>SUMIF('1.2 APU'!$B$9:$B$111,'1.4 Insumos'!A136,'1.2 APU'!$O$9:$O$111)</f>
        <v>0</v>
      </c>
      <c r="J136" s="565"/>
      <c r="K136" s="565"/>
    </row>
    <row r="137" spans="1:11" hidden="1">
      <c r="A137" s="1" t="s">
        <v>599</v>
      </c>
      <c r="B137" t="s">
        <v>555</v>
      </c>
      <c r="C137" t="s">
        <v>101</v>
      </c>
      <c r="F137" s="129">
        <f>SUMIF('1.2 APU'!$B$9:$B$111,'1.4 Insumos'!A137,'1.2 APU'!$O$9:$O$111)</f>
        <v>0</v>
      </c>
      <c r="J137" s="565"/>
      <c r="K137" s="565"/>
    </row>
    <row r="138" spans="1:11" hidden="1">
      <c r="A138" s="1" t="s">
        <v>600</v>
      </c>
      <c r="B138" t="s">
        <v>502</v>
      </c>
      <c r="C138" t="s">
        <v>101</v>
      </c>
      <c r="F138" s="129">
        <f>SUMIF('1.2 APU'!$B$9:$B$111,'1.4 Insumos'!A138,'1.2 APU'!$O$9:$O$111)</f>
        <v>0</v>
      </c>
      <c r="J138" s="565"/>
      <c r="K138" s="565"/>
    </row>
    <row r="139" spans="1:11" hidden="1">
      <c r="A139" s="1" t="s">
        <v>601</v>
      </c>
      <c r="B139" s="1" t="s">
        <v>621</v>
      </c>
      <c r="C139" s="1" t="s">
        <v>101</v>
      </c>
      <c r="D139" s="290"/>
      <c r="F139" s="129">
        <f>SUMIF('1.2 APU'!$B$9:$B$111,'1.4 Insumos'!A139,'1.2 APU'!$O$9:$O$111)</f>
        <v>0</v>
      </c>
      <c r="J139" s="565"/>
      <c r="K139" s="565"/>
    </row>
    <row r="140" spans="1:11" hidden="1">
      <c r="A140" s="1" t="s">
        <v>602</v>
      </c>
      <c r="B140" t="s">
        <v>899</v>
      </c>
      <c r="C140" t="s">
        <v>101</v>
      </c>
      <c r="F140" s="129">
        <f>SUMIF('1.2 APU'!$B$9:$B$111,'1.4 Insumos'!A140,'1.2 APU'!$O$9:$O$111)</f>
        <v>0</v>
      </c>
      <c r="J140" s="565"/>
      <c r="K140" s="565"/>
    </row>
    <row r="141" spans="1:11" hidden="1">
      <c r="A141" s="1" t="s">
        <v>603</v>
      </c>
      <c r="B141" t="s">
        <v>667</v>
      </c>
      <c r="C141" t="s">
        <v>153</v>
      </c>
      <c r="F141" s="129">
        <f>SUMIF('1.2 APU'!$B$9:$B$111,'1.4 Insumos'!A141,'1.2 APU'!$O$9:$O$111)</f>
        <v>0</v>
      </c>
      <c r="J141" s="565"/>
      <c r="K141" s="565"/>
    </row>
    <row r="142" spans="1:11" hidden="1">
      <c r="A142" s="1" t="s">
        <v>604</v>
      </c>
      <c r="B142" s="566" t="s">
        <v>695</v>
      </c>
      <c r="C142" s="566" t="s">
        <v>486</v>
      </c>
      <c r="F142" s="129">
        <f>SUMIF('1.2 APU'!$B$9:$B$111,'1.4 Insumos'!A142,'1.2 APU'!$O$9:$O$111)</f>
        <v>0</v>
      </c>
      <c r="J142" s="565"/>
      <c r="K142" s="565"/>
    </row>
    <row r="143" spans="1:11" hidden="1">
      <c r="A143" s="1" t="s">
        <v>605</v>
      </c>
      <c r="B143" s="566" t="s">
        <v>707</v>
      </c>
      <c r="C143" s="566" t="s">
        <v>4</v>
      </c>
      <c r="F143" s="129">
        <f>SUMIF('1.2 APU'!$B$9:$B$111,'1.4 Insumos'!A143,'1.2 APU'!$O$9:$O$111)</f>
        <v>0</v>
      </c>
      <c r="J143" s="565"/>
      <c r="K143" s="565"/>
    </row>
    <row r="144" spans="1:11" hidden="1">
      <c r="A144" s="1" t="s">
        <v>606</v>
      </c>
      <c r="B144" t="s">
        <v>740</v>
      </c>
      <c r="C144" s="566" t="s">
        <v>4</v>
      </c>
      <c r="D144" s="605"/>
      <c r="F144" s="129">
        <f>SUMIF('1.2 APU'!$B$9:$B$111,'1.4 Insumos'!A144,'1.2 APU'!$O$9:$O$111)</f>
        <v>0</v>
      </c>
      <c r="J144" s="565"/>
      <c r="K144" s="565"/>
    </row>
    <row r="145" spans="1:11" hidden="1">
      <c r="A145" s="1" t="s">
        <v>607</v>
      </c>
      <c r="B145" t="s">
        <v>741</v>
      </c>
      <c r="C145" s="566" t="s">
        <v>4</v>
      </c>
      <c r="D145" s="605"/>
      <c r="F145" s="129">
        <f>SUMIF('1.2 APU'!$B$9:$B$111,'1.4 Insumos'!A145,'1.2 APU'!$O$9:$O$111)</f>
        <v>0</v>
      </c>
      <c r="J145" s="565"/>
      <c r="K145" s="565"/>
    </row>
    <row r="146" spans="1:11" hidden="1">
      <c r="A146" s="1" t="s">
        <v>608</v>
      </c>
      <c r="B146" t="s">
        <v>742</v>
      </c>
      <c r="C146" s="566" t="s">
        <v>4</v>
      </c>
      <c r="D146" s="605"/>
      <c r="F146" s="129">
        <f>SUMIF('1.2 APU'!$B$9:$B$111,'1.4 Insumos'!A146,'1.2 APU'!$O$9:$O$111)</f>
        <v>0</v>
      </c>
      <c r="J146" s="565"/>
      <c r="K146" s="565"/>
    </row>
    <row r="147" spans="1:11" hidden="1">
      <c r="A147" s="1" t="s">
        <v>609</v>
      </c>
      <c r="B147" t="s">
        <v>743</v>
      </c>
      <c r="C147" s="566" t="s">
        <v>4</v>
      </c>
      <c r="D147" s="605"/>
      <c r="F147" s="129">
        <f>SUMIF('1.2 APU'!$B$9:$B$111,'1.4 Insumos'!A147,'1.2 APU'!$O$9:$O$111)</f>
        <v>0</v>
      </c>
      <c r="J147" s="565"/>
      <c r="K147" s="565"/>
    </row>
    <row r="148" spans="1:11" hidden="1">
      <c r="A148" s="566" t="s">
        <v>732</v>
      </c>
      <c r="B148" s="566" t="s">
        <v>744</v>
      </c>
      <c r="C148" s="566" t="s">
        <v>507</v>
      </c>
      <c r="D148" s="605"/>
      <c r="F148" s="129">
        <f>SUMIF('1.2 APU'!$B$9:$B$111,'1.4 Insumos'!A148,'1.2 APU'!$O$9:$O$111)</f>
        <v>0</v>
      </c>
      <c r="J148" s="565"/>
      <c r="K148" s="565"/>
    </row>
    <row r="149" spans="1:11" hidden="1">
      <c r="A149" s="566" t="s">
        <v>733</v>
      </c>
      <c r="B149" s="566" t="s">
        <v>745</v>
      </c>
      <c r="C149" s="566" t="s">
        <v>507</v>
      </c>
      <c r="D149" s="605"/>
      <c r="F149" s="129">
        <f>SUMIF('1.2 APU'!$B$9:$B$111,'1.4 Insumos'!A149,'1.2 APU'!$O$9:$O$111)</f>
        <v>0</v>
      </c>
      <c r="J149" s="565"/>
      <c r="K149" s="565"/>
    </row>
    <row r="150" spans="1:11" hidden="1">
      <c r="A150" s="566" t="s">
        <v>734</v>
      </c>
      <c r="B150" s="565" t="s">
        <v>790</v>
      </c>
      <c r="C150" s="565" t="s">
        <v>101</v>
      </c>
      <c r="D150" s="565"/>
      <c r="J150" s="565"/>
    </row>
    <row r="151" spans="1:11" hidden="1">
      <c r="A151" s="566" t="s">
        <v>735</v>
      </c>
    </row>
    <row r="152" spans="1:11" hidden="1">
      <c r="A152" s="566" t="s">
        <v>736</v>
      </c>
      <c r="B152" s="566" t="s">
        <v>894</v>
      </c>
      <c r="C152" s="566" t="s">
        <v>133</v>
      </c>
      <c r="D152" s="565"/>
    </row>
    <row r="153" spans="1:11" hidden="1">
      <c r="A153" s="566" t="s">
        <v>737</v>
      </c>
      <c r="B153" s="566" t="s">
        <v>893</v>
      </c>
      <c r="C153" s="566" t="s">
        <v>133</v>
      </c>
      <c r="D153" s="565"/>
    </row>
    <row r="154" spans="1:11" hidden="1">
      <c r="A154" s="566" t="s">
        <v>738</v>
      </c>
    </row>
    <row r="155" spans="1:11" hidden="1">
      <c r="A155" s="566" t="s">
        <v>895</v>
      </c>
    </row>
    <row r="156" spans="1:11" hidden="1">
      <c r="A156" s="566" t="s">
        <v>896</v>
      </c>
      <c r="B156" s="566" t="s">
        <v>897</v>
      </c>
      <c r="C156" s="566" t="s">
        <v>70</v>
      </c>
      <c r="D156" s="566"/>
    </row>
  </sheetData>
  <autoFilter ref="A9:G154" xr:uid="{00000000-0009-0000-0000-000004000000}"/>
  <mergeCells count="1">
    <mergeCell ref="A2:G2"/>
  </mergeCells>
  <phoneticPr fontId="79" type="noConversion"/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20BE-66B7-4C59-BFBE-D63359E01CA2}">
  <dimension ref="A1:V104"/>
  <sheetViews>
    <sheetView view="pageBreakPreview" zoomScale="70" zoomScaleNormal="85" zoomScaleSheetLayoutView="70" workbookViewId="0">
      <selection activeCell="O21" sqref="O21"/>
    </sheetView>
  </sheetViews>
  <sheetFormatPr baseColWidth="10" defaultColWidth="11.5546875" defaultRowHeight="13.2"/>
  <cols>
    <col min="1" max="1" width="3.6640625" style="791" customWidth="1"/>
    <col min="2" max="2" width="7.5546875" style="791" customWidth="1"/>
    <col min="3" max="3" width="6.6640625" style="876" customWidth="1"/>
    <col min="4" max="4" width="45.33203125" style="791" customWidth="1"/>
    <col min="5" max="5" width="5.6640625" style="791" bestFit="1" customWidth="1"/>
    <col min="6" max="6" width="9.88671875" style="791" bestFit="1" customWidth="1"/>
    <col min="7" max="7" width="8.44140625" style="791" bestFit="1" customWidth="1"/>
    <col min="8" max="8" width="6.33203125" style="791" customWidth="1"/>
    <col min="9" max="9" width="6.88671875" style="791" customWidth="1"/>
    <col min="10" max="10" width="7.6640625" style="791" customWidth="1"/>
    <col min="11" max="11" width="12" style="791" customWidth="1"/>
    <col min="12" max="12" width="13.88671875" style="791" customWidth="1"/>
    <col min="13" max="13" width="3.6640625" style="791" customWidth="1"/>
    <col min="14" max="14" width="13.5546875" style="791" bestFit="1" customWidth="1"/>
    <col min="15" max="15" width="13.6640625" style="791" customWidth="1"/>
    <col min="16" max="17" width="11.5546875" style="791" customWidth="1"/>
    <col min="18" max="22" width="11.5546875" style="791" hidden="1" customWidth="1"/>
    <col min="23" max="29" width="11.5546875" style="791" customWidth="1"/>
    <col min="30" max="16384" width="11.5546875" style="791"/>
  </cols>
  <sheetData>
    <row r="1" spans="1:22" ht="13.8" thickBot="1">
      <c r="A1" s="787"/>
      <c r="B1" s="787"/>
      <c r="C1" s="788"/>
      <c r="D1" s="787"/>
      <c r="E1" s="787"/>
      <c r="F1" s="787"/>
      <c r="G1" s="787"/>
      <c r="H1" s="789"/>
      <c r="I1" s="790"/>
      <c r="J1" s="10"/>
      <c r="K1" s="790"/>
      <c r="L1" s="790"/>
      <c r="M1" s="789"/>
      <c r="O1" s="792" t="s">
        <v>693</v>
      </c>
      <c r="P1" s="793">
        <f>ROUND(37/30,2)</f>
        <v>1.23</v>
      </c>
      <c r="S1" s="791" t="s">
        <v>273</v>
      </c>
      <c r="T1" s="791" t="s">
        <v>274</v>
      </c>
      <c r="U1" s="791" t="s">
        <v>275</v>
      </c>
    </row>
    <row r="2" spans="1:22">
      <c r="A2" s="787"/>
      <c r="B2" s="787"/>
      <c r="C2" s="788"/>
      <c r="D2" s="787"/>
      <c r="E2" s="787"/>
      <c r="F2" s="787"/>
      <c r="G2" s="787"/>
      <c r="H2" s="789"/>
      <c r="I2" s="790"/>
      <c r="J2" s="10"/>
      <c r="K2" s="790"/>
      <c r="L2" s="790"/>
      <c r="M2" s="789"/>
      <c r="R2" s="791" t="s">
        <v>272</v>
      </c>
      <c r="S2" s="794">
        <v>15</v>
      </c>
      <c r="T2" s="794">
        <v>6</v>
      </c>
      <c r="U2" s="794">
        <f>+S2+T2</f>
        <v>21</v>
      </c>
      <c r="V2" s="794">
        <f>+S2/U2</f>
        <v>0.7142857142857143</v>
      </c>
    </row>
    <row r="3" spans="1:22" ht="21">
      <c r="A3" s="787"/>
      <c r="B3" s="958" t="s">
        <v>53</v>
      </c>
      <c r="C3" s="959"/>
      <c r="D3" s="960"/>
      <c r="E3" s="960"/>
      <c r="F3" s="960"/>
      <c r="G3" s="960"/>
      <c r="H3" s="960"/>
      <c r="I3" s="960"/>
      <c r="J3" s="960"/>
      <c r="K3" s="960"/>
      <c r="L3" s="960"/>
      <c r="M3" s="789"/>
    </row>
    <row r="4" spans="1:22" ht="13.5" customHeight="1">
      <c r="A4" s="787"/>
      <c r="B4" s="795"/>
      <c r="C4" s="788"/>
      <c r="D4" s="796"/>
      <c r="E4" s="787"/>
      <c r="F4" s="787"/>
      <c r="G4" s="787"/>
      <c r="H4" s="789"/>
      <c r="I4" s="790"/>
      <c r="J4" s="10"/>
      <c r="K4" s="790"/>
      <c r="L4" s="790"/>
      <c r="M4" s="789"/>
    </row>
    <row r="5" spans="1:22" ht="13.5" customHeight="1">
      <c r="A5" s="787"/>
      <c r="B5" s="795" t="s">
        <v>329</v>
      </c>
      <c r="C5" s="788"/>
      <c r="D5" s="796" t="str">
        <f>+'[1]1.2 APU'!C6</f>
        <v>CONSTRUCCIÓN PLATAFORMA DE CONTRATISTAS E1 Y E2</v>
      </c>
      <c r="E5" s="789"/>
      <c r="F5" s="787"/>
      <c r="G5" s="787"/>
      <c r="H5" s="789"/>
      <c r="I5" s="790"/>
      <c r="J5" s="10"/>
      <c r="K5" s="790"/>
      <c r="L5" s="790"/>
      <c r="M5" s="789"/>
    </row>
    <row r="6" spans="1:22" ht="13.5" customHeight="1">
      <c r="A6" s="787"/>
      <c r="B6" s="795" t="s">
        <v>331</v>
      </c>
      <c r="C6" s="788"/>
      <c r="D6" s="796" t="s">
        <v>961</v>
      </c>
      <c r="E6" s="789"/>
      <c r="F6" s="787"/>
      <c r="G6" s="787"/>
      <c r="H6" s="789"/>
      <c r="I6" s="790"/>
      <c r="J6" s="10"/>
      <c r="K6" s="790"/>
      <c r="L6" s="790"/>
      <c r="M6" s="789"/>
    </row>
    <row r="7" spans="1:22" ht="13.5" customHeight="1">
      <c r="A7" s="787"/>
      <c r="B7" s="795" t="s">
        <v>332</v>
      </c>
      <c r="C7" s="788"/>
      <c r="D7" s="796" t="s">
        <v>976</v>
      </c>
      <c r="E7" s="789"/>
      <c r="F7" s="787"/>
      <c r="G7" s="787"/>
      <c r="H7" s="789"/>
      <c r="I7" s="790"/>
      <c r="J7" s="10"/>
      <c r="K7" s="790"/>
      <c r="L7" s="790"/>
      <c r="M7" s="789"/>
    </row>
    <row r="8" spans="1:22" ht="13.5" customHeight="1">
      <c r="A8" s="797"/>
      <c r="B8" s="795" t="s">
        <v>21</v>
      </c>
      <c r="C8" s="788"/>
      <c r="D8" s="798">
        <f>+'1.2 APU'!C8</f>
        <v>44655</v>
      </c>
      <c r="E8" s="789"/>
      <c r="F8" s="787"/>
      <c r="G8" s="787"/>
      <c r="H8" s="797"/>
      <c r="I8" s="789"/>
      <c r="J8" s="797"/>
      <c r="K8" s="789"/>
      <c r="L8" s="788"/>
      <c r="M8" s="789"/>
    </row>
    <row r="9" spans="1:22" ht="13.8">
      <c r="A9" s="787"/>
      <c r="B9" s="799"/>
      <c r="C9" s="800"/>
      <c r="D9" s="801"/>
      <c r="E9" s="789"/>
      <c r="F9" s="802"/>
      <c r="G9" s="803"/>
      <c r="H9" s="803"/>
      <c r="I9" s="790"/>
      <c r="J9" s="10"/>
      <c r="K9" s="804"/>
      <c r="L9" s="805"/>
      <c r="M9" s="789"/>
    </row>
    <row r="10" spans="1:22" ht="13.8">
      <c r="A10" s="787"/>
      <c r="B10" s="806" t="s">
        <v>54</v>
      </c>
      <c r="C10" s="788"/>
      <c r="D10" s="801"/>
      <c r="E10" s="789"/>
      <c r="F10" s="802"/>
      <c r="G10" s="803"/>
      <c r="H10" s="803"/>
      <c r="I10" s="790"/>
      <c r="J10" s="10"/>
      <c r="K10" s="804"/>
      <c r="L10" s="20"/>
      <c r="M10" s="789"/>
    </row>
    <row r="11" spans="1:22" ht="13.8" thickBot="1">
      <c r="A11" s="787"/>
      <c r="B11" s="787"/>
      <c r="C11" s="788"/>
      <c r="D11" s="801"/>
      <c r="E11" s="789"/>
      <c r="F11" s="790"/>
      <c r="G11" s="789"/>
      <c r="H11" s="789"/>
      <c r="I11" s="790"/>
      <c r="J11" s="10"/>
      <c r="K11" s="789"/>
      <c r="L11" s="790"/>
      <c r="M11" s="789"/>
    </row>
    <row r="12" spans="1:22" ht="14.4" thickBot="1">
      <c r="A12" s="787"/>
      <c r="B12" s="807" t="s">
        <v>55</v>
      </c>
      <c r="C12" s="808" t="s">
        <v>56</v>
      </c>
      <c r="D12" s="809"/>
      <c r="E12" s="810" t="s">
        <v>5</v>
      </c>
      <c r="F12" s="24" t="s">
        <v>57</v>
      </c>
      <c r="G12" s="25" t="s">
        <v>58</v>
      </c>
      <c r="H12" s="26" t="s">
        <v>59</v>
      </c>
      <c r="I12" s="26" t="s">
        <v>7</v>
      </c>
      <c r="J12" s="27" t="s">
        <v>60</v>
      </c>
      <c r="K12" s="28" t="s">
        <v>61</v>
      </c>
      <c r="L12" s="28" t="s">
        <v>62</v>
      </c>
      <c r="M12" s="811"/>
    </row>
    <row r="13" spans="1:22" ht="13.8" hidden="1">
      <c r="A13" s="787"/>
      <c r="B13" s="812"/>
      <c r="C13" s="813"/>
      <c r="D13" s="814"/>
      <c r="E13" s="815"/>
      <c r="F13" s="34"/>
      <c r="G13" s="35"/>
      <c r="H13" s="35"/>
      <c r="I13" s="35"/>
      <c r="J13" s="36"/>
      <c r="K13" s="37"/>
      <c r="L13" s="816"/>
      <c r="M13" s="811"/>
    </row>
    <row r="14" spans="1:22" ht="13.8" hidden="1">
      <c r="A14" s="787"/>
      <c r="B14" s="817"/>
      <c r="C14" s="818">
        <v>1</v>
      </c>
      <c r="D14" s="819" t="s">
        <v>63</v>
      </c>
      <c r="E14" s="820"/>
      <c r="F14" s="42"/>
      <c r="G14" s="43"/>
      <c r="H14" s="43"/>
      <c r="I14" s="43"/>
      <c r="J14" s="44"/>
      <c r="K14" s="45"/>
      <c r="L14" s="821">
        <f>ROUND(SUM(K15:K17),2)</f>
        <v>0</v>
      </c>
      <c r="M14" s="811"/>
    </row>
    <row r="15" spans="1:22" ht="13.8" hidden="1">
      <c r="A15" s="787"/>
      <c r="B15" s="822"/>
      <c r="C15" s="823" t="s">
        <v>68</v>
      </c>
      <c r="D15" s="824" t="s">
        <v>258</v>
      </c>
      <c r="E15" s="419" t="s">
        <v>5</v>
      </c>
      <c r="F15" s="80">
        <v>100</v>
      </c>
      <c r="G15" s="594">
        <v>0</v>
      </c>
      <c r="H15" s="594"/>
      <c r="I15" s="594"/>
      <c r="J15" s="50">
        <v>0.5</v>
      </c>
      <c r="K15" s="80">
        <f>ROUND(J15*G15*F15,2)</f>
        <v>0</v>
      </c>
      <c r="L15" s="825"/>
      <c r="M15" s="811"/>
    </row>
    <row r="16" spans="1:22" ht="13.8" hidden="1">
      <c r="A16" s="787"/>
      <c r="B16" s="822"/>
      <c r="C16" s="823" t="s">
        <v>68</v>
      </c>
      <c r="D16" s="824" t="s">
        <v>688</v>
      </c>
      <c r="E16" s="419" t="s">
        <v>5</v>
      </c>
      <c r="F16" s="80">
        <f>700</f>
        <v>700</v>
      </c>
      <c r="G16" s="594">
        <v>0</v>
      </c>
      <c r="H16" s="594"/>
      <c r="I16" s="594"/>
      <c r="J16" s="50">
        <v>1</v>
      </c>
      <c r="K16" s="80">
        <f>ROUND(J16*G16*F16,2)</f>
        <v>0</v>
      </c>
      <c r="L16" s="825"/>
      <c r="M16" s="811"/>
    </row>
    <row r="17" spans="1:13" ht="14.4" hidden="1" thickBot="1">
      <c r="A17" s="787"/>
      <c r="B17" s="826"/>
      <c r="C17" s="827"/>
      <c r="D17" s="828"/>
      <c r="E17" s="829"/>
      <c r="F17" s="90"/>
      <c r="G17" s="91"/>
      <c r="H17" s="91"/>
      <c r="I17" s="91"/>
      <c r="J17" s="92"/>
      <c r="K17" s="90"/>
      <c r="L17" s="830"/>
      <c r="M17" s="811"/>
    </row>
    <row r="18" spans="1:13" ht="13.8">
      <c r="A18" s="787"/>
      <c r="B18" s="822"/>
      <c r="C18" s="823"/>
      <c r="D18" s="824"/>
      <c r="E18" s="419"/>
      <c r="F18" s="80"/>
      <c r="G18" s="594"/>
      <c r="H18" s="594"/>
      <c r="I18" s="594"/>
      <c r="J18" s="50"/>
      <c r="K18" s="80"/>
      <c r="L18" s="825"/>
      <c r="M18" s="811"/>
    </row>
    <row r="19" spans="1:13" ht="13.8">
      <c r="A19" s="787"/>
      <c r="B19" s="817"/>
      <c r="C19" s="818">
        <v>2</v>
      </c>
      <c r="D19" s="819" t="s">
        <v>90</v>
      </c>
      <c r="E19" s="419"/>
      <c r="F19" s="80"/>
      <c r="G19" s="594"/>
      <c r="H19" s="594"/>
      <c r="I19" s="594"/>
      <c r="J19" s="50"/>
      <c r="K19" s="80"/>
      <c r="L19" s="821">
        <f>ROUND(SUM(K20:K22),2)</f>
        <v>18972</v>
      </c>
      <c r="M19" s="811"/>
    </row>
    <row r="20" spans="1:13" ht="13.8">
      <c r="A20" s="787"/>
      <c r="B20" s="822"/>
      <c r="C20" s="823" t="s">
        <v>68</v>
      </c>
      <c r="D20" s="824" t="s">
        <v>259</v>
      </c>
      <c r="E20" s="419" t="s">
        <v>5</v>
      </c>
      <c r="F20" s="80">
        <f>ROUNDUP(446/TC,2)</f>
        <v>446</v>
      </c>
      <c r="G20" s="594">
        <f>ROUND('Equipos-Personal (HH y HM)'!E43+SUMPRODUCT(G31:G63,J31:J63),0)</f>
        <v>51</v>
      </c>
      <c r="H20" s="594"/>
      <c r="I20" s="594">
        <v>1</v>
      </c>
      <c r="J20" s="50">
        <v>0.75</v>
      </c>
      <c r="K20" s="80">
        <f>ROUND(F20*G20*I20*J20,2)</f>
        <v>17059.5</v>
      </c>
      <c r="L20" s="825"/>
      <c r="M20" s="811"/>
    </row>
    <row r="21" spans="1:13" ht="13.8">
      <c r="A21" s="787"/>
      <c r="B21" s="822"/>
      <c r="C21" s="823" t="s">
        <v>68</v>
      </c>
      <c r="D21" s="824" t="s">
        <v>260</v>
      </c>
      <c r="E21" s="419" t="s">
        <v>5</v>
      </c>
      <c r="F21" s="80">
        <f>ROUNDUP(50/TC,2)</f>
        <v>50</v>
      </c>
      <c r="G21" s="594">
        <f>ROUND('Equipos-Personal (HH y HM)'!E43+SUMPRODUCT(G31:G63,J31:J63),0)</f>
        <v>51</v>
      </c>
      <c r="H21" s="594"/>
      <c r="I21" s="594">
        <v>1</v>
      </c>
      <c r="J21" s="50">
        <v>0.75</v>
      </c>
      <c r="K21" s="80">
        <f t="shared" ref="K21:K22" si="0">ROUND(F21*G21*I21*J21,2)</f>
        <v>1912.5</v>
      </c>
      <c r="L21" s="825"/>
      <c r="M21" s="811"/>
    </row>
    <row r="22" spans="1:13" ht="13.8">
      <c r="A22" s="787"/>
      <c r="B22" s="822"/>
      <c r="C22" s="823" t="s">
        <v>68</v>
      </c>
      <c r="D22" s="824" t="s">
        <v>261</v>
      </c>
      <c r="E22" s="419" t="s">
        <v>5</v>
      </c>
      <c r="F22" s="80">
        <f>[1]Tarifas!D128*8*4*V2</f>
        <v>167.54285714285714</v>
      </c>
      <c r="G22" s="594">
        <f>ROUND('Equipos-Personal (HH y HM)'!E43+SUMPRODUCT(G31:G63,J31:J63),0)*0</f>
        <v>0</v>
      </c>
      <c r="H22" s="594"/>
      <c r="I22" s="594">
        <v>1</v>
      </c>
      <c r="J22" s="50">
        <v>0.75</v>
      </c>
      <c r="K22" s="80">
        <f t="shared" si="0"/>
        <v>0</v>
      </c>
      <c r="L22" s="825"/>
      <c r="M22" s="811"/>
    </row>
    <row r="23" spans="1:13" ht="14.4" thickBot="1">
      <c r="A23" s="787"/>
      <c r="B23" s="419"/>
      <c r="C23" s="831"/>
      <c r="D23" s="832"/>
      <c r="E23" s="49"/>
      <c r="F23" s="594"/>
      <c r="G23" s="594"/>
      <c r="H23" s="594"/>
      <c r="I23" s="594"/>
      <c r="J23" s="50"/>
      <c r="K23" s="51"/>
      <c r="L23" s="833"/>
      <c r="M23" s="834"/>
    </row>
    <row r="24" spans="1:13" ht="14.4" thickBot="1">
      <c r="A24" s="787"/>
      <c r="B24" s="835"/>
      <c r="C24" s="836"/>
      <c r="D24" s="837" t="s">
        <v>64</v>
      </c>
      <c r="E24" s="838"/>
      <c r="F24" s="839"/>
      <c r="G24" s="839"/>
      <c r="H24" s="839"/>
      <c r="I24" s="839"/>
      <c r="J24" s="58"/>
      <c r="K24" s="840" t="s">
        <v>969</v>
      </c>
      <c r="L24" s="841">
        <f>SUM(L13:L23)</f>
        <v>18972</v>
      </c>
      <c r="M24" s="811"/>
    </row>
    <row r="25" spans="1:13" ht="13.8">
      <c r="A25" s="787"/>
      <c r="B25" s="842"/>
      <c r="C25" s="843"/>
      <c r="D25" s="844"/>
      <c r="E25" s="842"/>
      <c r="F25" s="63"/>
      <c r="G25" s="63"/>
      <c r="H25" s="63"/>
      <c r="I25" s="63"/>
      <c r="J25" s="64"/>
      <c r="K25" s="65"/>
      <c r="L25" s="843"/>
      <c r="M25" s="811"/>
    </row>
    <row r="26" spans="1:13" ht="13.8">
      <c r="A26" s="787"/>
      <c r="B26" s="806" t="s">
        <v>66</v>
      </c>
      <c r="C26" s="788"/>
      <c r="D26" s="801"/>
      <c r="E26" s="789"/>
      <c r="F26" s="802"/>
      <c r="G26" s="803"/>
      <c r="H26" s="803"/>
      <c r="I26" s="790"/>
      <c r="J26" s="10"/>
      <c r="K26" s="804"/>
      <c r="L26" s="20"/>
      <c r="M26" s="789"/>
    </row>
    <row r="27" spans="1:13" ht="13.8" thickBot="1">
      <c r="A27" s="787"/>
      <c r="B27" s="787"/>
      <c r="C27" s="788"/>
      <c r="D27" s="801"/>
      <c r="E27" s="789"/>
      <c r="F27" s="790"/>
      <c r="G27" s="789"/>
      <c r="H27" s="789"/>
      <c r="I27" s="790"/>
      <c r="J27" s="10"/>
      <c r="K27" s="789"/>
      <c r="L27" s="790"/>
      <c r="M27" s="789"/>
    </row>
    <row r="28" spans="1:13" ht="14.4" thickBot="1">
      <c r="A28" s="787"/>
      <c r="B28" s="807" t="s">
        <v>55</v>
      </c>
      <c r="C28" s="808" t="s">
        <v>56</v>
      </c>
      <c r="D28" s="809"/>
      <c r="E28" s="810" t="s">
        <v>5</v>
      </c>
      <c r="F28" s="24" t="s">
        <v>971</v>
      </c>
      <c r="G28" s="25" t="s">
        <v>58</v>
      </c>
      <c r="H28" s="26" t="s">
        <v>59</v>
      </c>
      <c r="I28" s="26" t="s">
        <v>7</v>
      </c>
      <c r="J28" s="27" t="s">
        <v>60</v>
      </c>
      <c r="K28" s="28" t="s">
        <v>970</v>
      </c>
      <c r="L28" s="28" t="s">
        <v>62</v>
      </c>
      <c r="M28" s="811"/>
    </row>
    <row r="29" spans="1:13" ht="13.8">
      <c r="A29" s="787"/>
      <c r="B29" s="845"/>
      <c r="C29" s="846"/>
      <c r="D29" s="847"/>
      <c r="E29" s="848"/>
      <c r="F29" s="69"/>
      <c r="G29" s="34"/>
      <c r="H29" s="34"/>
      <c r="I29" s="34"/>
      <c r="J29" s="70"/>
      <c r="K29" s="71"/>
      <c r="L29" s="849"/>
      <c r="M29" s="811"/>
    </row>
    <row r="30" spans="1:13" ht="13.8">
      <c r="A30" s="787"/>
      <c r="B30" s="850"/>
      <c r="C30" s="851">
        <v>1</v>
      </c>
      <c r="D30" s="852" t="s">
        <v>41</v>
      </c>
      <c r="E30" s="817"/>
      <c r="F30" s="75"/>
      <c r="G30" s="42"/>
      <c r="H30" s="42"/>
      <c r="I30" s="42"/>
      <c r="J30" s="76"/>
      <c r="K30" s="77"/>
      <c r="L30" s="821">
        <f>SUBTOTAL(9,K31:K44)</f>
        <v>106225.87500000001</v>
      </c>
      <c r="M30" s="811"/>
    </row>
    <row r="31" spans="1:13" ht="13.8" hidden="1">
      <c r="A31" s="787"/>
      <c r="B31" s="822" t="s">
        <v>67</v>
      </c>
      <c r="C31" s="823" t="s">
        <v>68</v>
      </c>
      <c r="D31" s="824" t="s">
        <v>69</v>
      </c>
      <c r="E31" s="419" t="s">
        <v>70</v>
      </c>
      <c r="F31" s="80">
        <f>ROUND(16000*1.47/TC,2)</f>
        <v>23520</v>
      </c>
      <c r="G31" s="594">
        <v>0</v>
      </c>
      <c r="H31" s="594">
        <v>1</v>
      </c>
      <c r="I31" s="594">
        <f>PZ</f>
        <v>1.23</v>
      </c>
      <c r="J31" s="50">
        <v>0.5</v>
      </c>
      <c r="K31" s="80">
        <f t="shared" ref="K31:K44" si="1">PRODUCT(F31:J31)</f>
        <v>0</v>
      </c>
      <c r="L31" s="825"/>
      <c r="M31" s="811"/>
    </row>
    <row r="32" spans="1:13" ht="13.8">
      <c r="A32" s="787"/>
      <c r="B32" s="822" t="s">
        <v>67</v>
      </c>
      <c r="C32" s="823" t="s">
        <v>68</v>
      </c>
      <c r="D32" s="824" t="s">
        <v>262</v>
      </c>
      <c r="E32" s="419" t="s">
        <v>70</v>
      </c>
      <c r="F32" s="80">
        <f>ROUND(13500*1.47/TC,2)</f>
        <v>19845</v>
      </c>
      <c r="G32" s="594">
        <v>1</v>
      </c>
      <c r="H32" s="594">
        <v>1</v>
      </c>
      <c r="I32" s="594">
        <f>$I$31</f>
        <v>1.23</v>
      </c>
      <c r="J32" s="50">
        <v>1</v>
      </c>
      <c r="K32" s="80">
        <f t="shared" si="1"/>
        <v>24409.35</v>
      </c>
      <c r="L32" s="825"/>
      <c r="M32" s="811"/>
    </row>
    <row r="33" spans="1:13" ht="13.8">
      <c r="A33" s="787"/>
      <c r="B33" s="822" t="s">
        <v>67</v>
      </c>
      <c r="C33" s="823" t="s">
        <v>68</v>
      </c>
      <c r="D33" s="824" t="s">
        <v>71</v>
      </c>
      <c r="E33" s="419" t="s">
        <v>70</v>
      </c>
      <c r="F33" s="80">
        <f>ROUND(11000*1.47/TC,2)</f>
        <v>16170</v>
      </c>
      <c r="G33" s="594">
        <v>1</v>
      </c>
      <c r="H33" s="594">
        <v>1</v>
      </c>
      <c r="I33" s="594">
        <f t="shared" ref="I33:I41" si="2">$I$31</f>
        <v>1.23</v>
      </c>
      <c r="J33" s="50">
        <v>1</v>
      </c>
      <c r="K33" s="80">
        <f t="shared" si="1"/>
        <v>19889.099999999999</v>
      </c>
      <c r="L33" s="825"/>
      <c r="M33" s="811"/>
    </row>
    <row r="34" spans="1:13" ht="13.8">
      <c r="A34" s="787"/>
      <c r="B34" s="822" t="s">
        <v>67</v>
      </c>
      <c r="C34" s="823" t="s">
        <v>68</v>
      </c>
      <c r="D34" s="824" t="s">
        <v>959</v>
      </c>
      <c r="E34" s="419" t="s">
        <v>70</v>
      </c>
      <c r="F34" s="80">
        <f>ROUND(8000*1.47/TC,2)</f>
        <v>11760</v>
      </c>
      <c r="G34" s="594">
        <v>1</v>
      </c>
      <c r="H34" s="594">
        <v>1</v>
      </c>
      <c r="I34" s="594">
        <f t="shared" si="2"/>
        <v>1.23</v>
      </c>
      <c r="J34" s="50">
        <v>1</v>
      </c>
      <c r="K34" s="80">
        <f t="shared" si="1"/>
        <v>14464.8</v>
      </c>
      <c r="L34" s="825"/>
      <c r="M34" s="811"/>
    </row>
    <row r="35" spans="1:13" ht="13.8" hidden="1">
      <c r="A35" s="787"/>
      <c r="B35" s="822" t="s">
        <v>67</v>
      </c>
      <c r="C35" s="823" t="s">
        <v>68</v>
      </c>
      <c r="D35" s="824" t="s">
        <v>264</v>
      </c>
      <c r="E35" s="419" t="s">
        <v>70</v>
      </c>
      <c r="F35" s="80">
        <f>ROUND(6000*1.47/TC,2)</f>
        <v>8820</v>
      </c>
      <c r="G35" s="594">
        <f>1*0</f>
        <v>0</v>
      </c>
      <c r="H35" s="594">
        <v>1</v>
      </c>
      <c r="I35" s="594">
        <f t="shared" si="2"/>
        <v>1.23</v>
      </c>
      <c r="J35" s="50">
        <v>1</v>
      </c>
      <c r="K35" s="80">
        <f t="shared" si="1"/>
        <v>0</v>
      </c>
      <c r="L35" s="825"/>
      <c r="M35" s="811"/>
    </row>
    <row r="36" spans="1:13" ht="13.8">
      <c r="A36" s="787"/>
      <c r="B36" s="822" t="s">
        <v>67</v>
      </c>
      <c r="C36" s="823" t="s">
        <v>68</v>
      </c>
      <c r="D36" s="824" t="s">
        <v>265</v>
      </c>
      <c r="E36" s="419" t="s">
        <v>70</v>
      </c>
      <c r="F36" s="80">
        <f>ROUND(6500*1.47/TC,2)</f>
        <v>9555</v>
      </c>
      <c r="G36" s="594">
        <v>2</v>
      </c>
      <c r="H36" s="594">
        <v>1</v>
      </c>
      <c r="I36" s="594">
        <f t="shared" si="2"/>
        <v>1.23</v>
      </c>
      <c r="J36" s="50">
        <v>1</v>
      </c>
      <c r="K36" s="80">
        <f t="shared" si="1"/>
        <v>23505.3</v>
      </c>
      <c r="L36" s="825"/>
      <c r="M36" s="811"/>
    </row>
    <row r="37" spans="1:13" ht="13.8" hidden="1">
      <c r="A37" s="787"/>
      <c r="B37" s="822" t="s">
        <v>67</v>
      </c>
      <c r="C37" s="823" t="s">
        <v>68</v>
      </c>
      <c r="D37" s="824" t="s">
        <v>266</v>
      </c>
      <c r="E37" s="419" t="s">
        <v>70</v>
      </c>
      <c r="F37" s="80">
        <f>ROUND(8000*1.47/TC,2)</f>
        <v>11760</v>
      </c>
      <c r="G37" s="594">
        <f>1*0</f>
        <v>0</v>
      </c>
      <c r="H37" s="594">
        <v>1</v>
      </c>
      <c r="I37" s="594">
        <f t="shared" si="2"/>
        <v>1.23</v>
      </c>
      <c r="J37" s="50">
        <v>0.5</v>
      </c>
      <c r="K37" s="80">
        <f t="shared" si="1"/>
        <v>0</v>
      </c>
      <c r="L37" s="825"/>
      <c r="M37" s="811"/>
    </row>
    <row r="38" spans="1:13" ht="13.8">
      <c r="A38" s="787"/>
      <c r="B38" s="822" t="s">
        <v>67</v>
      </c>
      <c r="C38" s="823" t="s">
        <v>68</v>
      </c>
      <c r="D38" s="824" t="s">
        <v>267</v>
      </c>
      <c r="E38" s="419" t="s">
        <v>70</v>
      </c>
      <c r="F38" s="80">
        <f>ROUND(5500*1.47/TC,2)</f>
        <v>8085</v>
      </c>
      <c r="G38" s="594">
        <v>1</v>
      </c>
      <c r="H38" s="594">
        <v>1</v>
      </c>
      <c r="I38" s="594">
        <f t="shared" si="2"/>
        <v>1.23</v>
      </c>
      <c r="J38" s="50">
        <v>1</v>
      </c>
      <c r="K38" s="80">
        <f t="shared" si="1"/>
        <v>9944.5499999999993</v>
      </c>
      <c r="L38" s="825"/>
      <c r="M38" s="811"/>
    </row>
    <row r="39" spans="1:13" ht="13.8">
      <c r="A39" s="853"/>
      <c r="B39" s="822" t="s">
        <v>67</v>
      </c>
      <c r="C39" s="823" t="s">
        <v>68</v>
      </c>
      <c r="D39" s="824" t="s">
        <v>268</v>
      </c>
      <c r="E39" s="419" t="s">
        <v>70</v>
      </c>
      <c r="F39" s="80">
        <f>ROUND(3500*1.47/TC,2)</f>
        <v>5145</v>
      </c>
      <c r="G39" s="594">
        <v>1</v>
      </c>
      <c r="H39" s="594">
        <v>1</v>
      </c>
      <c r="I39" s="594">
        <f t="shared" si="2"/>
        <v>1.23</v>
      </c>
      <c r="J39" s="50">
        <v>0.5</v>
      </c>
      <c r="K39" s="80">
        <f t="shared" si="1"/>
        <v>3164.1749999999997</v>
      </c>
      <c r="L39" s="825"/>
      <c r="M39" s="854"/>
    </row>
    <row r="40" spans="1:13" ht="13.8" hidden="1">
      <c r="A40" s="853"/>
      <c r="B40" s="822" t="s">
        <v>67</v>
      </c>
      <c r="C40" s="823" t="s">
        <v>68</v>
      </c>
      <c r="D40" s="824" t="s">
        <v>269</v>
      </c>
      <c r="E40" s="419" t="s">
        <v>70</v>
      </c>
      <c r="F40" s="80">
        <f>ROUND(8000*1.47/TC,2)</f>
        <v>11760</v>
      </c>
      <c r="G40" s="594">
        <v>0</v>
      </c>
      <c r="H40" s="594">
        <v>1</v>
      </c>
      <c r="I40" s="594">
        <f t="shared" si="2"/>
        <v>1.23</v>
      </c>
      <c r="J40" s="50">
        <v>0.5</v>
      </c>
      <c r="K40" s="80">
        <f t="shared" si="1"/>
        <v>0</v>
      </c>
      <c r="L40" s="825"/>
      <c r="M40" s="854"/>
    </row>
    <row r="41" spans="1:13" ht="13.8">
      <c r="A41" s="853"/>
      <c r="B41" s="822" t="s">
        <v>67</v>
      </c>
      <c r="C41" s="823" t="s">
        <v>68</v>
      </c>
      <c r="D41" s="824" t="s">
        <v>270</v>
      </c>
      <c r="E41" s="419" t="s">
        <v>70</v>
      </c>
      <c r="F41" s="80">
        <f>ROUND(6000*1.47/TC,2)</f>
        <v>8820</v>
      </c>
      <c r="G41" s="594">
        <v>1</v>
      </c>
      <c r="H41" s="594">
        <v>1</v>
      </c>
      <c r="I41" s="594">
        <f t="shared" si="2"/>
        <v>1.23</v>
      </c>
      <c r="J41" s="50">
        <v>1</v>
      </c>
      <c r="K41" s="80">
        <f t="shared" si="1"/>
        <v>10848.6</v>
      </c>
      <c r="L41" s="825"/>
      <c r="M41" s="854"/>
    </row>
    <row r="42" spans="1:13" ht="13.8" hidden="1">
      <c r="A42" s="787"/>
      <c r="B42" s="822" t="s">
        <v>67</v>
      </c>
      <c r="C42" s="823" t="s">
        <v>68</v>
      </c>
      <c r="D42" s="824" t="s">
        <v>719</v>
      </c>
      <c r="E42" s="419" t="s">
        <v>70</v>
      </c>
      <c r="F42" s="80">
        <f>ROUND(4500*1.47/TC,2)</f>
        <v>6615</v>
      </c>
      <c r="G42" s="594">
        <v>0</v>
      </c>
      <c r="H42" s="594">
        <v>1</v>
      </c>
      <c r="I42" s="594">
        <f>$I$31</f>
        <v>1.23</v>
      </c>
      <c r="J42" s="50">
        <v>0.5</v>
      </c>
      <c r="K42" s="80">
        <f t="shared" si="1"/>
        <v>0</v>
      </c>
      <c r="L42" s="825"/>
      <c r="M42" s="811"/>
    </row>
    <row r="43" spans="1:13" ht="13.8" hidden="1">
      <c r="A43" s="787"/>
      <c r="B43" s="822" t="s">
        <v>67</v>
      </c>
      <c r="C43" s="823" t="s">
        <v>68</v>
      </c>
      <c r="D43" s="824" t="s">
        <v>669</v>
      </c>
      <c r="E43" s="419" t="s">
        <v>70</v>
      </c>
      <c r="F43" s="80">
        <f>ROUND(5000*1.47/TC,2)</f>
        <v>7350</v>
      </c>
      <c r="G43" s="594">
        <v>0</v>
      </c>
      <c r="H43" s="594">
        <v>1</v>
      </c>
      <c r="I43" s="594">
        <f>$I$31</f>
        <v>1.23</v>
      </c>
      <c r="J43" s="50">
        <v>0.5</v>
      </c>
      <c r="K43" s="80">
        <f t="shared" si="1"/>
        <v>0</v>
      </c>
      <c r="L43" s="825"/>
      <c r="M43" s="811"/>
    </row>
    <row r="44" spans="1:13" ht="13.8" hidden="1">
      <c r="A44" s="787"/>
      <c r="B44" s="822" t="s">
        <v>67</v>
      </c>
      <c r="C44" s="823" t="s">
        <v>68</v>
      </c>
      <c r="D44" s="824" t="s">
        <v>72</v>
      </c>
      <c r="E44" s="419" t="s">
        <v>70</v>
      </c>
      <c r="F44" s="80">
        <f>ROUND(4500*1.47/TC,2)</f>
        <v>6615</v>
      </c>
      <c r="G44" s="594">
        <v>0</v>
      </c>
      <c r="H44" s="594">
        <v>1</v>
      </c>
      <c r="I44" s="594">
        <f>$I$31</f>
        <v>1.23</v>
      </c>
      <c r="J44" s="50">
        <v>1</v>
      </c>
      <c r="K44" s="80">
        <f t="shared" si="1"/>
        <v>0</v>
      </c>
      <c r="L44" s="825"/>
      <c r="M44" s="811"/>
    </row>
    <row r="45" spans="1:13" ht="13.8">
      <c r="A45" s="787"/>
      <c r="B45" s="822"/>
      <c r="C45" s="823"/>
      <c r="D45" s="824"/>
      <c r="E45" s="85"/>
      <c r="F45" s="80"/>
      <c r="G45" s="594"/>
      <c r="H45" s="594"/>
      <c r="I45" s="594"/>
      <c r="J45" s="50"/>
      <c r="K45" s="80"/>
      <c r="L45" s="825"/>
      <c r="M45" s="811"/>
    </row>
    <row r="46" spans="1:13" ht="13.8">
      <c r="A46" s="787"/>
      <c r="B46" s="850"/>
      <c r="C46" s="851">
        <v>2</v>
      </c>
      <c r="D46" s="852" t="s">
        <v>73</v>
      </c>
      <c r="E46" s="817"/>
      <c r="F46" s="75"/>
      <c r="G46" s="42"/>
      <c r="H46" s="42"/>
      <c r="I46" s="42"/>
      <c r="J46" s="76"/>
      <c r="K46" s="80"/>
      <c r="L46" s="821">
        <f>SUBTOTAL(9,K47:K51)</f>
        <v>10826.9889</v>
      </c>
      <c r="M46" s="811"/>
    </row>
    <row r="47" spans="1:13" ht="13.8">
      <c r="A47" s="787"/>
      <c r="B47" s="822" t="s">
        <v>67</v>
      </c>
      <c r="C47" s="823" t="s">
        <v>68</v>
      </c>
      <c r="D47" s="824" t="s">
        <v>271</v>
      </c>
      <c r="E47" s="419" t="s">
        <v>70</v>
      </c>
      <c r="F47" s="80">
        <f>ROUND([1]Tarifas!D133*11*30*V2,2)</f>
        <v>2187.4299999999998</v>
      </c>
      <c r="G47" s="594">
        <v>1</v>
      </c>
      <c r="H47" s="594">
        <v>1</v>
      </c>
      <c r="I47" s="594">
        <f>$I$31</f>
        <v>1.23</v>
      </c>
      <c r="J47" s="50">
        <v>1</v>
      </c>
      <c r="K47" s="80">
        <f t="shared" ref="K47:K51" si="3">PRODUCT(F47:J47)</f>
        <v>2690.5388999999996</v>
      </c>
      <c r="L47" s="855"/>
      <c r="M47" s="811"/>
    </row>
    <row r="48" spans="1:13" ht="13.8">
      <c r="A48" s="787"/>
      <c r="B48" s="822" t="s">
        <v>67</v>
      </c>
      <c r="C48" s="823" t="s">
        <v>68</v>
      </c>
      <c r="D48" s="824" t="s">
        <v>281</v>
      </c>
      <c r="E48" s="419" t="s">
        <v>70</v>
      </c>
      <c r="F48" s="80">
        <f>ROUND(4500*1.47/TC,2)</f>
        <v>6615</v>
      </c>
      <c r="G48" s="594">
        <v>1</v>
      </c>
      <c r="H48" s="594">
        <v>1</v>
      </c>
      <c r="I48" s="594">
        <f t="shared" ref="I48:I51" si="4">$I$31</f>
        <v>1.23</v>
      </c>
      <c r="J48" s="50">
        <v>1</v>
      </c>
      <c r="K48" s="80">
        <f t="shared" si="3"/>
        <v>8136.45</v>
      </c>
      <c r="L48" s="855"/>
      <c r="M48" s="811"/>
    </row>
    <row r="49" spans="1:13" ht="13.8" hidden="1">
      <c r="A49" s="787"/>
      <c r="B49" s="822" t="s">
        <v>67</v>
      </c>
      <c r="C49" s="823" t="s">
        <v>68</v>
      </c>
      <c r="D49" s="844" t="s">
        <v>74</v>
      </c>
      <c r="E49" s="419" t="s">
        <v>70</v>
      </c>
      <c r="F49" s="80">
        <f>ROUND(3500*1.47/TC,2)</f>
        <v>5145</v>
      </c>
      <c r="G49" s="594">
        <v>0</v>
      </c>
      <c r="H49" s="594">
        <v>1</v>
      </c>
      <c r="I49" s="594">
        <f t="shared" si="4"/>
        <v>1.23</v>
      </c>
      <c r="J49" s="50">
        <v>1</v>
      </c>
      <c r="K49" s="80">
        <f t="shared" si="3"/>
        <v>0</v>
      </c>
      <c r="L49" s="855"/>
      <c r="M49" s="811"/>
    </row>
    <row r="50" spans="1:13" ht="13.8" hidden="1">
      <c r="A50" s="787"/>
      <c r="B50" s="822" t="s">
        <v>67</v>
      </c>
      <c r="C50" s="823" t="s">
        <v>68</v>
      </c>
      <c r="D50" s="824" t="s">
        <v>282</v>
      </c>
      <c r="E50" s="419" t="s">
        <v>70</v>
      </c>
      <c r="F50" s="80">
        <f>ROUND(3500*1.47/TC,2)</f>
        <v>5145</v>
      </c>
      <c r="G50" s="594">
        <v>0</v>
      </c>
      <c r="H50" s="594">
        <v>1</v>
      </c>
      <c r="I50" s="594">
        <f t="shared" si="4"/>
        <v>1.23</v>
      </c>
      <c r="J50" s="50">
        <v>0.5</v>
      </c>
      <c r="K50" s="80">
        <f t="shared" si="3"/>
        <v>0</v>
      </c>
      <c r="L50" s="855"/>
      <c r="M50" s="811"/>
    </row>
    <row r="51" spans="1:13" ht="13.8" hidden="1">
      <c r="A51" s="787"/>
      <c r="B51" s="822" t="s">
        <v>67</v>
      </c>
      <c r="C51" s="823" t="s">
        <v>68</v>
      </c>
      <c r="D51" s="824" t="s">
        <v>131</v>
      </c>
      <c r="E51" s="419" t="s">
        <v>70</v>
      </c>
      <c r="F51" s="80">
        <f>ROUND([1]Tarifas!D135*11*30*V2,)</f>
        <v>1728</v>
      </c>
      <c r="G51" s="594">
        <v>0</v>
      </c>
      <c r="H51" s="594">
        <v>1</v>
      </c>
      <c r="I51" s="594">
        <f t="shared" si="4"/>
        <v>1.23</v>
      </c>
      <c r="J51" s="50">
        <v>1</v>
      </c>
      <c r="K51" s="80">
        <f t="shared" si="3"/>
        <v>0</v>
      </c>
      <c r="L51" s="855"/>
      <c r="M51" s="811"/>
    </row>
    <row r="52" spans="1:13" ht="13.8">
      <c r="A52" s="787"/>
      <c r="B52" s="822"/>
      <c r="C52" s="823"/>
      <c r="D52" s="824"/>
      <c r="E52" s="85"/>
      <c r="F52" s="80"/>
      <c r="G52" s="594"/>
      <c r="H52" s="594"/>
      <c r="I52" s="594"/>
      <c r="J52" s="50"/>
      <c r="K52" s="80"/>
      <c r="L52" s="855"/>
      <c r="M52" s="811"/>
    </row>
    <row r="53" spans="1:13" ht="13.8">
      <c r="A53" s="787"/>
      <c r="B53" s="850"/>
      <c r="C53" s="851">
        <v>3</v>
      </c>
      <c r="D53" s="852" t="s">
        <v>75</v>
      </c>
      <c r="E53" s="817"/>
      <c r="F53" s="75"/>
      <c r="G53" s="42"/>
      <c r="H53" s="42"/>
      <c r="I53" s="42"/>
      <c r="J53" s="76"/>
      <c r="K53" s="80"/>
      <c r="L53" s="821">
        <f>SUBTOTAL(9,K54:K57)</f>
        <v>0</v>
      </c>
      <c r="M53" s="811"/>
    </row>
    <row r="54" spans="1:13" ht="13.8" hidden="1">
      <c r="A54" s="787"/>
      <c r="B54" s="822" t="s">
        <v>67</v>
      </c>
      <c r="C54" s="823" t="s">
        <v>68</v>
      </c>
      <c r="D54" s="824" t="s">
        <v>76</v>
      </c>
      <c r="E54" s="419" t="s">
        <v>70</v>
      </c>
      <c r="F54" s="80">
        <f>ROUND(4000*1.47/TC,2)</f>
        <v>5880</v>
      </c>
      <c r="G54" s="594">
        <f>1*0</f>
        <v>0</v>
      </c>
      <c r="H54" s="594">
        <v>1</v>
      </c>
      <c r="I54" s="594">
        <f t="shared" ref="I54:I57" si="5">$I$31</f>
        <v>1.23</v>
      </c>
      <c r="J54" s="50">
        <v>1</v>
      </c>
      <c r="K54" s="80">
        <f t="shared" ref="K54:K57" si="6">PRODUCT(F54:J54)</f>
        <v>0</v>
      </c>
      <c r="L54" s="825"/>
      <c r="M54" s="811"/>
    </row>
    <row r="55" spans="1:13" ht="13.8" hidden="1">
      <c r="A55" s="787"/>
      <c r="B55" s="822" t="s">
        <v>67</v>
      </c>
      <c r="C55" s="823" t="s">
        <v>68</v>
      </c>
      <c r="D55" s="824" t="s">
        <v>682</v>
      </c>
      <c r="E55" s="419" t="s">
        <v>70</v>
      </c>
      <c r="F55" s="80">
        <f>ROUND(3800*1.47/TC,2)</f>
        <v>5586</v>
      </c>
      <c r="G55" s="594">
        <f>1*0</f>
        <v>0</v>
      </c>
      <c r="H55" s="594">
        <v>1</v>
      </c>
      <c r="I55" s="594">
        <f t="shared" si="5"/>
        <v>1.23</v>
      </c>
      <c r="J55" s="50">
        <v>0.5</v>
      </c>
      <c r="K55" s="80">
        <f t="shared" si="6"/>
        <v>0</v>
      </c>
      <c r="L55" s="825"/>
      <c r="M55" s="811"/>
    </row>
    <row r="56" spans="1:13" ht="13.8" hidden="1">
      <c r="A56" s="787"/>
      <c r="B56" s="822" t="s">
        <v>67</v>
      </c>
      <c r="C56" s="823" t="s">
        <v>68</v>
      </c>
      <c r="D56" s="824" t="s">
        <v>77</v>
      </c>
      <c r="E56" s="419" t="s">
        <v>70</v>
      </c>
      <c r="F56" s="80">
        <f>ROUND(3100*1.47/TC,2)</f>
        <v>4557</v>
      </c>
      <c r="G56" s="594">
        <f>1*0</f>
        <v>0</v>
      </c>
      <c r="H56" s="594">
        <v>1</v>
      </c>
      <c r="I56" s="594">
        <f t="shared" si="5"/>
        <v>1.23</v>
      </c>
      <c r="J56" s="50">
        <v>1</v>
      </c>
      <c r="K56" s="80">
        <f t="shared" si="6"/>
        <v>0</v>
      </c>
      <c r="L56" s="825"/>
      <c r="M56" s="811"/>
    </row>
    <row r="57" spans="1:13" ht="13.8" hidden="1">
      <c r="A57" s="787"/>
      <c r="B57" s="856" t="s">
        <v>67</v>
      </c>
      <c r="C57" s="857" t="s">
        <v>68</v>
      </c>
      <c r="D57" s="844" t="s">
        <v>78</v>
      </c>
      <c r="E57" s="858" t="s">
        <v>70</v>
      </c>
      <c r="F57" s="428">
        <f>ROUND(3100*1.47/TC,2)</f>
        <v>4557</v>
      </c>
      <c r="G57" s="594">
        <f>1*0</f>
        <v>0</v>
      </c>
      <c r="H57" s="429">
        <v>1</v>
      </c>
      <c r="I57" s="594">
        <f t="shared" si="5"/>
        <v>1.23</v>
      </c>
      <c r="J57" s="50">
        <v>0.5</v>
      </c>
      <c r="K57" s="428">
        <f t="shared" si="6"/>
        <v>0</v>
      </c>
      <c r="L57" s="859"/>
      <c r="M57" s="811"/>
    </row>
    <row r="58" spans="1:13" ht="13.8">
      <c r="A58" s="787"/>
      <c r="B58" s="822"/>
      <c r="C58" s="823"/>
      <c r="D58" s="824"/>
      <c r="E58" s="85"/>
      <c r="F58" s="80"/>
      <c r="G58" s="594"/>
      <c r="H58" s="594"/>
      <c r="I58" s="594"/>
      <c r="J58" s="50"/>
      <c r="K58" s="80"/>
      <c r="L58" s="825"/>
      <c r="M58" s="811"/>
    </row>
    <row r="59" spans="1:13" ht="13.8">
      <c r="A59" s="787"/>
      <c r="B59" s="850"/>
      <c r="C59" s="851">
        <v>4</v>
      </c>
      <c r="D59" s="852" t="s">
        <v>79</v>
      </c>
      <c r="E59" s="817"/>
      <c r="F59" s="75"/>
      <c r="G59" s="42"/>
      <c r="H59" s="42"/>
      <c r="I59" s="42"/>
      <c r="J59" s="76"/>
      <c r="K59" s="80"/>
      <c r="L59" s="821">
        <f>SUBTOTAL(9,K60:K63)</f>
        <v>9944.5499999999993</v>
      </c>
      <c r="M59" s="811"/>
    </row>
    <row r="60" spans="1:13" ht="13.8">
      <c r="A60" s="787"/>
      <c r="B60" s="822" t="s">
        <v>67</v>
      </c>
      <c r="C60" s="823" t="s">
        <v>68</v>
      </c>
      <c r="D60" s="824" t="s">
        <v>19</v>
      </c>
      <c r="E60" s="85" t="s">
        <v>70</v>
      </c>
      <c r="F60" s="80">
        <f>2750*1.47/TC</f>
        <v>4042.5</v>
      </c>
      <c r="G60" s="594">
        <v>1</v>
      </c>
      <c r="H60" s="594">
        <v>1</v>
      </c>
      <c r="I60" s="594">
        <f t="shared" ref="I60:I63" si="7">$I$31</f>
        <v>1.23</v>
      </c>
      <c r="J60" s="50">
        <v>1</v>
      </c>
      <c r="K60" s="80">
        <f t="shared" ref="K60:K63" si="8">PRODUCT(F60:J60)</f>
        <v>4972.2749999999996</v>
      </c>
      <c r="L60" s="825"/>
      <c r="M60" s="811"/>
    </row>
    <row r="61" spans="1:13" s="853" customFormat="1" ht="12" customHeight="1">
      <c r="A61" s="860"/>
      <c r="B61" s="822" t="s">
        <v>67</v>
      </c>
      <c r="C61" s="823" t="s">
        <v>68</v>
      </c>
      <c r="D61" s="824" t="s">
        <v>620</v>
      </c>
      <c r="E61" s="85" t="s">
        <v>70</v>
      </c>
      <c r="F61" s="80">
        <f>2750*1.47/TC</f>
        <v>4042.5</v>
      </c>
      <c r="G61" s="594">
        <v>1</v>
      </c>
      <c r="H61" s="594">
        <v>1</v>
      </c>
      <c r="I61" s="594">
        <f t="shared" si="7"/>
        <v>1.23</v>
      </c>
      <c r="J61" s="50">
        <v>1</v>
      </c>
      <c r="K61" s="80">
        <f t="shared" si="8"/>
        <v>4972.2749999999996</v>
      </c>
      <c r="L61" s="861"/>
      <c r="M61" s="854"/>
    </row>
    <row r="62" spans="1:13" s="853" customFormat="1" ht="12" hidden="1" customHeight="1">
      <c r="A62" s="860"/>
      <c r="B62" s="822" t="s">
        <v>67</v>
      </c>
      <c r="C62" s="823" t="s">
        <v>68</v>
      </c>
      <c r="D62" s="824" t="s">
        <v>583</v>
      </c>
      <c r="E62" s="85" t="s">
        <v>70</v>
      </c>
      <c r="F62" s="80">
        <f>2750*1.47/TC</f>
        <v>4042.5</v>
      </c>
      <c r="G62" s="594">
        <v>0</v>
      </c>
      <c r="H62" s="594">
        <v>1</v>
      </c>
      <c r="I62" s="594">
        <f t="shared" si="7"/>
        <v>1.23</v>
      </c>
      <c r="J62" s="50">
        <v>0</v>
      </c>
      <c r="K62" s="80">
        <f t="shared" si="8"/>
        <v>0</v>
      </c>
      <c r="L62" s="861"/>
      <c r="M62" s="854"/>
    </row>
    <row r="63" spans="1:13" ht="13.8" hidden="1">
      <c r="A63" s="787"/>
      <c r="B63" s="822" t="s">
        <v>67</v>
      </c>
      <c r="C63" s="857" t="s">
        <v>68</v>
      </c>
      <c r="D63" s="824" t="s">
        <v>668</v>
      </c>
      <c r="E63" s="419" t="s">
        <v>70</v>
      </c>
      <c r="F63" s="80">
        <f>2750*1.47/TC</f>
        <v>4042.5</v>
      </c>
      <c r="G63" s="594">
        <v>0</v>
      </c>
      <c r="H63" s="594">
        <v>1</v>
      </c>
      <c r="I63" s="594">
        <f t="shared" si="7"/>
        <v>1.23</v>
      </c>
      <c r="J63" s="50">
        <v>0</v>
      </c>
      <c r="K63" s="80">
        <f t="shared" si="8"/>
        <v>0</v>
      </c>
      <c r="L63" s="825"/>
      <c r="M63" s="811"/>
    </row>
    <row r="64" spans="1:13" ht="13.8">
      <c r="A64" s="787"/>
      <c r="B64" s="822"/>
      <c r="C64" s="823"/>
      <c r="D64" s="824"/>
      <c r="E64" s="85"/>
      <c r="F64" s="80"/>
      <c r="G64" s="594"/>
      <c r="H64" s="594"/>
      <c r="I64" s="594"/>
      <c r="J64" s="50"/>
      <c r="K64" s="80"/>
      <c r="L64" s="855"/>
      <c r="M64" s="811"/>
    </row>
    <row r="65" spans="1:13" ht="13.8">
      <c r="A65" s="787"/>
      <c r="B65" s="850"/>
      <c r="C65" s="862">
        <v>5</v>
      </c>
      <c r="D65" s="852" t="s">
        <v>80</v>
      </c>
      <c r="E65" s="817"/>
      <c r="F65" s="75"/>
      <c r="G65" s="42"/>
      <c r="H65" s="42"/>
      <c r="I65" s="42"/>
      <c r="J65" s="76"/>
      <c r="K65" s="80"/>
      <c r="L65" s="821">
        <f>SUBTOTAL(9,K66:K70)</f>
        <v>7749</v>
      </c>
      <c r="M65" s="811"/>
    </row>
    <row r="66" spans="1:13" ht="13.8">
      <c r="A66" s="787"/>
      <c r="B66" s="822" t="s">
        <v>67</v>
      </c>
      <c r="C66" s="823" t="s">
        <v>68</v>
      </c>
      <c r="D66" s="824" t="s">
        <v>19</v>
      </c>
      <c r="E66" s="419" t="s">
        <v>70</v>
      </c>
      <c r="F66" s="80">
        <f>ROUNDUP(60*30,2)</f>
        <v>1800</v>
      </c>
      <c r="G66" s="594">
        <v>1</v>
      </c>
      <c r="H66" s="594">
        <v>1</v>
      </c>
      <c r="I66" s="594">
        <f t="shared" ref="I66:I70" si="9">$I$31</f>
        <v>1.23</v>
      </c>
      <c r="J66" s="50">
        <v>1</v>
      </c>
      <c r="K66" s="80">
        <f t="shared" ref="K66:K70" si="10">PRODUCT(F66:J66)</f>
        <v>2214</v>
      </c>
      <c r="L66" s="825"/>
      <c r="M66" s="811"/>
    </row>
    <row r="67" spans="1:13" ht="13.8">
      <c r="A67" s="787"/>
      <c r="B67" s="822" t="s">
        <v>67</v>
      </c>
      <c r="C67" s="823" t="s">
        <v>68</v>
      </c>
      <c r="D67" s="824" t="s">
        <v>620</v>
      </c>
      <c r="E67" s="419" t="s">
        <v>70</v>
      </c>
      <c r="F67" s="80">
        <f>ROUNDUP(150*30,2)</f>
        <v>4500</v>
      </c>
      <c r="G67" s="594">
        <v>1</v>
      </c>
      <c r="H67" s="594">
        <v>1</v>
      </c>
      <c r="I67" s="594">
        <f t="shared" si="9"/>
        <v>1.23</v>
      </c>
      <c r="J67" s="50">
        <v>1</v>
      </c>
      <c r="K67" s="80">
        <f t="shared" si="10"/>
        <v>5535</v>
      </c>
      <c r="L67" s="825"/>
      <c r="M67" s="811"/>
    </row>
    <row r="68" spans="1:13" ht="13.8" hidden="1">
      <c r="A68" s="787"/>
      <c r="B68" s="822" t="s">
        <v>67</v>
      </c>
      <c r="C68" s="823" t="s">
        <v>68</v>
      </c>
      <c r="D68" s="824" t="s">
        <v>583</v>
      </c>
      <c r="E68" s="419" t="s">
        <v>70</v>
      </c>
      <c r="F68" s="80">
        <f>ROUNDUP(85*30,2)</f>
        <v>2550</v>
      </c>
      <c r="G68" s="594">
        <v>0</v>
      </c>
      <c r="H68" s="594">
        <v>1</v>
      </c>
      <c r="I68" s="594">
        <f t="shared" si="9"/>
        <v>1.23</v>
      </c>
      <c r="J68" s="50">
        <v>1</v>
      </c>
      <c r="K68" s="80">
        <f t="shared" si="10"/>
        <v>0</v>
      </c>
      <c r="L68" s="825"/>
      <c r="M68" s="811"/>
    </row>
    <row r="69" spans="1:13" ht="13.8" hidden="1">
      <c r="A69" s="787"/>
      <c r="B69" s="822" t="s">
        <v>67</v>
      </c>
      <c r="C69" s="823" t="s">
        <v>68</v>
      </c>
      <c r="D69" s="824" t="s">
        <v>668</v>
      </c>
      <c r="E69" s="419" t="s">
        <v>70</v>
      </c>
      <c r="F69" s="80">
        <f>ROUNDUP(200*30,2)</f>
        <v>6000</v>
      </c>
      <c r="G69" s="594">
        <f>1*0</f>
        <v>0</v>
      </c>
      <c r="H69" s="594">
        <v>1</v>
      </c>
      <c r="I69" s="594">
        <f t="shared" si="9"/>
        <v>1.23</v>
      </c>
      <c r="J69" s="50">
        <v>0</v>
      </c>
      <c r="K69" s="80">
        <f t="shared" si="10"/>
        <v>0</v>
      </c>
      <c r="L69" s="825"/>
      <c r="M69" s="811"/>
    </row>
    <row r="70" spans="1:13" ht="13.8" hidden="1">
      <c r="A70" s="787"/>
      <c r="B70" s="856" t="s">
        <v>67</v>
      </c>
      <c r="C70" s="823" t="s">
        <v>68</v>
      </c>
      <c r="D70" s="844" t="s">
        <v>581</v>
      </c>
      <c r="E70" s="858" t="s">
        <v>70</v>
      </c>
      <c r="F70" s="428">
        <f>ROUNDUP(130*30,2)</f>
        <v>3900</v>
      </c>
      <c r="G70" s="594">
        <f>1*0</f>
        <v>0</v>
      </c>
      <c r="H70" s="429">
        <v>1</v>
      </c>
      <c r="I70" s="594">
        <f t="shared" si="9"/>
        <v>1.23</v>
      </c>
      <c r="J70" s="430">
        <v>0.5</v>
      </c>
      <c r="K70" s="428">
        <f t="shared" si="10"/>
        <v>0</v>
      </c>
      <c r="L70" s="855"/>
      <c r="M70" s="811"/>
    </row>
    <row r="71" spans="1:13" ht="13.8">
      <c r="A71" s="787"/>
      <c r="B71" s="822"/>
      <c r="C71" s="823"/>
      <c r="D71" s="824"/>
      <c r="E71" s="85"/>
      <c r="F71" s="80"/>
      <c r="G71" s="594"/>
      <c r="H71" s="594"/>
      <c r="I71" s="594"/>
      <c r="J71" s="50"/>
      <c r="K71" s="80"/>
      <c r="L71" s="855"/>
      <c r="M71" s="811"/>
    </row>
    <row r="72" spans="1:13" ht="13.8">
      <c r="A72" s="787"/>
      <c r="B72" s="850"/>
      <c r="C72" s="851">
        <v>6</v>
      </c>
      <c r="D72" s="852" t="s">
        <v>63</v>
      </c>
      <c r="E72" s="817"/>
      <c r="F72" s="75"/>
      <c r="G72" s="42"/>
      <c r="H72" s="42"/>
      <c r="I72" s="42"/>
      <c r="J72" s="76"/>
      <c r="K72" s="77"/>
      <c r="L72" s="821">
        <f>SUBTOTAL(9,K73:K73)</f>
        <v>355.29779999999994</v>
      </c>
      <c r="M72" s="811"/>
    </row>
    <row r="73" spans="1:13" ht="13.8">
      <c r="A73" s="787"/>
      <c r="B73" s="822" t="s">
        <v>67</v>
      </c>
      <c r="C73" s="823" t="s">
        <v>68</v>
      </c>
      <c r="D73" s="824" t="s">
        <v>283</v>
      </c>
      <c r="E73" s="85" t="s">
        <v>81</v>
      </c>
      <c r="F73" s="80">
        <f>ROUND(22/TC,2)</f>
        <v>22</v>
      </c>
      <c r="G73" s="594">
        <f>ROUNDUP(0.5*('Equipos-Personal (HH y HM)'!B41+SUMPRODUCT('1.3 Gastos Generales'!G31:G63,'1.3 Gastos Generales'!J31:J63))*30/20,2)</f>
        <v>13.129999999999999</v>
      </c>
      <c r="H73" s="594"/>
      <c r="I73" s="594">
        <f t="shared" ref="I73" si="11">$I$31</f>
        <v>1.23</v>
      </c>
      <c r="J73" s="50"/>
      <c r="K73" s="80">
        <f t="shared" ref="K73" si="12">PRODUCT(F73:J73)</f>
        <v>355.29779999999994</v>
      </c>
      <c r="L73" s="863"/>
      <c r="M73" s="811"/>
    </row>
    <row r="74" spans="1:13" ht="13.8">
      <c r="A74" s="787"/>
      <c r="B74" s="822"/>
      <c r="C74" s="823"/>
      <c r="D74" s="824"/>
      <c r="E74" s="85"/>
      <c r="F74" s="80"/>
      <c r="G74" s="594"/>
      <c r="H74" s="594"/>
      <c r="I74" s="594"/>
      <c r="J74" s="50"/>
      <c r="K74" s="80"/>
      <c r="L74" s="825"/>
      <c r="M74" s="811"/>
    </row>
    <row r="75" spans="1:13" ht="13.8">
      <c r="A75" s="787"/>
      <c r="B75" s="850"/>
      <c r="C75" s="851">
        <v>7</v>
      </c>
      <c r="D75" s="852" t="s">
        <v>82</v>
      </c>
      <c r="E75" s="817"/>
      <c r="F75" s="75"/>
      <c r="G75" s="42"/>
      <c r="H75" s="42"/>
      <c r="I75" s="42"/>
      <c r="J75" s="76"/>
      <c r="K75" s="80"/>
      <c r="L75" s="821">
        <f>SUBTOTAL(9,K76:K78)</f>
        <v>4597.125</v>
      </c>
      <c r="M75" s="811"/>
    </row>
    <row r="76" spans="1:13" ht="13.8">
      <c r="A76" s="787"/>
      <c r="B76" s="822" t="s">
        <v>67</v>
      </c>
      <c r="C76" s="823" t="s">
        <v>68</v>
      </c>
      <c r="D76" s="824" t="s">
        <v>83</v>
      </c>
      <c r="E76" s="419" t="s">
        <v>70</v>
      </c>
      <c r="F76" s="80">
        <f>ROUNDUP(1500/24,2)</f>
        <v>62.5</v>
      </c>
      <c r="G76" s="594">
        <f>ROUNDUP(SUM(G32,G36,G38,G54,G41)/2,0)+SUM('Equipos-Personal (HH y HM)'!G7:G19)*2+'Equipos-Personal (HH y HM)'!B33+'Equipos-Personal (HH y HM)'!B31+'Equipos-Personal (HH y HM)'!B34+'Equipos-Personal (HH y HM)'!B39+'Equipos-Personal (HH y HM)'!B40</f>
        <v>47</v>
      </c>
      <c r="H76" s="594"/>
      <c r="I76" s="594">
        <f t="shared" ref="I76:I78" si="13">$I$31</f>
        <v>1.23</v>
      </c>
      <c r="J76" s="50"/>
      <c r="K76" s="80">
        <f t="shared" ref="K76:K78" si="14">PRODUCT(F76:J76)</f>
        <v>3613.125</v>
      </c>
      <c r="L76" s="825"/>
      <c r="M76" s="834"/>
    </row>
    <row r="77" spans="1:13" ht="13.8">
      <c r="A77" s="787"/>
      <c r="B77" s="822" t="s">
        <v>67</v>
      </c>
      <c r="C77" s="823" t="s">
        <v>68</v>
      </c>
      <c r="D77" s="824" t="s">
        <v>84</v>
      </c>
      <c r="E77" s="419" t="s">
        <v>70</v>
      </c>
      <c r="F77" s="80">
        <f>ROUNDUP(100/TC,2)</f>
        <v>100</v>
      </c>
      <c r="G77" s="594">
        <f>COUNT(G31:G33,G37,G40,G43,G44)+G36/2</f>
        <v>8</v>
      </c>
      <c r="H77" s="594"/>
      <c r="I77" s="594">
        <f t="shared" si="13"/>
        <v>1.23</v>
      </c>
      <c r="J77" s="50"/>
      <c r="K77" s="80">
        <f t="shared" si="14"/>
        <v>984</v>
      </c>
      <c r="L77" s="825"/>
      <c r="M77" s="811"/>
    </row>
    <row r="78" spans="1:13" ht="13.8" hidden="1">
      <c r="A78" s="787"/>
      <c r="B78" s="822" t="s">
        <v>67</v>
      </c>
      <c r="C78" s="823" t="s">
        <v>68</v>
      </c>
      <c r="D78" s="824" t="s">
        <v>85</v>
      </c>
      <c r="E78" s="419" t="s">
        <v>70</v>
      </c>
      <c r="F78" s="80">
        <f>ROUNDUP(1100/TC,2)</f>
        <v>1100</v>
      </c>
      <c r="G78" s="594">
        <f>COUNT(G32,G33,G37,G40,G43,G44)*0</f>
        <v>0</v>
      </c>
      <c r="H78" s="594"/>
      <c r="I78" s="594">
        <f t="shared" si="13"/>
        <v>1.23</v>
      </c>
      <c r="J78" s="50"/>
      <c r="K78" s="80">
        <f t="shared" si="14"/>
        <v>0</v>
      </c>
      <c r="L78" s="855"/>
      <c r="M78" s="811"/>
    </row>
    <row r="79" spans="1:13" ht="13.8">
      <c r="A79" s="787"/>
      <c r="B79" s="822"/>
      <c r="C79" s="823"/>
      <c r="D79" s="824"/>
      <c r="E79" s="419"/>
      <c r="F79" s="80"/>
      <c r="G79" s="594"/>
      <c r="H79" s="594"/>
      <c r="I79" s="594"/>
      <c r="J79" s="50"/>
      <c r="K79" s="80"/>
      <c r="L79" s="825"/>
      <c r="M79" s="811"/>
    </row>
    <row r="80" spans="1:13" ht="13.8">
      <c r="A80" s="787"/>
      <c r="B80" s="850"/>
      <c r="C80" s="851">
        <v>8</v>
      </c>
      <c r="D80" s="852" t="s">
        <v>284</v>
      </c>
      <c r="E80" s="817"/>
      <c r="F80" s="75"/>
      <c r="G80" s="42"/>
      <c r="H80" s="42"/>
      <c r="I80" s="42"/>
      <c r="J80" s="76"/>
      <c r="K80" s="80"/>
      <c r="L80" s="821">
        <f>SUBTOTAL(9,K81:K85)</f>
        <v>6289.3701857824399</v>
      </c>
      <c r="M80" s="811"/>
    </row>
    <row r="81" spans="1:14" ht="13.8">
      <c r="A81" s="787"/>
      <c r="B81" s="856" t="s">
        <v>67</v>
      </c>
      <c r="C81" s="857" t="s">
        <v>68</v>
      </c>
      <c r="D81" s="824" t="s">
        <v>89</v>
      </c>
      <c r="E81" s="419" t="s">
        <v>52</v>
      </c>
      <c r="F81" s="80">
        <f>+N84</f>
        <v>686.5110857824402</v>
      </c>
      <c r="G81" s="594">
        <v>1</v>
      </c>
      <c r="H81" s="594"/>
      <c r="I81" s="594"/>
      <c r="J81" s="50"/>
      <c r="K81" s="80">
        <f t="shared" ref="K81:K85" si="15">PRODUCT(F81:J81)</f>
        <v>686.5110857824402</v>
      </c>
      <c r="L81" s="864"/>
      <c r="M81" s="811"/>
      <c r="N81" s="791">
        <v>744185.45884275355</v>
      </c>
    </row>
    <row r="82" spans="1:14" ht="13.8">
      <c r="A82" s="787"/>
      <c r="B82" s="822" t="s">
        <v>67</v>
      </c>
      <c r="C82" s="823" t="s">
        <v>68</v>
      </c>
      <c r="D82" s="824" t="s">
        <v>86</v>
      </c>
      <c r="E82" s="419" t="s">
        <v>70</v>
      </c>
      <c r="F82" s="80">
        <f>ROUNDUP(30/TC,2)</f>
        <v>30</v>
      </c>
      <c r="G82" s="594">
        <f>ROUNDUP(SUMPRODUCT(G31:G63,J31:J63),0)</f>
        <v>12</v>
      </c>
      <c r="H82" s="594"/>
      <c r="I82" s="594">
        <f>$I$31</f>
        <v>1.23</v>
      </c>
      <c r="J82" s="50"/>
      <c r="K82" s="80">
        <f t="shared" si="15"/>
        <v>442.8</v>
      </c>
      <c r="L82" s="825"/>
      <c r="M82" s="811"/>
      <c r="N82" s="791">
        <f>+N81*0.0075</f>
        <v>5581.3909413206511</v>
      </c>
    </row>
    <row r="83" spans="1:14" ht="13.8">
      <c r="A83" s="787"/>
      <c r="B83" s="822" t="s">
        <v>67</v>
      </c>
      <c r="C83" s="823" t="s">
        <v>68</v>
      </c>
      <c r="D83" s="824" t="s">
        <v>87</v>
      </c>
      <c r="E83" s="419" t="s">
        <v>70</v>
      </c>
      <c r="F83" s="80">
        <v>65</v>
      </c>
      <c r="G83" s="594">
        <f>ROUNDUP(SUMPRODUCT(G31:G63,J31:J63),0)</f>
        <v>12</v>
      </c>
      <c r="H83" s="594"/>
      <c r="I83" s="594">
        <f>$I$31</f>
        <v>1.23</v>
      </c>
      <c r="J83" s="50"/>
      <c r="K83" s="80">
        <f t="shared" si="15"/>
        <v>959.4</v>
      </c>
      <c r="L83" s="825"/>
      <c r="M83" s="811"/>
      <c r="N83" s="791">
        <f>+N82*I82</f>
        <v>6865.1108578244011</v>
      </c>
    </row>
    <row r="84" spans="1:14" ht="13.8">
      <c r="A84" s="787"/>
      <c r="B84" s="822" t="s">
        <v>67</v>
      </c>
      <c r="C84" s="823" t="s">
        <v>68</v>
      </c>
      <c r="D84" s="824" t="s">
        <v>88</v>
      </c>
      <c r="E84" s="419" t="s">
        <v>4</v>
      </c>
      <c r="F84" s="80">
        <v>1800</v>
      </c>
      <c r="G84" s="594">
        <f>SUM('Equipos-Personal (HH y HM)'!G7:G19)</f>
        <v>13</v>
      </c>
      <c r="H84" s="594"/>
      <c r="I84" s="594">
        <f>$I$31</f>
        <v>1.23</v>
      </c>
      <c r="J84" s="50">
        <v>0.09</v>
      </c>
      <c r="K84" s="80">
        <f t="shared" si="15"/>
        <v>2590.38</v>
      </c>
      <c r="L84" s="855"/>
      <c r="M84" s="811"/>
      <c r="N84" s="791">
        <f>+N83*0.1</f>
        <v>686.5110857824402</v>
      </c>
    </row>
    <row r="85" spans="1:14" ht="13.8">
      <c r="A85" s="787"/>
      <c r="B85" s="822" t="s">
        <v>67</v>
      </c>
      <c r="C85" s="823" t="s">
        <v>68</v>
      </c>
      <c r="D85" s="824" t="s">
        <v>285</v>
      </c>
      <c r="E85" s="419" t="s">
        <v>70</v>
      </c>
      <c r="F85" s="80">
        <f>ROUNDUP(((70/TC)*1.1)/3,2)</f>
        <v>25.67</v>
      </c>
      <c r="G85" s="594">
        <f>ROUNDUP(SUMPRODUCT(G31:G63,J31:J63),0)+G89</f>
        <v>51</v>
      </c>
      <c r="H85" s="594"/>
      <c r="I85" s="594">
        <f>$I$31</f>
        <v>1.23</v>
      </c>
      <c r="J85" s="50"/>
      <c r="K85" s="80">
        <f t="shared" si="15"/>
        <v>1610.2791</v>
      </c>
      <c r="L85" s="825"/>
      <c r="M85" s="811"/>
    </row>
    <row r="86" spans="1:14" ht="13.8">
      <c r="A86" s="787"/>
      <c r="B86" s="822"/>
      <c r="C86" s="823"/>
      <c r="D86" s="844"/>
      <c r="E86" s="419"/>
      <c r="F86" s="80"/>
      <c r="G86" s="594"/>
      <c r="H86" s="594"/>
      <c r="I86" s="594"/>
      <c r="J86" s="50"/>
      <c r="K86" s="80"/>
      <c r="L86" s="825"/>
      <c r="M86" s="811"/>
    </row>
    <row r="87" spans="1:14" ht="13.8">
      <c r="A87" s="787"/>
      <c r="B87" s="850"/>
      <c r="C87" s="851">
        <v>13</v>
      </c>
      <c r="D87" s="852" t="s">
        <v>90</v>
      </c>
      <c r="E87" s="419"/>
      <c r="F87" s="80"/>
      <c r="G87" s="594"/>
      <c r="H87" s="594"/>
      <c r="I87" s="594"/>
      <c r="J87" s="50"/>
      <c r="K87" s="80"/>
      <c r="L87" s="821">
        <f>SUBTOTAL(9,K88:K96)</f>
        <v>35821.516297499998</v>
      </c>
      <c r="M87" s="811"/>
    </row>
    <row r="88" spans="1:14" ht="13.8">
      <c r="A88" s="787"/>
      <c r="B88" s="822" t="s">
        <v>67</v>
      </c>
      <c r="C88" s="823" t="s">
        <v>68</v>
      </c>
      <c r="D88" s="824" t="s">
        <v>91</v>
      </c>
      <c r="E88" s="419" t="s">
        <v>4</v>
      </c>
      <c r="F88" s="80">
        <f>+'EPPs EMPLEADOS'!H38</f>
        <v>320</v>
      </c>
      <c r="G88" s="594">
        <f>ROUNDUP(SUMPRODUCT(G31:G63,J31:J63),0)</f>
        <v>12</v>
      </c>
      <c r="H88" s="594"/>
      <c r="I88" s="594">
        <v>1</v>
      </c>
      <c r="J88" s="50"/>
      <c r="K88" s="80">
        <f t="shared" ref="K88:K95" si="16">PRODUCT(F88:J88)</f>
        <v>3840</v>
      </c>
      <c r="L88" s="855"/>
      <c r="M88" s="811"/>
    </row>
    <row r="89" spans="1:14" ht="13.8">
      <c r="A89" s="787"/>
      <c r="B89" s="822" t="s">
        <v>67</v>
      </c>
      <c r="C89" s="823" t="s">
        <v>68</v>
      </c>
      <c r="D89" s="824" t="s">
        <v>92</v>
      </c>
      <c r="E89" s="419" t="s">
        <v>4</v>
      </c>
      <c r="F89" s="80">
        <f>+'EEPs OBREROS'!H42</f>
        <v>482</v>
      </c>
      <c r="G89" s="594">
        <f>G20-G88</f>
        <v>39</v>
      </c>
      <c r="H89" s="594"/>
      <c r="I89" s="594">
        <v>1</v>
      </c>
      <c r="J89" s="50"/>
      <c r="K89" s="80">
        <f t="shared" si="16"/>
        <v>18798</v>
      </c>
      <c r="L89" s="855"/>
      <c r="M89" s="811"/>
    </row>
    <row r="90" spans="1:14" ht="13.8">
      <c r="A90" s="787"/>
      <c r="B90" s="822" t="s">
        <v>67</v>
      </c>
      <c r="C90" s="823" t="s">
        <v>68</v>
      </c>
      <c r="D90" s="824" t="s">
        <v>671</v>
      </c>
      <c r="E90" s="419" t="s">
        <v>4</v>
      </c>
      <c r="F90" s="80">
        <f>AVERAGE(F88:F89)</f>
        <v>401</v>
      </c>
      <c r="G90" s="594">
        <v>1</v>
      </c>
      <c r="H90" s="594"/>
      <c r="I90" s="594">
        <f>$I$31</f>
        <v>1.23</v>
      </c>
      <c r="J90" s="50"/>
      <c r="K90" s="80">
        <f t="shared" si="16"/>
        <v>493.23</v>
      </c>
      <c r="L90" s="855"/>
      <c r="M90" s="811"/>
    </row>
    <row r="91" spans="1:14" ht="13.8" hidden="1">
      <c r="A91" s="787"/>
      <c r="B91" s="822"/>
      <c r="C91" s="823" t="s">
        <v>68</v>
      </c>
      <c r="D91" s="824" t="s">
        <v>687</v>
      </c>
      <c r="E91" s="419" t="s">
        <v>5</v>
      </c>
      <c r="F91" s="80">
        <f>22</f>
        <v>22</v>
      </c>
      <c r="G91" s="594">
        <v>0</v>
      </c>
      <c r="H91" s="594"/>
      <c r="I91" s="594">
        <f>I90</f>
        <v>1.23</v>
      </c>
      <c r="J91" s="50"/>
      <c r="K91" s="80">
        <f t="shared" si="16"/>
        <v>0</v>
      </c>
      <c r="L91" s="825"/>
      <c r="M91" s="811"/>
    </row>
    <row r="92" spans="1:14" ht="13.8" hidden="1">
      <c r="A92" s="787"/>
      <c r="B92" s="822" t="s">
        <v>67</v>
      </c>
      <c r="C92" s="823" t="s">
        <v>68</v>
      </c>
      <c r="D92" s="824" t="s">
        <v>543</v>
      </c>
      <c r="E92" s="419" t="s">
        <v>545</v>
      </c>
      <c r="F92" s="80">
        <v>400</v>
      </c>
      <c r="G92" s="594">
        <v>0</v>
      </c>
      <c r="H92" s="594"/>
      <c r="I92" s="594">
        <f t="shared" ref="I92:I95" si="17">$I$31</f>
        <v>1.23</v>
      </c>
      <c r="J92" s="50">
        <v>0.5</v>
      </c>
      <c r="K92" s="80">
        <f t="shared" si="16"/>
        <v>0</v>
      </c>
      <c r="L92" s="855"/>
      <c r="M92" s="811"/>
    </row>
    <row r="93" spans="1:14" ht="13.8" hidden="1">
      <c r="A93" s="787"/>
      <c r="B93" s="822" t="s">
        <v>67</v>
      </c>
      <c r="C93" s="823" t="s">
        <v>68</v>
      </c>
      <c r="D93" s="824" t="s">
        <v>544</v>
      </c>
      <c r="E93" s="419" t="s">
        <v>545</v>
      </c>
      <c r="F93" s="80">
        <v>2500</v>
      </c>
      <c r="G93" s="594">
        <v>0</v>
      </c>
      <c r="H93" s="594"/>
      <c r="I93" s="594">
        <f t="shared" si="17"/>
        <v>1.23</v>
      </c>
      <c r="J93" s="50">
        <v>0.5</v>
      </c>
      <c r="K93" s="80">
        <f t="shared" si="16"/>
        <v>0</v>
      </c>
      <c r="L93" s="855"/>
      <c r="M93" s="811"/>
    </row>
    <row r="94" spans="1:14" ht="13.8">
      <c r="A94" s="787"/>
      <c r="B94" s="822" t="s">
        <v>67</v>
      </c>
      <c r="C94" s="823" t="s">
        <v>68</v>
      </c>
      <c r="D94" s="824" t="s">
        <v>93</v>
      </c>
      <c r="E94" s="419" t="s">
        <v>4</v>
      </c>
      <c r="F94" s="80">
        <v>650</v>
      </c>
      <c r="G94" s="594">
        <f>+'Equipos-Personal (HH y HM)'!E30</f>
        <v>13</v>
      </c>
      <c r="H94" s="594"/>
      <c r="I94" s="594">
        <f t="shared" si="17"/>
        <v>1.23</v>
      </c>
      <c r="J94" s="50">
        <v>0.09</v>
      </c>
      <c r="K94" s="80">
        <f t="shared" si="16"/>
        <v>935.41499999999996</v>
      </c>
      <c r="L94" s="855"/>
      <c r="M94" s="811"/>
    </row>
    <row r="95" spans="1:14" ht="13.8">
      <c r="A95" s="787"/>
      <c r="B95" s="822" t="s">
        <v>67</v>
      </c>
      <c r="C95" s="823" t="s">
        <v>68</v>
      </c>
      <c r="D95" s="824" t="s">
        <v>957</v>
      </c>
      <c r="E95" s="419" t="s">
        <v>70</v>
      </c>
      <c r="F95" s="80">
        <v>5367.7050000000008</v>
      </c>
      <c r="G95" s="594">
        <v>1</v>
      </c>
      <c r="H95" s="594"/>
      <c r="I95" s="594">
        <f t="shared" si="17"/>
        <v>1.23</v>
      </c>
      <c r="J95" s="50">
        <v>0.5</v>
      </c>
      <c r="K95" s="80">
        <f t="shared" si="16"/>
        <v>3301.1385750000004</v>
      </c>
      <c r="L95" s="855"/>
      <c r="M95" s="811"/>
    </row>
    <row r="96" spans="1:14" ht="13.8">
      <c r="A96" s="787"/>
      <c r="B96" s="822" t="s">
        <v>67</v>
      </c>
      <c r="C96" s="823" t="s">
        <v>68</v>
      </c>
      <c r="D96" s="824" t="s">
        <v>720</v>
      </c>
      <c r="E96" s="419" t="s">
        <v>52</v>
      </c>
      <c r="F96" s="80">
        <f>+'1.7 Costos Covid'!L101</f>
        <v>8453.7327225000008</v>
      </c>
      <c r="G96" s="594">
        <v>1</v>
      </c>
      <c r="H96" s="594"/>
      <c r="I96" s="594">
        <v>1</v>
      </c>
      <c r="J96" s="50"/>
      <c r="K96" s="80">
        <f>PRODUCT(F96:J96)</f>
        <v>8453.7327225000008</v>
      </c>
      <c r="L96" s="855"/>
      <c r="M96" s="811"/>
    </row>
    <row r="97" spans="1:13" ht="14.4" thickBot="1">
      <c r="A97" s="787"/>
      <c r="B97" s="826"/>
      <c r="C97" s="827"/>
      <c r="D97" s="828"/>
      <c r="E97" s="89"/>
      <c r="F97" s="90"/>
      <c r="G97" s="91"/>
      <c r="H97" s="91"/>
      <c r="I97" s="91"/>
      <c r="J97" s="92"/>
      <c r="K97" s="90"/>
      <c r="L97" s="830"/>
      <c r="M97" s="811"/>
    </row>
    <row r="98" spans="1:13" ht="14.4" thickBot="1">
      <c r="A98" s="787"/>
      <c r="B98" s="835"/>
      <c r="C98" s="836"/>
      <c r="D98" s="837" t="s">
        <v>94</v>
      </c>
      <c r="E98" s="838"/>
      <c r="F98" s="839"/>
      <c r="G98" s="839"/>
      <c r="H98" s="839"/>
      <c r="I98" s="839"/>
      <c r="J98" s="58"/>
      <c r="K98" s="840" t="s">
        <v>969</v>
      </c>
      <c r="L98" s="841">
        <f>SUM(L30:L95)</f>
        <v>181809.72318328245</v>
      </c>
      <c r="M98" s="811"/>
    </row>
    <row r="99" spans="1:13" ht="14.4" thickBot="1">
      <c r="A99" s="787"/>
      <c r="B99" s="787"/>
      <c r="C99" s="788"/>
      <c r="D99" s="801"/>
      <c r="E99" s="811"/>
      <c r="F99" s="865"/>
      <c r="G99" s="811"/>
      <c r="H99" s="811"/>
      <c r="I99" s="865"/>
      <c r="J99" s="95"/>
      <c r="K99" s="865"/>
      <c r="L99" s="865"/>
      <c r="M99" s="811"/>
    </row>
    <row r="100" spans="1:13" ht="14.4" thickBot="1">
      <c r="A100" s="787"/>
      <c r="B100" s="866" t="s">
        <v>95</v>
      </c>
      <c r="C100" s="867"/>
      <c r="D100" s="868"/>
      <c r="E100" s="868"/>
      <c r="F100" s="868"/>
      <c r="G100" s="868"/>
      <c r="H100" s="868"/>
      <c r="I100" s="869"/>
      <c r="J100" s="27" t="s">
        <v>8</v>
      </c>
      <c r="K100" s="28" t="s">
        <v>970</v>
      </c>
      <c r="L100" s="28" t="s">
        <v>96</v>
      </c>
      <c r="M100" s="789"/>
    </row>
    <row r="101" spans="1:13" ht="13.8">
      <c r="A101" s="787"/>
      <c r="B101" s="822"/>
      <c r="C101" s="823"/>
      <c r="D101" s="824"/>
      <c r="E101" s="99"/>
      <c r="F101" s="99"/>
      <c r="G101" s="99"/>
      <c r="H101" s="99"/>
      <c r="I101" s="594"/>
      <c r="J101" s="100"/>
      <c r="K101" s="101"/>
      <c r="L101" s="870"/>
      <c r="M101" s="787"/>
    </row>
    <row r="102" spans="1:13" ht="13.8">
      <c r="A102" s="787"/>
      <c r="B102" s="822" t="s">
        <v>67</v>
      </c>
      <c r="C102" s="823" t="s">
        <v>68</v>
      </c>
      <c r="D102" s="824" t="s">
        <v>97</v>
      </c>
      <c r="E102" s="99"/>
      <c r="F102" s="99"/>
      <c r="G102" s="99"/>
      <c r="H102" s="99"/>
      <c r="I102" s="594"/>
      <c r="J102" s="100">
        <f>K102/($L$98+$L$24)</f>
        <v>0.90550932774552628</v>
      </c>
      <c r="K102" s="51">
        <f>+L98</f>
        <v>181809.72318328245</v>
      </c>
      <c r="L102" s="825"/>
      <c r="M102" s="811"/>
    </row>
    <row r="103" spans="1:13" ht="13.8">
      <c r="A103" s="787"/>
      <c r="B103" s="822" t="s">
        <v>98</v>
      </c>
      <c r="C103" s="823" t="s">
        <v>68</v>
      </c>
      <c r="D103" s="824" t="s">
        <v>99</v>
      </c>
      <c r="E103" s="99"/>
      <c r="F103" s="99"/>
      <c r="G103" s="99"/>
      <c r="H103" s="99"/>
      <c r="I103" s="594"/>
      <c r="J103" s="100">
        <f>K103/($L$98+$L$24)</f>
        <v>9.4490672254473676E-2</v>
      </c>
      <c r="K103" s="51">
        <f>+L24</f>
        <v>18972</v>
      </c>
      <c r="L103" s="821">
        <f>K102+K103</f>
        <v>200781.72318328245</v>
      </c>
      <c r="M103" s="811"/>
    </row>
    <row r="104" spans="1:13" ht="14.4" thickBot="1">
      <c r="A104" s="787"/>
      <c r="B104" s="871"/>
      <c r="C104" s="872"/>
      <c r="D104" s="873"/>
      <c r="E104" s="874"/>
      <c r="F104" s="874"/>
      <c r="G104" s="874"/>
      <c r="H104" s="874"/>
      <c r="I104" s="875"/>
      <c r="J104" s="107"/>
      <c r="K104" s="830"/>
      <c r="L104" s="830"/>
      <c r="M104" s="811"/>
    </row>
  </sheetData>
  <pageMargins left="0.70866141732283472" right="0.70866141732283472" top="0.74803149606299213" bottom="0.74803149606299213" header="0.31496062992125984" footer="0.31496062992125984"/>
  <pageSetup paperSize="9" scale="59" orientation="portrait" horizontalDpi="1200" verticalDpi="1200" r:id="rId1"/>
  <headerFooter>
    <oddHeader>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1:CL40"/>
  <sheetViews>
    <sheetView view="pageBreakPreview" topLeftCell="B1" zoomScaleNormal="100" zoomScaleSheetLayoutView="85" workbookViewId="0">
      <pane xSplit="3" topLeftCell="E1" activePane="topRight" state="frozen"/>
      <selection activeCell="C6" sqref="C6:J6"/>
      <selection pane="topRight" activeCell="D18" sqref="D18"/>
    </sheetView>
  </sheetViews>
  <sheetFormatPr baseColWidth="10" defaultColWidth="11.5546875" defaultRowHeight="13.2"/>
  <cols>
    <col min="1" max="1" width="3.44140625" style="565" customWidth="1"/>
    <col min="2" max="2" width="7.6640625" hidden="1" customWidth="1"/>
    <col min="4" max="4" width="59" customWidth="1"/>
    <col min="5" max="5" width="13" customWidth="1"/>
    <col min="6" max="6" width="12.6640625" customWidth="1"/>
    <col min="7" max="7" width="13.109375" customWidth="1"/>
    <col min="8" max="10" width="11.5546875" style="565"/>
    <col min="14" max="14" width="13.44140625" customWidth="1"/>
    <col min="15" max="16" width="11.5546875" hidden="1" customWidth="1"/>
    <col min="17" max="17" width="26.44140625" customWidth="1"/>
    <col min="18" max="18" width="27.88671875" customWidth="1"/>
    <col min="19" max="19" width="14.33203125" hidden="1" customWidth="1"/>
  </cols>
  <sheetData>
    <row r="1" spans="1:90" ht="13.8" thickBot="1">
      <c r="U1" t="s">
        <v>782</v>
      </c>
      <c r="V1" t="s">
        <v>783</v>
      </c>
      <c r="W1" t="s">
        <v>518</v>
      </c>
    </row>
    <row r="2" spans="1:90" ht="17.399999999999999">
      <c r="C2" s="1013" t="s">
        <v>696</v>
      </c>
      <c r="D2" s="1014"/>
      <c r="E2" s="1014"/>
      <c r="F2" s="1014"/>
      <c r="G2" s="1014"/>
      <c r="H2" s="1014"/>
      <c r="I2" s="1014"/>
      <c r="J2" s="1014"/>
      <c r="K2" s="1014"/>
      <c r="L2" s="1014"/>
      <c r="M2" s="1014"/>
      <c r="N2" s="1014"/>
      <c r="O2" s="1014"/>
      <c r="P2" s="1014"/>
      <c r="Q2" s="1014"/>
      <c r="R2" s="1014"/>
      <c r="S2" s="1014"/>
      <c r="U2" s="619">
        <v>11</v>
      </c>
      <c r="V2" s="619">
        <v>10</v>
      </c>
      <c r="W2" s="619">
        <f>U2+V2</f>
        <v>21</v>
      </c>
    </row>
    <row r="3" spans="1:90" ht="36">
      <c r="C3" s="583" t="s">
        <v>627</v>
      </c>
      <c r="D3" s="583" t="s">
        <v>697</v>
      </c>
      <c r="E3" s="583" t="s">
        <v>4</v>
      </c>
      <c r="F3" s="584" t="s">
        <v>628</v>
      </c>
      <c r="G3" s="584" t="s">
        <v>698</v>
      </c>
      <c r="H3" s="584" t="s">
        <v>705</v>
      </c>
      <c r="I3" s="584" t="s">
        <v>631</v>
      </c>
      <c r="J3" s="584" t="s">
        <v>40</v>
      </c>
      <c r="K3" s="584" t="s">
        <v>40</v>
      </c>
      <c r="L3" s="585" t="s">
        <v>26</v>
      </c>
      <c r="M3" s="584" t="s">
        <v>641</v>
      </c>
      <c r="N3" s="584" t="s">
        <v>704</v>
      </c>
      <c r="O3" s="586" t="s">
        <v>699</v>
      </c>
      <c r="P3" s="586" t="s">
        <v>700</v>
      </c>
      <c r="Q3" s="587" t="s">
        <v>701</v>
      </c>
      <c r="R3" s="587" t="s">
        <v>702</v>
      </c>
      <c r="S3" s="583" t="s">
        <v>703</v>
      </c>
    </row>
    <row r="4" spans="1:90" s="567" customFormat="1" ht="21" customHeight="1">
      <c r="B4" s="599">
        <v>10190</v>
      </c>
      <c r="C4" s="743">
        <f t="shared" ref="C4" si="0">VLOOKUP($B4,RENDIMIENTO,2,FALSE)</f>
        <v>1</v>
      </c>
      <c r="D4" s="742" t="str">
        <f>VLOOKUP($B4,RENDIMIENTO,3,FALSE)</f>
        <v>TRABAJOS PRELIMINARES</v>
      </c>
      <c r="E4" s="746"/>
      <c r="F4" s="747"/>
      <c r="G4" s="747"/>
      <c r="H4" s="748"/>
      <c r="I4" s="748"/>
      <c r="J4" s="748"/>
      <c r="K4" s="748"/>
      <c r="L4" s="749"/>
      <c r="M4" s="750"/>
      <c r="N4" s="748" t="e">
        <f>SUM(N6:N7)</f>
        <v>#N/A</v>
      </c>
      <c r="O4" s="751"/>
      <c r="P4" s="751"/>
      <c r="Q4" s="752"/>
      <c r="R4" s="752"/>
      <c r="S4" s="588"/>
      <c r="T4" s="621"/>
      <c r="U4" s="565"/>
      <c r="CL4" s="589"/>
    </row>
    <row r="5" spans="1:90" s="565" customFormat="1" ht="21" customHeight="1">
      <c r="A5" s="566"/>
      <c r="B5" s="599">
        <v>10191</v>
      </c>
      <c r="C5" s="744">
        <f t="shared" ref="C5:C18" si="1">VLOOKUP($B5,RENDIMIENTO,2,FALSE)</f>
        <v>1.01</v>
      </c>
      <c r="D5" s="753" t="str">
        <f>VLOOKUP($B5,RENDIMIENTO,3,FALSE)</f>
        <v>Movilización y demovilización de equipos</v>
      </c>
      <c r="E5" s="590" t="str">
        <f>VLOOKUP($B5,RENDIMIENTO,4,FALSE)</f>
        <v>glb</v>
      </c>
      <c r="F5" s="754">
        <f>VLOOKUP(B5,PRESUPUESTO_,5,FALSE)</f>
        <v>1</v>
      </c>
      <c r="G5" s="601" t="s">
        <v>706</v>
      </c>
      <c r="H5" s="592">
        <f>I5/F5</f>
        <v>0</v>
      </c>
      <c r="I5" s="592">
        <f>VLOOKUP(B5,PRESUPUESTO_,12,FALSE)</f>
        <v>0</v>
      </c>
      <c r="J5" s="592">
        <f t="shared" ref="J5" si="2">ROUND(VLOOKUP(B5,Rend,5,FALSE),2)</f>
        <v>1</v>
      </c>
      <c r="K5" s="590" t="str">
        <f>CONCATENATE(ROUND(VLOOKUP(B5,Rend,5,FALSE),2),VLOOKUP(B5,Rend,4,FALSE),"/día")</f>
        <v>1glb/día</v>
      </c>
      <c r="L5" s="591">
        <v>1</v>
      </c>
      <c r="M5" s="592">
        <f>IF(G5="Un turno",F5/(J5*L5),F5/(2*J5*L5))</f>
        <v>1</v>
      </c>
      <c r="N5" s="592">
        <f t="shared" ref="N5" si="3">IF(M5=0,0,IF(M5&lt;0.5,1,ROUND(M5,0)))</f>
        <v>1</v>
      </c>
      <c r="O5" s="755"/>
      <c r="P5" s="755"/>
      <c r="Q5" s="756" t="s">
        <v>917</v>
      </c>
      <c r="R5" s="756" t="s">
        <v>918</v>
      </c>
      <c r="T5" s="620"/>
    </row>
    <row r="6" spans="1:90" s="565" customFormat="1" ht="21" customHeight="1">
      <c r="A6" s="566"/>
      <c r="B6" s="599">
        <v>10192</v>
      </c>
      <c r="C6" s="744">
        <f t="shared" si="1"/>
        <v>1.02</v>
      </c>
      <c r="D6" s="753" t="str">
        <f t="shared" ref="D6:D18" si="4">VLOOKUP($B6,RENDIMIENTO,3,FALSE)</f>
        <v>Trazo, Nivelación y Replanteo</v>
      </c>
      <c r="E6" s="590" t="str">
        <f>VLOOKUP($B6,RENDIMIENTO,4,FALSE)</f>
        <v>km</v>
      </c>
      <c r="F6" s="754">
        <f>VLOOKUP(B6,PRESUPUESTO_,5,FALSE)</f>
        <v>28.61</v>
      </c>
      <c r="G6" s="601" t="s">
        <v>706</v>
      </c>
      <c r="H6" s="592">
        <f t="shared" ref="H6:H18" si="5">I6/F6</f>
        <v>0</v>
      </c>
      <c r="I6" s="592">
        <f>VLOOKUP(B6,PRESUPUESTO_,12,FALSE)</f>
        <v>0</v>
      </c>
      <c r="J6" s="592">
        <f t="shared" ref="J6" si="6">ROUND(VLOOKUP(B6,Rend,5,FALSE),2)</f>
        <v>0.11</v>
      </c>
      <c r="K6" s="590" t="str">
        <f>CONCATENATE(ROUND(VLOOKUP(B6,Rend,5,FALSE),2),VLOOKUP(B6,Rend,4,FALSE),"/día")</f>
        <v>0.11km/día</v>
      </c>
      <c r="L6" s="591">
        <v>1</v>
      </c>
      <c r="M6" s="592">
        <f>IF(G6="Un turno",F6/(J6*L6),F6/(2*J6*L6))</f>
        <v>260.09090909090907</v>
      </c>
      <c r="N6" s="592">
        <f t="shared" ref="N6" si="7">IF(M6=0,0,IF(M6&lt;0.5,1,ROUND(M6,0)))</f>
        <v>260</v>
      </c>
      <c r="O6" s="755"/>
      <c r="P6" s="755"/>
      <c r="Q6" s="756" t="s">
        <v>919</v>
      </c>
      <c r="R6" s="756" t="s">
        <v>920</v>
      </c>
      <c r="T6" s="620"/>
    </row>
    <row r="7" spans="1:90" s="565" customFormat="1" ht="21" customHeight="1">
      <c r="A7" s="566"/>
      <c r="B7" s="599">
        <v>10193</v>
      </c>
      <c r="C7" s="744">
        <f t="shared" si="1"/>
        <v>0</v>
      </c>
      <c r="D7" s="753">
        <f t="shared" si="4"/>
        <v>0</v>
      </c>
      <c r="E7" s="590">
        <f>VLOOKUP($B7,RENDIMIENTO,4,FALSE)</f>
        <v>0</v>
      </c>
      <c r="F7" s="754" t="e">
        <f>VLOOKUP(B7,PRESUPUESTO_,5,FALSE)</f>
        <v>#N/A</v>
      </c>
      <c r="G7" s="601" t="s">
        <v>706</v>
      </c>
      <c r="H7" s="592" t="e">
        <f t="shared" si="5"/>
        <v>#N/A</v>
      </c>
      <c r="I7" s="592" t="e">
        <f>VLOOKUP(B7,PRESUPUESTO_,12,FALSE)</f>
        <v>#N/A</v>
      </c>
      <c r="J7" s="592">
        <f t="shared" ref="J7" si="8">ROUND(VLOOKUP(B7,Rend,5,FALSE),2)</f>
        <v>0</v>
      </c>
      <c r="K7" s="590" t="str">
        <f>CONCATENATE(ROUND(VLOOKUP(B7,Rend,5,FALSE),2),VLOOKUP(B7,Rend,4,FALSE),"/día")</f>
        <v>0/día</v>
      </c>
      <c r="L7" s="591">
        <v>1</v>
      </c>
      <c r="M7" s="592" t="e">
        <f>IF(G7="Un turno",F7/(J7*L7),F7/(2*J7*L7))</f>
        <v>#N/A</v>
      </c>
      <c r="N7" s="592" t="e">
        <f t="shared" ref="N7" si="9">IF(M7=0,0,IF(M7&lt;0.5,1,ROUND(M7,0)))</f>
        <v>#N/A</v>
      </c>
      <c r="O7" s="755"/>
      <c r="P7" s="755"/>
      <c r="Q7" s="756" t="s">
        <v>921</v>
      </c>
      <c r="R7" s="756" t="s">
        <v>922</v>
      </c>
      <c r="T7" s="620"/>
    </row>
    <row r="8" spans="1:90" s="567" customFormat="1" ht="21" customHeight="1">
      <c r="B8" s="599">
        <v>10196</v>
      </c>
      <c r="C8" s="743">
        <f t="shared" si="1"/>
        <v>2</v>
      </c>
      <c r="D8" s="742" t="str">
        <f>VLOOKUP($B8,RENDIMIENTO,3,FALSE)</f>
        <v>MOVIMIENTO DE TIERRAS</v>
      </c>
      <c r="E8" s="746"/>
      <c r="F8" s="747"/>
      <c r="G8" s="747"/>
      <c r="H8" s="748"/>
      <c r="I8" s="748"/>
      <c r="J8" s="748"/>
      <c r="K8" s="748"/>
      <c r="L8" s="749"/>
      <c r="M8" s="750"/>
      <c r="N8" s="748" t="e">
        <f>SUM(N11,N13)</f>
        <v>#N/A</v>
      </c>
      <c r="O8" s="751"/>
      <c r="P8" s="751"/>
      <c r="Q8" s="752"/>
      <c r="R8" s="752"/>
      <c r="S8" s="588"/>
      <c r="T8" s="621"/>
      <c r="U8" s="565"/>
      <c r="CL8" s="589"/>
    </row>
    <row r="9" spans="1:90" s="565" customFormat="1" ht="21" customHeight="1">
      <c r="A9" s="566"/>
      <c r="B9" s="599">
        <v>10197</v>
      </c>
      <c r="C9" s="744">
        <f t="shared" si="1"/>
        <v>2.0099999999999998</v>
      </c>
      <c r="D9" s="753" t="str">
        <f t="shared" si="4"/>
        <v>Roce y Limpieza de Maleza</v>
      </c>
      <c r="E9" s="590" t="str">
        <f>VLOOKUP($B9,RENDIMIENTO,4,FALSE)</f>
        <v>m2</v>
      </c>
      <c r="F9" s="754">
        <f>VLOOKUP(B9,PRESUPUESTO_,5,FALSE)</f>
        <v>8583</v>
      </c>
      <c r="G9" s="601" t="s">
        <v>916</v>
      </c>
      <c r="H9" s="592">
        <f t="shared" si="5"/>
        <v>0</v>
      </c>
      <c r="I9" s="592">
        <f>VLOOKUP(B9,PRESUPUESTO_,12,FALSE)</f>
        <v>0</v>
      </c>
      <c r="J9" s="592">
        <f t="shared" ref="J9:J10" si="10">ROUND(VLOOKUP(B9,Rend,5,FALSE),2)</f>
        <v>350</v>
      </c>
      <c r="K9" s="590" t="str">
        <f t="shared" ref="K9:K10" si="11">CONCATENATE(ROUND(VLOOKUP(B9,Rend,5,FALSE),2),VLOOKUP(B9,Rend,4,FALSE),"/hr")</f>
        <v>350m2/hr</v>
      </c>
      <c r="L9" s="777">
        <f>L11</f>
        <v>0.60948226085840906</v>
      </c>
      <c r="M9" s="592">
        <f>IF(G9="Un turno",F9/(($U$2-1)*J9*L9),F9/($W$2*J9*L9))</f>
        <v>1.9159788184747539</v>
      </c>
      <c r="N9" s="592">
        <f>IF(M9=0,0,IF(M9&lt;0.5,1,ROUND(M9,0)))</f>
        <v>2</v>
      </c>
      <c r="O9" s="755"/>
      <c r="P9" s="755"/>
      <c r="Q9" s="756" t="s">
        <v>923</v>
      </c>
      <c r="R9" s="756" t="s">
        <v>924</v>
      </c>
      <c r="T9" s="620"/>
    </row>
    <row r="10" spans="1:90" s="565" customFormat="1" ht="21" customHeight="1">
      <c r="A10" s="566"/>
      <c r="B10" s="599">
        <v>10198</v>
      </c>
      <c r="C10" s="744">
        <f t="shared" si="1"/>
        <v>2.02</v>
      </c>
      <c r="D10" s="753" t="str">
        <f t="shared" si="4"/>
        <v>Mejoramiento de vías Existentes</v>
      </c>
      <c r="E10" s="590" t="str">
        <f>VLOOKUP($B10,RENDIMIENTO,4,FALSE)</f>
        <v>km</v>
      </c>
      <c r="F10" s="754">
        <f>VLOOKUP(B10,PRESUPUESTO_,5,FALSE)</f>
        <v>28.61</v>
      </c>
      <c r="G10" s="601" t="s">
        <v>916</v>
      </c>
      <c r="H10" s="592">
        <f t="shared" si="5"/>
        <v>0</v>
      </c>
      <c r="I10" s="592">
        <f>VLOOKUP(B10,PRESUPUESTO_,12,FALSE)</f>
        <v>0</v>
      </c>
      <c r="J10" s="592">
        <f t="shared" si="10"/>
        <v>0.11</v>
      </c>
      <c r="K10" s="590" t="str">
        <f t="shared" si="11"/>
        <v>0.11km/hr</v>
      </c>
      <c r="L10" s="777">
        <v>3.35</v>
      </c>
      <c r="M10" s="592">
        <f t="shared" ref="M10:M13" si="12">IF(G10="Un turno",F10/(($U$2-1)*J10*L10),F10/($W$2*J10*L10))</f>
        <v>3.697098920979518</v>
      </c>
      <c r="N10" s="592">
        <f t="shared" ref="N10:N16" si="13">IF(M10=0,0,IF(M10&lt;0.5,1,ROUND(M10,0)))</f>
        <v>4</v>
      </c>
      <c r="O10" s="755"/>
      <c r="P10" s="755"/>
      <c r="Q10" s="756" t="s">
        <v>923</v>
      </c>
      <c r="R10" s="756" t="s">
        <v>924</v>
      </c>
      <c r="T10" s="620"/>
    </row>
    <row r="11" spans="1:90" s="565" customFormat="1" ht="21" customHeight="1">
      <c r="A11" s="566"/>
      <c r="B11" s="599">
        <v>10199</v>
      </c>
      <c r="C11" s="744" t="str">
        <f t="shared" si="1"/>
        <v>2.02A</v>
      </c>
      <c r="D11" s="753" t="str">
        <f t="shared" si="4"/>
        <v>Carguio y transporte de material para mejoramiento</v>
      </c>
      <c r="E11" s="590" t="str">
        <f>VLOOKUP($B11,RENDIMIENTO,4,FALSE)</f>
        <v>m3</v>
      </c>
      <c r="F11" s="754">
        <f>VLOOKUP(B11,PRESUPUESTO_,5,FALSE)</f>
        <v>28.61</v>
      </c>
      <c r="G11" s="601" t="s">
        <v>916</v>
      </c>
      <c r="H11" s="592">
        <f t="shared" si="5"/>
        <v>0</v>
      </c>
      <c r="I11" s="592">
        <f>VLOOKUP(B11,PRESUPUESTO_,12,FALSE)</f>
        <v>0</v>
      </c>
      <c r="J11" s="592">
        <f t="shared" ref="J11:J13" si="14">ROUND(VLOOKUP(B11,Rend,5,FALSE),2)</f>
        <v>110</v>
      </c>
      <c r="K11" s="590" t="str">
        <f t="shared" ref="K11:K13" si="15">CONCATENATE(ROUND(VLOOKUP(B11,Rend,5,FALSE),2),VLOOKUP(B11,Rend,4,FALSE),"/hr")</f>
        <v>110m3/hr</v>
      </c>
      <c r="L11" s="777">
        <f>1743.11926605505/(130*22)</f>
        <v>0.60948226085840906</v>
      </c>
      <c r="M11" s="592">
        <f t="shared" si="12"/>
        <v>2.0320987468671631E-2</v>
      </c>
      <c r="N11" s="592">
        <f t="shared" si="13"/>
        <v>1</v>
      </c>
      <c r="O11" s="755"/>
      <c r="P11" s="755"/>
      <c r="Q11" s="756" t="s">
        <v>925</v>
      </c>
      <c r="R11" s="756" t="s">
        <v>926</v>
      </c>
      <c r="T11" s="620"/>
    </row>
    <row r="12" spans="1:90" s="565" customFormat="1" ht="21" customHeight="1">
      <c r="A12" s="566"/>
      <c r="B12" s="599">
        <v>10201</v>
      </c>
      <c r="C12" s="744">
        <f t="shared" si="1"/>
        <v>0</v>
      </c>
      <c r="D12" s="753">
        <f t="shared" si="4"/>
        <v>0</v>
      </c>
      <c r="E12" s="590">
        <f>VLOOKUP($B12,RENDIMIENTO,4,FALSE)</f>
        <v>0</v>
      </c>
      <c r="F12" s="754" t="e">
        <f>VLOOKUP(B12,PRESUPUESTO_,5,FALSE)</f>
        <v>#N/A</v>
      </c>
      <c r="G12" s="601" t="s">
        <v>916</v>
      </c>
      <c r="H12" s="592" t="e">
        <f t="shared" si="5"/>
        <v>#N/A</v>
      </c>
      <c r="I12" s="592" t="e">
        <f>VLOOKUP(B12,PRESUPUESTO_,12,FALSE)</f>
        <v>#N/A</v>
      </c>
      <c r="J12" s="592">
        <f t="shared" si="14"/>
        <v>0</v>
      </c>
      <c r="K12" s="590" t="str">
        <f t="shared" si="15"/>
        <v>0/hr</v>
      </c>
      <c r="L12" s="777">
        <f>4130.47918204506/(203*22)</f>
        <v>0.92487218585872366</v>
      </c>
      <c r="M12" s="592" t="e">
        <f t="shared" si="12"/>
        <v>#N/A</v>
      </c>
      <c r="N12" s="592" t="e">
        <f t="shared" si="13"/>
        <v>#N/A</v>
      </c>
      <c r="O12" s="755"/>
      <c r="P12" s="755"/>
      <c r="Q12" s="756" t="s">
        <v>927</v>
      </c>
      <c r="R12" s="756" t="s">
        <v>928</v>
      </c>
      <c r="T12" s="620"/>
    </row>
    <row r="13" spans="1:90" s="565" customFormat="1" ht="21" customHeight="1">
      <c r="A13" s="566"/>
      <c r="B13" s="599">
        <v>10200</v>
      </c>
      <c r="C13" s="744">
        <f t="shared" si="1"/>
        <v>0</v>
      </c>
      <c r="D13" s="753">
        <f t="shared" si="4"/>
        <v>0</v>
      </c>
      <c r="E13" s="590">
        <f>VLOOKUP($B13,RENDIMIENTO,4,FALSE)</f>
        <v>0</v>
      </c>
      <c r="F13" s="754" t="e">
        <f>VLOOKUP(B13,PRESUPUESTO_,5,FALSE)</f>
        <v>#N/A</v>
      </c>
      <c r="G13" s="601" t="s">
        <v>916</v>
      </c>
      <c r="H13" s="592" t="e">
        <f t="shared" si="5"/>
        <v>#N/A</v>
      </c>
      <c r="I13" s="592" t="e">
        <f>VLOOKUP(B13,PRESUPUESTO_,12,FALSE)</f>
        <v>#N/A</v>
      </c>
      <c r="J13" s="592">
        <f t="shared" si="14"/>
        <v>0</v>
      </c>
      <c r="K13" s="590" t="str">
        <f t="shared" si="15"/>
        <v>0/hr</v>
      </c>
      <c r="L13" s="777">
        <f>4130.47918204506/(203*22)</f>
        <v>0.92487218585872366</v>
      </c>
      <c r="M13" s="592" t="e">
        <f t="shared" si="12"/>
        <v>#N/A</v>
      </c>
      <c r="N13" s="592" t="e">
        <f t="shared" si="13"/>
        <v>#N/A</v>
      </c>
      <c r="O13" s="755"/>
      <c r="P13" s="755"/>
      <c r="Q13" s="756" t="s">
        <v>929</v>
      </c>
      <c r="R13" s="756" t="s">
        <v>930</v>
      </c>
      <c r="T13" s="620"/>
    </row>
    <row r="14" spans="1:90" s="565" customFormat="1" ht="21" customHeight="1">
      <c r="A14" s="566"/>
      <c r="B14" s="599">
        <v>10204</v>
      </c>
      <c r="C14" s="745">
        <f t="shared" si="1"/>
        <v>3</v>
      </c>
      <c r="D14" s="742" t="str">
        <f t="shared" si="4"/>
        <v>REPARACIÓN Y REPOSICIÓN DE ESTRUCTURAS</v>
      </c>
      <c r="E14" s="746"/>
      <c r="F14" s="747"/>
      <c r="G14" s="747"/>
      <c r="H14" s="748"/>
      <c r="I14" s="748"/>
      <c r="J14" s="748"/>
      <c r="K14" s="748"/>
      <c r="L14" s="749"/>
      <c r="M14" s="750"/>
      <c r="N14" s="748" t="e">
        <f>SUM(N16,N18)</f>
        <v>#N/A</v>
      </c>
      <c r="O14" s="751"/>
      <c r="P14" s="751"/>
      <c r="Q14" s="752"/>
      <c r="R14" s="752"/>
      <c r="T14" s="620"/>
    </row>
    <row r="15" spans="1:90" s="565" customFormat="1" ht="21" customHeight="1">
      <c r="A15" s="566"/>
      <c r="B15" s="599">
        <v>10206</v>
      </c>
      <c r="C15" s="744">
        <f t="shared" si="1"/>
        <v>3.02</v>
      </c>
      <c r="D15" s="753" t="str">
        <f t="shared" si="4"/>
        <v>Demolición de estructuras existentes</v>
      </c>
      <c r="E15" s="590" t="str">
        <f>VLOOKUP($B15,RENDIMIENTO,4,FALSE)</f>
        <v>m2</v>
      </c>
      <c r="F15" s="754" t="e">
        <f t="shared" ref="F15:F18" si="16">VLOOKUP(B15,PRESUPUESTO_,5,FALSE)</f>
        <v>#N/A</v>
      </c>
      <c r="G15" s="601" t="s">
        <v>706</v>
      </c>
      <c r="H15" s="592" t="e">
        <f t="shared" si="5"/>
        <v>#N/A</v>
      </c>
      <c r="I15" s="592" t="e">
        <f>VLOOKUP(B15,PRESUPUESTO_,12,FALSE)</f>
        <v>#N/A</v>
      </c>
      <c r="J15" s="592">
        <f t="shared" ref="J15:J16" si="17">ROUND(VLOOKUP(B15,Rend,5,FALSE),2)</f>
        <v>0</v>
      </c>
      <c r="K15" s="590" t="str">
        <f t="shared" ref="K15:K16" si="18">CONCATENATE(ROUND(VLOOKUP(B15,Rend,5,FALSE),2),VLOOKUP(B15,Rend,4,FALSE),"/hr")</f>
        <v>0m2/hr</v>
      </c>
      <c r="L15" s="591">
        <v>0.65</v>
      </c>
      <c r="M15" s="592" t="e">
        <f t="shared" ref="M15:M16" si="19">IF(G15="Un turno",F15/(($U$2-1)*J15*L15),F15/($W$2*J15*L15))</f>
        <v>#N/A</v>
      </c>
      <c r="N15" s="592" t="e">
        <f t="shared" si="13"/>
        <v>#N/A</v>
      </c>
      <c r="O15" s="755"/>
      <c r="P15" s="755"/>
      <c r="Q15" s="756" t="s">
        <v>931</v>
      </c>
      <c r="R15" s="756" t="s">
        <v>932</v>
      </c>
      <c r="T15" s="620"/>
    </row>
    <row r="16" spans="1:90" ht="21" customHeight="1">
      <c r="B16" s="599">
        <v>10205</v>
      </c>
      <c r="C16" s="744">
        <f t="shared" si="1"/>
        <v>3.01</v>
      </c>
      <c r="D16" s="753" t="str">
        <f t="shared" si="4"/>
        <v>Reparación de concreto</v>
      </c>
      <c r="E16" s="590" t="str">
        <f>VLOOKUP($B16,RENDIMIENTO,4,FALSE)</f>
        <v>m2</v>
      </c>
      <c r="F16" s="754" t="e">
        <f t="shared" si="16"/>
        <v>#N/A</v>
      </c>
      <c r="G16" s="601" t="s">
        <v>706</v>
      </c>
      <c r="H16" s="592" t="e">
        <f t="shared" si="5"/>
        <v>#N/A</v>
      </c>
      <c r="I16" s="592" t="e">
        <f>VLOOKUP(B16,PRESUPUESTO_,12,FALSE)</f>
        <v>#N/A</v>
      </c>
      <c r="J16" s="592">
        <f t="shared" si="17"/>
        <v>0</v>
      </c>
      <c r="K16" s="590" t="str">
        <f t="shared" si="18"/>
        <v>0m2/hr</v>
      </c>
      <c r="L16" s="591">
        <v>1</v>
      </c>
      <c r="M16" s="592" t="e">
        <f t="shared" si="19"/>
        <v>#N/A</v>
      </c>
      <c r="N16" s="592" t="e">
        <f t="shared" si="13"/>
        <v>#N/A</v>
      </c>
      <c r="O16" s="757"/>
      <c r="P16" s="757"/>
      <c r="Q16" s="756" t="s">
        <v>933</v>
      </c>
      <c r="R16" s="756" t="s">
        <v>934</v>
      </c>
      <c r="U16" s="565"/>
    </row>
    <row r="17" spans="2:28" ht="21" customHeight="1">
      <c r="B17" s="599">
        <v>10207</v>
      </c>
      <c r="C17" s="744">
        <f t="shared" si="1"/>
        <v>3.03</v>
      </c>
      <c r="D17" s="753" t="str">
        <f t="shared" si="4"/>
        <v>Reposición de pase de agua con tubería HDPE Ø=24</v>
      </c>
      <c r="E17" s="590" t="str">
        <f>VLOOKUP($B17,RENDIMIENTO,4,FALSE)</f>
        <v>m</v>
      </c>
      <c r="F17" s="754" t="e">
        <f t="shared" si="16"/>
        <v>#N/A</v>
      </c>
      <c r="G17" s="601" t="s">
        <v>706</v>
      </c>
      <c r="H17" s="592" t="e">
        <f t="shared" si="5"/>
        <v>#N/A</v>
      </c>
      <c r="I17" s="592" t="e">
        <f>VLOOKUP(B17,PRESUPUESTO_,12,FALSE)</f>
        <v>#N/A</v>
      </c>
      <c r="J17" s="592">
        <f t="shared" ref="J17:J18" si="20">ROUND(VLOOKUP(B17,Rend,5,FALSE),2)</f>
        <v>0</v>
      </c>
      <c r="K17" s="590" t="str">
        <f>CONCATENATE(ROUND(VLOOKUP(B17,Rend,5,FALSE),2),VLOOKUP(B17,Rend,4,FALSE),"/día")</f>
        <v>0m/día</v>
      </c>
      <c r="L17" s="591">
        <v>1</v>
      </c>
      <c r="M17" s="592" t="e">
        <f>IF(G17="Un turno",F17/(J17*L17),F17/(2*J17*L17))</f>
        <v>#N/A</v>
      </c>
      <c r="N17" s="592" t="e">
        <f t="shared" ref="N17" si="21">IF(M17=0,0,IF(M17&lt;0.5,1,ROUND(M17,0)))</f>
        <v>#N/A</v>
      </c>
      <c r="O17" s="757"/>
      <c r="P17" s="757"/>
      <c r="Q17" s="756" t="s">
        <v>931</v>
      </c>
      <c r="R17" s="756" t="s">
        <v>935</v>
      </c>
    </row>
    <row r="18" spans="2:28" ht="21" customHeight="1">
      <c r="B18" s="599">
        <v>10208</v>
      </c>
      <c r="C18" s="744">
        <f t="shared" si="1"/>
        <v>0</v>
      </c>
      <c r="D18" s="753">
        <f t="shared" si="4"/>
        <v>0</v>
      </c>
      <c r="E18" s="590">
        <f>VLOOKUP($B18,RENDIMIENTO,4,FALSE)</f>
        <v>0</v>
      </c>
      <c r="F18" s="754" t="e">
        <f t="shared" si="16"/>
        <v>#N/A</v>
      </c>
      <c r="G18" s="601" t="s">
        <v>706</v>
      </c>
      <c r="H18" s="592" t="e">
        <f t="shared" si="5"/>
        <v>#N/A</v>
      </c>
      <c r="I18" s="592" t="e">
        <f>VLOOKUP(B18,PRESUPUESTO_,12,FALSE)</f>
        <v>#N/A</v>
      </c>
      <c r="J18" s="592">
        <f t="shared" si="20"/>
        <v>0</v>
      </c>
      <c r="K18" s="590" t="str">
        <f t="shared" ref="K18" si="22">CONCATENATE(ROUND(VLOOKUP(B18,Rend,5,FALSE),2),VLOOKUP(B18,Rend,4,FALSE),"/hr")</f>
        <v>0/hr</v>
      </c>
      <c r="L18" s="591">
        <v>2</v>
      </c>
      <c r="M18" s="592" t="e">
        <f t="shared" ref="M18" si="23">IF(G18="Un turno",F18/(($U$2-1)*J18*L18),F18/($W$2*J18*L18))</f>
        <v>#N/A</v>
      </c>
      <c r="N18" s="592" t="e">
        <f>(IF(M18=0,0,IF(M18&lt;0.5,1,ROUND(M18,0))))</f>
        <v>#N/A</v>
      </c>
      <c r="O18" s="757"/>
      <c r="P18" s="757"/>
      <c r="Q18" s="756" t="s">
        <v>936</v>
      </c>
      <c r="R18" s="756" t="s">
        <v>937</v>
      </c>
    </row>
    <row r="19" spans="2:28" ht="21" customHeight="1">
      <c r="C19" s="740"/>
      <c r="D19" s="758"/>
      <c r="E19" s="759"/>
      <c r="F19" s="759"/>
      <c r="G19" s="759"/>
      <c r="H19" s="759"/>
      <c r="I19" s="741" t="e">
        <f>SUM(I5:I18)</f>
        <v>#N/A</v>
      </c>
      <c r="J19" s="760"/>
      <c r="K19" s="759"/>
      <c r="L19" s="759"/>
      <c r="M19" s="759"/>
      <c r="N19" s="759"/>
      <c r="O19" s="759"/>
      <c r="P19" s="759"/>
      <c r="Q19" s="759"/>
      <c r="R19" s="759"/>
    </row>
    <row r="20" spans="2:28">
      <c r="F20" s="565"/>
      <c r="G20" s="565"/>
      <c r="I20" s="636"/>
      <c r="J20" s="636"/>
      <c r="K20" s="565"/>
      <c r="L20" s="565"/>
      <c r="M20" s="565"/>
      <c r="N20" s="565"/>
      <c r="O20" s="565"/>
      <c r="P20" s="565"/>
    </row>
    <row r="21" spans="2:28">
      <c r="F21" s="565"/>
      <c r="G21" s="565"/>
      <c r="I21" s="636"/>
      <c r="J21" s="636"/>
      <c r="K21" s="565"/>
      <c r="L21" s="565"/>
      <c r="M21" s="565"/>
      <c r="N21" s="565"/>
      <c r="O21" s="565"/>
      <c r="P21" s="565"/>
    </row>
    <row r="22" spans="2:28">
      <c r="F22" s="565"/>
      <c r="G22" s="565"/>
      <c r="I22" s="636"/>
      <c r="J22" s="636"/>
      <c r="K22" s="565"/>
      <c r="L22" s="565"/>
      <c r="M22" s="565"/>
      <c r="N22" s="565"/>
      <c r="O22" s="565"/>
      <c r="P22" s="565"/>
    </row>
    <row r="23" spans="2:28">
      <c r="F23" s="565"/>
      <c r="G23" s="565"/>
      <c r="I23" s="636"/>
      <c r="J23" s="636"/>
      <c r="K23" s="565"/>
      <c r="L23" s="565"/>
      <c r="M23" s="565"/>
      <c r="N23" s="565"/>
      <c r="O23" s="565"/>
      <c r="P23" s="565"/>
    </row>
    <row r="24" spans="2:28">
      <c r="F24" s="565"/>
      <c r="G24" s="565"/>
      <c r="I24" s="636"/>
      <c r="J24" s="636"/>
      <c r="K24" s="565"/>
      <c r="L24" s="565"/>
      <c r="M24" s="565"/>
      <c r="N24" s="565"/>
      <c r="O24" s="565"/>
      <c r="P24" s="565"/>
    </row>
    <row r="25" spans="2:28">
      <c r="D25" s="565"/>
      <c r="E25" s="565"/>
      <c r="F25" s="565"/>
      <c r="G25" s="565"/>
      <c r="I25" s="636"/>
      <c r="J25" s="636"/>
      <c r="K25" s="565"/>
      <c r="L25" s="565"/>
      <c r="M25" s="565"/>
      <c r="N25" s="565"/>
      <c r="O25" s="565"/>
      <c r="P25" s="565"/>
    </row>
    <row r="26" spans="2:28">
      <c r="D26" s="565"/>
      <c r="E26" s="565"/>
      <c r="F26" s="565"/>
      <c r="G26" s="565"/>
      <c r="I26" s="636"/>
      <c r="J26" s="636"/>
      <c r="K26" s="565"/>
      <c r="L26" s="565"/>
      <c r="M26" s="565"/>
      <c r="N26" s="565"/>
      <c r="O26" s="565"/>
      <c r="P26" s="565"/>
      <c r="Q26" s="565"/>
      <c r="R26" s="565"/>
      <c r="S26" s="565"/>
      <c r="T26" s="565"/>
      <c r="U26" s="565"/>
      <c r="V26" s="565"/>
      <c r="W26" s="565"/>
      <c r="X26" s="565"/>
      <c r="Y26" s="565"/>
      <c r="Z26" s="565"/>
      <c r="AA26" s="565"/>
      <c r="AB26" s="565"/>
    </row>
    <row r="27" spans="2:28">
      <c r="D27" s="565"/>
      <c r="E27" s="565"/>
      <c r="F27" s="565"/>
      <c r="G27" s="565"/>
      <c r="I27" s="636"/>
      <c r="J27" s="636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</row>
    <row r="28" spans="2:28">
      <c r="D28" s="565"/>
      <c r="E28" s="110"/>
      <c r="F28" s="110"/>
      <c r="G28" s="565"/>
      <c r="I28" s="636"/>
      <c r="J28" s="636"/>
      <c r="K28" s="565"/>
      <c r="L28" s="565"/>
      <c r="M28" s="565"/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</row>
    <row r="29" spans="2:28">
      <c r="D29" s="565"/>
      <c r="E29" s="565"/>
      <c r="F29" s="565"/>
      <c r="G29" s="565"/>
      <c r="I29" s="636"/>
      <c r="J29" s="636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</row>
    <row r="30" spans="2:28">
      <c r="D30" s="565"/>
      <c r="E30" s="565"/>
      <c r="F30" s="565"/>
      <c r="G30" s="565"/>
      <c r="I30" s="636"/>
      <c r="J30" s="636"/>
      <c r="K30" s="565"/>
      <c r="L30" s="565"/>
      <c r="M30" s="565"/>
      <c r="N30" s="565"/>
      <c r="O30" s="565"/>
      <c r="P30" s="565"/>
      <c r="Q30" s="565"/>
      <c r="R30" s="565"/>
      <c r="S30" s="565"/>
      <c r="T30" s="565"/>
      <c r="U30" s="565"/>
      <c r="V30" s="565"/>
      <c r="W30" s="565"/>
      <c r="X30" s="565"/>
      <c r="Y30" s="565"/>
      <c r="Z30" s="565"/>
      <c r="AA30" s="565"/>
      <c r="AB30" s="565"/>
    </row>
    <row r="31" spans="2:28">
      <c r="D31" s="565"/>
      <c r="E31" s="565"/>
      <c r="F31" s="565"/>
      <c r="G31" s="565"/>
      <c r="I31" s="636"/>
      <c r="J31" s="636"/>
      <c r="K31" s="565"/>
      <c r="L31" s="565"/>
      <c r="M31" s="565"/>
      <c r="N31" s="565"/>
      <c r="O31" s="565"/>
      <c r="P31" s="565"/>
      <c r="Q31" s="565"/>
      <c r="R31" s="565"/>
      <c r="S31" s="565"/>
      <c r="T31" s="565"/>
      <c r="U31" s="565"/>
      <c r="V31" s="565"/>
      <c r="W31" s="565"/>
      <c r="X31" s="565"/>
      <c r="Y31" s="565"/>
      <c r="Z31" s="565"/>
      <c r="AA31" s="565"/>
      <c r="AB31" s="565"/>
    </row>
    <row r="32" spans="2:28">
      <c r="F32" s="565"/>
      <c r="G32" s="565"/>
      <c r="I32" s="636"/>
      <c r="J32" s="636"/>
      <c r="K32" s="565"/>
      <c r="L32" s="565"/>
      <c r="M32" s="565"/>
      <c r="N32" s="565"/>
      <c r="O32" s="565"/>
      <c r="P32" s="565"/>
      <c r="Q32" s="565"/>
      <c r="R32" s="565"/>
      <c r="S32" s="565"/>
      <c r="T32" s="565"/>
      <c r="U32" s="565"/>
      <c r="V32" s="565"/>
      <c r="W32" s="565"/>
      <c r="X32" s="565"/>
      <c r="Y32" s="565"/>
      <c r="Z32" s="565"/>
      <c r="AA32" s="565"/>
      <c r="AB32" s="565"/>
    </row>
    <row r="33" spans="6:28">
      <c r="F33" s="565"/>
      <c r="G33" s="565"/>
      <c r="I33" s="636"/>
      <c r="J33" s="636"/>
      <c r="K33" s="565"/>
      <c r="L33" s="565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565"/>
      <c r="Z33" s="565"/>
      <c r="AA33" s="565"/>
      <c r="AB33" s="565"/>
    </row>
    <row r="34" spans="6:28">
      <c r="F34" s="565"/>
      <c r="G34" s="565"/>
      <c r="I34" s="636"/>
      <c r="J34" s="636"/>
      <c r="K34" s="565"/>
      <c r="L34" s="565"/>
      <c r="M34" s="565"/>
      <c r="N34" s="565"/>
      <c r="O34" s="565"/>
      <c r="P34" s="565"/>
      <c r="Q34" s="565"/>
      <c r="R34" s="565"/>
      <c r="S34" s="565"/>
      <c r="T34" s="565"/>
      <c r="U34" s="565"/>
      <c r="V34" s="565"/>
      <c r="W34" s="565"/>
      <c r="X34" s="565"/>
      <c r="Y34" s="565"/>
      <c r="Z34" s="565"/>
      <c r="AA34" s="565"/>
      <c r="AB34" s="565"/>
    </row>
    <row r="35" spans="6:28">
      <c r="F35" s="565"/>
      <c r="G35" s="565"/>
      <c r="I35" s="636"/>
      <c r="J35" s="636"/>
      <c r="K35" s="565"/>
      <c r="L35" s="565"/>
      <c r="M35" s="565"/>
      <c r="N35" s="565"/>
      <c r="O35" s="565"/>
      <c r="P35" s="565"/>
      <c r="Q35" s="565"/>
      <c r="R35" s="565"/>
      <c r="S35" s="565"/>
      <c r="T35" s="565"/>
      <c r="U35" s="565"/>
      <c r="V35" s="565"/>
      <c r="W35" s="565"/>
      <c r="X35" s="565"/>
      <c r="Y35" s="565"/>
      <c r="Z35" s="565"/>
      <c r="AA35" s="565"/>
      <c r="AB35" s="565"/>
    </row>
    <row r="36" spans="6:28">
      <c r="F36" s="565"/>
      <c r="G36" s="565"/>
      <c r="I36" s="636"/>
      <c r="J36" s="636"/>
      <c r="K36" s="565"/>
      <c r="L36" s="565"/>
      <c r="M36" s="565"/>
      <c r="N36" s="565"/>
      <c r="O36" s="565"/>
      <c r="P36" s="565"/>
      <c r="Q36" s="565"/>
      <c r="R36" s="565"/>
      <c r="S36" s="565"/>
      <c r="T36" s="565"/>
      <c r="U36" s="565"/>
      <c r="V36" s="565"/>
      <c r="W36" s="565"/>
      <c r="X36" s="565"/>
      <c r="Y36" s="565"/>
      <c r="Z36" s="565"/>
      <c r="AA36" s="565"/>
      <c r="AB36" s="565"/>
    </row>
    <row r="37" spans="6:28">
      <c r="F37" s="565"/>
      <c r="G37" s="565"/>
      <c r="I37" s="636"/>
      <c r="J37" s="636"/>
      <c r="K37" s="565"/>
      <c r="L37" s="565"/>
      <c r="M37" s="565"/>
      <c r="N37" s="565"/>
      <c r="O37" s="565"/>
      <c r="P37" s="565"/>
      <c r="Q37" s="565"/>
      <c r="R37" s="565"/>
      <c r="S37" s="565"/>
      <c r="T37" s="565"/>
      <c r="U37" s="565"/>
      <c r="V37" s="565"/>
      <c r="W37" s="565"/>
      <c r="X37" s="565"/>
      <c r="Y37" s="565"/>
      <c r="Z37" s="565"/>
      <c r="AA37" s="565"/>
      <c r="AB37" s="565"/>
    </row>
    <row r="38" spans="6:28">
      <c r="Q38" s="565"/>
      <c r="R38" s="565"/>
      <c r="S38" s="565"/>
      <c r="T38" s="565"/>
      <c r="U38" s="565"/>
      <c r="V38" s="565"/>
      <c r="W38" s="565"/>
      <c r="X38" s="565"/>
      <c r="Y38" s="565"/>
      <c r="Z38" s="565"/>
      <c r="AA38" s="565"/>
      <c r="AB38" s="565"/>
    </row>
    <row r="39" spans="6:28">
      <c r="Q39" s="565"/>
      <c r="R39" s="565"/>
      <c r="S39" s="565"/>
      <c r="T39" s="565"/>
      <c r="U39" s="565"/>
      <c r="V39" s="565"/>
      <c r="W39" s="565"/>
      <c r="X39" s="565"/>
      <c r="Y39" s="565"/>
      <c r="Z39" s="565"/>
      <c r="AA39" s="565"/>
      <c r="AB39" s="565"/>
    </row>
    <row r="40" spans="6:28">
      <c r="Q40" s="565"/>
      <c r="R40" s="565"/>
      <c r="S40" s="565"/>
      <c r="T40" s="565"/>
      <c r="U40" s="565"/>
      <c r="V40" s="565"/>
      <c r="W40" s="565"/>
      <c r="X40" s="565"/>
      <c r="Y40" s="565"/>
      <c r="Z40" s="565"/>
      <c r="AA40" s="565"/>
      <c r="AB40" s="565"/>
    </row>
  </sheetData>
  <autoFilter ref="A3:S16" xr:uid="{00000000-0009-0000-0000-000007000000}"/>
  <mergeCells count="1">
    <mergeCell ref="C2:S2"/>
  </mergeCells>
  <phoneticPr fontId="175" type="noConversion"/>
  <printOptions horizontalCentered="1"/>
  <pageMargins left="0.7" right="0.7" top="0.75" bottom="0.75" header="0.3" footer="0.3"/>
  <pageSetup paperSize="9" scale="54" fitToHeight="0" orientation="landscape" r:id="rId1"/>
  <headerFooter>
    <oddHeader>&amp;R&amp;G</oddHeader>
  </headerFooter>
  <colBreaks count="1" manualBreakCount="1">
    <brk id="19" max="15" man="1"/>
  </col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B1:I35"/>
  <sheetViews>
    <sheetView view="pageBreakPreview" zoomScaleNormal="100" zoomScaleSheetLayoutView="100" workbookViewId="0">
      <selection activeCell="H15" sqref="H15"/>
    </sheetView>
  </sheetViews>
  <sheetFormatPr baseColWidth="10" defaultColWidth="11.5546875" defaultRowHeight="13.2"/>
  <cols>
    <col min="2" max="2" width="13.6640625" bestFit="1" customWidth="1"/>
    <col min="3" max="3" width="44" bestFit="1" customWidth="1"/>
    <col min="5" max="5" width="16.5546875" customWidth="1"/>
    <col min="7" max="7" width="14.6640625" customWidth="1"/>
  </cols>
  <sheetData>
    <row r="1" spans="2:9" ht="21">
      <c r="B1" s="1021" t="s">
        <v>542</v>
      </c>
      <c r="C1" s="1022"/>
      <c r="D1" s="1022"/>
      <c r="E1" s="1022"/>
      <c r="F1" s="1022"/>
      <c r="G1" s="1023"/>
    </row>
    <row r="3" spans="2:9" hidden="1">
      <c r="B3" s="163" t="s">
        <v>328</v>
      </c>
    </row>
    <row r="4" spans="2:9">
      <c r="B4" s="163" t="s">
        <v>329</v>
      </c>
      <c r="C4" t="str">
        <f>'1.1 Formato C-1'!C5:J5</f>
        <v>MEJORAMIENTO DE VÍAS Y ACCESOS EXISTENTES SUBPROYECTOS A3-A4</v>
      </c>
    </row>
    <row r="5" spans="2:9">
      <c r="B5" s="163" t="s">
        <v>332</v>
      </c>
      <c r="C5" s="290" t="str">
        <f>'1.1 Formato C-1'!C6:J6</f>
        <v>ZOVICSA</v>
      </c>
    </row>
    <row r="6" spans="2:9">
      <c r="B6" s="163" t="s">
        <v>21</v>
      </c>
      <c r="C6" s="452">
        <f>'1.1 Formato C-1'!C7:J7</f>
        <v>44655</v>
      </c>
      <c r="I6" s="290"/>
    </row>
    <row r="7" spans="2:9">
      <c r="I7" s="290"/>
    </row>
    <row r="8" spans="2:9" ht="26.4">
      <c r="B8" s="388" t="s">
        <v>13</v>
      </c>
      <c r="C8" s="388" t="s">
        <v>535</v>
      </c>
      <c r="D8" s="388" t="s">
        <v>471</v>
      </c>
      <c r="E8" s="388" t="s">
        <v>536</v>
      </c>
      <c r="F8" s="388" t="s">
        <v>537</v>
      </c>
      <c r="G8" s="388" t="s">
        <v>538</v>
      </c>
      <c r="I8" s="290"/>
    </row>
    <row r="9" spans="2:9">
      <c r="B9" s="406">
        <v>1</v>
      </c>
      <c r="C9" s="390" t="str">
        <f>+'Equipos-Personal (HH y HM)'!A7</f>
        <v>Tractor sobre Orugas CAT D8T</v>
      </c>
      <c r="D9" s="389" t="s">
        <v>539</v>
      </c>
      <c r="E9" s="391">
        <f>+'Equipos-Personal (HH y HM)'!B7</f>
        <v>269.27</v>
      </c>
      <c r="F9" s="391">
        <f>'Equipos-Personal (HH y HM)'!H7</f>
        <v>10</v>
      </c>
      <c r="G9" s="391">
        <f>E9*F9</f>
        <v>2692.7</v>
      </c>
      <c r="H9">
        <f>+F9*$I$9</f>
        <v>184.5</v>
      </c>
      <c r="I9" s="290">
        <v>18.45</v>
      </c>
    </row>
    <row r="10" spans="2:9" hidden="1">
      <c r="B10" s="406">
        <v>2</v>
      </c>
      <c r="C10" s="390" t="str">
        <f>+'Equipos-Personal (HH y HM)'!A8</f>
        <v>Tractor sobre Orugas CAT D6T</v>
      </c>
      <c r="D10" s="389" t="s">
        <v>539</v>
      </c>
      <c r="E10" s="391">
        <f>+'Equipos-Personal (HH y HM)'!B8</f>
        <v>0</v>
      </c>
      <c r="F10" s="391">
        <f>'Equipos-Personal (HH y HM)'!H8</f>
        <v>5.5</v>
      </c>
      <c r="G10" s="561">
        <f t="shared" ref="G10:G27" si="0">E10*F10</f>
        <v>0</v>
      </c>
      <c r="I10" s="290"/>
    </row>
    <row r="11" spans="2:9" s="290" customFormat="1" hidden="1">
      <c r="B11" s="406">
        <v>3</v>
      </c>
      <c r="C11" s="390" t="str">
        <f>+'Equipos-Personal (HH y HM)'!A9</f>
        <v>Excavadora John Deere 290</v>
      </c>
      <c r="D11" s="389" t="s">
        <v>539</v>
      </c>
      <c r="E11" s="391">
        <f>+'Equipos-Personal (HH y HM)'!B9</f>
        <v>0</v>
      </c>
      <c r="F11" s="391">
        <f>'Equipos-Personal (HH y HM)'!H9</f>
        <v>7</v>
      </c>
      <c r="G11" s="561">
        <f t="shared" si="0"/>
        <v>0</v>
      </c>
    </row>
    <row r="12" spans="2:9" s="290" customFormat="1">
      <c r="B12" s="406">
        <v>4</v>
      </c>
      <c r="C12" s="390" t="str">
        <f>+'Equipos-Personal (HH y HM)'!A10</f>
        <v>Cargador Frontal John Deere 744 K</v>
      </c>
      <c r="D12" s="389" t="s">
        <v>539</v>
      </c>
      <c r="E12" s="391">
        <f>+'Equipos-Personal (HH y HM)'!B10</f>
        <v>181.10000000000002</v>
      </c>
      <c r="F12" s="391">
        <f>'Equipos-Personal (HH y HM)'!H10</f>
        <v>6.5</v>
      </c>
      <c r="G12" s="561">
        <f t="shared" si="0"/>
        <v>1177.1500000000001</v>
      </c>
      <c r="H12" s="565">
        <f t="shared" ref="H12:H25" si="1">+F12*$I$9</f>
        <v>119.925</v>
      </c>
    </row>
    <row r="13" spans="2:9" s="565" customFormat="1" hidden="1">
      <c r="B13" s="406"/>
      <c r="C13" s="570" t="str">
        <f>+'Equipos-Personal (HH y HM)'!A11</f>
        <v>Excavadora EC 380D</v>
      </c>
      <c r="D13" s="389" t="s">
        <v>539</v>
      </c>
      <c r="E13" s="391">
        <f>+'Equipos-Personal (HH y HM)'!B11</f>
        <v>0</v>
      </c>
      <c r="F13" s="391">
        <f>'Equipos-Personal (HH y HM)'!H11</f>
        <v>7</v>
      </c>
      <c r="G13" s="561">
        <f t="shared" ref="G13" si="2">E13*F13</f>
        <v>0</v>
      </c>
      <c r="H13" s="565">
        <f t="shared" si="1"/>
        <v>129.15</v>
      </c>
    </row>
    <row r="14" spans="2:9" s="290" customFormat="1">
      <c r="B14" s="406">
        <v>5</v>
      </c>
      <c r="C14" s="390" t="str">
        <f>+'Equipos-Personal (HH y HM)'!A12</f>
        <v>Retroexcavadora Cat 420e</v>
      </c>
      <c r="D14" s="389" t="s">
        <v>539</v>
      </c>
      <c r="E14" s="391">
        <f>+'Equipos-Personal (HH y HM)'!B12</f>
        <v>24.89</v>
      </c>
      <c r="F14" s="391">
        <f>'Equipos-Personal (HH y HM)'!H12</f>
        <v>2.5</v>
      </c>
      <c r="G14" s="561">
        <f t="shared" si="0"/>
        <v>62.225000000000001</v>
      </c>
      <c r="H14" s="565">
        <f t="shared" si="1"/>
        <v>46.125</v>
      </c>
    </row>
    <row r="15" spans="2:9" s="290" customFormat="1">
      <c r="B15" s="406">
        <v>6</v>
      </c>
      <c r="C15" s="390" t="str">
        <f>+'Equipos-Personal (HH y HM)'!A13</f>
        <v>Volquete de 17 m3</v>
      </c>
      <c r="D15" s="389" t="s">
        <v>539</v>
      </c>
      <c r="E15" s="391">
        <f>+'Equipos-Personal (HH y HM)'!B13</f>
        <v>1348.38</v>
      </c>
      <c r="F15" s="391">
        <f>'Equipos-Personal (HH y HM)'!H13</f>
        <v>3.2</v>
      </c>
      <c r="G15" s="561">
        <f t="shared" si="0"/>
        <v>4314.8160000000007</v>
      </c>
      <c r="H15" s="565">
        <f t="shared" si="1"/>
        <v>59.04</v>
      </c>
    </row>
    <row r="16" spans="2:9" s="290" customFormat="1">
      <c r="B16" s="406">
        <v>7</v>
      </c>
      <c r="C16" s="390" t="str">
        <f>+'Equipos-Personal (HH y HM)'!A14</f>
        <v>Cisterna de agua 5,000 gln.</v>
      </c>
      <c r="D16" s="389" t="s">
        <v>539</v>
      </c>
      <c r="E16" s="391">
        <f>+'Equipos-Personal (HH y HM)'!B14</f>
        <v>269.27</v>
      </c>
      <c r="F16" s="391">
        <f>'Equipos-Personal (HH y HM)'!H14</f>
        <v>3.2</v>
      </c>
      <c r="G16" s="561">
        <f t="shared" si="0"/>
        <v>861.66399999999999</v>
      </c>
      <c r="H16" s="565">
        <f t="shared" si="1"/>
        <v>59.04</v>
      </c>
    </row>
    <row r="17" spans="2:8" s="290" customFormat="1" hidden="1">
      <c r="B17" s="406">
        <v>8</v>
      </c>
      <c r="C17" s="390" t="str">
        <f>+'Equipos-Personal (HH y HM)'!A15</f>
        <v>Camión Grúa de 20 Ton.</v>
      </c>
      <c r="D17" s="389" t="s">
        <v>539</v>
      </c>
      <c r="E17" s="391">
        <f>+'Equipos-Personal (HH y HM)'!B15</f>
        <v>0</v>
      </c>
      <c r="F17" s="391">
        <f>'Equipos-Personal (HH y HM)'!H15</f>
        <v>5.5</v>
      </c>
      <c r="G17" s="561">
        <f t="shared" si="0"/>
        <v>0</v>
      </c>
      <c r="H17" s="565">
        <f t="shared" si="1"/>
        <v>101.47499999999999</v>
      </c>
    </row>
    <row r="18" spans="2:8">
      <c r="B18" s="406">
        <v>9</v>
      </c>
      <c r="C18" s="390" t="str">
        <f>+'Equipos-Personal (HH y HM)'!A16</f>
        <v>Motoniveladora de 140 HP</v>
      </c>
      <c r="D18" s="389" t="s">
        <v>539</v>
      </c>
      <c r="E18" s="391">
        <f>+'Equipos-Personal (HH y HM)'!B16</f>
        <v>269.27</v>
      </c>
      <c r="F18" s="391">
        <f>'Equipos-Personal (HH y HM)'!H16</f>
        <v>3.5</v>
      </c>
      <c r="G18" s="561">
        <f t="shared" si="0"/>
        <v>942.44499999999994</v>
      </c>
      <c r="H18" s="565">
        <f t="shared" si="1"/>
        <v>64.575000000000003</v>
      </c>
    </row>
    <row r="19" spans="2:8">
      <c r="B19" s="406">
        <v>10</v>
      </c>
      <c r="C19" s="390" t="str">
        <f>+'Equipos-Personal (HH y HM)'!A17</f>
        <v>Rodillo Liso Vibratorio Autopropulsado HAMM 20 Tn.</v>
      </c>
      <c r="D19" s="389" t="s">
        <v>539</v>
      </c>
      <c r="E19" s="391">
        <f>+'Equipos-Personal (HH y HM)'!B17</f>
        <v>269.27</v>
      </c>
      <c r="F19" s="391">
        <f>'Equipos-Personal (HH y HM)'!H17</f>
        <v>2</v>
      </c>
      <c r="G19" s="562">
        <f t="shared" si="0"/>
        <v>538.54</v>
      </c>
      <c r="H19" s="565">
        <f t="shared" si="1"/>
        <v>36.9</v>
      </c>
    </row>
    <row r="20" spans="2:8" s="290" customFormat="1" hidden="1">
      <c r="B20" s="406">
        <v>11</v>
      </c>
      <c r="C20" s="390" t="str">
        <f>+'Equipos-Personal (HH y HM)'!A18</f>
        <v>Rodillo Liso Vibratorio Autopropulsado HAMM 11 Tn.</v>
      </c>
      <c r="D20" s="389" t="s">
        <v>539</v>
      </c>
      <c r="E20" s="391">
        <f>+'Equipos-Personal (HH y HM)'!B18</f>
        <v>0</v>
      </c>
      <c r="F20" s="391">
        <f>'Equipos-Personal (HH y HM)'!H18</f>
        <v>1.5</v>
      </c>
      <c r="G20" s="562">
        <f t="shared" si="0"/>
        <v>0</v>
      </c>
      <c r="H20" s="565">
        <f t="shared" si="1"/>
        <v>27.674999999999997</v>
      </c>
    </row>
    <row r="21" spans="2:8" s="290" customFormat="1" hidden="1">
      <c r="B21" s="406">
        <v>12</v>
      </c>
      <c r="C21" s="390" t="str">
        <f>+'Equipos-Personal (HH y HM)'!A19</f>
        <v>Minicargador  Cat 246, 74 HP</v>
      </c>
      <c r="D21" s="389" t="s">
        <v>539</v>
      </c>
      <c r="E21" s="391">
        <f>+'Equipos-Personal (HH y HM)'!B19</f>
        <v>0</v>
      </c>
      <c r="F21" s="391">
        <f>'Equipos-Personal (HH y HM)'!H19</f>
        <v>6.5</v>
      </c>
      <c r="G21" s="562">
        <f t="shared" si="0"/>
        <v>0</v>
      </c>
      <c r="H21" s="565">
        <f t="shared" si="1"/>
        <v>119.925</v>
      </c>
    </row>
    <row r="22" spans="2:8" s="565" customFormat="1" hidden="1">
      <c r="B22" s="406">
        <v>13</v>
      </c>
      <c r="C22" s="570" t="str">
        <f>+'Equipos-Personal (HH y HM)'!A21</f>
        <v>Rodillo compactador Tandem Tipo Chupetero</v>
      </c>
      <c r="D22" s="389" t="s">
        <v>539</v>
      </c>
      <c r="E22" s="391">
        <f>+'Equipos-Personal (HH y HM)'!B21</f>
        <v>0</v>
      </c>
      <c r="F22" s="391">
        <f>'Equipos-Personal (HH y HM)'!H20</f>
        <v>0.5</v>
      </c>
      <c r="G22" s="569">
        <f t="shared" ref="G22" si="3">E22*F22</f>
        <v>0</v>
      </c>
      <c r="H22" s="565">
        <f t="shared" si="1"/>
        <v>9.2249999999999996</v>
      </c>
    </row>
    <row r="23" spans="2:8" s="290" customFormat="1" hidden="1">
      <c r="B23" s="406">
        <v>14</v>
      </c>
      <c r="C23" s="390" t="str">
        <f>+'Equipos-Personal (HH y HM)'!A20</f>
        <v>Luminaria 4K</v>
      </c>
      <c r="D23" s="389" t="s">
        <v>539</v>
      </c>
      <c r="E23" s="391">
        <f>+'Equipos-Personal (HH y HM)'!B20</f>
        <v>0</v>
      </c>
      <c r="F23" s="391">
        <f>'Equipos-Personal (HH y HM)'!H20</f>
        <v>0.5</v>
      </c>
      <c r="G23" s="562">
        <f t="shared" si="0"/>
        <v>0</v>
      </c>
      <c r="H23" s="565">
        <f t="shared" si="1"/>
        <v>9.2249999999999996</v>
      </c>
    </row>
    <row r="24" spans="2:8" s="290" customFormat="1">
      <c r="B24" s="406">
        <v>15</v>
      </c>
      <c r="C24" s="390" t="s">
        <v>19</v>
      </c>
      <c r="D24" s="389" t="s">
        <v>539</v>
      </c>
      <c r="E24" s="391">
        <f>'1.3 Gastos Generales'!G66*'1.3 Gastos Generales'!I66*2*330</f>
        <v>811.8</v>
      </c>
      <c r="F24" s="391">
        <v>1</v>
      </c>
      <c r="G24" s="562">
        <f t="shared" si="0"/>
        <v>811.8</v>
      </c>
      <c r="H24" s="565">
        <f t="shared" si="1"/>
        <v>18.45</v>
      </c>
    </row>
    <row r="25" spans="2:8" s="290" customFormat="1">
      <c r="B25" s="406">
        <v>16</v>
      </c>
      <c r="C25" s="390" t="s">
        <v>620</v>
      </c>
      <c r="D25" s="389" t="s">
        <v>539</v>
      </c>
      <c r="E25" s="391">
        <f>'1.3 Gastos Generales'!G67*'1.3 Gastos Generales'!I67*2*(4*30)</f>
        <v>295.2</v>
      </c>
      <c r="F25" s="391">
        <v>2</v>
      </c>
      <c r="G25" s="562">
        <f t="shared" si="0"/>
        <v>590.4</v>
      </c>
      <c r="H25" s="565">
        <f t="shared" si="1"/>
        <v>36.9</v>
      </c>
    </row>
    <row r="26" spans="2:8" s="290" customFormat="1" hidden="1">
      <c r="B26" s="406">
        <v>17</v>
      </c>
      <c r="C26" s="390" t="s">
        <v>583</v>
      </c>
      <c r="D26" s="389" t="s">
        <v>539</v>
      </c>
      <c r="E26" s="391">
        <f>'1.3 Gastos Generales'!G68*'1.3 Gastos Generales'!I68*2*(4*30)</f>
        <v>0</v>
      </c>
      <c r="F26" s="391">
        <v>1.5</v>
      </c>
      <c r="G26" s="562">
        <f t="shared" si="0"/>
        <v>0</v>
      </c>
    </row>
    <row r="27" spans="2:8" s="290" customFormat="1" hidden="1">
      <c r="B27" s="406">
        <v>18</v>
      </c>
      <c r="C27" s="390" t="s">
        <v>668</v>
      </c>
      <c r="D27" s="389" t="s">
        <v>539</v>
      </c>
      <c r="E27" s="391">
        <f>'1.3 Gastos Generales'!G69*'1.3 Gastos Generales'!I69*200</f>
        <v>0</v>
      </c>
      <c r="F27" s="391">
        <v>3.2</v>
      </c>
      <c r="G27" s="562">
        <f t="shared" si="0"/>
        <v>0</v>
      </c>
    </row>
    <row r="28" spans="2:8" s="290" customFormat="1">
      <c r="B28" s="406"/>
      <c r="C28" s="393"/>
      <c r="D28" s="393"/>
      <c r="E28" s="393"/>
      <c r="F28" s="393"/>
      <c r="G28" s="390"/>
    </row>
    <row r="29" spans="2:8">
      <c r="B29" s="563"/>
      <c r="C29" s="564"/>
      <c r="D29" s="392" t="s">
        <v>540</v>
      </c>
      <c r="E29" s="398"/>
      <c r="F29" s="399"/>
      <c r="G29" s="391">
        <f>SUM(G9:G27)</f>
        <v>11991.74</v>
      </c>
    </row>
    <row r="30" spans="2:8" ht="15.6">
      <c r="B30" s="394"/>
      <c r="C30" s="395"/>
      <c r="D30" s="396" t="s">
        <v>541</v>
      </c>
      <c r="E30" s="395"/>
      <c r="F30" s="397"/>
      <c r="G30" s="400">
        <f>+G29</f>
        <v>11991.74</v>
      </c>
    </row>
    <row r="31" spans="2:8">
      <c r="B31" s="404"/>
      <c r="C31" s="366"/>
      <c r="D31" s="366"/>
      <c r="E31" s="366"/>
      <c r="F31" s="366"/>
      <c r="G31" s="405"/>
    </row>
    <row r="32" spans="2:8">
      <c r="B32" s="404"/>
      <c r="C32" s="366"/>
      <c r="D32" s="366"/>
      <c r="E32" s="366"/>
      <c r="F32" s="366"/>
      <c r="G32" s="405"/>
    </row>
    <row r="33" spans="2:7">
      <c r="B33" s="401"/>
      <c r="C33" s="402"/>
      <c r="D33" s="402"/>
      <c r="E33" s="402"/>
      <c r="F33" s="402"/>
      <c r="G33" s="403"/>
    </row>
    <row r="34" spans="2:7">
      <c r="B34" s="1015"/>
      <c r="C34" s="1016"/>
      <c r="D34" s="1016"/>
      <c r="E34" s="1016"/>
      <c r="F34" s="1016"/>
      <c r="G34" s="1017"/>
    </row>
    <row r="35" spans="2:7">
      <c r="B35" s="1018"/>
      <c r="C35" s="1019"/>
      <c r="D35" s="1019"/>
      <c r="E35" s="1019"/>
      <c r="F35" s="1019"/>
      <c r="G35" s="1020"/>
    </row>
  </sheetData>
  <mergeCells count="3">
    <mergeCell ref="B34:G34"/>
    <mergeCell ref="B35:G35"/>
    <mergeCell ref="B1:G1"/>
  </mergeCells>
  <phoneticPr fontId="79" type="noConversion"/>
  <pageMargins left="0.7" right="0.7" top="0.75" bottom="0.75" header="0.3" footer="0.3"/>
  <pageSetup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0"/>
  <dimension ref="B1:H142"/>
  <sheetViews>
    <sheetView workbookViewId="0"/>
  </sheetViews>
  <sheetFormatPr baseColWidth="10" defaultColWidth="10.33203125" defaultRowHeight="10.199999999999999"/>
  <cols>
    <col min="1" max="1" width="2.44140625" style="248" customWidth="1"/>
    <col min="2" max="2" width="41.44140625" style="248" customWidth="1"/>
    <col min="3" max="3" width="10.6640625" style="248" customWidth="1"/>
    <col min="4" max="5" width="17.88671875" style="247" customWidth="1"/>
    <col min="6" max="9" width="10.6640625" style="248" customWidth="1"/>
    <col min="10" max="16384" width="10.33203125" style="248"/>
  </cols>
  <sheetData>
    <row r="1" spans="2:5" ht="13.2">
      <c r="B1" s="245" t="s">
        <v>328</v>
      </c>
      <c r="C1" s="246" t="s">
        <v>478</v>
      </c>
    </row>
    <row r="2" spans="2:5" ht="13.2">
      <c r="B2" s="245" t="s">
        <v>329</v>
      </c>
      <c r="C2" s="246"/>
    </row>
    <row r="3" spans="2:5" ht="13.2">
      <c r="B3" s="245" t="s">
        <v>330</v>
      </c>
      <c r="C3" s="246"/>
    </row>
    <row r="4" spans="2:5" s="249" customFormat="1" ht="13.2">
      <c r="B4" s="245" t="s">
        <v>331</v>
      </c>
      <c r="C4" s="246" t="s">
        <v>479</v>
      </c>
    </row>
    <row r="5" spans="2:5" s="249" customFormat="1" ht="13.2">
      <c r="B5" s="245" t="s">
        <v>332</v>
      </c>
      <c r="C5" s="246" t="s">
        <v>480</v>
      </c>
    </row>
    <row r="6" spans="2:5" s="249" customFormat="1" ht="13.2">
      <c r="B6" s="245" t="s">
        <v>21</v>
      </c>
      <c r="C6" s="250"/>
    </row>
    <row r="7" spans="2:5" s="249" customFormat="1" ht="12">
      <c r="B7" s="251"/>
      <c r="C7" s="251"/>
      <c r="D7" s="252"/>
      <c r="E7" s="252"/>
    </row>
    <row r="8" spans="2:5" ht="13.8">
      <c r="B8" s="253" t="s">
        <v>477</v>
      </c>
      <c r="D8" s="254"/>
    </row>
    <row r="9" spans="2:5" ht="13.8">
      <c r="B9" s="253"/>
      <c r="D9" s="255"/>
    </row>
    <row r="10" spans="2:5" s="260" customFormat="1" ht="13.8" thickBot="1">
      <c r="B10" s="256"/>
      <c r="C10" s="257"/>
      <c r="D10" s="258" t="s">
        <v>473</v>
      </c>
      <c r="E10" s="259"/>
    </row>
    <row r="11" spans="2:5" ht="13.8" thickBot="1">
      <c r="B11" s="261" t="s">
        <v>116</v>
      </c>
      <c r="D11" s="262">
        <v>230</v>
      </c>
      <c r="E11" s="263" t="s">
        <v>474</v>
      </c>
    </row>
    <row r="12" spans="2:5" ht="13.8" thickBot="1">
      <c r="B12" s="256" t="s">
        <v>51</v>
      </c>
      <c r="C12" s="264"/>
      <c r="D12" s="265">
        <v>63</v>
      </c>
      <c r="E12" s="263" t="s">
        <v>475</v>
      </c>
    </row>
    <row r="13" spans="2:5" ht="13.8" thickBot="1">
      <c r="B13" s="256" t="s">
        <v>394</v>
      </c>
      <c r="C13" s="264"/>
      <c r="D13" s="265">
        <v>89</v>
      </c>
      <c r="E13" s="263" t="s">
        <v>475</v>
      </c>
    </row>
    <row r="14" spans="2:5" ht="13.8" thickBot="1">
      <c r="B14" s="256" t="s">
        <v>44</v>
      </c>
      <c r="C14" s="264"/>
      <c r="D14" s="265">
        <v>89</v>
      </c>
      <c r="E14" s="263" t="s">
        <v>475</v>
      </c>
    </row>
    <row r="15" spans="2:5" ht="13.8" thickBot="1">
      <c r="B15" s="256" t="s">
        <v>395</v>
      </c>
      <c r="C15" s="264"/>
      <c r="D15" s="265">
        <v>74</v>
      </c>
      <c r="E15" s="263" t="s">
        <v>475</v>
      </c>
    </row>
    <row r="16" spans="2:5" ht="13.8" thickBot="1">
      <c r="B16" s="256" t="s">
        <v>396</v>
      </c>
      <c r="C16" s="266"/>
      <c r="D16" s="267">
        <v>14</v>
      </c>
      <c r="E16" s="263" t="s">
        <v>475</v>
      </c>
    </row>
    <row r="17" spans="2:8" ht="13.8" thickBot="1">
      <c r="B17" s="256" t="s">
        <v>397</v>
      </c>
      <c r="C17" s="266"/>
      <c r="D17" s="267">
        <v>14</v>
      </c>
      <c r="E17" s="263" t="s">
        <v>475</v>
      </c>
    </row>
    <row r="18" spans="2:8" ht="13.8" thickBot="1">
      <c r="B18" s="256" t="s">
        <v>398</v>
      </c>
      <c r="C18" s="266"/>
      <c r="D18" s="267">
        <v>14</v>
      </c>
      <c r="E18" s="263" t="s">
        <v>475</v>
      </c>
    </row>
    <row r="19" spans="2:8" ht="13.8" thickBot="1">
      <c r="B19" s="256" t="s">
        <v>399</v>
      </c>
      <c r="C19" s="266"/>
      <c r="D19" s="267">
        <v>14</v>
      </c>
      <c r="E19" s="263" t="s">
        <v>475</v>
      </c>
    </row>
    <row r="20" spans="2:8" ht="13.8" thickBot="1">
      <c r="B20" s="256" t="s">
        <v>48</v>
      </c>
      <c r="C20" s="266"/>
      <c r="D20" s="265">
        <v>69</v>
      </c>
      <c r="E20" s="263" t="s">
        <v>475</v>
      </c>
    </row>
    <row r="21" spans="2:8" ht="13.8" thickBot="1">
      <c r="B21" s="256" t="s">
        <v>400</v>
      </c>
      <c r="C21" s="266"/>
      <c r="D21" s="267">
        <v>14</v>
      </c>
      <c r="E21" s="263" t="s">
        <v>475</v>
      </c>
    </row>
    <row r="22" spans="2:8" ht="13.8" thickBot="1">
      <c r="B22" s="256" t="s">
        <v>401</v>
      </c>
      <c r="C22" s="266"/>
      <c r="D22" s="267">
        <v>14</v>
      </c>
      <c r="E22" s="263" t="s">
        <v>475</v>
      </c>
    </row>
    <row r="23" spans="2:8" ht="13.8" thickBot="1">
      <c r="B23" s="256" t="s">
        <v>402</v>
      </c>
      <c r="C23" s="266"/>
      <c r="D23" s="267">
        <v>14</v>
      </c>
      <c r="E23" s="263" t="s">
        <v>475</v>
      </c>
    </row>
    <row r="24" spans="2:8" ht="13.8" thickBot="1">
      <c r="B24" s="256" t="s">
        <v>403</v>
      </c>
      <c r="C24" s="266"/>
      <c r="D24" s="265">
        <v>64</v>
      </c>
      <c r="E24" s="263" t="s">
        <v>475</v>
      </c>
      <c r="F24" s="248" t="e">
        <f>+#REF!*4</f>
        <v>#REF!</v>
      </c>
      <c r="G24" s="248" t="e">
        <f>+F24+#REF!</f>
        <v>#REF!</v>
      </c>
      <c r="H24" s="248" t="e">
        <f>+G24/10</f>
        <v>#REF!</v>
      </c>
    </row>
    <row r="25" spans="2:8" ht="13.8" thickBot="1">
      <c r="B25" s="256" t="s">
        <v>102</v>
      </c>
      <c r="C25" s="266"/>
      <c r="D25" s="265">
        <v>64</v>
      </c>
      <c r="E25" s="263" t="s">
        <v>475</v>
      </c>
      <c r="F25" s="248" t="e">
        <f>+#REF!*4</f>
        <v>#REF!</v>
      </c>
      <c r="G25" s="248" t="e">
        <f>+F25+#REF!</f>
        <v>#REF!</v>
      </c>
      <c r="H25" s="248" t="e">
        <f>+G25/10</f>
        <v>#REF!</v>
      </c>
    </row>
    <row r="26" spans="2:8" ht="13.8" thickBot="1">
      <c r="B26" s="256" t="s">
        <v>404</v>
      </c>
      <c r="C26" s="266"/>
      <c r="D26" s="267">
        <v>14</v>
      </c>
      <c r="E26" s="263" t="s">
        <v>475</v>
      </c>
    </row>
    <row r="27" spans="2:8" ht="13.8" thickBot="1">
      <c r="B27" s="256" t="s">
        <v>405</v>
      </c>
      <c r="C27" s="266"/>
      <c r="D27" s="267">
        <v>56</v>
      </c>
      <c r="E27" s="263" t="s">
        <v>475</v>
      </c>
    </row>
    <row r="28" spans="2:8" ht="13.8" thickBot="1">
      <c r="B28" s="256" t="s">
        <v>103</v>
      </c>
      <c r="C28" s="266"/>
      <c r="D28" s="265">
        <v>56</v>
      </c>
      <c r="E28" s="263" t="s">
        <v>475</v>
      </c>
    </row>
    <row r="29" spans="2:8" ht="13.8" thickBot="1">
      <c r="B29" s="256" t="s">
        <v>406</v>
      </c>
      <c r="C29" s="266"/>
      <c r="D29" s="267">
        <v>14</v>
      </c>
      <c r="E29" s="263" t="s">
        <v>475</v>
      </c>
    </row>
    <row r="30" spans="2:8" ht="13.8" thickBot="1">
      <c r="B30" s="256" t="s">
        <v>407</v>
      </c>
      <c r="C30" s="266"/>
      <c r="D30" s="267">
        <v>14</v>
      </c>
      <c r="E30" s="263" t="s">
        <v>475</v>
      </c>
    </row>
    <row r="31" spans="2:8" ht="13.8" thickBot="1">
      <c r="B31" s="256" t="s">
        <v>408</v>
      </c>
      <c r="C31" s="266"/>
      <c r="D31" s="267">
        <v>14</v>
      </c>
      <c r="E31" s="263" t="s">
        <v>475</v>
      </c>
    </row>
    <row r="32" spans="2:8" ht="13.8" thickBot="1">
      <c r="B32" s="256" t="s">
        <v>409</v>
      </c>
      <c r="C32" s="266"/>
      <c r="D32" s="267">
        <v>14</v>
      </c>
      <c r="E32" s="263" t="s">
        <v>475</v>
      </c>
    </row>
    <row r="33" spans="2:5" ht="13.8" thickBot="1">
      <c r="B33" s="256" t="s">
        <v>410</v>
      </c>
      <c r="C33" s="266"/>
      <c r="D33" s="267">
        <v>14</v>
      </c>
      <c r="E33" s="263" t="s">
        <v>475</v>
      </c>
    </row>
    <row r="34" spans="2:5" ht="13.8" thickBot="1">
      <c r="B34" s="256" t="s">
        <v>411</v>
      </c>
      <c r="C34" s="264"/>
      <c r="D34" s="267">
        <v>14</v>
      </c>
      <c r="E34" s="263" t="s">
        <v>475</v>
      </c>
    </row>
    <row r="35" spans="2:5" ht="13.8" thickBot="1">
      <c r="B35" s="256" t="s">
        <v>104</v>
      </c>
      <c r="C35" s="264"/>
      <c r="D35" s="265">
        <v>42</v>
      </c>
      <c r="E35" s="263" t="s">
        <v>475</v>
      </c>
    </row>
    <row r="36" spans="2:5" ht="13.8" thickBot="1">
      <c r="B36" s="256" t="s">
        <v>49</v>
      </c>
      <c r="C36" s="264"/>
      <c r="D36" s="265">
        <v>38</v>
      </c>
      <c r="E36" s="263" t="s">
        <v>475</v>
      </c>
    </row>
    <row r="37" spans="2:5" ht="13.8" thickBot="1">
      <c r="B37" s="256" t="s">
        <v>412</v>
      </c>
      <c r="C37" s="264"/>
      <c r="D37" s="267">
        <v>14</v>
      </c>
      <c r="E37" s="263" t="s">
        <v>475</v>
      </c>
    </row>
    <row r="38" spans="2:5" ht="13.8" thickBot="1">
      <c r="B38" s="256" t="s">
        <v>105</v>
      </c>
      <c r="C38" s="264"/>
      <c r="D38" s="265">
        <v>29</v>
      </c>
      <c r="E38" s="263" t="s">
        <v>475</v>
      </c>
    </row>
    <row r="39" spans="2:5" ht="13.8" thickBot="1">
      <c r="B39" s="256" t="s">
        <v>413</v>
      </c>
      <c r="C39" s="264"/>
      <c r="D39" s="267">
        <v>14</v>
      </c>
      <c r="E39" s="263" t="s">
        <v>475</v>
      </c>
    </row>
    <row r="40" spans="2:5" ht="13.8" thickBot="1">
      <c r="B40" s="256" t="s">
        <v>46</v>
      </c>
      <c r="C40" s="264"/>
      <c r="D40" s="265">
        <v>32</v>
      </c>
      <c r="E40" s="263" t="s">
        <v>475</v>
      </c>
    </row>
    <row r="41" spans="2:5" ht="13.8" thickBot="1">
      <c r="B41" s="256" t="s">
        <v>414</v>
      </c>
      <c r="C41" s="264"/>
      <c r="D41" s="267">
        <v>89</v>
      </c>
      <c r="E41" s="263" t="s">
        <v>475</v>
      </c>
    </row>
    <row r="42" spans="2:5" ht="13.8" thickBot="1">
      <c r="B42" s="256" t="s">
        <v>686</v>
      </c>
      <c r="C42" s="264"/>
      <c r="D42" s="265">
        <v>82</v>
      </c>
      <c r="E42" s="263" t="s">
        <v>475</v>
      </c>
    </row>
    <row r="43" spans="2:5" ht="13.8" thickBot="1">
      <c r="B43" s="256" t="s">
        <v>106</v>
      </c>
      <c r="C43" s="264"/>
      <c r="D43" s="265">
        <v>26</v>
      </c>
      <c r="E43" s="263" t="s">
        <v>475</v>
      </c>
    </row>
    <row r="44" spans="2:5" ht="13.8" thickBot="1">
      <c r="B44" s="256" t="s">
        <v>415</v>
      </c>
      <c r="C44" s="264"/>
      <c r="D44" s="267">
        <v>14</v>
      </c>
      <c r="E44" s="263" t="s">
        <v>475</v>
      </c>
    </row>
    <row r="45" spans="2:5" ht="13.8" thickBot="1">
      <c r="B45" s="256" t="s">
        <v>416</v>
      </c>
      <c r="C45" s="264"/>
      <c r="D45" s="267">
        <v>14</v>
      </c>
      <c r="E45" s="263" t="s">
        <v>475</v>
      </c>
    </row>
    <row r="46" spans="2:5" ht="13.8" thickBot="1">
      <c r="B46" s="256" t="s">
        <v>107</v>
      </c>
      <c r="C46" s="264"/>
      <c r="D46" s="265">
        <v>49</v>
      </c>
      <c r="E46" s="263" t="s">
        <v>475</v>
      </c>
    </row>
    <row r="47" spans="2:5" ht="13.8" thickBot="1">
      <c r="B47" s="256" t="s">
        <v>108</v>
      </c>
      <c r="C47" s="264"/>
      <c r="D47" s="265">
        <v>51</v>
      </c>
      <c r="E47" s="263" t="s">
        <v>475</v>
      </c>
    </row>
    <row r="48" spans="2:5" ht="13.8" thickBot="1">
      <c r="B48" s="256" t="s">
        <v>45</v>
      </c>
      <c r="C48" s="264"/>
      <c r="D48" s="265">
        <v>36</v>
      </c>
      <c r="E48" s="263" t="s">
        <v>475</v>
      </c>
    </row>
    <row r="49" spans="2:5" ht="13.8" thickBot="1">
      <c r="B49" s="256" t="s">
        <v>417</v>
      </c>
      <c r="C49" s="264"/>
      <c r="D49" s="267">
        <v>14</v>
      </c>
      <c r="E49" s="263" t="s">
        <v>475</v>
      </c>
    </row>
    <row r="50" spans="2:5" ht="13.8" thickBot="1">
      <c r="B50" s="256" t="s">
        <v>418</v>
      </c>
      <c r="C50" s="264"/>
      <c r="D50" s="267">
        <v>14</v>
      </c>
      <c r="E50" s="263" t="s">
        <v>475</v>
      </c>
    </row>
    <row r="51" spans="2:5" ht="13.8" thickBot="1">
      <c r="B51" s="256" t="s">
        <v>419</v>
      </c>
      <c r="C51" s="264"/>
      <c r="D51" s="267">
        <v>14</v>
      </c>
      <c r="E51" s="263" t="s">
        <v>475</v>
      </c>
    </row>
    <row r="52" spans="2:5" ht="13.8" thickBot="1">
      <c r="B52" s="256" t="s">
        <v>420</v>
      </c>
      <c r="C52" s="264"/>
      <c r="D52" s="265">
        <v>84</v>
      </c>
      <c r="E52" s="263" t="s">
        <v>475</v>
      </c>
    </row>
    <row r="53" spans="2:5" ht="13.8" thickBot="1">
      <c r="B53" s="256" t="s">
        <v>421</v>
      </c>
      <c r="C53" s="264"/>
      <c r="D53" s="265">
        <v>94</v>
      </c>
      <c r="E53" s="263" t="s">
        <v>475</v>
      </c>
    </row>
    <row r="54" spans="2:5" ht="13.8" thickBot="1">
      <c r="B54" s="256" t="s">
        <v>422</v>
      </c>
      <c r="C54" s="264"/>
      <c r="D54" s="265">
        <v>59</v>
      </c>
      <c r="E54" s="263" t="s">
        <v>475</v>
      </c>
    </row>
    <row r="55" spans="2:5" ht="13.8" thickBot="1">
      <c r="B55" s="256" t="s">
        <v>423</v>
      </c>
      <c r="C55" s="264"/>
      <c r="D55" s="265">
        <v>27.5</v>
      </c>
      <c r="E55" s="263" t="s">
        <v>475</v>
      </c>
    </row>
    <row r="56" spans="2:5" ht="13.8" thickBot="1">
      <c r="B56" s="256" t="s">
        <v>424</v>
      </c>
      <c r="C56" s="264"/>
      <c r="D56" s="267">
        <v>0</v>
      </c>
      <c r="E56" s="263" t="s">
        <v>475</v>
      </c>
    </row>
    <row r="57" spans="2:5" ht="13.8" thickBot="1">
      <c r="B57" s="256" t="s">
        <v>109</v>
      </c>
      <c r="C57" s="264"/>
      <c r="D57" s="265">
        <v>20</v>
      </c>
      <c r="E57" s="263" t="s">
        <v>475</v>
      </c>
    </row>
    <row r="58" spans="2:5" ht="13.8" thickBot="1">
      <c r="B58" s="256" t="s">
        <v>481</v>
      </c>
      <c r="C58" s="264"/>
      <c r="D58" s="267">
        <v>30</v>
      </c>
      <c r="E58" s="263" t="s">
        <v>475</v>
      </c>
    </row>
    <row r="59" spans="2:5" ht="13.8" thickBot="1">
      <c r="B59" s="256" t="s">
        <v>482</v>
      </c>
      <c r="C59" s="264"/>
      <c r="D59" s="267">
        <v>54</v>
      </c>
      <c r="E59" s="263" t="s">
        <v>475</v>
      </c>
    </row>
    <row r="60" spans="2:5" ht="13.8" thickBot="1">
      <c r="B60" s="256" t="s">
        <v>483</v>
      </c>
      <c r="C60" s="264"/>
      <c r="D60" s="267">
        <v>26.560000000000002</v>
      </c>
      <c r="E60" s="263" t="s">
        <v>475</v>
      </c>
    </row>
    <row r="63" spans="2:5" ht="13.8" thickBot="1">
      <c r="B63" s="261" t="s">
        <v>115</v>
      </c>
      <c r="D63" s="247" t="s">
        <v>472</v>
      </c>
    </row>
    <row r="64" spans="2:5" ht="13.8" thickBot="1">
      <c r="B64" s="256" t="s">
        <v>110</v>
      </c>
      <c r="C64" s="264"/>
      <c r="D64" s="265">
        <v>29</v>
      </c>
      <c r="E64" s="263" t="s">
        <v>475</v>
      </c>
    </row>
    <row r="65" spans="2:5" ht="13.8" thickBot="1">
      <c r="B65" s="256" t="s">
        <v>111</v>
      </c>
      <c r="C65" s="264"/>
      <c r="D65" s="265">
        <v>12</v>
      </c>
      <c r="E65" s="263" t="s">
        <v>475</v>
      </c>
    </row>
    <row r="66" spans="2:5" ht="13.8" thickBot="1">
      <c r="B66" s="256" t="s">
        <v>47</v>
      </c>
      <c r="C66" s="264"/>
      <c r="D66" s="267">
        <v>2.2799999999999998</v>
      </c>
      <c r="E66" s="263" t="s">
        <v>475</v>
      </c>
    </row>
    <row r="67" spans="2:5" ht="13.8" thickBot="1">
      <c r="B67" s="256" t="s">
        <v>425</v>
      </c>
      <c r="C67" s="264"/>
      <c r="D67" s="267">
        <v>0</v>
      </c>
      <c r="E67" s="263" t="s">
        <v>475</v>
      </c>
    </row>
    <row r="68" spans="2:5" ht="13.8" thickBot="1">
      <c r="B68" s="256" t="s">
        <v>426</v>
      </c>
      <c r="C68" s="264"/>
      <c r="D68" s="267">
        <v>1.4</v>
      </c>
      <c r="E68" s="263" t="s">
        <v>475</v>
      </c>
    </row>
    <row r="69" spans="2:5" ht="13.8" thickBot="1">
      <c r="B69" s="256" t="s">
        <v>427</v>
      </c>
      <c r="C69" s="264"/>
      <c r="D69" s="267">
        <v>2</v>
      </c>
      <c r="E69" s="263" t="s">
        <v>475</v>
      </c>
    </row>
    <row r="70" spans="2:5" ht="13.8" thickBot="1">
      <c r="B70" s="256" t="s">
        <v>428</v>
      </c>
      <c r="C70" s="264"/>
      <c r="D70" s="267">
        <v>3.0721966205837177</v>
      </c>
      <c r="E70" s="263" t="s">
        <v>475</v>
      </c>
    </row>
    <row r="71" spans="2:5" ht="13.8" thickBot="1">
      <c r="B71" s="256" t="s">
        <v>429</v>
      </c>
      <c r="C71" s="264"/>
      <c r="D71" s="267">
        <v>7.6804915514592933</v>
      </c>
      <c r="E71" s="263" t="s">
        <v>475</v>
      </c>
    </row>
    <row r="72" spans="2:5" ht="13.8" thickBot="1">
      <c r="B72" s="256" t="s">
        <v>430</v>
      </c>
      <c r="C72" s="264"/>
      <c r="D72" s="267">
        <v>11.7</v>
      </c>
      <c r="E72" s="263" t="s">
        <v>475</v>
      </c>
    </row>
    <row r="73" spans="2:5" ht="13.8" thickBot="1">
      <c r="B73" s="256" t="s">
        <v>431</v>
      </c>
      <c r="C73" s="264"/>
      <c r="D73" s="267">
        <v>3.0721966205837177</v>
      </c>
      <c r="E73" s="263" t="s">
        <v>475</v>
      </c>
    </row>
    <row r="74" spans="2:5" ht="13.8" thickBot="1">
      <c r="B74" s="256" t="s">
        <v>112</v>
      </c>
      <c r="C74" s="264"/>
      <c r="D74" s="265">
        <v>3.9938556067588329</v>
      </c>
      <c r="E74" s="263" t="s">
        <v>475</v>
      </c>
    </row>
    <row r="75" spans="2:5" ht="13.8" thickBot="1">
      <c r="B75" s="256" t="s">
        <v>694</v>
      </c>
      <c r="C75" s="264"/>
      <c r="D75" s="267">
        <v>3.9938556067588329</v>
      </c>
      <c r="E75" s="263" t="s">
        <v>475</v>
      </c>
    </row>
    <row r="76" spans="2:5" ht="13.8" thickBot="1">
      <c r="B76" s="256" t="s">
        <v>488</v>
      </c>
      <c r="D76" s="268">
        <v>12</v>
      </c>
      <c r="E76" s="263" t="s">
        <v>475</v>
      </c>
    </row>
    <row r="77" spans="2:5" ht="13.8" thickBot="1">
      <c r="B77" s="256" t="s">
        <v>113</v>
      </c>
      <c r="D77" s="268">
        <v>3</v>
      </c>
      <c r="E77" s="263" t="s">
        <v>475</v>
      </c>
    </row>
    <row r="78" spans="2:5" ht="13.8" thickBot="1">
      <c r="B78" s="256" t="s">
        <v>432</v>
      </c>
      <c r="D78" s="268">
        <v>6.86</v>
      </c>
      <c r="E78" s="263" t="s">
        <v>475</v>
      </c>
    </row>
    <row r="79" spans="2:5" ht="13.8" thickBot="1">
      <c r="B79" s="256" t="s">
        <v>114</v>
      </c>
      <c r="D79" s="268">
        <v>6.86</v>
      </c>
      <c r="E79" s="263" t="s">
        <v>475</v>
      </c>
    </row>
    <row r="81" spans="2:5" ht="13.8" thickBot="1">
      <c r="B81" s="261" t="s">
        <v>120</v>
      </c>
      <c r="D81" s="247" t="s">
        <v>472</v>
      </c>
    </row>
    <row r="82" spans="2:5" ht="13.8" thickBot="1">
      <c r="B82" s="256" t="s">
        <v>117</v>
      </c>
      <c r="C82" s="264"/>
      <c r="D82" s="269">
        <v>1.5</v>
      </c>
      <c r="E82" s="263"/>
    </row>
    <row r="83" spans="2:5" ht="13.8" thickBot="1">
      <c r="B83" s="256" t="s">
        <v>433</v>
      </c>
      <c r="C83" s="264"/>
      <c r="D83" s="267">
        <v>1.228878648233487</v>
      </c>
      <c r="E83" s="263"/>
    </row>
    <row r="84" spans="2:5" ht="13.8" thickBot="1">
      <c r="B84" s="256" t="s">
        <v>118</v>
      </c>
      <c r="C84" s="264"/>
      <c r="D84" s="265">
        <v>16</v>
      </c>
      <c r="E84" s="263"/>
    </row>
    <row r="85" spans="2:5" ht="13.8" thickBot="1">
      <c r="B85" s="256" t="s">
        <v>434</v>
      </c>
      <c r="C85" s="264"/>
      <c r="D85" s="267">
        <v>6.1443932411674353</v>
      </c>
      <c r="E85" s="263"/>
    </row>
    <row r="86" spans="2:5" ht="13.8" thickBot="1">
      <c r="B86" s="256" t="s">
        <v>435</v>
      </c>
      <c r="C86" s="264"/>
      <c r="D86" s="267">
        <v>6.1443932411674353</v>
      </c>
      <c r="E86" s="263"/>
    </row>
    <row r="87" spans="2:5" ht="13.8" thickBot="1">
      <c r="B87" s="256" t="s">
        <v>436</v>
      </c>
      <c r="C87" s="264"/>
      <c r="D87" s="267">
        <v>12.288786482334871</v>
      </c>
      <c r="E87" s="263"/>
    </row>
    <row r="88" spans="2:5" ht="13.8" thickBot="1">
      <c r="B88" s="256" t="s">
        <v>437</v>
      </c>
      <c r="C88" s="264"/>
      <c r="D88" s="267">
        <v>15.360983102918587</v>
      </c>
      <c r="E88" s="263"/>
    </row>
    <row r="89" spans="2:5" ht="13.8" thickBot="1">
      <c r="B89" s="256" t="s">
        <v>438</v>
      </c>
      <c r="C89" s="264"/>
      <c r="D89" s="267">
        <v>9.216589861751153</v>
      </c>
      <c r="E89" s="263"/>
    </row>
    <row r="90" spans="2:5" ht="13.8" thickBot="1">
      <c r="B90" s="256" t="s">
        <v>439</v>
      </c>
      <c r="C90" s="264"/>
      <c r="D90" s="267">
        <v>12.288786482334871</v>
      </c>
      <c r="E90" s="263"/>
    </row>
    <row r="91" spans="2:5" ht="13.8" thickBot="1">
      <c r="B91" s="256" t="s">
        <v>440</v>
      </c>
      <c r="C91" s="264"/>
      <c r="D91" s="267">
        <v>4.6082949308755765</v>
      </c>
      <c r="E91" s="263"/>
    </row>
    <row r="92" spans="2:5" ht="13.8" thickBot="1">
      <c r="B92" s="256" t="s">
        <v>441</v>
      </c>
      <c r="C92" s="264"/>
      <c r="D92" s="269">
        <v>15.360983102918587</v>
      </c>
      <c r="E92" s="263"/>
    </row>
    <row r="93" spans="2:5" ht="13.8" thickBot="1">
      <c r="B93" s="256" t="s">
        <v>442</v>
      </c>
      <c r="C93" s="264"/>
      <c r="D93" s="267">
        <v>7.6804915514592933</v>
      </c>
      <c r="E93" s="263"/>
    </row>
    <row r="94" spans="2:5" ht="13.8" thickBot="1">
      <c r="B94" s="256" t="s">
        <v>443</v>
      </c>
      <c r="C94" s="264"/>
      <c r="D94" s="267">
        <v>15.360983102918587</v>
      </c>
      <c r="E94" s="263"/>
    </row>
    <row r="95" spans="2:5" ht="13.8" thickBot="1">
      <c r="B95" s="256" t="s">
        <v>444</v>
      </c>
      <c r="C95" s="264"/>
      <c r="D95" s="267">
        <v>7.6804915514592933</v>
      </c>
      <c r="E95" s="263"/>
    </row>
    <row r="96" spans="2:5" ht="13.8" thickBot="1">
      <c r="B96" s="270" t="s">
        <v>445</v>
      </c>
      <c r="C96" s="264"/>
      <c r="D96" s="267">
        <v>3.0721966205837177</v>
      </c>
      <c r="E96" s="263"/>
    </row>
    <row r="97" spans="2:5" ht="13.8" thickBot="1">
      <c r="B97" s="271" t="s">
        <v>446</v>
      </c>
      <c r="C97" s="264"/>
      <c r="D97" s="272">
        <v>0.92165898617511521</v>
      </c>
      <c r="E97" s="263"/>
    </row>
    <row r="98" spans="2:5" ht="13.8" thickBot="1">
      <c r="B98" s="270" t="s">
        <v>447</v>
      </c>
      <c r="C98" s="264"/>
      <c r="D98" s="267">
        <v>2.7649769585253456</v>
      </c>
      <c r="E98" s="263"/>
    </row>
    <row r="99" spans="2:5" ht="13.8" thickBot="1">
      <c r="B99" s="270" t="s">
        <v>448</v>
      </c>
      <c r="C99" s="264"/>
      <c r="D99" s="267">
        <v>10.445468509984639</v>
      </c>
      <c r="E99" s="263"/>
    </row>
    <row r="100" spans="2:5" ht="13.8" thickBot="1">
      <c r="B100" s="271" t="s">
        <v>449</v>
      </c>
      <c r="C100" s="264"/>
      <c r="D100" s="272">
        <v>1.228878648233487</v>
      </c>
      <c r="E100" s="263"/>
    </row>
    <row r="101" spans="2:5" ht="13.8" thickBot="1">
      <c r="B101" s="271" t="s">
        <v>450</v>
      </c>
      <c r="C101" s="264"/>
      <c r="D101" s="272">
        <v>1.5360983102918588</v>
      </c>
      <c r="E101" s="263"/>
    </row>
    <row r="102" spans="2:5" ht="13.8" thickBot="1">
      <c r="B102" s="271" t="s">
        <v>451</v>
      </c>
      <c r="C102" s="264"/>
      <c r="D102" s="272">
        <v>1.228878648233487</v>
      </c>
      <c r="E102" s="263"/>
    </row>
    <row r="103" spans="2:5" ht="13.8" thickBot="1">
      <c r="B103" s="271" t="s">
        <v>452</v>
      </c>
      <c r="C103" s="264"/>
      <c r="D103" s="272">
        <v>1.228878648233487</v>
      </c>
      <c r="E103" s="263"/>
    </row>
    <row r="104" spans="2:5" ht="13.8" thickBot="1">
      <c r="B104" s="271" t="s">
        <v>453</v>
      </c>
      <c r="C104" s="264"/>
      <c r="D104" s="272">
        <v>4.9155145929339481</v>
      </c>
      <c r="E104" s="263"/>
    </row>
    <row r="105" spans="2:5" ht="13.8" thickBot="1">
      <c r="B105" s="270" t="s">
        <v>454</v>
      </c>
      <c r="D105" s="268">
        <v>7.3732718894009217</v>
      </c>
      <c r="E105" s="263"/>
    </row>
    <row r="106" spans="2:5" ht="13.8" thickBot="1">
      <c r="B106" s="256" t="s">
        <v>455</v>
      </c>
      <c r="C106" s="264"/>
      <c r="D106" s="267">
        <v>313.36405529953919</v>
      </c>
      <c r="E106" s="263"/>
    </row>
    <row r="107" spans="2:5" ht="13.8" thickBot="1">
      <c r="B107" s="256" t="s">
        <v>456</v>
      </c>
      <c r="C107" s="264"/>
      <c r="D107" s="267">
        <v>0.48765025723551075</v>
      </c>
      <c r="E107" s="263"/>
    </row>
    <row r="108" spans="2:5" ht="13.8" thickBot="1">
      <c r="B108" s="256" t="s">
        <v>457</v>
      </c>
      <c r="C108" s="264"/>
      <c r="D108" s="267">
        <v>0.92165898617511521</v>
      </c>
      <c r="E108" s="263"/>
    </row>
    <row r="109" spans="2:5" ht="13.8" thickBot="1">
      <c r="B109" s="256" t="s">
        <v>458</v>
      </c>
      <c r="C109" s="264"/>
      <c r="D109" s="267">
        <v>12.427035330261138</v>
      </c>
      <c r="E109" s="263"/>
    </row>
    <row r="110" spans="2:5" ht="13.8" thickBot="1">
      <c r="B110" s="256" t="s">
        <v>459</v>
      </c>
      <c r="C110" s="264"/>
      <c r="D110" s="267">
        <v>30.721966205837173</v>
      </c>
      <c r="E110" s="263"/>
    </row>
    <row r="111" spans="2:5" ht="13.8" thickBot="1">
      <c r="B111" s="256" t="s">
        <v>460</v>
      </c>
      <c r="D111" s="273">
        <v>0</v>
      </c>
      <c r="E111" s="263"/>
    </row>
    <row r="112" spans="2:5" ht="13.8" thickBot="1">
      <c r="B112" s="256" t="s">
        <v>461</v>
      </c>
      <c r="C112" s="264"/>
      <c r="D112" s="267">
        <v>30.721966205837173</v>
      </c>
      <c r="E112" s="263"/>
    </row>
    <row r="113" spans="2:5" ht="13.8" thickBot="1">
      <c r="B113" s="256" t="s">
        <v>462</v>
      </c>
      <c r="C113" s="264"/>
      <c r="D113" s="267">
        <v>98.310291858678966</v>
      </c>
      <c r="E113" s="263"/>
    </row>
    <row r="114" spans="2:5" ht="13.8" thickBot="1">
      <c r="B114" s="256" t="s">
        <v>463</v>
      </c>
      <c r="D114" s="268">
        <v>3.1242677497461537</v>
      </c>
      <c r="E114" s="263"/>
    </row>
    <row r="115" spans="2:5" ht="13.8" thickBot="1">
      <c r="B115" s="256" t="s">
        <v>464</v>
      </c>
      <c r="D115" s="273">
        <v>20.5</v>
      </c>
      <c r="E115" s="263" t="s">
        <v>476</v>
      </c>
    </row>
    <row r="116" spans="2:5" ht="13.8" thickBot="1">
      <c r="B116" s="256" t="s">
        <v>119</v>
      </c>
      <c r="D116" s="273">
        <v>4</v>
      </c>
      <c r="E116" s="263"/>
    </row>
    <row r="118" spans="2:5" ht="13.8" thickBot="1">
      <c r="B118" s="261" t="s">
        <v>0</v>
      </c>
    </row>
    <row r="119" spans="2:5" ht="13.8" thickBot="1">
      <c r="B119" s="274" t="s">
        <v>16</v>
      </c>
      <c r="D119" s="268">
        <v>9.68</v>
      </c>
      <c r="E119" s="263" t="s">
        <v>475</v>
      </c>
    </row>
    <row r="120" spans="2:5" ht="13.8" thickBot="1">
      <c r="B120" s="274" t="s">
        <v>121</v>
      </c>
      <c r="D120" s="275">
        <v>9.5499999999999989</v>
      </c>
      <c r="E120" s="263" t="s">
        <v>475</v>
      </c>
    </row>
    <row r="121" spans="2:5" ht="13.8" thickBot="1">
      <c r="B121" s="274" t="s">
        <v>17</v>
      </c>
      <c r="D121" s="275">
        <v>9.2799999999999994</v>
      </c>
      <c r="E121" s="263" t="s">
        <v>475</v>
      </c>
    </row>
    <row r="122" spans="2:5" ht="13.8" thickBot="1">
      <c r="B122" s="274" t="s">
        <v>122</v>
      </c>
      <c r="D122" s="275">
        <v>9.2799999999999994</v>
      </c>
      <c r="E122" s="263" t="s">
        <v>475</v>
      </c>
    </row>
    <row r="123" spans="2:5" ht="13.8" thickBot="1">
      <c r="B123" s="274" t="s">
        <v>123</v>
      </c>
      <c r="D123" s="275">
        <v>7.33</v>
      </c>
      <c r="E123" s="263" t="s">
        <v>475</v>
      </c>
    </row>
    <row r="124" spans="2:5" ht="13.8" thickBot="1">
      <c r="B124" s="274" t="s">
        <v>124</v>
      </c>
      <c r="D124" s="275">
        <v>7.33</v>
      </c>
      <c r="E124" s="263" t="s">
        <v>475</v>
      </c>
    </row>
    <row r="125" spans="2:5" ht="13.8" thickBot="1">
      <c r="B125" s="274" t="s">
        <v>125</v>
      </c>
      <c r="D125" s="275">
        <v>9.2799999999999994</v>
      </c>
      <c r="E125" s="263" t="s">
        <v>475</v>
      </c>
    </row>
    <row r="126" spans="2:5" ht="13.8" thickBot="1">
      <c r="B126" s="274" t="s">
        <v>126</v>
      </c>
      <c r="D126" s="275">
        <v>9.2799999999999994</v>
      </c>
      <c r="E126" s="263" t="s">
        <v>475</v>
      </c>
    </row>
    <row r="127" spans="2:5" ht="13.8" thickBot="1">
      <c r="B127" s="274" t="s">
        <v>127</v>
      </c>
      <c r="D127" s="275">
        <v>9.2799999999999994</v>
      </c>
      <c r="E127" s="263" t="s">
        <v>475</v>
      </c>
    </row>
    <row r="128" spans="2:5" ht="13.8" thickBot="1">
      <c r="B128" s="274" t="s">
        <v>18</v>
      </c>
      <c r="D128" s="275">
        <v>7.33</v>
      </c>
      <c r="E128" s="263" t="s">
        <v>475</v>
      </c>
    </row>
    <row r="129" spans="2:5" ht="13.8" thickBot="1">
      <c r="B129" s="274" t="s">
        <v>50</v>
      </c>
      <c r="D129" s="275">
        <v>6.46</v>
      </c>
      <c r="E129" s="263" t="s">
        <v>475</v>
      </c>
    </row>
    <row r="130" spans="2:5" ht="13.8" thickBot="1">
      <c r="B130" s="274" t="s">
        <v>43</v>
      </c>
      <c r="D130" s="275">
        <v>6.46</v>
      </c>
      <c r="E130" s="263" t="s">
        <v>475</v>
      </c>
    </row>
    <row r="131" spans="2:5" ht="13.8" thickBot="1">
      <c r="B131" s="274" t="s">
        <v>42</v>
      </c>
      <c r="D131" s="275">
        <v>6.46</v>
      </c>
      <c r="E131" s="263" t="s">
        <v>475</v>
      </c>
    </row>
    <row r="132" spans="2:5" ht="13.8" thickBot="1">
      <c r="B132" s="274" t="s">
        <v>128</v>
      </c>
      <c r="D132" s="275">
        <v>14</v>
      </c>
      <c r="E132" s="263" t="s">
        <v>475</v>
      </c>
    </row>
    <row r="133" spans="2:5" ht="13.8" thickBot="1">
      <c r="B133" s="274" t="s">
        <v>129</v>
      </c>
      <c r="D133" s="275">
        <v>9.2799999999999994</v>
      </c>
      <c r="E133" s="263" t="s">
        <v>475</v>
      </c>
    </row>
    <row r="134" spans="2:5" ht="13.8" thickBot="1">
      <c r="B134" s="274" t="s">
        <v>130</v>
      </c>
      <c r="D134" s="275">
        <v>7.33</v>
      </c>
      <c r="E134" s="263" t="s">
        <v>475</v>
      </c>
    </row>
    <row r="135" spans="2:5" ht="13.8" thickBot="1">
      <c r="B135" s="274" t="s">
        <v>131</v>
      </c>
      <c r="D135" s="275">
        <v>7.33</v>
      </c>
      <c r="E135" s="263" t="s">
        <v>475</v>
      </c>
    </row>
    <row r="137" spans="2:5" ht="13.8" thickBot="1">
      <c r="B137" s="261" t="s">
        <v>465</v>
      </c>
    </row>
    <row r="138" spans="2:5" ht="13.8" thickBot="1">
      <c r="B138" s="274" t="s">
        <v>466</v>
      </c>
      <c r="D138" s="276">
        <v>0.2</v>
      </c>
      <c r="E138" s="263" t="s">
        <v>8</v>
      </c>
    </row>
    <row r="139" spans="2:5" ht="13.8" thickBot="1">
      <c r="B139" s="274" t="s">
        <v>467</v>
      </c>
      <c r="D139" s="276">
        <v>0.25</v>
      </c>
      <c r="E139" s="263" t="s">
        <v>8</v>
      </c>
    </row>
    <row r="140" spans="2:5" ht="13.8" thickBot="1">
      <c r="B140" s="274" t="s">
        <v>468</v>
      </c>
      <c r="D140" s="276">
        <v>0.4</v>
      </c>
      <c r="E140" s="263" t="s">
        <v>8</v>
      </c>
    </row>
    <row r="141" spans="2:5" ht="13.8" thickBot="1">
      <c r="B141" s="274" t="s">
        <v>469</v>
      </c>
      <c r="D141" s="276">
        <v>0.15</v>
      </c>
      <c r="E141" s="263" t="s">
        <v>8</v>
      </c>
    </row>
    <row r="142" spans="2:5" ht="13.8" thickBot="1">
      <c r="B142" s="274" t="s">
        <v>470</v>
      </c>
      <c r="D142" s="276">
        <v>0.03</v>
      </c>
      <c r="E142" s="263" t="s">
        <v>8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3"/>
  <dimension ref="A1:AC108"/>
  <sheetViews>
    <sheetView view="pageBreakPreview" zoomScale="60" zoomScaleNormal="100" workbookViewId="0">
      <selection activeCell="K102" sqref="K102"/>
    </sheetView>
  </sheetViews>
  <sheetFormatPr baseColWidth="10" defaultColWidth="11.5546875" defaultRowHeight="13.2"/>
  <cols>
    <col min="1" max="1" width="3.6640625" style="565" customWidth="1"/>
    <col min="2" max="2" width="7.5546875" style="565" customWidth="1"/>
    <col min="3" max="3" width="6.6640625" style="5" customWidth="1"/>
    <col min="4" max="4" width="45.33203125" style="565" customWidth="1"/>
    <col min="5" max="5" width="5.6640625" style="565" bestFit="1" customWidth="1"/>
    <col min="6" max="6" width="12.33203125" style="565" bestFit="1" customWidth="1"/>
    <col min="7" max="7" width="8.5546875" style="565" bestFit="1" customWidth="1"/>
    <col min="8" max="8" width="6.33203125" style="565" customWidth="1"/>
    <col min="9" max="9" width="6.88671875" style="565" customWidth="1"/>
    <col min="10" max="10" width="7.6640625" style="565" customWidth="1"/>
    <col min="11" max="11" width="12" style="565" customWidth="1"/>
    <col min="12" max="12" width="11.33203125" style="565" customWidth="1"/>
    <col min="13" max="13" width="3.6640625" style="565" customWidth="1"/>
    <col min="14" max="14" width="12.6640625" style="565" hidden="1" customWidth="1"/>
    <col min="15" max="15" width="13.6640625" style="565" hidden="1" customWidth="1"/>
    <col min="16" max="29" width="11.5546875" style="565" hidden="1" customWidth="1"/>
    <col min="30" max="33" width="11.5546875" style="565" customWidth="1"/>
    <col min="34" max="16384" width="11.5546875" style="565"/>
  </cols>
  <sheetData>
    <row r="1" spans="1:29" ht="15" thickBot="1">
      <c r="A1" s="7"/>
      <c r="B1" s="7"/>
      <c r="C1" s="12"/>
      <c r="D1" s="7"/>
      <c r="E1" s="7"/>
      <c r="F1" s="7"/>
      <c r="G1" s="7"/>
      <c r="H1" s="8"/>
      <c r="I1" s="9"/>
      <c r="J1" s="10"/>
      <c r="K1" s="9"/>
      <c r="L1" s="9"/>
      <c r="M1" s="8"/>
      <c r="O1" s="138" t="s">
        <v>693</v>
      </c>
      <c r="P1" s="560">
        <v>4</v>
      </c>
      <c r="S1" s="566" t="s">
        <v>273</v>
      </c>
      <c r="T1" s="566" t="s">
        <v>274</v>
      </c>
      <c r="U1" s="566" t="s">
        <v>275</v>
      </c>
      <c r="AA1" s="132"/>
      <c r="AB1" s="133" t="s">
        <v>276</v>
      </c>
      <c r="AC1" s="133" t="s">
        <v>277</v>
      </c>
    </row>
    <row r="2" spans="1:29" ht="14.4">
      <c r="A2" s="7"/>
      <c r="B2" s="7"/>
      <c r="C2" s="12"/>
      <c r="D2" s="7"/>
      <c r="E2" s="7"/>
      <c r="F2" s="7"/>
      <c r="G2" s="7"/>
      <c r="H2" s="8"/>
      <c r="I2" s="9"/>
      <c r="J2" s="10"/>
      <c r="K2" s="9"/>
      <c r="L2" s="9"/>
      <c r="M2" s="8"/>
      <c r="R2" s="566" t="s">
        <v>272</v>
      </c>
      <c r="S2" s="128">
        <v>15</v>
      </c>
      <c r="T2" s="128">
        <v>6</v>
      </c>
      <c r="U2" s="128">
        <f>+S2+T2</f>
        <v>21</v>
      </c>
      <c r="V2" s="128">
        <f>+S2/U2</f>
        <v>0.7142857142857143</v>
      </c>
      <c r="AA2" s="133" t="s">
        <v>274</v>
      </c>
      <c r="AB2" s="132">
        <v>6</v>
      </c>
      <c r="AC2" s="132">
        <v>10</v>
      </c>
    </row>
    <row r="3" spans="1:29" ht="21">
      <c r="A3" s="7"/>
      <c r="B3" s="961" t="s">
        <v>721</v>
      </c>
      <c r="C3" s="962"/>
      <c r="D3" s="963"/>
      <c r="E3" s="963"/>
      <c r="F3" s="963"/>
      <c r="G3" s="963"/>
      <c r="H3" s="963"/>
      <c r="I3" s="963"/>
      <c r="J3" s="963"/>
      <c r="K3" s="963"/>
      <c r="L3" s="963"/>
      <c r="M3" s="8"/>
      <c r="AA3" s="133" t="s">
        <v>278</v>
      </c>
      <c r="AB3" s="132">
        <v>15</v>
      </c>
      <c r="AC3" s="132">
        <v>14</v>
      </c>
    </row>
    <row r="4" spans="1:29" ht="13.5" customHeight="1">
      <c r="A4" s="7"/>
      <c r="B4" s="163"/>
      <c r="C4" s="12"/>
      <c r="D4" s="412"/>
      <c r="E4" s="7"/>
      <c r="F4" s="7"/>
      <c r="G4" s="7"/>
      <c r="H4" s="8"/>
      <c r="I4" s="9"/>
      <c r="J4" s="10"/>
      <c r="K4" s="9"/>
      <c r="L4" s="9"/>
      <c r="M4" s="8"/>
      <c r="AA4" s="132"/>
      <c r="AB4" s="132">
        <f>SUM(AB2:AB3)</f>
        <v>21</v>
      </c>
      <c r="AC4" s="132">
        <f>SUM(AC2:AC3)</f>
        <v>24</v>
      </c>
    </row>
    <row r="5" spans="1:29" ht="13.5" customHeight="1">
      <c r="A5" s="7"/>
      <c r="B5" s="163" t="s">
        <v>329</v>
      </c>
      <c r="C5" s="12"/>
      <c r="D5" s="412" t="str">
        <f>+'1.2 APU'!C6</f>
        <v>MEJORAMIENTO DE VÍAS Y ACCESOS EXISTENTES SUBPROYECTOS A3-A4</v>
      </c>
      <c r="E5" s="8"/>
      <c r="F5" s="7"/>
      <c r="G5" s="7"/>
      <c r="H5" s="8"/>
      <c r="I5" s="9"/>
      <c r="J5" s="10"/>
      <c r="K5" s="9"/>
      <c r="L5" s="9"/>
      <c r="M5" s="8"/>
      <c r="AA5" s="133" t="s">
        <v>279</v>
      </c>
      <c r="AB5" s="132">
        <f>+AB3/AB4</f>
        <v>0.7142857142857143</v>
      </c>
      <c r="AC5" s="134">
        <f>+AC3/AC4</f>
        <v>0.58333333333333337</v>
      </c>
    </row>
    <row r="6" spans="1:29" ht="14.4" hidden="1">
      <c r="A6" s="7"/>
      <c r="B6" s="163" t="s">
        <v>330</v>
      </c>
      <c r="C6" s="12"/>
      <c r="D6" s="412"/>
      <c r="E6" s="8"/>
      <c r="F6" s="7"/>
      <c r="G6" s="7"/>
      <c r="H6" s="8"/>
      <c r="I6" s="9"/>
      <c r="J6" s="10"/>
      <c r="K6" s="9"/>
      <c r="L6" s="9"/>
      <c r="M6" s="8"/>
      <c r="AA6" s="133" t="s">
        <v>280</v>
      </c>
      <c r="AB6" s="132">
        <f>+AB2/AB4</f>
        <v>0.2857142857142857</v>
      </c>
      <c r="AC6" s="134">
        <f>+AC2/AC4</f>
        <v>0.41666666666666669</v>
      </c>
    </row>
    <row r="7" spans="1:29" ht="13.5" customHeight="1" thickBot="1">
      <c r="A7" s="7"/>
      <c r="B7" s="163" t="s">
        <v>331</v>
      </c>
      <c r="C7" s="12"/>
      <c r="D7" s="412" t="str">
        <f>+'1.3 Gastos Generales'!D6</f>
        <v>OHLA</v>
      </c>
      <c r="E7" s="8"/>
      <c r="F7" s="7"/>
      <c r="G7" s="7"/>
      <c r="H7" s="8"/>
      <c r="I7" s="9"/>
      <c r="J7" s="10"/>
      <c r="K7" s="9"/>
      <c r="L7" s="9"/>
      <c r="M7" s="8"/>
      <c r="AA7" s="132"/>
      <c r="AB7" s="135">
        <f>ROUND(AC6-AB6,2)</f>
        <v>0.13</v>
      </c>
      <c r="AC7" s="136">
        <f>ROUNDUP(F2*AB7,0)</f>
        <v>0</v>
      </c>
    </row>
    <row r="8" spans="1:29" ht="13.5" customHeight="1">
      <c r="A8" s="7"/>
      <c r="B8" s="163" t="s">
        <v>332</v>
      </c>
      <c r="C8" s="12"/>
      <c r="D8" s="412" t="str">
        <f>+'1.2 APU'!C7</f>
        <v>ZOVICSA</v>
      </c>
      <c r="E8" s="8"/>
      <c r="F8" s="7"/>
      <c r="G8" s="7"/>
      <c r="H8" s="8"/>
      <c r="I8" s="9"/>
      <c r="J8" s="10"/>
      <c r="K8" s="9"/>
      <c r="L8" s="9"/>
      <c r="M8" s="8"/>
      <c r="AA8" s="133"/>
      <c r="AB8" s="132"/>
      <c r="AC8" s="134"/>
    </row>
    <row r="9" spans="1:29" ht="13.5" customHeight="1">
      <c r="A9" s="11"/>
      <c r="B9" s="163" t="s">
        <v>21</v>
      </c>
      <c r="C9" s="12"/>
      <c r="D9" s="413">
        <f>+'1.2 APU'!C8</f>
        <v>44655</v>
      </c>
      <c r="E9" s="8"/>
      <c r="F9" s="7"/>
      <c r="G9" s="7"/>
      <c r="H9" s="11"/>
      <c r="I9" s="8"/>
      <c r="J9" s="11"/>
      <c r="K9" s="8"/>
      <c r="L9" s="12"/>
      <c r="M9" s="8"/>
    </row>
    <row r="10" spans="1:29" ht="13.8">
      <c r="A10" s="7"/>
      <c r="B10" s="17"/>
      <c r="C10" s="111"/>
      <c r="D10" s="18"/>
      <c r="E10" s="8"/>
      <c r="F10" s="15"/>
      <c r="G10" s="13"/>
      <c r="H10" s="13"/>
      <c r="I10" s="9"/>
      <c r="J10" s="10"/>
      <c r="K10" s="14"/>
      <c r="L10" s="16"/>
      <c r="M10" s="8"/>
    </row>
    <row r="11" spans="1:29" ht="13.8" hidden="1">
      <c r="A11" s="7"/>
      <c r="B11" s="19" t="s">
        <v>54</v>
      </c>
      <c r="C11" s="12"/>
      <c r="D11" s="18"/>
      <c r="E11" s="8"/>
      <c r="F11" s="15"/>
      <c r="G11" s="13"/>
      <c r="H11" s="13"/>
      <c r="I11" s="9"/>
      <c r="J11" s="10"/>
      <c r="K11" s="14"/>
      <c r="L11" s="20"/>
      <c r="M11" s="8"/>
    </row>
    <row r="12" spans="1:29" ht="13.8" hidden="1" thickBot="1">
      <c r="A12" s="7"/>
      <c r="B12" s="7"/>
      <c r="C12" s="12"/>
      <c r="D12" s="18"/>
      <c r="E12" s="8"/>
      <c r="F12" s="9"/>
      <c r="G12" s="8"/>
      <c r="H12" s="8"/>
      <c r="I12" s="9"/>
      <c r="J12" s="10"/>
      <c r="K12" s="8"/>
      <c r="L12" s="9"/>
      <c r="M12" s="8"/>
    </row>
    <row r="13" spans="1:29" ht="14.4" hidden="1" thickBot="1">
      <c r="A13" s="7"/>
      <c r="B13" s="21" t="s">
        <v>55</v>
      </c>
      <c r="C13" s="112" t="s">
        <v>56</v>
      </c>
      <c r="D13" s="22"/>
      <c r="E13" s="23" t="s">
        <v>5</v>
      </c>
      <c r="F13" s="24" t="s">
        <v>57</v>
      </c>
      <c r="G13" s="25" t="s">
        <v>58</v>
      </c>
      <c r="H13" s="26" t="s">
        <v>59</v>
      </c>
      <c r="I13" s="26" t="s">
        <v>7</v>
      </c>
      <c r="J13" s="27" t="s">
        <v>60</v>
      </c>
      <c r="K13" s="28" t="s">
        <v>61</v>
      </c>
      <c r="L13" s="28" t="s">
        <v>62</v>
      </c>
      <c r="M13" s="29"/>
    </row>
    <row r="14" spans="1:29" ht="13.8" hidden="1">
      <c r="A14" s="7"/>
      <c r="B14" s="30"/>
      <c r="C14" s="113"/>
      <c r="D14" s="32"/>
      <c r="E14" s="33"/>
      <c r="F14" s="34"/>
      <c r="G14" s="35"/>
      <c r="H14" s="35"/>
      <c r="I14" s="35"/>
      <c r="J14" s="36"/>
      <c r="K14" s="37"/>
      <c r="L14" s="38"/>
      <c r="M14" s="29"/>
    </row>
    <row r="15" spans="1:29" ht="13.8" hidden="1">
      <c r="A15" s="7"/>
      <c r="B15" s="39"/>
      <c r="C15" s="114">
        <v>1</v>
      </c>
      <c r="D15" s="40" t="s">
        <v>63</v>
      </c>
      <c r="E15" s="41"/>
      <c r="F15" s="42"/>
      <c r="G15" s="43"/>
      <c r="H15" s="43"/>
      <c r="I15" s="43"/>
      <c r="J15" s="44"/>
      <c r="K15" s="45"/>
      <c r="L15" s="46">
        <f>ROUND(SUM(K16:K18),2)</f>
        <v>8000</v>
      </c>
      <c r="M15" s="29"/>
    </row>
    <row r="16" spans="1:29" ht="13.8" hidden="1">
      <c r="A16" s="7"/>
      <c r="B16" s="78"/>
      <c r="C16" s="119" t="s">
        <v>68</v>
      </c>
      <c r="D16" s="79" t="s">
        <v>258</v>
      </c>
      <c r="E16" s="47" t="s">
        <v>5</v>
      </c>
      <c r="F16" s="80">
        <v>100</v>
      </c>
      <c r="G16" s="594">
        <f>SUM('Equipos-Personal (HH y HM)'!G6:G19)+G67+G68+G69</f>
        <v>20</v>
      </c>
      <c r="H16" s="594"/>
      <c r="I16" s="594"/>
      <c r="J16" s="50">
        <v>0.5</v>
      </c>
      <c r="K16" s="80">
        <f>ROUND(J16*G16*F16,2)</f>
        <v>1000</v>
      </c>
      <c r="L16" s="81"/>
      <c r="M16" s="29"/>
      <c r="N16" s="566"/>
    </row>
    <row r="17" spans="1:15" ht="13.8" hidden="1">
      <c r="A17" s="7"/>
      <c r="B17" s="78"/>
      <c r="C17" s="119" t="s">
        <v>68</v>
      </c>
      <c r="D17" s="79" t="s">
        <v>688</v>
      </c>
      <c r="E17" s="47" t="s">
        <v>5</v>
      </c>
      <c r="F17" s="80">
        <f>700</f>
        <v>700</v>
      </c>
      <c r="G17" s="594">
        <f>SUM('Equipos-Personal (HH y HM)'!G6:G19)+G67+G68+G69</f>
        <v>20</v>
      </c>
      <c r="H17" s="594"/>
      <c r="I17" s="594"/>
      <c r="J17" s="50">
        <v>0.5</v>
      </c>
      <c r="K17" s="80">
        <f>ROUND(J17*G17*F17,2)</f>
        <v>7000</v>
      </c>
      <c r="L17" s="81"/>
      <c r="M17" s="29"/>
      <c r="N17" s="566"/>
    </row>
    <row r="18" spans="1:15" ht="14.4" hidden="1" thickBot="1">
      <c r="A18" s="7"/>
      <c r="B18" s="87"/>
      <c r="C18" s="120"/>
      <c r="D18" s="88"/>
      <c r="E18" s="131"/>
      <c r="F18" s="90"/>
      <c r="G18" s="91"/>
      <c r="H18" s="91"/>
      <c r="I18" s="91"/>
      <c r="J18" s="92"/>
      <c r="K18" s="90"/>
      <c r="L18" s="93"/>
      <c r="M18" s="29"/>
    </row>
    <row r="19" spans="1:15" ht="13.8" hidden="1">
      <c r="A19" s="7"/>
      <c r="B19" s="78"/>
      <c r="C19" s="119"/>
      <c r="D19" s="79"/>
      <c r="E19" s="47"/>
      <c r="F19" s="80"/>
      <c r="G19" s="594"/>
      <c r="H19" s="594"/>
      <c r="I19" s="594"/>
      <c r="J19" s="50"/>
      <c r="K19" s="80"/>
      <c r="L19" s="81"/>
      <c r="M19" s="29"/>
    </row>
    <row r="20" spans="1:15" ht="13.8" hidden="1">
      <c r="A20" s="7"/>
      <c r="B20" s="39"/>
      <c r="C20" s="114">
        <v>2</v>
      </c>
      <c r="D20" s="40" t="s">
        <v>90</v>
      </c>
      <c r="E20" s="47"/>
      <c r="F20" s="80"/>
      <c r="G20" s="594"/>
      <c r="H20" s="594"/>
      <c r="I20" s="594"/>
      <c r="J20" s="50"/>
      <c r="K20" s="80"/>
      <c r="L20" s="46">
        <f>ROUND(SUM(K21:K23),2)</f>
        <v>58391.77</v>
      </c>
      <c r="M20" s="29"/>
    </row>
    <row r="21" spans="1:15" ht="13.8" hidden="1">
      <c r="A21" s="7"/>
      <c r="B21" s="78"/>
      <c r="C21" s="119" t="s">
        <v>68</v>
      </c>
      <c r="D21" s="79" t="s">
        <v>259</v>
      </c>
      <c r="E21" s="47" t="s">
        <v>5</v>
      </c>
      <c r="F21" s="80">
        <f>ROUNDUP(446/TC,2)</f>
        <v>446</v>
      </c>
      <c r="G21" s="594">
        <f>ROUND('Equipos-Personal (HH y HM)'!E43+SUMPRODUCT(G32:G64,J32:J64),0)</f>
        <v>88</v>
      </c>
      <c r="H21" s="594"/>
      <c r="I21" s="594">
        <v>1</v>
      </c>
      <c r="J21" s="50"/>
      <c r="K21" s="80">
        <f>ROUND(F21*G21*I21,2)</f>
        <v>39248</v>
      </c>
      <c r="L21" s="81"/>
      <c r="M21" s="29"/>
      <c r="N21" s="566"/>
    </row>
    <row r="22" spans="1:15" ht="13.8" hidden="1">
      <c r="A22" s="7"/>
      <c r="B22" s="78"/>
      <c r="C22" s="119" t="s">
        <v>68</v>
      </c>
      <c r="D22" s="79" t="s">
        <v>260</v>
      </c>
      <c r="E22" s="47" t="s">
        <v>5</v>
      </c>
      <c r="F22" s="80">
        <f>ROUNDUP(50/TC,2)</f>
        <v>50</v>
      </c>
      <c r="G22" s="594">
        <f>ROUND('Equipos-Personal (HH y HM)'!E43+SUMPRODUCT(G32:G64,J32:J64),0)</f>
        <v>88</v>
      </c>
      <c r="H22" s="594"/>
      <c r="I22" s="594">
        <v>1</v>
      </c>
      <c r="J22" s="50"/>
      <c r="K22" s="80">
        <f t="shared" ref="K22:K23" si="0">ROUND(F22*G22*I22,2)</f>
        <v>4400</v>
      </c>
      <c r="L22" s="81"/>
      <c r="M22" s="29"/>
      <c r="N22" s="566"/>
    </row>
    <row r="23" spans="1:15" ht="13.8" hidden="1">
      <c r="A23" s="7"/>
      <c r="B23" s="78"/>
      <c r="C23" s="119" t="s">
        <v>68</v>
      </c>
      <c r="D23" s="79" t="s">
        <v>261</v>
      </c>
      <c r="E23" s="47" t="s">
        <v>5</v>
      </c>
      <c r="F23" s="80">
        <f>Tarifas!D128*8*4*V2</f>
        <v>167.54285714285714</v>
      </c>
      <c r="G23" s="594">
        <f>ROUND('Equipos-Personal (HH y HM)'!E43+SUMPRODUCT(G32:G64,J32:J64),0)</f>
        <v>88</v>
      </c>
      <c r="H23" s="594"/>
      <c r="I23" s="594">
        <v>1</v>
      </c>
      <c r="J23" s="50"/>
      <c r="K23" s="80">
        <f t="shared" si="0"/>
        <v>14743.77</v>
      </c>
      <c r="L23" s="81"/>
      <c r="M23" s="29"/>
      <c r="N23" s="566"/>
      <c r="O23" s="566"/>
    </row>
    <row r="24" spans="1:15" ht="14.4" hidden="1" thickBot="1">
      <c r="A24" s="7"/>
      <c r="B24" s="47"/>
      <c r="C24" s="115"/>
      <c r="D24" s="48"/>
      <c r="E24" s="49"/>
      <c r="F24" s="594"/>
      <c r="G24" s="594"/>
      <c r="H24" s="594"/>
      <c r="I24" s="594"/>
      <c r="J24" s="50"/>
      <c r="K24" s="51"/>
      <c r="L24" s="52"/>
      <c r="M24" s="53"/>
    </row>
    <row r="25" spans="1:15" ht="14.4" hidden="1" thickBot="1">
      <c r="A25" s="7"/>
      <c r="B25" s="54"/>
      <c r="C25" s="116"/>
      <c r="D25" s="55" t="s">
        <v>64</v>
      </c>
      <c r="E25" s="56"/>
      <c r="F25" s="57"/>
      <c r="G25" s="57"/>
      <c r="H25" s="57"/>
      <c r="I25" s="57"/>
      <c r="J25" s="58"/>
      <c r="K25" s="59" t="s">
        <v>65</v>
      </c>
      <c r="L25" s="60">
        <f>SUM(L14:L24)</f>
        <v>66391.76999999999</v>
      </c>
      <c r="M25" s="29"/>
    </row>
    <row r="26" spans="1:15" ht="13.8" hidden="1">
      <c r="A26" s="7"/>
      <c r="B26" s="61"/>
      <c r="C26" s="66"/>
      <c r="D26" s="62"/>
      <c r="E26" s="61"/>
      <c r="F26" s="63"/>
      <c r="G26" s="63"/>
      <c r="H26" s="63"/>
      <c r="I26" s="63"/>
      <c r="J26" s="64"/>
      <c r="K26" s="65"/>
      <c r="L26" s="66"/>
      <c r="M26" s="29"/>
    </row>
    <row r="27" spans="1:15" ht="13.8">
      <c r="A27" s="7"/>
      <c r="B27" s="19" t="s">
        <v>722</v>
      </c>
      <c r="C27" s="12"/>
      <c r="D27" s="18"/>
      <c r="E27" s="8"/>
      <c r="F27" s="15"/>
      <c r="G27" s="13"/>
      <c r="H27" s="13"/>
      <c r="I27" s="9"/>
      <c r="J27" s="10"/>
      <c r="K27" s="14"/>
      <c r="L27" s="20"/>
      <c r="M27" s="8"/>
    </row>
    <row r="28" spans="1:15" ht="13.8" thickBot="1">
      <c r="A28" s="7"/>
      <c r="B28" s="7"/>
      <c r="C28" s="12"/>
      <c r="D28" s="18"/>
      <c r="E28" s="8"/>
      <c r="F28" s="9"/>
      <c r="G28" s="8"/>
      <c r="H28" s="8"/>
      <c r="I28" s="9"/>
      <c r="J28" s="10"/>
      <c r="K28" s="8"/>
      <c r="L28" s="9"/>
      <c r="M28" s="8"/>
    </row>
    <row r="29" spans="1:15" ht="14.4" thickBot="1">
      <c r="A29" s="7"/>
      <c r="B29" s="21" t="s">
        <v>55</v>
      </c>
      <c r="C29" s="112" t="s">
        <v>56</v>
      </c>
      <c r="D29" s="22"/>
      <c r="E29" s="23" t="s">
        <v>5</v>
      </c>
      <c r="F29" s="24" t="s">
        <v>57</v>
      </c>
      <c r="G29" s="25" t="s">
        <v>58</v>
      </c>
      <c r="H29" s="26" t="s">
        <v>59</v>
      </c>
      <c r="I29" s="26" t="s">
        <v>7</v>
      </c>
      <c r="J29" s="27" t="s">
        <v>60</v>
      </c>
      <c r="K29" s="28" t="s">
        <v>61</v>
      </c>
      <c r="L29" s="28" t="s">
        <v>62</v>
      </c>
      <c r="M29" s="29"/>
    </row>
    <row r="30" spans="1:15" ht="13.8">
      <c r="A30" s="7"/>
      <c r="B30" s="67"/>
      <c r="C30" s="117"/>
      <c r="D30" s="31"/>
      <c r="E30" s="68"/>
      <c r="F30" s="69"/>
      <c r="G30" s="34"/>
      <c r="H30" s="34"/>
      <c r="I30" s="34"/>
      <c r="J30" s="70"/>
      <c r="K30" s="71"/>
      <c r="L30" s="72"/>
      <c r="M30" s="29"/>
    </row>
    <row r="31" spans="1:15" ht="13.8" hidden="1">
      <c r="A31" s="7"/>
      <c r="B31" s="73"/>
      <c r="C31" s="118">
        <v>1</v>
      </c>
      <c r="D31" s="74" t="s">
        <v>41</v>
      </c>
      <c r="E31" s="39"/>
      <c r="F31" s="75"/>
      <c r="G31" s="42"/>
      <c r="H31" s="42"/>
      <c r="I31" s="42"/>
      <c r="J31" s="76"/>
      <c r="K31" s="77"/>
      <c r="L31" s="46" t="e">
        <f>SUBTOTAL(9,K32:K45)</f>
        <v>#NAME?</v>
      </c>
      <c r="M31" s="29"/>
    </row>
    <row r="32" spans="1:15" ht="13.8" hidden="1">
      <c r="A32" s="7"/>
      <c r="B32" s="78" t="s">
        <v>67</v>
      </c>
      <c r="C32" s="119" t="s">
        <v>68</v>
      </c>
      <c r="D32" s="418" t="s">
        <v>69</v>
      </c>
      <c r="E32" s="419" t="s">
        <v>70</v>
      </c>
      <c r="F32" s="80">
        <f>ROUND(16000*1.47/TC,2)</f>
        <v>23520</v>
      </c>
      <c r="G32" s="594">
        <v>1</v>
      </c>
      <c r="H32" s="594">
        <v>1</v>
      </c>
      <c r="I32" s="594" t="e">
        <f>PZ</f>
        <v>#NAME?</v>
      </c>
      <c r="J32" s="50">
        <v>0.5</v>
      </c>
      <c r="K32" s="80" t="e">
        <f t="shared" ref="K32:K45" si="1">PRODUCT(F32:J32)</f>
        <v>#NAME?</v>
      </c>
      <c r="L32" s="81"/>
      <c r="M32" s="29"/>
    </row>
    <row r="33" spans="1:13" ht="13.8" hidden="1">
      <c r="A33" s="7"/>
      <c r="B33" s="78" t="s">
        <v>67</v>
      </c>
      <c r="C33" s="119" t="s">
        <v>68</v>
      </c>
      <c r="D33" s="418" t="s">
        <v>262</v>
      </c>
      <c r="E33" s="419" t="s">
        <v>70</v>
      </c>
      <c r="F33" s="80">
        <f>ROUND(13500*1.47/TC,2)</f>
        <v>19845</v>
      </c>
      <c r="G33" s="594">
        <v>1</v>
      </c>
      <c r="H33" s="594">
        <v>1</v>
      </c>
      <c r="I33" s="594" t="e">
        <f>$I$32</f>
        <v>#NAME?</v>
      </c>
      <c r="J33" s="50">
        <v>1</v>
      </c>
      <c r="K33" s="80" t="e">
        <f t="shared" si="1"/>
        <v>#NAME?</v>
      </c>
      <c r="L33" s="81"/>
      <c r="M33" s="29"/>
    </row>
    <row r="34" spans="1:13" ht="13.8" hidden="1">
      <c r="A34" s="7"/>
      <c r="B34" s="78" t="s">
        <v>67</v>
      </c>
      <c r="C34" s="119" t="s">
        <v>68</v>
      </c>
      <c r="D34" s="418" t="s">
        <v>71</v>
      </c>
      <c r="E34" s="419" t="s">
        <v>70</v>
      </c>
      <c r="F34" s="80">
        <f>ROUND(11000*1.47/TC,2)</f>
        <v>16170</v>
      </c>
      <c r="G34" s="594">
        <v>1</v>
      </c>
      <c r="H34" s="594">
        <v>1</v>
      </c>
      <c r="I34" s="594" t="e">
        <f t="shared" ref="I34:I42" si="2">$I$32</f>
        <v>#NAME?</v>
      </c>
      <c r="J34" s="50">
        <v>1</v>
      </c>
      <c r="K34" s="80" t="e">
        <f t="shared" si="1"/>
        <v>#NAME?</v>
      </c>
      <c r="L34" s="81"/>
      <c r="M34" s="29"/>
    </row>
    <row r="35" spans="1:13" ht="13.8" hidden="1">
      <c r="A35" s="7"/>
      <c r="B35" s="78" t="s">
        <v>67</v>
      </c>
      <c r="C35" s="119" t="s">
        <v>68</v>
      </c>
      <c r="D35" s="418" t="s">
        <v>263</v>
      </c>
      <c r="E35" s="419" t="s">
        <v>70</v>
      </c>
      <c r="F35" s="80">
        <f>ROUND(8000*1.47/TC,2)</f>
        <v>11760</v>
      </c>
      <c r="G35" s="594">
        <v>1</v>
      </c>
      <c r="H35" s="594">
        <v>1</v>
      </c>
      <c r="I35" s="594" t="e">
        <f t="shared" si="2"/>
        <v>#NAME?</v>
      </c>
      <c r="J35" s="50">
        <v>1</v>
      </c>
      <c r="K35" s="80" t="e">
        <f t="shared" si="1"/>
        <v>#NAME?</v>
      </c>
      <c r="L35" s="81"/>
      <c r="M35" s="29"/>
    </row>
    <row r="36" spans="1:13" ht="13.8" hidden="1">
      <c r="A36" s="7"/>
      <c r="B36" s="78" t="s">
        <v>67</v>
      </c>
      <c r="C36" s="119" t="s">
        <v>68</v>
      </c>
      <c r="D36" s="418" t="s">
        <v>264</v>
      </c>
      <c r="E36" s="419" t="s">
        <v>70</v>
      </c>
      <c r="F36" s="80">
        <f>ROUND(6000*1.47/TC,2)</f>
        <v>8820</v>
      </c>
      <c r="G36" s="594">
        <v>1</v>
      </c>
      <c r="H36" s="594">
        <v>1</v>
      </c>
      <c r="I36" s="594" t="e">
        <f t="shared" si="2"/>
        <v>#NAME?</v>
      </c>
      <c r="J36" s="50">
        <v>0.5</v>
      </c>
      <c r="K36" s="80" t="e">
        <f t="shared" si="1"/>
        <v>#NAME?</v>
      </c>
      <c r="L36" s="81"/>
      <c r="M36" s="29"/>
    </row>
    <row r="37" spans="1:13" ht="13.8" hidden="1">
      <c r="A37" s="7"/>
      <c r="B37" s="78" t="s">
        <v>67</v>
      </c>
      <c r="C37" s="119" t="s">
        <v>68</v>
      </c>
      <c r="D37" s="418" t="s">
        <v>265</v>
      </c>
      <c r="E37" s="419" t="s">
        <v>70</v>
      </c>
      <c r="F37" s="80">
        <f>ROUND(6500*1.47/TC,2)</f>
        <v>9555</v>
      </c>
      <c r="G37" s="594">
        <v>5</v>
      </c>
      <c r="H37" s="594">
        <v>1</v>
      </c>
      <c r="I37" s="594" t="e">
        <f t="shared" si="2"/>
        <v>#NAME?</v>
      </c>
      <c r="J37" s="50">
        <v>1</v>
      </c>
      <c r="K37" s="80" t="e">
        <f t="shared" si="1"/>
        <v>#NAME?</v>
      </c>
      <c r="L37" s="81"/>
      <c r="M37" s="29"/>
    </row>
    <row r="38" spans="1:13" ht="13.8" hidden="1">
      <c r="A38" s="7"/>
      <c r="B38" s="78" t="s">
        <v>67</v>
      </c>
      <c r="C38" s="119" t="s">
        <v>68</v>
      </c>
      <c r="D38" s="418" t="s">
        <v>266</v>
      </c>
      <c r="E38" s="419" t="s">
        <v>70</v>
      </c>
      <c r="F38" s="80">
        <f>ROUND(8000*1.47/TC,2)</f>
        <v>11760</v>
      </c>
      <c r="G38" s="594">
        <v>1</v>
      </c>
      <c r="H38" s="594">
        <v>1</v>
      </c>
      <c r="I38" s="594" t="e">
        <f t="shared" si="2"/>
        <v>#NAME?</v>
      </c>
      <c r="J38" s="50">
        <v>1</v>
      </c>
      <c r="K38" s="80" t="e">
        <f t="shared" si="1"/>
        <v>#NAME?</v>
      </c>
      <c r="L38" s="81"/>
      <c r="M38" s="29"/>
    </row>
    <row r="39" spans="1:13" ht="13.8" hidden="1">
      <c r="A39" s="7"/>
      <c r="B39" s="78" t="s">
        <v>67</v>
      </c>
      <c r="C39" s="119" t="s">
        <v>68</v>
      </c>
      <c r="D39" s="418" t="s">
        <v>267</v>
      </c>
      <c r="E39" s="419" t="s">
        <v>70</v>
      </c>
      <c r="F39" s="80">
        <f>ROUND(5500*1.47/TC,2)</f>
        <v>8085</v>
      </c>
      <c r="G39" s="594">
        <v>2</v>
      </c>
      <c r="H39" s="594">
        <v>1</v>
      </c>
      <c r="I39" s="594" t="e">
        <f t="shared" si="2"/>
        <v>#NAME?</v>
      </c>
      <c r="J39" s="50">
        <v>1</v>
      </c>
      <c r="K39" s="80" t="e">
        <f t="shared" si="1"/>
        <v>#NAME?</v>
      </c>
      <c r="L39" s="81"/>
      <c r="M39" s="29"/>
    </row>
    <row r="40" spans="1:13" ht="13.8" hidden="1">
      <c r="A40" s="82"/>
      <c r="B40" s="78" t="s">
        <v>67</v>
      </c>
      <c r="C40" s="119" t="s">
        <v>68</v>
      </c>
      <c r="D40" s="418" t="s">
        <v>268</v>
      </c>
      <c r="E40" s="419" t="s">
        <v>70</v>
      </c>
      <c r="F40" s="80">
        <f>ROUND(5500*1.47/TC,2)</f>
        <v>8085</v>
      </c>
      <c r="G40" s="594">
        <v>1</v>
      </c>
      <c r="H40" s="594">
        <v>1</v>
      </c>
      <c r="I40" s="594" t="e">
        <f t="shared" si="2"/>
        <v>#NAME?</v>
      </c>
      <c r="J40" s="50">
        <v>1</v>
      </c>
      <c r="K40" s="80" t="e">
        <f t="shared" si="1"/>
        <v>#NAME?</v>
      </c>
      <c r="L40" s="81"/>
      <c r="M40" s="83"/>
    </row>
    <row r="41" spans="1:13" ht="13.8" hidden="1">
      <c r="A41" s="82"/>
      <c r="B41" s="78" t="s">
        <v>67</v>
      </c>
      <c r="C41" s="119" t="s">
        <v>68</v>
      </c>
      <c r="D41" s="418" t="s">
        <v>269</v>
      </c>
      <c r="E41" s="419" t="s">
        <v>70</v>
      </c>
      <c r="F41" s="80">
        <f>ROUND(8000*1.47/TC,2)</f>
        <v>11760</v>
      </c>
      <c r="G41" s="594">
        <v>1</v>
      </c>
      <c r="H41" s="594">
        <v>1</v>
      </c>
      <c r="I41" s="594" t="e">
        <f t="shared" si="2"/>
        <v>#NAME?</v>
      </c>
      <c r="J41" s="50">
        <v>1</v>
      </c>
      <c r="K41" s="80" t="e">
        <f t="shared" si="1"/>
        <v>#NAME?</v>
      </c>
      <c r="L41" s="81"/>
      <c r="M41" s="83"/>
    </row>
    <row r="42" spans="1:13" ht="13.8" hidden="1">
      <c r="A42" s="82"/>
      <c r="B42" s="78" t="s">
        <v>67</v>
      </c>
      <c r="C42" s="119" t="s">
        <v>68</v>
      </c>
      <c r="D42" s="418" t="s">
        <v>270</v>
      </c>
      <c r="E42" s="419" t="s">
        <v>70</v>
      </c>
      <c r="F42" s="80">
        <f>ROUND(6000*1.47/TC,2)</f>
        <v>8820</v>
      </c>
      <c r="G42" s="594">
        <v>2</v>
      </c>
      <c r="H42" s="594">
        <v>1</v>
      </c>
      <c r="I42" s="594" t="e">
        <f t="shared" si="2"/>
        <v>#NAME?</v>
      </c>
      <c r="J42" s="50">
        <v>1</v>
      </c>
      <c r="K42" s="80" t="e">
        <f t="shared" si="1"/>
        <v>#NAME?</v>
      </c>
      <c r="L42" s="81"/>
      <c r="M42" s="83"/>
    </row>
    <row r="43" spans="1:13" ht="13.8" hidden="1">
      <c r="A43" s="7"/>
      <c r="B43" s="78" t="s">
        <v>67</v>
      </c>
      <c r="C43" s="119" t="s">
        <v>68</v>
      </c>
      <c r="D43" s="418" t="s">
        <v>719</v>
      </c>
      <c r="E43" s="419" t="s">
        <v>70</v>
      </c>
      <c r="F43" s="80">
        <f>ROUND(5000*1.47/TC,2)</f>
        <v>7350</v>
      </c>
      <c r="G43" s="594">
        <v>1</v>
      </c>
      <c r="H43" s="594">
        <v>1</v>
      </c>
      <c r="I43" s="594" t="e">
        <f>$I$32</f>
        <v>#NAME?</v>
      </c>
      <c r="J43" s="50">
        <v>0.5</v>
      </c>
      <c r="K43" s="80" t="e">
        <f t="shared" si="1"/>
        <v>#NAME?</v>
      </c>
      <c r="L43" s="81"/>
      <c r="M43" s="29"/>
    </row>
    <row r="44" spans="1:13" ht="13.8" hidden="1">
      <c r="A44" s="7"/>
      <c r="B44" s="78" t="s">
        <v>67</v>
      </c>
      <c r="C44" s="119" t="s">
        <v>68</v>
      </c>
      <c r="D44" s="418" t="s">
        <v>669</v>
      </c>
      <c r="E44" s="419" t="s">
        <v>70</v>
      </c>
      <c r="F44" s="80">
        <f>ROUND(5000*1.47/TC,2)</f>
        <v>7350</v>
      </c>
      <c r="G44" s="594">
        <v>1</v>
      </c>
      <c r="H44" s="594">
        <v>1</v>
      </c>
      <c r="I44" s="594" t="e">
        <f>$I$32</f>
        <v>#NAME?</v>
      </c>
      <c r="J44" s="50">
        <v>1</v>
      </c>
      <c r="K44" s="80" t="e">
        <f t="shared" si="1"/>
        <v>#NAME?</v>
      </c>
      <c r="L44" s="81"/>
      <c r="M44" s="29"/>
    </row>
    <row r="45" spans="1:13" ht="13.8" hidden="1">
      <c r="A45" s="7"/>
      <c r="B45" s="78" t="s">
        <v>67</v>
      </c>
      <c r="C45" s="119" t="s">
        <v>68</v>
      </c>
      <c r="D45" s="418" t="s">
        <v>72</v>
      </c>
      <c r="E45" s="419" t="s">
        <v>70</v>
      </c>
      <c r="F45" s="80">
        <f>ROUND(4500*1.47/TC,2)</f>
        <v>6615</v>
      </c>
      <c r="G45" s="594">
        <v>1</v>
      </c>
      <c r="H45" s="594">
        <v>1</v>
      </c>
      <c r="I45" s="594" t="e">
        <f>$I$32</f>
        <v>#NAME?</v>
      </c>
      <c r="J45" s="50">
        <v>1</v>
      </c>
      <c r="K45" s="80" t="e">
        <f t="shared" si="1"/>
        <v>#NAME?</v>
      </c>
      <c r="L45" s="81"/>
      <c r="M45" s="29"/>
    </row>
    <row r="46" spans="1:13" ht="13.8" hidden="1">
      <c r="A46" s="7"/>
      <c r="B46" s="78"/>
      <c r="C46" s="119"/>
      <c r="D46" s="79"/>
      <c r="E46" s="85"/>
      <c r="F46" s="80"/>
      <c r="G46" s="594"/>
      <c r="H46" s="594"/>
      <c r="I46" s="594"/>
      <c r="J46" s="50"/>
      <c r="K46" s="80"/>
      <c r="L46" s="81"/>
      <c r="M46" s="29"/>
    </row>
    <row r="47" spans="1:13" ht="13.8" hidden="1">
      <c r="A47" s="7"/>
      <c r="B47" s="73"/>
      <c r="C47" s="118">
        <v>2</v>
      </c>
      <c r="D47" s="74" t="s">
        <v>73</v>
      </c>
      <c r="E47" s="39"/>
      <c r="F47" s="75"/>
      <c r="G47" s="42"/>
      <c r="H47" s="42"/>
      <c r="I47" s="42"/>
      <c r="J47" s="76"/>
      <c r="K47" s="80"/>
      <c r="L47" s="46" t="e">
        <f>SUBTOTAL(9,K48:K52)</f>
        <v>#NAME?</v>
      </c>
      <c r="M47" s="29"/>
    </row>
    <row r="48" spans="1:13" ht="13.8" hidden="1">
      <c r="A48" s="7"/>
      <c r="B48" s="78" t="s">
        <v>67</v>
      </c>
      <c r="C48" s="119" t="s">
        <v>68</v>
      </c>
      <c r="D48" s="418" t="s">
        <v>271</v>
      </c>
      <c r="E48" s="419" t="s">
        <v>70</v>
      </c>
      <c r="F48" s="80">
        <f>ROUND(Tarifas!D133*11*30*V2,2)</f>
        <v>2187.4299999999998</v>
      </c>
      <c r="G48" s="594">
        <v>3</v>
      </c>
      <c r="H48" s="594">
        <v>1</v>
      </c>
      <c r="I48" s="594" t="e">
        <f>$I$32</f>
        <v>#NAME?</v>
      </c>
      <c r="J48" s="50">
        <v>1</v>
      </c>
      <c r="K48" s="80" t="e">
        <f t="shared" ref="K48:K52" si="3">PRODUCT(F48:J48)</f>
        <v>#NAME?</v>
      </c>
      <c r="L48" s="84"/>
      <c r="M48" s="29"/>
    </row>
    <row r="49" spans="1:15" ht="13.8" hidden="1">
      <c r="A49" s="7"/>
      <c r="B49" s="78" t="s">
        <v>67</v>
      </c>
      <c r="C49" s="119" t="s">
        <v>68</v>
      </c>
      <c r="D49" s="418" t="s">
        <v>281</v>
      </c>
      <c r="E49" s="419" t="s">
        <v>70</v>
      </c>
      <c r="F49" s="80">
        <f>ROUND(5000*1.47/TC,2)</f>
        <v>7350</v>
      </c>
      <c r="G49" s="594">
        <v>1</v>
      </c>
      <c r="H49" s="594">
        <v>1</v>
      </c>
      <c r="I49" s="594" t="e">
        <f t="shared" ref="I49:I52" si="4">$I$32</f>
        <v>#NAME?</v>
      </c>
      <c r="J49" s="50">
        <v>1</v>
      </c>
      <c r="K49" s="80" t="e">
        <f t="shared" si="3"/>
        <v>#NAME?</v>
      </c>
      <c r="L49" s="84"/>
      <c r="M49" s="29"/>
    </row>
    <row r="50" spans="1:15" ht="13.8" hidden="1">
      <c r="A50" s="7"/>
      <c r="B50" s="78" t="s">
        <v>67</v>
      </c>
      <c r="C50" s="119" t="s">
        <v>68</v>
      </c>
      <c r="D50" s="426" t="s">
        <v>74</v>
      </c>
      <c r="E50" s="419" t="s">
        <v>70</v>
      </c>
      <c r="F50" s="80">
        <f>ROUND(3500*1.47/TC,2)</f>
        <v>5145</v>
      </c>
      <c r="G50" s="594">
        <v>1</v>
      </c>
      <c r="H50" s="594">
        <v>1</v>
      </c>
      <c r="I50" s="594" t="e">
        <f t="shared" si="4"/>
        <v>#NAME?</v>
      </c>
      <c r="J50" s="50">
        <v>1</v>
      </c>
      <c r="K50" s="80" t="e">
        <f t="shared" si="3"/>
        <v>#NAME?</v>
      </c>
      <c r="L50" s="84"/>
      <c r="M50" s="29"/>
    </row>
    <row r="51" spans="1:15" ht="13.8" hidden="1">
      <c r="A51" s="7"/>
      <c r="B51" s="78" t="s">
        <v>67</v>
      </c>
      <c r="C51" s="119" t="s">
        <v>68</v>
      </c>
      <c r="D51" s="418" t="s">
        <v>282</v>
      </c>
      <c r="E51" s="419" t="s">
        <v>70</v>
      </c>
      <c r="F51" s="80">
        <f>ROUND(4500*1.47/TC,2)</f>
        <v>6615</v>
      </c>
      <c r="G51" s="594">
        <v>1</v>
      </c>
      <c r="H51" s="594">
        <v>1</v>
      </c>
      <c r="I51" s="594" t="e">
        <f t="shared" si="4"/>
        <v>#NAME?</v>
      </c>
      <c r="J51" s="50">
        <v>1</v>
      </c>
      <c r="K51" s="80" t="e">
        <f t="shared" si="3"/>
        <v>#NAME?</v>
      </c>
      <c r="L51" s="84"/>
      <c r="M51" s="29"/>
    </row>
    <row r="52" spans="1:15" ht="13.8" hidden="1">
      <c r="A52" s="7"/>
      <c r="B52" s="78" t="s">
        <v>67</v>
      </c>
      <c r="C52" s="119" t="s">
        <v>68</v>
      </c>
      <c r="D52" s="418" t="s">
        <v>131</v>
      </c>
      <c r="E52" s="419" t="s">
        <v>70</v>
      </c>
      <c r="F52" s="80">
        <f>ROUND(Tarifas!D135*11*30*V2,)</f>
        <v>1728</v>
      </c>
      <c r="G52" s="594">
        <v>1</v>
      </c>
      <c r="H52" s="594">
        <v>1</v>
      </c>
      <c r="I52" s="594" t="e">
        <f t="shared" si="4"/>
        <v>#NAME?</v>
      </c>
      <c r="J52" s="50">
        <v>1</v>
      </c>
      <c r="K52" s="80" t="e">
        <f t="shared" si="3"/>
        <v>#NAME?</v>
      </c>
      <c r="L52" s="84"/>
      <c r="M52" s="29"/>
      <c r="O52" s="566"/>
    </row>
    <row r="53" spans="1:15" ht="13.8" hidden="1">
      <c r="A53" s="7"/>
      <c r="B53" s="78"/>
      <c r="C53" s="119"/>
      <c r="D53" s="79"/>
      <c r="E53" s="85"/>
      <c r="F53" s="80"/>
      <c r="G53" s="594"/>
      <c r="H53" s="594"/>
      <c r="I53" s="594"/>
      <c r="J53" s="50"/>
      <c r="K53" s="80"/>
      <c r="L53" s="84"/>
      <c r="M53" s="29"/>
    </row>
    <row r="54" spans="1:15" ht="13.8" hidden="1">
      <c r="A54" s="7"/>
      <c r="B54" s="73"/>
      <c r="C54" s="118">
        <v>3</v>
      </c>
      <c r="D54" s="74" t="s">
        <v>75</v>
      </c>
      <c r="E54" s="39"/>
      <c r="F54" s="75"/>
      <c r="G54" s="42"/>
      <c r="H54" s="42"/>
      <c r="I54" s="42"/>
      <c r="J54" s="76"/>
      <c r="K54" s="80"/>
      <c r="L54" s="46" t="e">
        <f>SUBTOTAL(9,K55:K58)</f>
        <v>#NAME?</v>
      </c>
      <c r="M54" s="29"/>
    </row>
    <row r="55" spans="1:15" ht="13.8" hidden="1">
      <c r="A55" s="7"/>
      <c r="B55" s="78" t="s">
        <v>67</v>
      </c>
      <c r="C55" s="119" t="s">
        <v>68</v>
      </c>
      <c r="D55" s="418" t="s">
        <v>76</v>
      </c>
      <c r="E55" s="419" t="s">
        <v>70</v>
      </c>
      <c r="F55" s="80">
        <f>ROUND(4000*1.47/TC,2)</f>
        <v>5880</v>
      </c>
      <c r="G55" s="594">
        <v>2</v>
      </c>
      <c r="H55" s="594">
        <v>1</v>
      </c>
      <c r="I55" s="594" t="e">
        <f t="shared" ref="I55:I58" si="5">$I$32</f>
        <v>#NAME?</v>
      </c>
      <c r="J55" s="50">
        <v>1</v>
      </c>
      <c r="K55" s="80" t="e">
        <f t="shared" ref="K55:K58" si="6">PRODUCT(F55:J55)</f>
        <v>#NAME?</v>
      </c>
      <c r="L55" s="81"/>
      <c r="M55" s="29"/>
    </row>
    <row r="56" spans="1:15" ht="13.8" hidden="1">
      <c r="A56" s="7"/>
      <c r="B56" s="78" t="s">
        <v>67</v>
      </c>
      <c r="C56" s="119" t="s">
        <v>68</v>
      </c>
      <c r="D56" s="418" t="s">
        <v>682</v>
      </c>
      <c r="E56" s="419" t="s">
        <v>70</v>
      </c>
      <c r="F56" s="80">
        <f>ROUND(3800*1.47/TC,2)</f>
        <v>5586</v>
      </c>
      <c r="G56" s="594">
        <v>2</v>
      </c>
      <c r="H56" s="594">
        <v>1</v>
      </c>
      <c r="I56" s="594" t="e">
        <f t="shared" si="5"/>
        <v>#NAME?</v>
      </c>
      <c r="J56" s="50">
        <v>1</v>
      </c>
      <c r="K56" s="80" t="e">
        <f t="shared" si="6"/>
        <v>#NAME?</v>
      </c>
      <c r="L56" s="81"/>
      <c r="M56" s="29"/>
    </row>
    <row r="57" spans="1:15" ht="13.8" hidden="1">
      <c r="A57" s="7"/>
      <c r="B57" s="78" t="s">
        <v>67</v>
      </c>
      <c r="C57" s="119" t="s">
        <v>68</v>
      </c>
      <c r="D57" s="418" t="s">
        <v>77</v>
      </c>
      <c r="E57" s="419" t="s">
        <v>70</v>
      </c>
      <c r="F57" s="80">
        <f>ROUND(3100*1.47/TC,2)</f>
        <v>4557</v>
      </c>
      <c r="G57" s="594">
        <v>2</v>
      </c>
      <c r="H57" s="594">
        <v>1</v>
      </c>
      <c r="I57" s="594" t="e">
        <f t="shared" si="5"/>
        <v>#NAME?</v>
      </c>
      <c r="J57" s="50">
        <v>1</v>
      </c>
      <c r="K57" s="80" t="e">
        <f t="shared" si="6"/>
        <v>#NAME?</v>
      </c>
      <c r="L57" s="81"/>
      <c r="M57" s="29"/>
    </row>
    <row r="58" spans="1:15" ht="13.8" hidden="1">
      <c r="A58" s="7"/>
      <c r="B58" s="431" t="s">
        <v>67</v>
      </c>
      <c r="C58" s="420" t="s">
        <v>68</v>
      </c>
      <c r="D58" s="426" t="s">
        <v>78</v>
      </c>
      <c r="E58" s="427" t="s">
        <v>70</v>
      </c>
      <c r="F58" s="428">
        <f>ROUND(3100*1.47/TC,2)</f>
        <v>4557</v>
      </c>
      <c r="G58" s="594">
        <v>1</v>
      </c>
      <c r="H58" s="429">
        <v>1</v>
      </c>
      <c r="I58" s="594" t="e">
        <f t="shared" si="5"/>
        <v>#NAME?</v>
      </c>
      <c r="J58" s="50">
        <v>1</v>
      </c>
      <c r="K58" s="428" t="e">
        <f t="shared" si="6"/>
        <v>#NAME?</v>
      </c>
      <c r="L58" s="432"/>
      <c r="M58" s="29"/>
    </row>
    <row r="59" spans="1:15" ht="13.8" hidden="1">
      <c r="A59" s="7"/>
      <c r="B59" s="78"/>
      <c r="C59" s="119"/>
      <c r="D59" s="79"/>
      <c r="E59" s="85"/>
      <c r="F59" s="80"/>
      <c r="G59" s="594"/>
      <c r="H59" s="594"/>
      <c r="I59" s="594"/>
      <c r="J59" s="50"/>
      <c r="K59" s="80"/>
      <c r="L59" s="81"/>
      <c r="M59" s="29"/>
    </row>
    <row r="60" spans="1:15" ht="13.8" hidden="1">
      <c r="A60" s="7"/>
      <c r="B60" s="73"/>
      <c r="C60" s="118">
        <v>4</v>
      </c>
      <c r="D60" s="74" t="s">
        <v>79</v>
      </c>
      <c r="E60" s="39"/>
      <c r="F60" s="75"/>
      <c r="G60" s="42"/>
      <c r="H60" s="42"/>
      <c r="I60" s="42"/>
      <c r="J60" s="76"/>
      <c r="K60" s="80"/>
      <c r="L60" s="46" t="e">
        <f>SUBTOTAL(9,K61:K64)</f>
        <v>#NAME?</v>
      </c>
      <c r="M60" s="29"/>
    </row>
    <row r="61" spans="1:15" ht="13.8" hidden="1">
      <c r="A61" s="7"/>
      <c r="B61" s="78" t="s">
        <v>67</v>
      </c>
      <c r="C61" s="119" t="s">
        <v>68</v>
      </c>
      <c r="D61" s="418" t="s">
        <v>19</v>
      </c>
      <c r="E61" s="85" t="s">
        <v>70</v>
      </c>
      <c r="F61" s="80">
        <f>2750*1.47/TC</f>
        <v>4042.5</v>
      </c>
      <c r="G61" s="594">
        <v>6</v>
      </c>
      <c r="H61" s="594">
        <v>1</v>
      </c>
      <c r="I61" s="594" t="e">
        <f t="shared" ref="I61:I64" si="7">$I$32</f>
        <v>#NAME?</v>
      </c>
      <c r="J61" s="50">
        <v>1</v>
      </c>
      <c r="K61" s="80" t="e">
        <f t="shared" ref="K61:K64" si="8">PRODUCT(F61:J61)</f>
        <v>#NAME?</v>
      </c>
      <c r="L61" s="81"/>
      <c r="M61" s="29"/>
    </row>
    <row r="62" spans="1:15" s="82" customFormat="1" ht="12" hidden="1" customHeight="1">
      <c r="A62" s="422"/>
      <c r="B62" s="78" t="s">
        <v>67</v>
      </c>
      <c r="C62" s="119" t="s">
        <v>68</v>
      </c>
      <c r="D62" s="418" t="s">
        <v>620</v>
      </c>
      <c r="E62" s="85" t="s">
        <v>70</v>
      </c>
      <c r="F62" s="80">
        <f>2750*1.47/TC</f>
        <v>4042.5</v>
      </c>
      <c r="G62" s="594">
        <v>6</v>
      </c>
      <c r="H62" s="594">
        <v>1</v>
      </c>
      <c r="I62" s="594" t="e">
        <f t="shared" si="7"/>
        <v>#NAME?</v>
      </c>
      <c r="J62" s="50">
        <v>1</v>
      </c>
      <c r="K62" s="80" t="e">
        <f t="shared" si="8"/>
        <v>#NAME?</v>
      </c>
      <c r="L62" s="423"/>
      <c r="M62" s="424"/>
    </row>
    <row r="63" spans="1:15" s="82" customFormat="1" ht="12" hidden="1" customHeight="1">
      <c r="A63" s="422"/>
      <c r="B63" s="78" t="s">
        <v>67</v>
      </c>
      <c r="C63" s="119" t="s">
        <v>68</v>
      </c>
      <c r="D63" s="418" t="s">
        <v>583</v>
      </c>
      <c r="E63" s="85" t="s">
        <v>70</v>
      </c>
      <c r="F63" s="80">
        <f>2750*1.47/TC</f>
        <v>4042.5</v>
      </c>
      <c r="G63" s="594">
        <v>2</v>
      </c>
      <c r="H63" s="594">
        <v>1</v>
      </c>
      <c r="I63" s="594" t="e">
        <f t="shared" si="7"/>
        <v>#NAME?</v>
      </c>
      <c r="J63" s="50">
        <v>1</v>
      </c>
      <c r="K63" s="80" t="e">
        <f t="shared" si="8"/>
        <v>#NAME?</v>
      </c>
      <c r="L63" s="423"/>
      <c r="M63" s="424"/>
    </row>
    <row r="64" spans="1:15" ht="13.8" hidden="1">
      <c r="A64" s="7"/>
      <c r="B64" s="78" t="s">
        <v>67</v>
      </c>
      <c r="C64" s="420" t="s">
        <v>68</v>
      </c>
      <c r="D64" s="418" t="s">
        <v>668</v>
      </c>
      <c r="E64" s="419" t="s">
        <v>70</v>
      </c>
      <c r="F64" s="80">
        <f>2750*1.47/TC</f>
        <v>4042.5</v>
      </c>
      <c r="G64" s="594">
        <v>2</v>
      </c>
      <c r="H64" s="594">
        <v>1</v>
      </c>
      <c r="I64" s="594" t="e">
        <f t="shared" si="7"/>
        <v>#NAME?</v>
      </c>
      <c r="J64" s="50">
        <v>1</v>
      </c>
      <c r="K64" s="80" t="e">
        <f t="shared" si="8"/>
        <v>#NAME?</v>
      </c>
      <c r="L64" s="81"/>
      <c r="M64" s="29"/>
    </row>
    <row r="65" spans="1:14" ht="13.8" hidden="1">
      <c r="A65" s="7"/>
      <c r="B65" s="78"/>
      <c r="C65" s="119"/>
      <c r="D65" s="79"/>
      <c r="E65" s="85"/>
      <c r="F65" s="80"/>
      <c r="G65" s="594"/>
      <c r="H65" s="594"/>
      <c r="I65" s="594"/>
      <c r="J65" s="50"/>
      <c r="K65" s="80"/>
      <c r="L65" s="84"/>
      <c r="M65" s="29"/>
    </row>
    <row r="66" spans="1:14" ht="13.8" hidden="1">
      <c r="A66" s="7"/>
      <c r="B66" s="73"/>
      <c r="C66" s="421">
        <v>5</v>
      </c>
      <c r="D66" s="74" t="s">
        <v>80</v>
      </c>
      <c r="E66" s="39"/>
      <c r="F66" s="75"/>
      <c r="G66" s="42"/>
      <c r="H66" s="42"/>
      <c r="I66" s="42"/>
      <c r="J66" s="76"/>
      <c r="K66" s="80"/>
      <c r="L66" s="46" t="e">
        <f>SUBTOTAL(9,K67:K71)</f>
        <v>#NAME?</v>
      </c>
      <c r="M66" s="29"/>
    </row>
    <row r="67" spans="1:14" ht="13.8" hidden="1">
      <c r="A67" s="7"/>
      <c r="B67" s="78" t="s">
        <v>67</v>
      </c>
      <c r="C67" s="119" t="s">
        <v>68</v>
      </c>
      <c r="D67" s="418" t="s">
        <v>19</v>
      </c>
      <c r="E67" s="419" t="s">
        <v>70</v>
      </c>
      <c r="F67" s="80">
        <f>ROUNDUP(60*30,2)</f>
        <v>1800</v>
      </c>
      <c r="G67" s="594">
        <v>3</v>
      </c>
      <c r="H67" s="594">
        <v>1</v>
      </c>
      <c r="I67" s="594" t="e">
        <f t="shared" ref="I67:I71" si="9">$I$32</f>
        <v>#NAME?</v>
      </c>
      <c r="J67" s="50">
        <v>1</v>
      </c>
      <c r="K67" s="80" t="e">
        <f t="shared" ref="K67:K71" si="10">PRODUCT(F67:J67)</f>
        <v>#NAME?</v>
      </c>
      <c r="L67" s="81"/>
      <c r="M67" s="29"/>
    </row>
    <row r="68" spans="1:14" ht="13.8" hidden="1">
      <c r="A68" s="7"/>
      <c r="B68" s="78" t="s">
        <v>67</v>
      </c>
      <c r="C68" s="119" t="s">
        <v>68</v>
      </c>
      <c r="D68" s="418" t="s">
        <v>620</v>
      </c>
      <c r="E68" s="419" t="s">
        <v>70</v>
      </c>
      <c r="F68" s="80">
        <f>ROUNDUP(150*30,2)</f>
        <v>4500</v>
      </c>
      <c r="G68" s="594">
        <v>3</v>
      </c>
      <c r="H68" s="594">
        <v>1</v>
      </c>
      <c r="I68" s="594" t="e">
        <f t="shared" si="9"/>
        <v>#NAME?</v>
      </c>
      <c r="J68" s="50">
        <v>1</v>
      </c>
      <c r="K68" s="80" t="e">
        <f t="shared" si="10"/>
        <v>#NAME?</v>
      </c>
      <c r="L68" s="81"/>
      <c r="M68" s="29"/>
    </row>
    <row r="69" spans="1:14" ht="13.8" hidden="1">
      <c r="A69" s="7"/>
      <c r="B69" s="78" t="s">
        <v>67</v>
      </c>
      <c r="C69" s="119" t="s">
        <v>68</v>
      </c>
      <c r="D69" s="418" t="s">
        <v>583</v>
      </c>
      <c r="E69" s="419" t="s">
        <v>70</v>
      </c>
      <c r="F69" s="80">
        <f>ROUNDUP(85*30,2)</f>
        <v>2550</v>
      </c>
      <c r="G69" s="594">
        <v>1</v>
      </c>
      <c r="H69" s="594">
        <v>1</v>
      </c>
      <c r="I69" s="594" t="e">
        <f t="shared" si="9"/>
        <v>#NAME?</v>
      </c>
      <c r="J69" s="50">
        <v>1</v>
      </c>
      <c r="K69" s="80" t="e">
        <f t="shared" si="10"/>
        <v>#NAME?</v>
      </c>
      <c r="L69" s="81"/>
      <c r="M69" s="29"/>
    </row>
    <row r="70" spans="1:14" ht="13.8" hidden="1">
      <c r="A70" s="7"/>
      <c r="B70" s="78" t="s">
        <v>67</v>
      </c>
      <c r="C70" s="119" t="s">
        <v>68</v>
      </c>
      <c r="D70" s="418" t="s">
        <v>668</v>
      </c>
      <c r="E70" s="419" t="s">
        <v>70</v>
      </c>
      <c r="F70" s="80">
        <f>ROUNDUP(200*30,2)</f>
        <v>6000</v>
      </c>
      <c r="G70" s="594">
        <v>1</v>
      </c>
      <c r="H70" s="594">
        <v>1</v>
      </c>
      <c r="I70" s="594" t="e">
        <f t="shared" si="9"/>
        <v>#NAME?</v>
      </c>
      <c r="J70" s="50">
        <v>1</v>
      </c>
      <c r="K70" s="80" t="e">
        <f t="shared" si="10"/>
        <v>#NAME?</v>
      </c>
      <c r="L70" s="81"/>
      <c r="M70" s="29"/>
    </row>
    <row r="71" spans="1:14" ht="13.8" hidden="1">
      <c r="A71" s="7"/>
      <c r="B71" s="431" t="s">
        <v>67</v>
      </c>
      <c r="C71" s="119" t="s">
        <v>68</v>
      </c>
      <c r="D71" s="426" t="s">
        <v>581</v>
      </c>
      <c r="E71" s="427" t="s">
        <v>70</v>
      </c>
      <c r="F71" s="428">
        <f>ROUNDUP(130*30,2)</f>
        <v>3900</v>
      </c>
      <c r="G71" s="594">
        <v>1</v>
      </c>
      <c r="H71" s="429">
        <v>1</v>
      </c>
      <c r="I71" s="594" t="e">
        <f t="shared" si="9"/>
        <v>#NAME?</v>
      </c>
      <c r="J71" s="430">
        <v>1</v>
      </c>
      <c r="K71" s="428" t="e">
        <f t="shared" si="10"/>
        <v>#NAME?</v>
      </c>
      <c r="L71" s="84"/>
      <c r="M71" s="29"/>
    </row>
    <row r="72" spans="1:14" ht="13.8" hidden="1">
      <c r="A72" s="7"/>
      <c r="B72" s="78"/>
      <c r="C72" s="119"/>
      <c r="D72" s="79"/>
      <c r="E72" s="85"/>
      <c r="F72" s="80"/>
      <c r="G72" s="594"/>
      <c r="H72" s="594"/>
      <c r="I72" s="594"/>
      <c r="J72" s="50"/>
      <c r="K72" s="80"/>
      <c r="L72" s="84"/>
      <c r="M72" s="29"/>
    </row>
    <row r="73" spans="1:14" ht="13.8" hidden="1">
      <c r="A73" s="7"/>
      <c r="B73" s="73"/>
      <c r="C73" s="118">
        <v>6</v>
      </c>
      <c r="D73" s="74" t="s">
        <v>63</v>
      </c>
      <c r="E73" s="39"/>
      <c r="F73" s="75"/>
      <c r="G73" s="42"/>
      <c r="H73" s="42"/>
      <c r="I73" s="42"/>
      <c r="J73" s="76"/>
      <c r="K73" s="77"/>
      <c r="L73" s="46" t="e">
        <f>SUBTOTAL(9,K74:K74)</f>
        <v>#NAME?</v>
      </c>
      <c r="M73" s="29"/>
    </row>
    <row r="74" spans="1:14" ht="13.8" hidden="1">
      <c r="A74" s="7"/>
      <c r="B74" s="78" t="s">
        <v>67</v>
      </c>
      <c r="C74" s="119" t="s">
        <v>68</v>
      </c>
      <c r="D74" s="79" t="s">
        <v>283</v>
      </c>
      <c r="E74" s="85" t="s">
        <v>81</v>
      </c>
      <c r="F74" s="80">
        <f>ROUND(22/TC,2)</f>
        <v>22</v>
      </c>
      <c r="G74" s="593">
        <f>ROUNDUP(0.5*('Equipos-Personal (HH y HM)'!B43+SUMPRODUCT('1.7 Costos Covid'!G32:G64,'1.7 Costos Covid'!J32:J64))*30/20,2)</f>
        <v>65.63000000000001</v>
      </c>
      <c r="H74" s="594"/>
      <c r="I74" s="594" t="e">
        <f t="shared" ref="I74" si="11">$I$32</f>
        <v>#NAME?</v>
      </c>
      <c r="J74" s="50"/>
      <c r="K74" s="80" t="e">
        <f t="shared" ref="K74" si="12">PRODUCT(F74:J74)</f>
        <v>#NAME?</v>
      </c>
      <c r="L74" s="86"/>
      <c r="M74" s="29"/>
      <c r="N74" s="566"/>
    </row>
    <row r="75" spans="1:14" ht="13.8" hidden="1">
      <c r="A75" s="7"/>
      <c r="B75" s="78"/>
      <c r="C75" s="119"/>
      <c r="D75" s="79"/>
      <c r="E75" s="85"/>
      <c r="F75" s="80"/>
      <c r="G75" s="594"/>
      <c r="H75" s="594"/>
      <c r="I75" s="594"/>
      <c r="J75" s="50"/>
      <c r="K75" s="80"/>
      <c r="L75" s="81"/>
      <c r="M75" s="29"/>
    </row>
    <row r="76" spans="1:14" ht="13.8" hidden="1">
      <c r="A76" s="7"/>
      <c r="B76" s="73"/>
      <c r="C76" s="118">
        <v>7</v>
      </c>
      <c r="D76" s="74" t="s">
        <v>82</v>
      </c>
      <c r="E76" s="39"/>
      <c r="F76" s="75"/>
      <c r="G76" s="42"/>
      <c r="H76" s="42"/>
      <c r="I76" s="42"/>
      <c r="J76" s="76"/>
      <c r="K76" s="80"/>
      <c r="L76" s="46" t="e">
        <f>SUBTOTAL(9,K77:K79)</f>
        <v>#NAME?</v>
      </c>
      <c r="M76" s="29"/>
    </row>
    <row r="77" spans="1:14" ht="13.8" hidden="1">
      <c r="A77" s="7"/>
      <c r="B77" s="78" t="s">
        <v>67</v>
      </c>
      <c r="C77" s="119" t="s">
        <v>68</v>
      </c>
      <c r="D77" s="79" t="s">
        <v>83</v>
      </c>
      <c r="E77" s="47" t="s">
        <v>70</v>
      </c>
      <c r="F77" s="80">
        <f>ROUNDUP(400/24,2)</f>
        <v>16.670000000000002</v>
      </c>
      <c r="G77" s="594">
        <f>ROUNDUP(SUM(G33,G37,G39,G55,G42)/2,0)+SUM('Equipos-Personal (HH y HM)'!G7:G19)*2+'Equipos-Personal (HH y HM)'!B33+'Equipos-Personal (HH y HM)'!B31+'Equipos-Personal (HH y HM)'!B34+'Equipos-Personal (HH y HM)'!B41+'Equipos-Personal (HH y HM)'!B42</f>
        <v>49</v>
      </c>
      <c r="H77" s="594"/>
      <c r="I77" s="594" t="e">
        <f t="shared" ref="I77:I79" si="13">$I$32</f>
        <v>#NAME?</v>
      </c>
      <c r="J77" s="50"/>
      <c r="K77" s="80" t="e">
        <f t="shared" ref="K77:K79" si="14">PRODUCT(F77:J77)</f>
        <v>#NAME?</v>
      </c>
      <c r="L77" s="81"/>
      <c r="M77" s="53"/>
      <c r="N77" s="566"/>
    </row>
    <row r="78" spans="1:14" ht="13.8" hidden="1">
      <c r="A78" s="7"/>
      <c r="B78" s="78" t="s">
        <v>67</v>
      </c>
      <c r="C78" s="119" t="s">
        <v>68</v>
      </c>
      <c r="D78" s="79" t="s">
        <v>84</v>
      </c>
      <c r="E78" s="47" t="s">
        <v>70</v>
      </c>
      <c r="F78" s="80">
        <f>ROUNDUP(100/TC,2)</f>
        <v>100</v>
      </c>
      <c r="G78" s="594">
        <f>COUNT(G32:G34,G38,G41,G44,G45)+G37/2</f>
        <v>9.5</v>
      </c>
      <c r="H78" s="594"/>
      <c r="I78" s="594" t="e">
        <f t="shared" si="13"/>
        <v>#NAME?</v>
      </c>
      <c r="J78" s="50"/>
      <c r="K78" s="80" t="e">
        <f t="shared" si="14"/>
        <v>#NAME?</v>
      </c>
      <c r="L78" s="81"/>
      <c r="M78" s="29"/>
    </row>
    <row r="79" spans="1:14" ht="13.8" hidden="1">
      <c r="A79" s="7"/>
      <c r="B79" s="78" t="s">
        <v>67</v>
      </c>
      <c r="C79" s="119" t="s">
        <v>68</v>
      </c>
      <c r="D79" s="79" t="s">
        <v>85</v>
      </c>
      <c r="E79" s="47" t="s">
        <v>70</v>
      </c>
      <c r="F79" s="80">
        <f>ROUNDUP(100/TC,2)</f>
        <v>100</v>
      </c>
      <c r="G79" s="594">
        <f>COUNT(G33,G34,G38,G41,G44,G45)</f>
        <v>6</v>
      </c>
      <c r="H79" s="594"/>
      <c r="I79" s="594" t="e">
        <f t="shared" si="13"/>
        <v>#NAME?</v>
      </c>
      <c r="J79" s="50"/>
      <c r="K79" s="80" t="e">
        <f t="shared" si="14"/>
        <v>#NAME?</v>
      </c>
      <c r="L79" s="84"/>
      <c r="M79" s="29"/>
    </row>
    <row r="80" spans="1:14" ht="13.8" hidden="1">
      <c r="A80" s="7"/>
      <c r="B80" s="78"/>
      <c r="C80" s="119"/>
      <c r="D80" s="79"/>
      <c r="E80" s="47"/>
      <c r="F80" s="80"/>
      <c r="G80" s="594"/>
      <c r="H80" s="594"/>
      <c r="I80" s="594"/>
      <c r="J80" s="50"/>
      <c r="K80" s="80"/>
      <c r="L80" s="81"/>
      <c r="M80" s="29"/>
    </row>
    <row r="81" spans="1:14" ht="13.8" hidden="1">
      <c r="A81" s="7"/>
      <c r="B81" s="73"/>
      <c r="C81" s="118">
        <v>8</v>
      </c>
      <c r="D81" s="74" t="s">
        <v>284</v>
      </c>
      <c r="E81" s="39"/>
      <c r="F81" s="75"/>
      <c r="G81" s="42"/>
      <c r="H81" s="42"/>
      <c r="I81" s="42"/>
      <c r="J81" s="76"/>
      <c r="K81" s="80"/>
      <c r="L81" s="46" t="e">
        <f>SUBTOTAL(9,K82:K86)</f>
        <v>#NAME?</v>
      </c>
      <c r="M81" s="29"/>
    </row>
    <row r="82" spans="1:14" ht="13.8" hidden="1">
      <c r="A82" s="7"/>
      <c r="B82" s="431" t="s">
        <v>67</v>
      </c>
      <c r="C82" s="420" t="s">
        <v>68</v>
      </c>
      <c r="D82" s="79" t="s">
        <v>89</v>
      </c>
      <c r="E82" s="47" t="s">
        <v>52</v>
      </c>
      <c r="F82" s="80" t="e">
        <f>+N85</f>
        <v>#NAME?</v>
      </c>
      <c r="G82" s="594">
        <v>1</v>
      </c>
      <c r="H82" s="594"/>
      <c r="I82" s="594"/>
      <c r="J82" s="50"/>
      <c r="K82" s="80" t="e">
        <f t="shared" ref="K82:K86" si="15">PRODUCT(F82:J82)</f>
        <v>#NAME?</v>
      </c>
      <c r="L82" s="433"/>
      <c r="M82" s="29"/>
      <c r="N82" s="565">
        <v>5387789.3588931272</v>
      </c>
    </row>
    <row r="83" spans="1:14" ht="13.8" hidden="1">
      <c r="A83" s="7"/>
      <c r="B83" s="78" t="s">
        <v>67</v>
      </c>
      <c r="C83" s="119" t="s">
        <v>68</v>
      </c>
      <c r="D83" s="79" t="s">
        <v>86</v>
      </c>
      <c r="E83" s="47" t="s">
        <v>70</v>
      </c>
      <c r="F83" s="80">
        <f>ROUNDUP(30/TC,2)</f>
        <v>30</v>
      </c>
      <c r="G83" s="594">
        <f>ROUNDUP(SUMPRODUCT(G32:G64,J32:J64),0)</f>
        <v>49</v>
      </c>
      <c r="H83" s="594"/>
      <c r="I83" s="594" t="e">
        <f>$I$32</f>
        <v>#NAME?</v>
      </c>
      <c r="J83" s="50"/>
      <c r="K83" s="80" t="e">
        <f t="shared" si="15"/>
        <v>#NAME?</v>
      </c>
      <c r="L83" s="81"/>
      <c r="M83" s="29"/>
      <c r="N83" s="565">
        <f>+N82*0.0075</f>
        <v>40408.420191698453</v>
      </c>
    </row>
    <row r="84" spans="1:14" ht="13.8" hidden="1">
      <c r="A84" s="7"/>
      <c r="B84" s="78" t="s">
        <v>67</v>
      </c>
      <c r="C84" s="119" t="s">
        <v>68</v>
      </c>
      <c r="D84" s="79" t="s">
        <v>87</v>
      </c>
      <c r="E84" s="47" t="s">
        <v>70</v>
      </c>
      <c r="F84" s="80">
        <v>65</v>
      </c>
      <c r="G84" s="594">
        <f>ROUNDUP(SUMPRODUCT(G32:G64,J32:J64),0)</f>
        <v>49</v>
      </c>
      <c r="H84" s="594"/>
      <c r="I84" s="594" t="e">
        <f>$I$32</f>
        <v>#NAME?</v>
      </c>
      <c r="J84" s="50"/>
      <c r="K84" s="80" t="e">
        <f t="shared" si="15"/>
        <v>#NAME?</v>
      </c>
      <c r="L84" s="81"/>
      <c r="M84" s="29"/>
      <c r="N84" s="565" t="e">
        <f>+N83*I83</f>
        <v>#NAME?</v>
      </c>
    </row>
    <row r="85" spans="1:14" ht="13.8" hidden="1">
      <c r="A85" s="7"/>
      <c r="B85" s="78" t="s">
        <v>67</v>
      </c>
      <c r="C85" s="119" t="s">
        <v>68</v>
      </c>
      <c r="D85" s="79" t="s">
        <v>88</v>
      </c>
      <c r="E85" s="47" t="s">
        <v>4</v>
      </c>
      <c r="F85" s="80">
        <v>1800</v>
      </c>
      <c r="G85" s="594">
        <f>SUM('Equipos-Personal (HH y HM)'!G7:G19)</f>
        <v>13</v>
      </c>
      <c r="H85" s="594"/>
      <c r="I85" s="594" t="e">
        <f>$I$32</f>
        <v>#NAME?</v>
      </c>
      <c r="J85" s="50">
        <f>ROUNDUP(1/12,2)</f>
        <v>0.09</v>
      </c>
      <c r="K85" s="80" t="e">
        <f t="shared" si="15"/>
        <v>#NAME?</v>
      </c>
      <c r="L85" s="84"/>
      <c r="M85" s="29"/>
      <c r="N85" s="566" t="e">
        <f>+N84*0.1</f>
        <v>#NAME?</v>
      </c>
    </row>
    <row r="86" spans="1:14" ht="13.8" hidden="1">
      <c r="A86" s="7"/>
      <c r="B86" s="78" t="s">
        <v>67</v>
      </c>
      <c r="C86" s="119" t="s">
        <v>68</v>
      </c>
      <c r="D86" s="79" t="s">
        <v>285</v>
      </c>
      <c r="E86" s="47" t="s">
        <v>70</v>
      </c>
      <c r="F86" s="80">
        <f>ROUNDUP(((70/TC)*1.1)/3,2)</f>
        <v>25.67</v>
      </c>
      <c r="G86" s="594">
        <f>ROUNDUP(SUMPRODUCT(G32:G64,J32:J64),0)</f>
        <v>49</v>
      </c>
      <c r="H86" s="594"/>
      <c r="I86" s="594" t="e">
        <f>$I$32</f>
        <v>#NAME?</v>
      </c>
      <c r="J86" s="50"/>
      <c r="K86" s="80" t="e">
        <f t="shared" si="15"/>
        <v>#NAME?</v>
      </c>
      <c r="L86" s="81"/>
      <c r="M86" s="29"/>
    </row>
    <row r="87" spans="1:14" ht="13.8" hidden="1">
      <c r="A87" s="7"/>
      <c r="B87" s="78"/>
      <c r="C87" s="119"/>
      <c r="D87" s="62"/>
      <c r="E87" s="47"/>
      <c r="F87" s="80"/>
      <c r="G87" s="594"/>
      <c r="H87" s="594"/>
      <c r="I87" s="594"/>
      <c r="J87" s="50"/>
      <c r="K87" s="80"/>
      <c r="L87" s="81"/>
      <c r="M87" s="29"/>
    </row>
    <row r="88" spans="1:14" ht="13.8">
      <c r="A88" s="7"/>
      <c r="B88" s="73"/>
      <c r="C88" s="118">
        <v>7</v>
      </c>
      <c r="D88" s="74" t="s">
        <v>90</v>
      </c>
      <c r="E88" s="47"/>
      <c r="F88" s="80"/>
      <c r="G88" s="594"/>
      <c r="H88" s="594"/>
      <c r="I88" s="594"/>
      <c r="J88" s="50"/>
      <c r="K88" s="80"/>
      <c r="L88" s="46">
        <f>SUBTOTAL(9,K92:K94)</f>
        <v>8453.7327225000008</v>
      </c>
      <c r="M88" s="29"/>
    </row>
    <row r="89" spans="1:14" ht="13.8" hidden="1">
      <c r="A89" s="7"/>
      <c r="B89" s="78" t="s">
        <v>67</v>
      </c>
      <c r="C89" s="119" t="s">
        <v>68</v>
      </c>
      <c r="D89" s="79" t="s">
        <v>91</v>
      </c>
      <c r="E89" s="47" t="s">
        <v>4</v>
      </c>
      <c r="F89" s="80">
        <f>+'EPPs EMPLEADOS'!H38</f>
        <v>320</v>
      </c>
      <c r="G89" s="594">
        <f>ROUNDUP(SUMPRODUCT(G32:G64,J32:J64),0)</f>
        <v>49</v>
      </c>
      <c r="H89" s="594"/>
      <c r="I89" s="594">
        <v>1</v>
      </c>
      <c r="J89" s="50"/>
      <c r="K89" s="80">
        <f t="shared" ref="K89:K99" si="16">PRODUCT(F89:J89)</f>
        <v>15680</v>
      </c>
      <c r="L89" s="84"/>
      <c r="M89" s="29"/>
    </row>
    <row r="90" spans="1:14" ht="13.8" hidden="1">
      <c r="A90" s="7"/>
      <c r="B90" s="78" t="s">
        <v>67</v>
      </c>
      <c r="C90" s="119" t="s">
        <v>68</v>
      </c>
      <c r="D90" s="79" t="s">
        <v>92</v>
      </c>
      <c r="E90" s="47" t="s">
        <v>4</v>
      </c>
      <c r="F90" s="80">
        <f>+'EEPs OBREROS'!H42</f>
        <v>482</v>
      </c>
      <c r="G90" s="594">
        <f>G21-G89</f>
        <v>39</v>
      </c>
      <c r="H90" s="594"/>
      <c r="I90" s="594">
        <v>1</v>
      </c>
      <c r="J90" s="50"/>
      <c r="K90" s="80">
        <f t="shared" si="16"/>
        <v>18798</v>
      </c>
      <c r="L90" s="84"/>
      <c r="M90" s="29"/>
      <c r="N90" s="566"/>
    </row>
    <row r="91" spans="1:14" ht="13.8" hidden="1">
      <c r="A91" s="7"/>
      <c r="B91" s="78" t="s">
        <v>67</v>
      </c>
      <c r="C91" s="119" t="s">
        <v>68</v>
      </c>
      <c r="D91" s="79" t="s">
        <v>671</v>
      </c>
      <c r="E91" s="47" t="s">
        <v>4</v>
      </c>
      <c r="F91" s="80">
        <f>AVERAGE(F89:F90)</f>
        <v>401</v>
      </c>
      <c r="G91" s="594">
        <v>1</v>
      </c>
      <c r="H91" s="594"/>
      <c r="I91" s="594" t="e">
        <f>$I$32</f>
        <v>#NAME?</v>
      </c>
      <c r="J91" s="50"/>
      <c r="K91" s="80" t="e">
        <f t="shared" si="16"/>
        <v>#NAME?</v>
      </c>
      <c r="L91" s="84"/>
      <c r="M91" s="29"/>
      <c r="N91" s="566"/>
    </row>
    <row r="92" spans="1:14" ht="13.8">
      <c r="A92" s="7"/>
      <c r="B92" s="78" t="s">
        <v>67</v>
      </c>
      <c r="C92" s="119" t="s">
        <v>68</v>
      </c>
      <c r="D92" s="79" t="s">
        <v>677</v>
      </c>
      <c r="E92" s="47" t="s">
        <v>4</v>
      </c>
      <c r="F92" s="80">
        <f>+'EPPs Empleados (kit)'!H24</f>
        <v>115</v>
      </c>
      <c r="G92" s="594">
        <f>'1.3 Gastos Generales'!G88</f>
        <v>12</v>
      </c>
      <c r="H92" s="594"/>
      <c r="I92" s="594">
        <v>1</v>
      </c>
      <c r="J92" s="50"/>
      <c r="K92" s="80">
        <f t="shared" si="16"/>
        <v>1380</v>
      </c>
      <c r="L92" s="84"/>
      <c r="M92" s="29"/>
      <c r="N92" s="566"/>
    </row>
    <row r="93" spans="1:14" ht="13.8">
      <c r="A93" s="7"/>
      <c r="B93" s="78" t="s">
        <v>67</v>
      </c>
      <c r="C93" s="119" t="s">
        <v>68</v>
      </c>
      <c r="D93" s="79" t="s">
        <v>678</v>
      </c>
      <c r="E93" s="47" t="s">
        <v>4</v>
      </c>
      <c r="F93" s="80">
        <f>+'EPPs Obreros (kit)'!H25</f>
        <v>115</v>
      </c>
      <c r="G93" s="594">
        <f>'1.3 Gastos Generales'!G89</f>
        <v>39</v>
      </c>
      <c r="H93" s="594"/>
      <c r="I93" s="594">
        <v>1</v>
      </c>
      <c r="J93" s="50"/>
      <c r="K93" s="80">
        <f t="shared" si="16"/>
        <v>4485</v>
      </c>
      <c r="L93" s="84"/>
      <c r="M93" s="29"/>
      <c r="N93" s="566"/>
    </row>
    <row r="94" spans="1:14" ht="13.8">
      <c r="A94" s="7"/>
      <c r="B94" s="78" t="s">
        <v>67</v>
      </c>
      <c r="C94" s="119" t="s">
        <v>68</v>
      </c>
      <c r="D94" s="79" t="s">
        <v>679</v>
      </c>
      <c r="E94" s="47" t="s">
        <v>4</v>
      </c>
      <c r="F94" s="80">
        <f>+'EPPs Colectivo KIT COVID'!H24</f>
        <v>2104.66075</v>
      </c>
      <c r="G94" s="594">
        <f>'1.3 Gastos Generales'!G90</f>
        <v>1</v>
      </c>
      <c r="H94" s="594"/>
      <c r="I94" s="594">
        <f>'1.3 Gastos Generales'!PZ</f>
        <v>1.23</v>
      </c>
      <c r="J94" s="50"/>
      <c r="K94" s="80">
        <f t="shared" si="16"/>
        <v>2588.7327224999999</v>
      </c>
      <c r="L94" s="84"/>
      <c r="M94" s="29"/>
      <c r="N94" s="566"/>
    </row>
    <row r="95" spans="1:14" ht="13.8" hidden="1">
      <c r="A95" s="7"/>
      <c r="B95" s="78"/>
      <c r="C95" s="119" t="s">
        <v>68</v>
      </c>
      <c r="D95" s="79" t="s">
        <v>687</v>
      </c>
      <c r="E95" s="47" t="s">
        <v>5</v>
      </c>
      <c r="F95" s="80">
        <f>22</f>
        <v>22</v>
      </c>
      <c r="G95" s="594">
        <f>SUM('Equipos-Personal (HH y HM)'!G83:G99)</f>
        <v>13</v>
      </c>
      <c r="H95" s="594"/>
      <c r="I95" s="594">
        <v>4</v>
      </c>
      <c r="J95" s="50"/>
      <c r="K95" s="80">
        <f t="shared" si="16"/>
        <v>1144</v>
      </c>
      <c r="L95" s="81"/>
      <c r="M95" s="29"/>
      <c r="N95" s="566"/>
    </row>
    <row r="96" spans="1:14" ht="13.8" hidden="1">
      <c r="A96" s="7"/>
      <c r="B96" s="78" t="s">
        <v>67</v>
      </c>
      <c r="C96" s="119" t="s">
        <v>68</v>
      </c>
      <c r="D96" s="79" t="s">
        <v>543</v>
      </c>
      <c r="E96" s="47" t="s">
        <v>545</v>
      </c>
      <c r="F96" s="80">
        <v>400</v>
      </c>
      <c r="G96" s="594">
        <v>1</v>
      </c>
      <c r="H96" s="594"/>
      <c r="I96" s="594" t="e">
        <f>$I$32</f>
        <v>#NAME?</v>
      </c>
      <c r="J96" s="50">
        <v>0.35</v>
      </c>
      <c r="K96" s="80" t="e">
        <f t="shared" si="16"/>
        <v>#NAME?</v>
      </c>
      <c r="L96" s="84"/>
      <c r="M96" s="29"/>
      <c r="N96" s="566"/>
    </row>
    <row r="97" spans="1:14" ht="13.8" hidden="1">
      <c r="A97" s="7"/>
      <c r="B97" s="78" t="s">
        <v>67</v>
      </c>
      <c r="C97" s="119" t="s">
        <v>68</v>
      </c>
      <c r="D97" s="79" t="s">
        <v>544</v>
      </c>
      <c r="E97" s="47" t="s">
        <v>545</v>
      </c>
      <c r="F97" s="80">
        <v>2500</v>
      </c>
      <c r="G97" s="594">
        <v>1</v>
      </c>
      <c r="H97" s="594"/>
      <c r="I97" s="594" t="e">
        <f>$I$32</f>
        <v>#NAME?</v>
      </c>
      <c r="J97" s="50">
        <v>0.35</v>
      </c>
      <c r="K97" s="80" t="e">
        <f t="shared" si="16"/>
        <v>#NAME?</v>
      </c>
      <c r="L97" s="84"/>
      <c r="M97" s="29"/>
      <c r="N97" s="566"/>
    </row>
    <row r="98" spans="1:14" ht="13.8" hidden="1">
      <c r="A98" s="7"/>
      <c r="B98" s="78" t="s">
        <v>67</v>
      </c>
      <c r="C98" s="119" t="s">
        <v>68</v>
      </c>
      <c r="D98" s="79" t="s">
        <v>93</v>
      </c>
      <c r="E98" s="47" t="s">
        <v>4</v>
      </c>
      <c r="F98" s="80">
        <v>180</v>
      </c>
      <c r="G98" s="594">
        <f>+'Equipos-Personal (HH y HM)'!E30</f>
        <v>13</v>
      </c>
      <c r="H98" s="594"/>
      <c r="I98" s="594" t="e">
        <f>$I$32</f>
        <v>#NAME?</v>
      </c>
      <c r="J98" s="50">
        <f>ROUNDUP(1/12,2)</f>
        <v>0.09</v>
      </c>
      <c r="K98" s="80" t="e">
        <f t="shared" si="16"/>
        <v>#NAME?</v>
      </c>
      <c r="L98" s="84"/>
      <c r="M98" s="29"/>
      <c r="N98" s="566"/>
    </row>
    <row r="99" spans="1:14" ht="13.8" hidden="1">
      <c r="A99" s="7"/>
      <c r="B99" s="78" t="s">
        <v>67</v>
      </c>
      <c r="C99" s="119" t="s">
        <v>68</v>
      </c>
      <c r="D99" s="79" t="s">
        <v>670</v>
      </c>
      <c r="E99" s="47" t="s">
        <v>70</v>
      </c>
      <c r="F99" s="80">
        <v>1500</v>
      </c>
      <c r="G99" s="594">
        <v>1</v>
      </c>
      <c r="H99" s="594"/>
      <c r="I99" s="594" t="e">
        <f>$I$32</f>
        <v>#NAME?</v>
      </c>
      <c r="J99" s="50"/>
      <c r="K99" s="80" t="e">
        <f t="shared" si="16"/>
        <v>#NAME?</v>
      </c>
      <c r="L99" s="84"/>
      <c r="M99" s="29"/>
      <c r="N99" s="566"/>
    </row>
    <row r="100" spans="1:14" ht="14.4" thickBot="1">
      <c r="A100" s="7"/>
      <c r="B100" s="87"/>
      <c r="C100" s="120"/>
      <c r="D100" s="88"/>
      <c r="E100" s="89"/>
      <c r="F100" s="90"/>
      <c r="G100" s="91"/>
      <c r="H100" s="91"/>
      <c r="I100" s="91"/>
      <c r="J100" s="92"/>
      <c r="K100" s="90"/>
      <c r="L100" s="93"/>
      <c r="M100" s="29"/>
    </row>
    <row r="101" spans="1:14" ht="14.4" thickBot="1">
      <c r="A101" s="7"/>
      <c r="B101" s="54"/>
      <c r="C101" s="116"/>
      <c r="D101" s="55" t="s">
        <v>94</v>
      </c>
      <c r="E101" s="56"/>
      <c r="F101" s="57"/>
      <c r="G101" s="57"/>
      <c r="H101" s="57"/>
      <c r="I101" s="57"/>
      <c r="J101" s="58"/>
      <c r="K101" s="59" t="s">
        <v>969</v>
      </c>
      <c r="L101" s="60">
        <f>SUM(L88:L91)</f>
        <v>8453.7327225000008</v>
      </c>
      <c r="M101" s="29"/>
    </row>
    <row r="102" spans="1:14" ht="13.8">
      <c r="A102" s="7"/>
      <c r="B102" s="7"/>
      <c r="C102" s="12"/>
      <c r="D102" s="18"/>
      <c r="E102" s="29"/>
      <c r="F102" s="94"/>
      <c r="G102" s="29"/>
      <c r="H102" s="29"/>
      <c r="I102" s="94"/>
      <c r="J102" s="95"/>
      <c r="K102" s="94"/>
      <c r="L102" s="94"/>
      <c r="M102" s="29"/>
    </row>
    <row r="103" spans="1:14" ht="14.4" hidden="1" thickBot="1">
      <c r="A103" s="7"/>
      <c r="B103" s="96" t="s">
        <v>95</v>
      </c>
      <c r="C103" s="121"/>
      <c r="D103" s="97"/>
      <c r="E103" s="97"/>
      <c r="F103" s="97"/>
      <c r="G103" s="97"/>
      <c r="H103" s="97"/>
      <c r="I103" s="98"/>
      <c r="J103" s="27" t="s">
        <v>8</v>
      </c>
      <c r="K103" s="28" t="s">
        <v>61</v>
      </c>
      <c r="L103" s="28" t="s">
        <v>96</v>
      </c>
      <c r="M103" s="8"/>
    </row>
    <row r="104" spans="1:14" ht="13.8" hidden="1">
      <c r="A104" s="7"/>
      <c r="B104" s="78"/>
      <c r="C104" s="119"/>
      <c r="D104" s="79"/>
      <c r="E104" s="99"/>
      <c r="F104" s="99"/>
      <c r="G104" s="99"/>
      <c r="H104" s="99"/>
      <c r="I104" s="594"/>
      <c r="J104" s="100"/>
      <c r="K104" s="101"/>
      <c r="L104" s="102"/>
      <c r="M104" s="7"/>
    </row>
    <row r="105" spans="1:14" ht="13.8" hidden="1">
      <c r="A105" s="7"/>
      <c r="B105" s="78" t="s">
        <v>67</v>
      </c>
      <c r="C105" s="119" t="s">
        <v>68</v>
      </c>
      <c r="D105" s="79" t="s">
        <v>97</v>
      </c>
      <c r="E105" s="99"/>
      <c r="F105" s="99"/>
      <c r="G105" s="99"/>
      <c r="H105" s="99"/>
      <c r="I105" s="594"/>
      <c r="J105" s="100">
        <f>K105/($L$101+$L$25)</f>
        <v>0.11294910736111131</v>
      </c>
      <c r="K105" s="51">
        <f>+L101</f>
        <v>8453.7327225000008</v>
      </c>
      <c r="L105" s="81"/>
      <c r="M105" s="29"/>
    </row>
    <row r="106" spans="1:14" ht="13.8" hidden="1">
      <c r="A106" s="7"/>
      <c r="B106" s="78" t="s">
        <v>98</v>
      </c>
      <c r="C106" s="119" t="s">
        <v>68</v>
      </c>
      <c r="D106" s="79" t="s">
        <v>99</v>
      </c>
      <c r="E106" s="99"/>
      <c r="F106" s="99"/>
      <c r="G106" s="99"/>
      <c r="H106" s="99"/>
      <c r="I106" s="594"/>
      <c r="J106" s="100">
        <f>K106/($L$101+$L$25)</f>
        <v>0.88705089263888859</v>
      </c>
      <c r="K106" s="51">
        <f>+L25</f>
        <v>66391.76999999999</v>
      </c>
      <c r="L106" s="46">
        <f>K105+K106</f>
        <v>74845.502722499994</v>
      </c>
      <c r="M106" s="29"/>
    </row>
    <row r="107" spans="1:14" ht="14.4" hidden="1" thickBot="1">
      <c r="A107" s="7"/>
      <c r="B107" s="103"/>
      <c r="C107" s="122"/>
      <c r="D107" s="104"/>
      <c r="E107" s="105"/>
      <c r="F107" s="105"/>
      <c r="G107" s="105"/>
      <c r="H107" s="105"/>
      <c r="I107" s="106"/>
      <c r="J107" s="107"/>
      <c r="K107" s="93"/>
      <c r="L107" s="93"/>
      <c r="M107" s="29"/>
    </row>
    <row r="108" spans="1:14" hidden="1"/>
  </sheetData>
  <pageMargins left="0.70866141732283472" right="0.70866141732283472" top="0.74803149606299213" bottom="0.74803149606299213" header="0.31496062992125984" footer="0.31496062992125984"/>
  <pageSetup paperSize="9" scale="66" orientation="portrait" horizontalDpi="1200" verticalDpi="1200" r:id="rId1"/>
  <headerFooter>
    <oddHeader>&amp;R&amp;G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>
    <tabColor theme="7" tint="-0.249977111117893"/>
    <pageSetUpPr fitToPage="1"/>
  </sheetPr>
  <dimension ref="A1:V5093"/>
  <sheetViews>
    <sheetView view="pageBreakPreview" zoomScaleNormal="100" zoomScaleSheetLayoutView="100" workbookViewId="0">
      <pane xSplit="1" ySplit="8" topLeftCell="B2531" activePane="bottomRight" state="frozen"/>
      <selection activeCell="M5076" sqref="M5076"/>
      <selection pane="topRight" activeCell="M5076" sqref="M5076"/>
      <selection pane="bottomLeft" activeCell="M5076" sqref="M5076"/>
      <selection pane="bottomRight" activeCell="M5076" sqref="M5076"/>
    </sheetView>
  </sheetViews>
  <sheetFormatPr baseColWidth="10" defaultColWidth="11.44140625" defaultRowHeight="13.2"/>
  <cols>
    <col min="1" max="1" width="7.109375" style="641" customWidth="1"/>
    <col min="2" max="2" width="9" style="641" customWidth="1"/>
    <col min="3" max="3" width="7.6640625" style="641" customWidth="1"/>
    <col min="4" max="4" width="13.6640625" style="641" customWidth="1"/>
    <col min="5" max="5" width="17" style="641" customWidth="1"/>
    <col min="6" max="6" width="12.88671875" style="641" customWidth="1"/>
    <col min="7" max="7" width="7.109375" style="641" customWidth="1"/>
    <col min="8" max="8" width="14.44140625" style="641" customWidth="1"/>
    <col min="9" max="9" width="22.44140625" style="641" bestFit="1" customWidth="1"/>
    <col min="10" max="10" width="29" style="641" bestFit="1" customWidth="1"/>
    <col min="11" max="11" width="8.33203125" style="641" bestFit="1" customWidth="1"/>
    <col min="12" max="12" width="10.5546875" style="641" customWidth="1"/>
    <col min="13" max="13" width="11.5546875" style="641" bestFit="1" customWidth="1"/>
    <col min="14" max="14" width="7.44140625" style="641" customWidth="1"/>
    <col min="15" max="16" width="11.44140625" style="641"/>
    <col min="17" max="19" width="13.88671875" style="641" hidden="1" customWidth="1"/>
    <col min="20" max="20" width="15.5546875" style="641" customWidth="1"/>
    <col min="21" max="21" width="13" style="641" customWidth="1"/>
    <col min="22" max="16384" width="11.44140625" style="641"/>
  </cols>
  <sheetData>
    <row r="1" spans="1:22" ht="30.75" customHeight="1">
      <c r="A1" s="1031"/>
      <c r="B1" s="1032"/>
      <c r="C1" s="1032"/>
      <c r="D1" s="1033"/>
      <c r="E1" s="1040" t="s">
        <v>808</v>
      </c>
      <c r="F1" s="1041"/>
      <c r="G1" s="1041"/>
      <c r="H1" s="1041"/>
      <c r="I1" s="1041"/>
      <c r="J1" s="1041"/>
      <c r="K1" s="1042"/>
      <c r="L1" s="638"/>
      <c r="M1" s="639"/>
      <c r="N1" s="640"/>
      <c r="U1" s="642">
        <f>'[6]Ratio Volquete'!F13</f>
        <v>0.94000485258912592</v>
      </c>
    </row>
    <row r="2" spans="1:22" ht="15.75" customHeight="1">
      <c r="A2" s="1034"/>
      <c r="B2" s="1035"/>
      <c r="C2" s="1035"/>
      <c r="D2" s="1036"/>
      <c r="E2" s="1025" t="s">
        <v>809</v>
      </c>
      <c r="F2" s="1026"/>
      <c r="G2" s="1026"/>
      <c r="H2" s="1026"/>
      <c r="I2" s="1026"/>
      <c r="J2" s="1026"/>
      <c r="K2" s="1027"/>
      <c r="L2" s="643" t="s">
        <v>810</v>
      </c>
      <c r="M2" s="1043">
        <v>0</v>
      </c>
      <c r="N2" s="1044"/>
    </row>
    <row r="3" spans="1:22" ht="15.75" customHeight="1">
      <c r="A3" s="1034"/>
      <c r="B3" s="1035"/>
      <c r="C3" s="1035"/>
      <c r="D3" s="1036"/>
      <c r="E3" s="1045" t="str">
        <f>CONCATENATE("ESTADO DE PAGO 000",[6]formato_EDP!O1)</f>
        <v>ESTADO DE PAGO 0002</v>
      </c>
      <c r="F3" s="1046"/>
      <c r="G3" s="1046"/>
      <c r="H3" s="1046"/>
      <c r="I3" s="1046"/>
      <c r="J3" s="1046"/>
      <c r="K3" s="1047"/>
      <c r="L3" s="643" t="s">
        <v>21</v>
      </c>
      <c r="M3" s="1048">
        <f>[6]formato_EDP!U1</f>
        <v>44487</v>
      </c>
      <c r="N3" s="1049"/>
      <c r="Q3" s="1024"/>
      <c r="R3" s="1024"/>
      <c r="S3" s="1024"/>
      <c r="T3" s="644" t="s">
        <v>811</v>
      </c>
      <c r="U3" s="645"/>
      <c r="V3" s="645"/>
    </row>
    <row r="4" spans="1:22" ht="15.75" customHeight="1">
      <c r="A4" s="1037"/>
      <c r="B4" s="1038"/>
      <c r="C4" s="1038"/>
      <c r="D4" s="1039"/>
      <c r="E4" s="1025" t="str">
        <f>CONCATENATE("105-18028-MTE01521-EDP-K-430-000",[6]formato_EDP!O1)</f>
        <v>105-18028-MTE01521-EDP-K-430-0002</v>
      </c>
      <c r="F4" s="1026"/>
      <c r="G4" s="1026"/>
      <c r="H4" s="1026"/>
      <c r="I4" s="1026"/>
      <c r="J4" s="1026"/>
      <c r="K4" s="1027"/>
      <c r="L4" s="646"/>
      <c r="M4" s="647"/>
      <c r="N4" s="648"/>
      <c r="Q4" s="649" t="s">
        <v>812</v>
      </c>
      <c r="R4" s="649" t="s">
        <v>813</v>
      </c>
      <c r="S4" s="649" t="s">
        <v>814</v>
      </c>
      <c r="T4" s="645" t="s">
        <v>815</v>
      </c>
      <c r="U4" s="645" t="s">
        <v>816</v>
      </c>
      <c r="V4" s="645" t="s">
        <v>817</v>
      </c>
    </row>
    <row r="5" spans="1:22" ht="15.75" customHeight="1">
      <c r="A5" s="650"/>
      <c r="B5" s="650"/>
      <c r="C5" s="650"/>
      <c r="D5" s="650"/>
      <c r="E5" s="651"/>
      <c r="F5" s="651"/>
      <c r="G5" s="651"/>
      <c r="H5" s="651"/>
      <c r="I5" s="651"/>
      <c r="J5" s="651"/>
      <c r="K5" s="651"/>
      <c r="L5" s="652"/>
      <c r="M5" s="652"/>
      <c r="N5" s="652"/>
      <c r="Q5" s="649">
        <v>15</v>
      </c>
      <c r="R5" s="653">
        <v>303.75</v>
      </c>
      <c r="S5" s="645">
        <v>21</v>
      </c>
      <c r="T5" s="645">
        <f>Q5</f>
        <v>15</v>
      </c>
      <c r="U5" s="654">
        <f>$U$1</f>
        <v>0.94000485258912592</v>
      </c>
      <c r="V5" s="655">
        <f>ROUND(U5*Q5,2)</f>
        <v>14.1</v>
      </c>
    </row>
    <row r="6" spans="1:22">
      <c r="A6" s="656"/>
      <c r="B6" s="657"/>
      <c r="C6" s="657"/>
      <c r="D6" s="657"/>
      <c r="E6" s="657"/>
      <c r="F6" s="657"/>
      <c r="G6" s="657"/>
      <c r="H6" s="657"/>
      <c r="I6" s="657"/>
      <c r="J6" s="657"/>
      <c r="K6" s="657"/>
      <c r="L6" s="657"/>
      <c r="M6" s="657"/>
      <c r="N6" s="657"/>
      <c r="Q6" s="649">
        <v>17</v>
      </c>
      <c r="R6" s="653">
        <v>352</v>
      </c>
      <c r="S6" s="645">
        <v>21</v>
      </c>
      <c r="T6" s="645">
        <f>Q6</f>
        <v>17</v>
      </c>
      <c r="U6" s="654">
        <f>$U$1</f>
        <v>0.94000485258912592</v>
      </c>
      <c r="V6" s="655">
        <f>ROUND(U6*Q6,2)</f>
        <v>15.98</v>
      </c>
    </row>
    <row r="7" spans="1:22" ht="24.75" customHeight="1">
      <c r="A7" s="656"/>
      <c r="B7" s="1028" t="s">
        <v>818</v>
      </c>
      <c r="C7" s="1028"/>
      <c r="D7" s="1028"/>
      <c r="E7" s="1028"/>
      <c r="F7" s="1028"/>
      <c r="G7" s="1028"/>
      <c r="H7" s="1028"/>
      <c r="I7" s="1028"/>
      <c r="J7" s="1028"/>
      <c r="K7" s="1028"/>
      <c r="L7" s="1028"/>
      <c r="M7" s="1028"/>
      <c r="N7" s="657"/>
      <c r="Q7" s="649">
        <v>20</v>
      </c>
      <c r="R7" s="653">
        <v>386.03</v>
      </c>
      <c r="S7" s="645">
        <v>20</v>
      </c>
      <c r="T7" s="645">
        <f>Q7</f>
        <v>20</v>
      </c>
      <c r="U7" s="654">
        <f>$U$1</f>
        <v>0.94000485258912592</v>
      </c>
      <c r="V7" s="655">
        <f>ROUND(U7*Q7,2)</f>
        <v>18.8</v>
      </c>
    </row>
    <row r="8" spans="1:22" s="645" customFormat="1" ht="21.75" customHeight="1">
      <c r="B8" s="658" t="s">
        <v>819</v>
      </c>
      <c r="C8" s="659" t="s">
        <v>820</v>
      </c>
      <c r="D8" s="660" t="s">
        <v>821</v>
      </c>
      <c r="E8" s="1029" t="s">
        <v>822</v>
      </c>
      <c r="F8" s="1030"/>
      <c r="G8" s="658" t="s">
        <v>823</v>
      </c>
      <c r="H8" s="658" t="s">
        <v>824</v>
      </c>
      <c r="I8" s="658" t="s">
        <v>825</v>
      </c>
      <c r="J8" s="658" t="s">
        <v>826</v>
      </c>
      <c r="K8" s="658" t="s">
        <v>827</v>
      </c>
      <c r="L8" s="658" t="s">
        <v>828</v>
      </c>
      <c r="M8" s="658" t="s">
        <v>829</v>
      </c>
      <c r="N8" s="657"/>
      <c r="O8" s="698">
        <f>M5076</f>
        <v>444250.58</v>
      </c>
    </row>
    <row r="9" spans="1:22" s="645" customFormat="1" ht="21.75" customHeight="1">
      <c r="B9" s="661">
        <v>44336</v>
      </c>
      <c r="C9" s="662" t="s">
        <v>819</v>
      </c>
      <c r="D9" s="663" t="s">
        <v>830</v>
      </c>
      <c r="E9" s="664" t="s">
        <v>831</v>
      </c>
      <c r="F9" s="665"/>
      <c r="G9" s="663">
        <v>15</v>
      </c>
      <c r="H9" s="662" t="s">
        <v>807</v>
      </c>
      <c r="I9" s="666" t="s">
        <v>832</v>
      </c>
      <c r="J9" s="667" t="s">
        <v>804</v>
      </c>
      <c r="K9" s="662">
        <v>6</v>
      </c>
      <c r="L9" s="662">
        <f t="shared" ref="L9:L72" si="0">VLOOKUP(G9,$Q$4:$V$7,6,FALSE)</f>
        <v>14.1</v>
      </c>
      <c r="M9" s="668"/>
      <c r="N9" s="657"/>
    </row>
    <row r="10" spans="1:22" s="645" customFormat="1" ht="21.75" customHeight="1">
      <c r="B10" s="661">
        <v>44336</v>
      </c>
      <c r="C10" s="662" t="s">
        <v>819</v>
      </c>
      <c r="D10" s="663" t="s">
        <v>833</v>
      </c>
      <c r="E10" s="664" t="s">
        <v>831</v>
      </c>
      <c r="F10" s="665"/>
      <c r="G10" s="663">
        <v>15</v>
      </c>
      <c r="H10" s="662" t="s">
        <v>807</v>
      </c>
      <c r="I10" s="666" t="s">
        <v>832</v>
      </c>
      <c r="J10" s="667" t="s">
        <v>804</v>
      </c>
      <c r="K10" s="662">
        <v>9</v>
      </c>
      <c r="L10" s="662">
        <f t="shared" si="0"/>
        <v>14.1</v>
      </c>
      <c r="M10" s="668"/>
      <c r="N10" s="657"/>
    </row>
    <row r="11" spans="1:22" s="645" customFormat="1" ht="21.75" customHeight="1">
      <c r="B11" s="661">
        <v>44336</v>
      </c>
      <c r="C11" s="662" t="s">
        <v>819</v>
      </c>
      <c r="D11" s="663" t="s">
        <v>834</v>
      </c>
      <c r="E11" s="664" t="s">
        <v>831</v>
      </c>
      <c r="F11" s="665"/>
      <c r="G11" s="663">
        <v>20</v>
      </c>
      <c r="H11" s="662" t="s">
        <v>807</v>
      </c>
      <c r="I11" s="666" t="s">
        <v>832</v>
      </c>
      <c r="J11" s="667" t="s">
        <v>804</v>
      </c>
      <c r="K11" s="662">
        <v>3</v>
      </c>
      <c r="L11" s="662">
        <f t="shared" si="0"/>
        <v>18.8</v>
      </c>
      <c r="M11" s="668"/>
      <c r="N11" s="657"/>
    </row>
    <row r="12" spans="1:22" s="645" customFormat="1" ht="21.75" customHeight="1">
      <c r="B12" s="661">
        <v>44336</v>
      </c>
      <c r="C12" s="662" t="s">
        <v>819</v>
      </c>
      <c r="D12" s="663" t="s">
        <v>835</v>
      </c>
      <c r="E12" s="664" t="s">
        <v>831</v>
      </c>
      <c r="F12" s="665"/>
      <c r="G12" s="663">
        <v>20</v>
      </c>
      <c r="H12" s="662" t="s">
        <v>807</v>
      </c>
      <c r="I12" s="666" t="s">
        <v>832</v>
      </c>
      <c r="J12" s="667" t="s">
        <v>804</v>
      </c>
      <c r="K12" s="667">
        <v>4</v>
      </c>
      <c r="L12" s="667">
        <f t="shared" si="0"/>
        <v>18.8</v>
      </c>
      <c r="M12" s="668"/>
      <c r="N12" s="657"/>
    </row>
    <row r="13" spans="1:22" s="645" customFormat="1" ht="21.75" customHeight="1">
      <c r="B13" s="661">
        <v>44336</v>
      </c>
      <c r="C13" s="662" t="s">
        <v>819</v>
      </c>
      <c r="D13" s="663" t="s">
        <v>836</v>
      </c>
      <c r="E13" s="664" t="s">
        <v>831</v>
      </c>
      <c r="F13" s="665"/>
      <c r="G13" s="663">
        <v>15</v>
      </c>
      <c r="H13" s="662" t="s">
        <v>807</v>
      </c>
      <c r="I13" s="666" t="s">
        <v>832</v>
      </c>
      <c r="J13" s="667" t="s">
        <v>804</v>
      </c>
      <c r="K13" s="667">
        <v>12</v>
      </c>
      <c r="L13" s="667">
        <f t="shared" si="0"/>
        <v>14.1</v>
      </c>
      <c r="M13" s="668"/>
      <c r="N13" s="657"/>
    </row>
    <row r="14" spans="1:22" s="645" customFormat="1" ht="21.75" customHeight="1">
      <c r="B14" s="661">
        <v>44337</v>
      </c>
      <c r="C14" s="662" t="s">
        <v>837</v>
      </c>
      <c r="D14" s="663" t="s">
        <v>836</v>
      </c>
      <c r="E14" s="664" t="s">
        <v>831</v>
      </c>
      <c r="F14" s="665"/>
      <c r="G14" s="663">
        <v>15</v>
      </c>
      <c r="H14" s="662" t="s">
        <v>807</v>
      </c>
      <c r="I14" s="666" t="s">
        <v>838</v>
      </c>
      <c r="J14" s="667" t="s">
        <v>804</v>
      </c>
      <c r="K14" s="667">
        <v>6</v>
      </c>
      <c r="L14" s="667">
        <f t="shared" si="0"/>
        <v>14.1</v>
      </c>
      <c r="M14" s="668"/>
      <c r="N14" s="657"/>
    </row>
    <row r="15" spans="1:22" s="645" customFormat="1" ht="21.75" customHeight="1">
      <c r="B15" s="661">
        <v>44337</v>
      </c>
      <c r="C15" s="662" t="s">
        <v>837</v>
      </c>
      <c r="D15" s="663" t="s">
        <v>830</v>
      </c>
      <c r="E15" s="664" t="s">
        <v>831</v>
      </c>
      <c r="F15" s="665"/>
      <c r="G15" s="663">
        <v>15</v>
      </c>
      <c r="H15" s="662" t="s">
        <v>807</v>
      </c>
      <c r="I15" s="666" t="s">
        <v>832</v>
      </c>
      <c r="J15" s="667" t="s">
        <v>804</v>
      </c>
      <c r="K15" s="662">
        <v>2</v>
      </c>
      <c r="L15" s="662">
        <f t="shared" si="0"/>
        <v>14.1</v>
      </c>
      <c r="M15" s="668"/>
      <c r="N15" s="657"/>
      <c r="P15" s="669"/>
    </row>
    <row r="16" spans="1:22" s="645" customFormat="1" ht="21.75" customHeight="1">
      <c r="B16" s="661">
        <v>44337</v>
      </c>
      <c r="C16" s="662" t="s">
        <v>837</v>
      </c>
      <c r="D16" s="663" t="s">
        <v>839</v>
      </c>
      <c r="E16" s="664" t="s">
        <v>831</v>
      </c>
      <c r="F16" s="665"/>
      <c r="G16" s="663">
        <v>15</v>
      </c>
      <c r="H16" s="662" t="s">
        <v>807</v>
      </c>
      <c r="I16" s="666" t="s">
        <v>832</v>
      </c>
      <c r="J16" s="667" t="s">
        <v>804</v>
      </c>
      <c r="K16" s="662">
        <v>2</v>
      </c>
      <c r="L16" s="662">
        <f t="shared" si="0"/>
        <v>14.1</v>
      </c>
      <c r="M16" s="668"/>
      <c r="N16" s="657"/>
    </row>
    <row r="17" spans="2:16" s="645" customFormat="1" ht="21.75" customHeight="1">
      <c r="B17" s="661">
        <v>44337</v>
      </c>
      <c r="C17" s="662" t="s">
        <v>837</v>
      </c>
      <c r="D17" s="663" t="s">
        <v>834</v>
      </c>
      <c r="E17" s="664" t="s">
        <v>831</v>
      </c>
      <c r="F17" s="665"/>
      <c r="G17" s="663">
        <v>20</v>
      </c>
      <c r="H17" s="662" t="s">
        <v>807</v>
      </c>
      <c r="I17" s="666" t="s">
        <v>832</v>
      </c>
      <c r="J17" s="667" t="s">
        <v>804</v>
      </c>
      <c r="K17" s="662">
        <v>2</v>
      </c>
      <c r="L17" s="662">
        <f t="shared" si="0"/>
        <v>18.8</v>
      </c>
      <c r="M17" s="668"/>
      <c r="N17" s="657"/>
    </row>
    <row r="18" spans="2:16" s="645" customFormat="1" ht="21.75" customHeight="1">
      <c r="B18" s="661">
        <v>44337</v>
      </c>
      <c r="C18" s="662" t="s">
        <v>837</v>
      </c>
      <c r="D18" s="663" t="s">
        <v>840</v>
      </c>
      <c r="E18" s="664" t="s">
        <v>831</v>
      </c>
      <c r="F18" s="665"/>
      <c r="G18" s="663">
        <v>15</v>
      </c>
      <c r="H18" s="662" t="s">
        <v>807</v>
      </c>
      <c r="I18" s="666" t="s">
        <v>832</v>
      </c>
      <c r="J18" s="667" t="s">
        <v>804</v>
      </c>
      <c r="K18" s="662">
        <v>1</v>
      </c>
      <c r="L18" s="662">
        <f t="shared" si="0"/>
        <v>14.1</v>
      </c>
      <c r="M18" s="668"/>
      <c r="N18" s="657"/>
      <c r="P18" s="669"/>
    </row>
    <row r="19" spans="2:16" s="645" customFormat="1" ht="21.75" customHeight="1">
      <c r="B19" s="661">
        <v>44337</v>
      </c>
      <c r="C19" s="662" t="s">
        <v>837</v>
      </c>
      <c r="D19" s="663" t="s">
        <v>835</v>
      </c>
      <c r="E19" s="664" t="s">
        <v>831</v>
      </c>
      <c r="F19" s="665"/>
      <c r="G19" s="663">
        <v>20</v>
      </c>
      <c r="H19" s="662" t="s">
        <v>807</v>
      </c>
      <c r="I19" s="666" t="s">
        <v>832</v>
      </c>
      <c r="J19" s="667" t="s">
        <v>804</v>
      </c>
      <c r="K19" s="667">
        <v>3</v>
      </c>
      <c r="L19" s="667">
        <f t="shared" si="0"/>
        <v>18.8</v>
      </c>
      <c r="M19" s="668"/>
      <c r="N19" s="657"/>
    </row>
    <row r="20" spans="2:16" s="645" customFormat="1" ht="21.75" customHeight="1">
      <c r="B20" s="661">
        <v>44337</v>
      </c>
      <c r="C20" s="662" t="s">
        <v>837</v>
      </c>
      <c r="D20" s="663" t="s">
        <v>841</v>
      </c>
      <c r="E20" s="664" t="s">
        <v>831</v>
      </c>
      <c r="F20" s="665"/>
      <c r="G20" s="663">
        <v>20</v>
      </c>
      <c r="H20" s="662" t="s">
        <v>807</v>
      </c>
      <c r="I20" s="666" t="s">
        <v>832</v>
      </c>
      <c r="J20" s="667" t="s">
        <v>804</v>
      </c>
      <c r="K20" s="667">
        <v>3</v>
      </c>
      <c r="L20" s="667">
        <f t="shared" si="0"/>
        <v>18.8</v>
      </c>
      <c r="M20" s="668"/>
      <c r="N20" s="657"/>
    </row>
    <row r="21" spans="2:16" s="645" customFormat="1" ht="21.75" customHeight="1">
      <c r="B21" s="661">
        <v>44337</v>
      </c>
      <c r="C21" s="662" t="s">
        <v>837</v>
      </c>
      <c r="D21" s="663" t="s">
        <v>836</v>
      </c>
      <c r="E21" s="664" t="s">
        <v>831</v>
      </c>
      <c r="F21" s="665"/>
      <c r="G21" s="663">
        <v>15</v>
      </c>
      <c r="H21" s="662" t="s">
        <v>807</v>
      </c>
      <c r="I21" s="666" t="s">
        <v>832</v>
      </c>
      <c r="J21" s="667" t="s">
        <v>804</v>
      </c>
      <c r="K21" s="667">
        <v>3</v>
      </c>
      <c r="L21" s="667">
        <f t="shared" si="0"/>
        <v>14.1</v>
      </c>
      <c r="M21" s="668"/>
      <c r="N21" s="657"/>
    </row>
    <row r="22" spans="2:16" s="645" customFormat="1" ht="21.75" customHeight="1">
      <c r="B22" s="670">
        <v>44337</v>
      </c>
      <c r="C22" s="671" t="s">
        <v>819</v>
      </c>
      <c r="D22" s="672" t="s">
        <v>830</v>
      </c>
      <c r="E22" s="673" t="s">
        <v>831</v>
      </c>
      <c r="F22" s="674"/>
      <c r="G22" s="672">
        <v>15</v>
      </c>
      <c r="H22" s="671" t="s">
        <v>807</v>
      </c>
      <c r="I22" s="675" t="s">
        <v>832</v>
      </c>
      <c r="J22" s="667" t="s">
        <v>804</v>
      </c>
      <c r="K22" s="671">
        <v>10</v>
      </c>
      <c r="L22" s="671">
        <f t="shared" si="0"/>
        <v>14.1</v>
      </c>
      <c r="M22" s="676"/>
      <c r="N22" s="657"/>
    </row>
    <row r="23" spans="2:16" s="645" customFormat="1" ht="21.75" customHeight="1">
      <c r="B23" s="670">
        <v>44337</v>
      </c>
      <c r="C23" s="671" t="s">
        <v>819</v>
      </c>
      <c r="D23" s="672" t="s">
        <v>839</v>
      </c>
      <c r="E23" s="673" t="s">
        <v>831</v>
      </c>
      <c r="F23" s="674"/>
      <c r="G23" s="672">
        <v>15</v>
      </c>
      <c r="H23" s="671" t="s">
        <v>807</v>
      </c>
      <c r="I23" s="675" t="s">
        <v>832</v>
      </c>
      <c r="J23" s="667" t="s">
        <v>804</v>
      </c>
      <c r="K23" s="671">
        <v>9</v>
      </c>
      <c r="L23" s="671">
        <f t="shared" si="0"/>
        <v>14.1</v>
      </c>
      <c r="M23" s="676"/>
      <c r="N23" s="657"/>
    </row>
    <row r="24" spans="2:16" s="645" customFormat="1" ht="21.75" customHeight="1">
      <c r="B24" s="670">
        <v>44337</v>
      </c>
      <c r="C24" s="671" t="s">
        <v>819</v>
      </c>
      <c r="D24" s="672" t="s">
        <v>834</v>
      </c>
      <c r="E24" s="673" t="s">
        <v>831</v>
      </c>
      <c r="F24" s="674"/>
      <c r="G24" s="672">
        <v>20</v>
      </c>
      <c r="H24" s="671" t="s">
        <v>807</v>
      </c>
      <c r="I24" s="675" t="s">
        <v>832</v>
      </c>
      <c r="J24" s="667" t="s">
        <v>804</v>
      </c>
      <c r="K24" s="671">
        <v>2</v>
      </c>
      <c r="L24" s="671">
        <f t="shared" si="0"/>
        <v>18.8</v>
      </c>
      <c r="M24" s="676"/>
      <c r="N24" s="657"/>
    </row>
    <row r="25" spans="2:16" s="645" customFormat="1" ht="21.75" customHeight="1">
      <c r="B25" s="670">
        <v>44337</v>
      </c>
      <c r="C25" s="671" t="s">
        <v>819</v>
      </c>
      <c r="D25" s="672" t="s">
        <v>840</v>
      </c>
      <c r="E25" s="673" t="s">
        <v>831</v>
      </c>
      <c r="F25" s="674"/>
      <c r="G25" s="672">
        <v>15</v>
      </c>
      <c r="H25" s="671" t="s">
        <v>807</v>
      </c>
      <c r="I25" s="675" t="s">
        <v>832</v>
      </c>
      <c r="J25" s="667" t="s">
        <v>804</v>
      </c>
      <c r="K25" s="671">
        <v>8</v>
      </c>
      <c r="L25" s="671">
        <f t="shared" si="0"/>
        <v>14.1</v>
      </c>
      <c r="M25" s="676"/>
      <c r="N25" s="657"/>
    </row>
    <row r="26" spans="2:16" s="645" customFormat="1" ht="21.75" customHeight="1">
      <c r="B26" s="670">
        <v>44337</v>
      </c>
      <c r="C26" s="671" t="s">
        <v>819</v>
      </c>
      <c r="D26" s="672" t="s">
        <v>840</v>
      </c>
      <c r="E26" s="673" t="s">
        <v>831</v>
      </c>
      <c r="F26" s="674"/>
      <c r="G26" s="672">
        <v>15</v>
      </c>
      <c r="H26" s="671" t="s">
        <v>807</v>
      </c>
      <c r="I26" s="675" t="s">
        <v>832</v>
      </c>
      <c r="J26" s="667" t="s">
        <v>804</v>
      </c>
      <c r="K26" s="671">
        <v>2</v>
      </c>
      <c r="L26" s="671">
        <f t="shared" si="0"/>
        <v>14.1</v>
      </c>
      <c r="M26" s="676"/>
      <c r="N26" s="657"/>
    </row>
    <row r="27" spans="2:16" s="645" customFormat="1" ht="21.75" customHeight="1">
      <c r="B27" s="670">
        <v>44337</v>
      </c>
      <c r="C27" s="671" t="s">
        <v>819</v>
      </c>
      <c r="D27" s="672" t="s">
        <v>835</v>
      </c>
      <c r="E27" s="673" t="s">
        <v>831</v>
      </c>
      <c r="F27" s="674"/>
      <c r="G27" s="672">
        <v>20</v>
      </c>
      <c r="H27" s="671" t="s">
        <v>807</v>
      </c>
      <c r="I27" s="675" t="s">
        <v>832</v>
      </c>
      <c r="J27" s="667" t="s">
        <v>804</v>
      </c>
      <c r="K27" s="677">
        <v>10</v>
      </c>
      <c r="L27" s="677">
        <f t="shared" si="0"/>
        <v>18.8</v>
      </c>
      <c r="M27" s="676"/>
      <c r="N27" s="657"/>
    </row>
    <row r="28" spans="2:16" s="645" customFormat="1" ht="21.75" customHeight="1">
      <c r="B28" s="670">
        <v>44337</v>
      </c>
      <c r="C28" s="671" t="s">
        <v>819</v>
      </c>
      <c r="D28" s="672" t="s">
        <v>836</v>
      </c>
      <c r="E28" s="673" t="s">
        <v>831</v>
      </c>
      <c r="F28" s="674"/>
      <c r="G28" s="672">
        <v>15</v>
      </c>
      <c r="H28" s="671" t="s">
        <v>807</v>
      </c>
      <c r="I28" s="675" t="s">
        <v>832</v>
      </c>
      <c r="J28" s="667" t="s">
        <v>804</v>
      </c>
      <c r="K28" s="677">
        <v>12</v>
      </c>
      <c r="L28" s="677">
        <f t="shared" si="0"/>
        <v>14.1</v>
      </c>
      <c r="M28" s="676"/>
      <c r="N28" s="657"/>
    </row>
    <row r="29" spans="2:16" s="645" customFormat="1" ht="21.75" customHeight="1">
      <c r="B29" s="661">
        <v>44337</v>
      </c>
      <c r="C29" s="662" t="s">
        <v>837</v>
      </c>
      <c r="D29" s="663" t="s">
        <v>830</v>
      </c>
      <c r="E29" s="664" t="s">
        <v>831</v>
      </c>
      <c r="F29" s="665"/>
      <c r="G29" s="663">
        <v>15</v>
      </c>
      <c r="H29" s="662" t="s">
        <v>807</v>
      </c>
      <c r="I29" s="666" t="s">
        <v>838</v>
      </c>
      <c r="J29" s="667" t="s">
        <v>804</v>
      </c>
      <c r="K29" s="662">
        <v>8</v>
      </c>
      <c r="L29" s="662">
        <f t="shared" si="0"/>
        <v>14.1</v>
      </c>
      <c r="M29" s="668"/>
      <c r="N29" s="657"/>
    </row>
    <row r="30" spans="2:16" s="645" customFormat="1" ht="21.75" customHeight="1">
      <c r="B30" s="661">
        <v>44337</v>
      </c>
      <c r="C30" s="662" t="s">
        <v>837</v>
      </c>
      <c r="D30" s="663" t="s">
        <v>839</v>
      </c>
      <c r="E30" s="664" t="s">
        <v>831</v>
      </c>
      <c r="F30" s="665"/>
      <c r="G30" s="663">
        <v>15</v>
      </c>
      <c r="H30" s="662" t="s">
        <v>807</v>
      </c>
      <c r="I30" s="666" t="s">
        <v>838</v>
      </c>
      <c r="J30" s="667" t="s">
        <v>804</v>
      </c>
      <c r="K30" s="662">
        <v>8</v>
      </c>
      <c r="L30" s="662">
        <f t="shared" si="0"/>
        <v>14.1</v>
      </c>
      <c r="M30" s="668"/>
      <c r="N30" s="657"/>
    </row>
    <row r="31" spans="2:16" s="645" customFormat="1" ht="21.75" customHeight="1">
      <c r="B31" s="661">
        <v>44337</v>
      </c>
      <c r="C31" s="662" t="s">
        <v>837</v>
      </c>
      <c r="D31" s="663" t="s">
        <v>834</v>
      </c>
      <c r="E31" s="664" t="s">
        <v>831</v>
      </c>
      <c r="F31" s="665"/>
      <c r="G31" s="663">
        <v>20</v>
      </c>
      <c r="H31" s="662" t="s">
        <v>807</v>
      </c>
      <c r="I31" s="666" t="s">
        <v>838</v>
      </c>
      <c r="J31" s="667" t="s">
        <v>804</v>
      </c>
      <c r="K31" s="662">
        <v>8</v>
      </c>
      <c r="L31" s="662">
        <f t="shared" si="0"/>
        <v>18.8</v>
      </c>
      <c r="M31" s="668"/>
      <c r="N31" s="657"/>
    </row>
    <row r="32" spans="2:16" s="645" customFormat="1" ht="21.75" customHeight="1">
      <c r="B32" s="661">
        <v>44337</v>
      </c>
      <c r="C32" s="662" t="s">
        <v>837</v>
      </c>
      <c r="D32" s="663" t="s">
        <v>840</v>
      </c>
      <c r="E32" s="664" t="s">
        <v>831</v>
      </c>
      <c r="F32" s="665"/>
      <c r="G32" s="663">
        <v>15</v>
      </c>
      <c r="H32" s="662" t="s">
        <v>807</v>
      </c>
      <c r="I32" s="666" t="s">
        <v>838</v>
      </c>
      <c r="J32" s="667" t="s">
        <v>804</v>
      </c>
      <c r="K32" s="662">
        <v>8</v>
      </c>
      <c r="L32" s="662">
        <f t="shared" si="0"/>
        <v>14.1</v>
      </c>
      <c r="M32" s="668"/>
      <c r="N32" s="657"/>
    </row>
    <row r="33" spans="2:14" s="645" customFormat="1" ht="21.75" customHeight="1">
      <c r="B33" s="661">
        <v>44337</v>
      </c>
      <c r="C33" s="662" t="s">
        <v>837</v>
      </c>
      <c r="D33" s="663" t="s">
        <v>835</v>
      </c>
      <c r="E33" s="664" t="s">
        <v>831</v>
      </c>
      <c r="F33" s="665"/>
      <c r="G33" s="663">
        <v>20</v>
      </c>
      <c r="H33" s="662" t="s">
        <v>807</v>
      </c>
      <c r="I33" s="666" t="s">
        <v>838</v>
      </c>
      <c r="J33" s="667" t="s">
        <v>804</v>
      </c>
      <c r="K33" s="667">
        <v>7</v>
      </c>
      <c r="L33" s="667">
        <f t="shared" si="0"/>
        <v>18.8</v>
      </c>
      <c r="M33" s="668"/>
      <c r="N33" s="657"/>
    </row>
    <row r="34" spans="2:14" s="645" customFormat="1" ht="21.75" customHeight="1">
      <c r="B34" s="661">
        <v>44337</v>
      </c>
      <c r="C34" s="662" t="s">
        <v>837</v>
      </c>
      <c r="D34" s="663" t="s">
        <v>841</v>
      </c>
      <c r="E34" s="664" t="s">
        <v>831</v>
      </c>
      <c r="F34" s="665"/>
      <c r="G34" s="663">
        <v>20</v>
      </c>
      <c r="H34" s="662" t="s">
        <v>807</v>
      </c>
      <c r="I34" s="666" t="s">
        <v>838</v>
      </c>
      <c r="J34" s="667" t="s">
        <v>804</v>
      </c>
      <c r="K34" s="667">
        <v>6</v>
      </c>
      <c r="L34" s="667">
        <f t="shared" si="0"/>
        <v>18.8</v>
      </c>
      <c r="M34" s="668"/>
      <c r="N34" s="657"/>
    </row>
    <row r="35" spans="2:14" s="645" customFormat="1" ht="21.75" customHeight="1">
      <c r="B35" s="670">
        <v>44338</v>
      </c>
      <c r="C35" s="671" t="s">
        <v>819</v>
      </c>
      <c r="D35" s="672" t="s">
        <v>839</v>
      </c>
      <c r="E35" s="673" t="s">
        <v>831</v>
      </c>
      <c r="F35" s="674"/>
      <c r="G35" s="672">
        <v>15</v>
      </c>
      <c r="H35" s="671" t="s">
        <v>807</v>
      </c>
      <c r="I35" s="675" t="s">
        <v>838</v>
      </c>
      <c r="J35" s="677" t="s">
        <v>804</v>
      </c>
      <c r="K35" s="671">
        <v>1</v>
      </c>
      <c r="L35" s="671">
        <f t="shared" si="0"/>
        <v>14.1</v>
      </c>
      <c r="M35" s="676"/>
      <c r="N35" s="657"/>
    </row>
    <row r="36" spans="2:14" s="645" customFormat="1" ht="21.75" customHeight="1">
      <c r="B36" s="670">
        <v>44338</v>
      </c>
      <c r="C36" s="671" t="s">
        <v>819</v>
      </c>
      <c r="D36" s="672" t="s">
        <v>840</v>
      </c>
      <c r="E36" s="673" t="s">
        <v>831</v>
      </c>
      <c r="F36" s="674"/>
      <c r="G36" s="672">
        <v>15</v>
      </c>
      <c r="H36" s="671" t="s">
        <v>807</v>
      </c>
      <c r="I36" s="675" t="s">
        <v>838</v>
      </c>
      <c r="J36" s="677" t="s">
        <v>804</v>
      </c>
      <c r="K36" s="671">
        <v>4</v>
      </c>
      <c r="L36" s="671">
        <f t="shared" si="0"/>
        <v>14.1</v>
      </c>
      <c r="M36" s="676"/>
      <c r="N36" s="657"/>
    </row>
    <row r="37" spans="2:14" s="645" customFormat="1" ht="21.75" customHeight="1">
      <c r="B37" s="670">
        <v>44338</v>
      </c>
      <c r="C37" s="671" t="s">
        <v>819</v>
      </c>
      <c r="D37" s="672" t="s">
        <v>835</v>
      </c>
      <c r="E37" s="673" t="s">
        <v>831</v>
      </c>
      <c r="F37" s="674"/>
      <c r="G37" s="672">
        <v>20</v>
      </c>
      <c r="H37" s="671" t="s">
        <v>807</v>
      </c>
      <c r="I37" s="675" t="s">
        <v>838</v>
      </c>
      <c r="J37" s="677" t="s">
        <v>804</v>
      </c>
      <c r="K37" s="677">
        <v>4</v>
      </c>
      <c r="L37" s="677">
        <f t="shared" si="0"/>
        <v>18.8</v>
      </c>
      <c r="M37" s="676"/>
      <c r="N37" s="657"/>
    </row>
    <row r="38" spans="2:14" s="645" customFormat="1" ht="21.75" customHeight="1">
      <c r="B38" s="670">
        <v>44338</v>
      </c>
      <c r="C38" s="671" t="s">
        <v>819</v>
      </c>
      <c r="D38" s="672" t="s">
        <v>836</v>
      </c>
      <c r="E38" s="673" t="s">
        <v>831</v>
      </c>
      <c r="F38" s="674"/>
      <c r="G38" s="672">
        <v>15</v>
      </c>
      <c r="H38" s="671" t="s">
        <v>807</v>
      </c>
      <c r="I38" s="675" t="s">
        <v>838</v>
      </c>
      <c r="J38" s="677" t="s">
        <v>804</v>
      </c>
      <c r="K38" s="677">
        <v>2</v>
      </c>
      <c r="L38" s="677">
        <f t="shared" si="0"/>
        <v>14.1</v>
      </c>
      <c r="M38" s="676"/>
      <c r="N38" s="657"/>
    </row>
    <row r="39" spans="2:14" s="645" customFormat="1" ht="21.75" customHeight="1">
      <c r="B39" s="670">
        <v>44338</v>
      </c>
      <c r="C39" s="671" t="s">
        <v>819</v>
      </c>
      <c r="D39" s="672" t="s">
        <v>830</v>
      </c>
      <c r="E39" s="673" t="s">
        <v>831</v>
      </c>
      <c r="F39" s="674"/>
      <c r="G39" s="672">
        <v>15</v>
      </c>
      <c r="H39" s="671" t="s">
        <v>807</v>
      </c>
      <c r="I39" s="675" t="s">
        <v>832</v>
      </c>
      <c r="J39" s="677" t="s">
        <v>804</v>
      </c>
      <c r="K39" s="671">
        <v>7</v>
      </c>
      <c r="L39" s="671">
        <f t="shared" si="0"/>
        <v>14.1</v>
      </c>
      <c r="M39" s="676"/>
      <c r="N39" s="657"/>
    </row>
    <row r="40" spans="2:14" s="645" customFormat="1" ht="21.75" customHeight="1">
      <c r="B40" s="670">
        <v>44338</v>
      </c>
      <c r="C40" s="671" t="s">
        <v>819</v>
      </c>
      <c r="D40" s="672" t="s">
        <v>839</v>
      </c>
      <c r="E40" s="673" t="s">
        <v>831</v>
      </c>
      <c r="F40" s="674"/>
      <c r="G40" s="672">
        <v>15</v>
      </c>
      <c r="H40" s="671" t="s">
        <v>807</v>
      </c>
      <c r="I40" s="675" t="s">
        <v>832</v>
      </c>
      <c r="J40" s="677" t="s">
        <v>804</v>
      </c>
      <c r="K40" s="671">
        <v>6</v>
      </c>
      <c r="L40" s="671">
        <f t="shared" si="0"/>
        <v>14.1</v>
      </c>
      <c r="M40" s="676"/>
      <c r="N40" s="657"/>
    </row>
    <row r="41" spans="2:14" s="645" customFormat="1" ht="21.75" customHeight="1">
      <c r="B41" s="670">
        <v>44338</v>
      </c>
      <c r="C41" s="671" t="s">
        <v>819</v>
      </c>
      <c r="D41" s="672" t="s">
        <v>836</v>
      </c>
      <c r="E41" s="673" t="s">
        <v>831</v>
      </c>
      <c r="F41" s="674"/>
      <c r="G41" s="672">
        <v>15</v>
      </c>
      <c r="H41" s="671" t="s">
        <v>807</v>
      </c>
      <c r="I41" s="675" t="s">
        <v>832</v>
      </c>
      <c r="J41" s="677" t="s">
        <v>804</v>
      </c>
      <c r="K41" s="677">
        <v>6</v>
      </c>
      <c r="L41" s="677">
        <f t="shared" si="0"/>
        <v>14.1</v>
      </c>
      <c r="M41" s="676"/>
      <c r="N41" s="657"/>
    </row>
    <row r="42" spans="2:14" s="645" customFormat="1" ht="21.75" customHeight="1">
      <c r="B42" s="661">
        <v>44338</v>
      </c>
      <c r="C42" s="662" t="s">
        <v>837</v>
      </c>
      <c r="D42" s="663" t="s">
        <v>830</v>
      </c>
      <c r="E42" s="664" t="s">
        <v>831</v>
      </c>
      <c r="F42" s="665"/>
      <c r="G42" s="663">
        <v>15</v>
      </c>
      <c r="H42" s="662" t="s">
        <v>807</v>
      </c>
      <c r="I42" s="666" t="s">
        <v>838</v>
      </c>
      <c r="J42" s="667" t="s">
        <v>804</v>
      </c>
      <c r="K42" s="662">
        <v>3</v>
      </c>
      <c r="L42" s="662">
        <f t="shared" si="0"/>
        <v>14.1</v>
      </c>
      <c r="M42" s="668"/>
      <c r="N42" s="657"/>
    </row>
    <row r="43" spans="2:14" s="645" customFormat="1" ht="21.75" customHeight="1">
      <c r="B43" s="661">
        <v>44338</v>
      </c>
      <c r="C43" s="662" t="s">
        <v>837</v>
      </c>
      <c r="D43" s="663" t="s">
        <v>839</v>
      </c>
      <c r="E43" s="664" t="s">
        <v>831</v>
      </c>
      <c r="F43" s="665"/>
      <c r="G43" s="663">
        <v>15</v>
      </c>
      <c r="H43" s="662" t="s">
        <v>807</v>
      </c>
      <c r="I43" s="666" t="s">
        <v>838</v>
      </c>
      <c r="J43" s="667" t="s">
        <v>804</v>
      </c>
      <c r="K43" s="662">
        <v>1</v>
      </c>
      <c r="L43" s="662">
        <f t="shared" si="0"/>
        <v>14.1</v>
      </c>
      <c r="M43" s="668"/>
      <c r="N43" s="657"/>
    </row>
    <row r="44" spans="2:14" s="645" customFormat="1" ht="21.75" customHeight="1">
      <c r="B44" s="661">
        <v>44338</v>
      </c>
      <c r="C44" s="662" t="s">
        <v>837</v>
      </c>
      <c r="D44" s="663" t="s">
        <v>834</v>
      </c>
      <c r="E44" s="664" t="s">
        <v>831</v>
      </c>
      <c r="F44" s="665"/>
      <c r="G44" s="663">
        <v>20</v>
      </c>
      <c r="H44" s="662" t="s">
        <v>807</v>
      </c>
      <c r="I44" s="666" t="s">
        <v>838</v>
      </c>
      <c r="J44" s="667" t="s">
        <v>804</v>
      </c>
      <c r="K44" s="662">
        <v>1</v>
      </c>
      <c r="L44" s="662">
        <f t="shared" si="0"/>
        <v>18.8</v>
      </c>
      <c r="M44" s="668"/>
      <c r="N44" s="657"/>
    </row>
    <row r="45" spans="2:14" s="645" customFormat="1" ht="21.75" customHeight="1">
      <c r="B45" s="661">
        <v>44338</v>
      </c>
      <c r="C45" s="662" t="s">
        <v>837</v>
      </c>
      <c r="D45" s="663" t="s">
        <v>840</v>
      </c>
      <c r="E45" s="664" t="s">
        <v>831</v>
      </c>
      <c r="F45" s="665"/>
      <c r="G45" s="663">
        <v>15</v>
      </c>
      <c r="H45" s="662" t="s">
        <v>807</v>
      </c>
      <c r="I45" s="666" t="s">
        <v>838</v>
      </c>
      <c r="J45" s="667" t="s">
        <v>804</v>
      </c>
      <c r="K45" s="662">
        <v>2</v>
      </c>
      <c r="L45" s="662">
        <f t="shared" si="0"/>
        <v>14.1</v>
      </c>
      <c r="M45" s="668"/>
      <c r="N45" s="657"/>
    </row>
    <row r="46" spans="2:14" s="645" customFormat="1" ht="21.75" customHeight="1">
      <c r="B46" s="661">
        <v>44338</v>
      </c>
      <c r="C46" s="662" t="s">
        <v>837</v>
      </c>
      <c r="D46" s="663" t="s">
        <v>835</v>
      </c>
      <c r="E46" s="664" t="s">
        <v>831</v>
      </c>
      <c r="F46" s="665"/>
      <c r="G46" s="663">
        <v>20</v>
      </c>
      <c r="H46" s="662" t="s">
        <v>807</v>
      </c>
      <c r="I46" s="666" t="s">
        <v>838</v>
      </c>
      <c r="J46" s="667" t="s">
        <v>804</v>
      </c>
      <c r="K46" s="667">
        <v>1</v>
      </c>
      <c r="L46" s="667">
        <f t="shared" si="0"/>
        <v>18.8</v>
      </c>
      <c r="M46" s="668"/>
      <c r="N46" s="657"/>
    </row>
    <row r="47" spans="2:14" s="645" customFormat="1" ht="21.75" customHeight="1">
      <c r="B47" s="670">
        <v>44339</v>
      </c>
      <c r="C47" s="671" t="s">
        <v>819</v>
      </c>
      <c r="D47" s="672" t="s">
        <v>841</v>
      </c>
      <c r="E47" s="673" t="s">
        <v>831</v>
      </c>
      <c r="F47" s="674"/>
      <c r="G47" s="672">
        <v>20</v>
      </c>
      <c r="H47" s="671" t="s">
        <v>807</v>
      </c>
      <c r="I47" s="675" t="s">
        <v>838</v>
      </c>
      <c r="J47" s="677" t="s">
        <v>804</v>
      </c>
      <c r="K47" s="671">
        <v>3</v>
      </c>
      <c r="L47" s="671">
        <f t="shared" si="0"/>
        <v>18.8</v>
      </c>
      <c r="M47" s="676"/>
      <c r="N47" s="657"/>
    </row>
    <row r="48" spans="2:14" s="645" customFormat="1" ht="21.75" customHeight="1">
      <c r="B48" s="670">
        <v>44339</v>
      </c>
      <c r="C48" s="671" t="s">
        <v>819</v>
      </c>
      <c r="D48" s="672" t="s">
        <v>830</v>
      </c>
      <c r="E48" s="673" t="s">
        <v>831</v>
      </c>
      <c r="F48" s="674"/>
      <c r="G48" s="672">
        <v>15</v>
      </c>
      <c r="H48" s="671" t="s">
        <v>807</v>
      </c>
      <c r="I48" s="675" t="s">
        <v>838</v>
      </c>
      <c r="J48" s="677" t="s">
        <v>804</v>
      </c>
      <c r="K48" s="671">
        <v>3</v>
      </c>
      <c r="L48" s="671">
        <f t="shared" si="0"/>
        <v>14.1</v>
      </c>
      <c r="M48" s="676"/>
      <c r="N48" s="657"/>
    </row>
    <row r="49" spans="2:14" s="645" customFormat="1" ht="21.75" customHeight="1">
      <c r="B49" s="670">
        <v>44339</v>
      </c>
      <c r="C49" s="671" t="s">
        <v>819</v>
      </c>
      <c r="D49" s="672" t="s">
        <v>839</v>
      </c>
      <c r="E49" s="673" t="s">
        <v>831</v>
      </c>
      <c r="F49" s="674"/>
      <c r="G49" s="672">
        <v>15</v>
      </c>
      <c r="H49" s="671" t="s">
        <v>807</v>
      </c>
      <c r="I49" s="675" t="s">
        <v>838</v>
      </c>
      <c r="J49" s="677" t="s">
        <v>804</v>
      </c>
      <c r="K49" s="671">
        <v>7</v>
      </c>
      <c r="L49" s="671">
        <f t="shared" si="0"/>
        <v>14.1</v>
      </c>
      <c r="M49" s="676"/>
      <c r="N49" s="657"/>
    </row>
    <row r="50" spans="2:14" s="645" customFormat="1" ht="21.75" customHeight="1">
      <c r="B50" s="670">
        <v>44339</v>
      </c>
      <c r="C50" s="671" t="s">
        <v>819</v>
      </c>
      <c r="D50" s="672" t="s">
        <v>834</v>
      </c>
      <c r="E50" s="673" t="s">
        <v>831</v>
      </c>
      <c r="F50" s="674"/>
      <c r="G50" s="672">
        <v>20</v>
      </c>
      <c r="H50" s="671" t="s">
        <v>807</v>
      </c>
      <c r="I50" s="675" t="s">
        <v>838</v>
      </c>
      <c r="J50" s="677" t="s">
        <v>804</v>
      </c>
      <c r="K50" s="671">
        <v>4</v>
      </c>
      <c r="L50" s="671">
        <f t="shared" si="0"/>
        <v>18.8</v>
      </c>
      <c r="M50" s="676"/>
      <c r="N50" s="657"/>
    </row>
    <row r="51" spans="2:14" s="645" customFormat="1" ht="21.75" customHeight="1">
      <c r="B51" s="670">
        <v>44339</v>
      </c>
      <c r="C51" s="671" t="s">
        <v>819</v>
      </c>
      <c r="D51" s="672" t="s">
        <v>840</v>
      </c>
      <c r="E51" s="673" t="s">
        <v>831</v>
      </c>
      <c r="F51" s="674"/>
      <c r="G51" s="672">
        <v>15</v>
      </c>
      <c r="H51" s="671" t="s">
        <v>807</v>
      </c>
      <c r="I51" s="675" t="s">
        <v>838</v>
      </c>
      <c r="J51" s="677" t="s">
        <v>804</v>
      </c>
      <c r="K51" s="671">
        <v>4</v>
      </c>
      <c r="L51" s="671">
        <f t="shared" si="0"/>
        <v>14.1</v>
      </c>
      <c r="M51" s="676"/>
      <c r="N51" s="657"/>
    </row>
    <row r="52" spans="2:14" s="645" customFormat="1" ht="21.75" customHeight="1">
      <c r="B52" s="670">
        <v>44339</v>
      </c>
      <c r="C52" s="671" t="s">
        <v>819</v>
      </c>
      <c r="D52" s="672" t="s">
        <v>836</v>
      </c>
      <c r="E52" s="673" t="s">
        <v>831</v>
      </c>
      <c r="F52" s="674"/>
      <c r="G52" s="672">
        <v>15</v>
      </c>
      <c r="H52" s="671" t="s">
        <v>807</v>
      </c>
      <c r="I52" s="675" t="s">
        <v>838</v>
      </c>
      <c r="J52" s="677" t="s">
        <v>804</v>
      </c>
      <c r="K52" s="677">
        <v>5</v>
      </c>
      <c r="L52" s="677">
        <f t="shared" si="0"/>
        <v>14.1</v>
      </c>
      <c r="M52" s="676"/>
      <c r="N52" s="657"/>
    </row>
    <row r="53" spans="2:14" s="645" customFormat="1" ht="21.75" customHeight="1">
      <c r="B53" s="670">
        <v>44339</v>
      </c>
      <c r="C53" s="671" t="s">
        <v>819</v>
      </c>
      <c r="D53" s="672" t="s">
        <v>830</v>
      </c>
      <c r="E53" s="673" t="s">
        <v>831</v>
      </c>
      <c r="F53" s="674"/>
      <c r="G53" s="672">
        <v>15</v>
      </c>
      <c r="H53" s="671" t="s">
        <v>807</v>
      </c>
      <c r="I53" s="675" t="s">
        <v>832</v>
      </c>
      <c r="J53" s="677" t="s">
        <v>804</v>
      </c>
      <c r="K53" s="671">
        <v>2</v>
      </c>
      <c r="L53" s="671">
        <f t="shared" si="0"/>
        <v>14.1</v>
      </c>
      <c r="M53" s="676"/>
      <c r="N53" s="657"/>
    </row>
    <row r="54" spans="2:14" s="645" customFormat="1" ht="21.75" customHeight="1">
      <c r="B54" s="670">
        <v>44339</v>
      </c>
      <c r="C54" s="671" t="s">
        <v>819</v>
      </c>
      <c r="D54" s="672" t="s">
        <v>834</v>
      </c>
      <c r="E54" s="673" t="s">
        <v>831</v>
      </c>
      <c r="F54" s="674"/>
      <c r="G54" s="672">
        <v>20</v>
      </c>
      <c r="H54" s="671" t="s">
        <v>807</v>
      </c>
      <c r="I54" s="675" t="s">
        <v>832</v>
      </c>
      <c r="J54" s="677" t="s">
        <v>804</v>
      </c>
      <c r="K54" s="671">
        <v>3</v>
      </c>
      <c r="L54" s="671">
        <f t="shared" si="0"/>
        <v>18.8</v>
      </c>
      <c r="M54" s="676"/>
      <c r="N54" s="657"/>
    </row>
    <row r="55" spans="2:14" s="645" customFormat="1" ht="21.75" customHeight="1">
      <c r="B55" s="670">
        <v>44339</v>
      </c>
      <c r="C55" s="671" t="s">
        <v>819</v>
      </c>
      <c r="D55" s="672" t="s">
        <v>840</v>
      </c>
      <c r="E55" s="673" t="s">
        <v>831</v>
      </c>
      <c r="F55" s="674"/>
      <c r="G55" s="672">
        <v>15</v>
      </c>
      <c r="H55" s="671" t="s">
        <v>807</v>
      </c>
      <c r="I55" s="675" t="s">
        <v>832</v>
      </c>
      <c r="J55" s="677" t="s">
        <v>804</v>
      </c>
      <c r="K55" s="671">
        <v>1</v>
      </c>
      <c r="L55" s="671">
        <f t="shared" si="0"/>
        <v>14.1</v>
      </c>
      <c r="M55" s="676"/>
      <c r="N55" s="657"/>
    </row>
    <row r="56" spans="2:14" s="645" customFormat="1" ht="21.75" customHeight="1">
      <c r="B56" s="670">
        <v>44339</v>
      </c>
      <c r="C56" s="671" t="s">
        <v>819</v>
      </c>
      <c r="D56" s="672" t="s">
        <v>835</v>
      </c>
      <c r="E56" s="673" t="s">
        <v>831</v>
      </c>
      <c r="F56" s="674"/>
      <c r="G56" s="672">
        <v>20</v>
      </c>
      <c r="H56" s="671" t="s">
        <v>807</v>
      </c>
      <c r="I56" s="675" t="s">
        <v>832</v>
      </c>
      <c r="J56" s="677" t="s">
        <v>804</v>
      </c>
      <c r="K56" s="677">
        <v>1</v>
      </c>
      <c r="L56" s="677">
        <f t="shared" si="0"/>
        <v>18.8</v>
      </c>
      <c r="M56" s="676"/>
      <c r="N56" s="657"/>
    </row>
    <row r="57" spans="2:14" s="645" customFormat="1" ht="21.75" customHeight="1">
      <c r="B57" s="661">
        <v>44339</v>
      </c>
      <c r="C57" s="662" t="s">
        <v>837</v>
      </c>
      <c r="D57" s="663" t="s">
        <v>830</v>
      </c>
      <c r="E57" s="664" t="s">
        <v>831</v>
      </c>
      <c r="F57" s="665"/>
      <c r="G57" s="663">
        <v>15</v>
      </c>
      <c r="H57" s="662" t="s">
        <v>807</v>
      </c>
      <c r="I57" s="666" t="s">
        <v>838</v>
      </c>
      <c r="J57" s="667" t="s">
        <v>804</v>
      </c>
      <c r="K57" s="662">
        <v>10</v>
      </c>
      <c r="L57" s="662">
        <f t="shared" si="0"/>
        <v>14.1</v>
      </c>
      <c r="M57" s="668"/>
      <c r="N57" s="657"/>
    </row>
    <row r="58" spans="2:14" s="645" customFormat="1" ht="21.75" customHeight="1">
      <c r="B58" s="661">
        <v>44339</v>
      </c>
      <c r="C58" s="662" t="s">
        <v>837</v>
      </c>
      <c r="D58" s="663" t="s">
        <v>839</v>
      </c>
      <c r="E58" s="664" t="s">
        <v>831</v>
      </c>
      <c r="F58" s="665"/>
      <c r="G58" s="663">
        <v>15</v>
      </c>
      <c r="H58" s="662" t="s">
        <v>807</v>
      </c>
      <c r="I58" s="666" t="s">
        <v>838</v>
      </c>
      <c r="J58" s="667" t="s">
        <v>804</v>
      </c>
      <c r="K58" s="662">
        <v>10</v>
      </c>
      <c r="L58" s="662">
        <f t="shared" si="0"/>
        <v>14.1</v>
      </c>
      <c r="M58" s="668"/>
      <c r="N58" s="657"/>
    </row>
    <row r="59" spans="2:14" s="645" customFormat="1" ht="21.75" customHeight="1">
      <c r="B59" s="661">
        <v>44339</v>
      </c>
      <c r="C59" s="662" t="s">
        <v>837</v>
      </c>
      <c r="D59" s="663" t="s">
        <v>834</v>
      </c>
      <c r="E59" s="664" t="s">
        <v>831</v>
      </c>
      <c r="F59" s="665"/>
      <c r="G59" s="663">
        <v>20</v>
      </c>
      <c r="H59" s="662" t="s">
        <v>807</v>
      </c>
      <c r="I59" s="666" t="s">
        <v>838</v>
      </c>
      <c r="J59" s="667" t="s">
        <v>804</v>
      </c>
      <c r="K59" s="662">
        <v>10</v>
      </c>
      <c r="L59" s="662">
        <f t="shared" si="0"/>
        <v>18.8</v>
      </c>
      <c r="M59" s="668"/>
      <c r="N59" s="657"/>
    </row>
    <row r="60" spans="2:14" s="645" customFormat="1" ht="21.75" customHeight="1">
      <c r="B60" s="661">
        <v>44339</v>
      </c>
      <c r="C60" s="662" t="s">
        <v>837</v>
      </c>
      <c r="D60" s="663" t="s">
        <v>840</v>
      </c>
      <c r="E60" s="664" t="s">
        <v>831</v>
      </c>
      <c r="F60" s="665"/>
      <c r="G60" s="663">
        <v>15</v>
      </c>
      <c r="H60" s="662" t="s">
        <v>807</v>
      </c>
      <c r="I60" s="666" t="s">
        <v>838</v>
      </c>
      <c r="J60" s="667" t="s">
        <v>804</v>
      </c>
      <c r="K60" s="662">
        <v>10</v>
      </c>
      <c r="L60" s="662">
        <f t="shared" si="0"/>
        <v>14.1</v>
      </c>
      <c r="M60" s="668"/>
      <c r="N60" s="657"/>
    </row>
    <row r="61" spans="2:14" s="645" customFormat="1" ht="21.75" customHeight="1">
      <c r="B61" s="670">
        <v>44340</v>
      </c>
      <c r="C61" s="671" t="s">
        <v>819</v>
      </c>
      <c r="D61" s="672" t="s">
        <v>841</v>
      </c>
      <c r="E61" s="673" t="s">
        <v>831</v>
      </c>
      <c r="F61" s="674"/>
      <c r="G61" s="672">
        <v>20</v>
      </c>
      <c r="H61" s="671" t="s">
        <v>807</v>
      </c>
      <c r="I61" s="675" t="s">
        <v>832</v>
      </c>
      <c r="J61" s="677" t="s">
        <v>804</v>
      </c>
      <c r="K61" s="671">
        <v>11</v>
      </c>
      <c r="L61" s="671">
        <f t="shared" si="0"/>
        <v>18.8</v>
      </c>
      <c r="M61" s="676"/>
      <c r="N61" s="657"/>
    </row>
    <row r="62" spans="2:14" s="645" customFormat="1" ht="21.75" customHeight="1">
      <c r="B62" s="670">
        <v>44340</v>
      </c>
      <c r="C62" s="671" t="s">
        <v>819</v>
      </c>
      <c r="D62" s="672" t="s">
        <v>830</v>
      </c>
      <c r="E62" s="673" t="s">
        <v>831</v>
      </c>
      <c r="F62" s="674"/>
      <c r="G62" s="672">
        <v>15</v>
      </c>
      <c r="H62" s="671" t="s">
        <v>807</v>
      </c>
      <c r="I62" s="675" t="s">
        <v>832</v>
      </c>
      <c r="J62" s="677" t="s">
        <v>804</v>
      </c>
      <c r="K62" s="671">
        <v>8</v>
      </c>
      <c r="L62" s="671">
        <f t="shared" si="0"/>
        <v>14.1</v>
      </c>
      <c r="M62" s="676"/>
      <c r="N62" s="657"/>
    </row>
    <row r="63" spans="2:14" s="645" customFormat="1" ht="21.75" customHeight="1">
      <c r="B63" s="670">
        <v>44340</v>
      </c>
      <c r="C63" s="671" t="s">
        <v>819</v>
      </c>
      <c r="D63" s="672" t="s">
        <v>839</v>
      </c>
      <c r="E63" s="673" t="s">
        <v>831</v>
      </c>
      <c r="F63" s="674"/>
      <c r="G63" s="672">
        <v>15</v>
      </c>
      <c r="H63" s="671" t="s">
        <v>807</v>
      </c>
      <c r="I63" s="675" t="s">
        <v>832</v>
      </c>
      <c r="J63" s="677" t="s">
        <v>804</v>
      </c>
      <c r="K63" s="671">
        <v>10</v>
      </c>
      <c r="L63" s="671">
        <f t="shared" si="0"/>
        <v>14.1</v>
      </c>
      <c r="M63" s="676"/>
      <c r="N63" s="657"/>
    </row>
    <row r="64" spans="2:14" s="645" customFormat="1" ht="21.75" customHeight="1">
      <c r="B64" s="670">
        <v>44340</v>
      </c>
      <c r="C64" s="671" t="s">
        <v>819</v>
      </c>
      <c r="D64" s="672" t="s">
        <v>834</v>
      </c>
      <c r="E64" s="673" t="s">
        <v>831</v>
      </c>
      <c r="F64" s="674"/>
      <c r="G64" s="672">
        <v>20</v>
      </c>
      <c r="H64" s="671" t="s">
        <v>807</v>
      </c>
      <c r="I64" s="675" t="s">
        <v>832</v>
      </c>
      <c r="J64" s="677" t="s">
        <v>804</v>
      </c>
      <c r="K64" s="671">
        <v>8</v>
      </c>
      <c r="L64" s="671">
        <f t="shared" si="0"/>
        <v>18.8</v>
      </c>
      <c r="M64" s="676"/>
      <c r="N64" s="657"/>
    </row>
    <row r="65" spans="2:14" s="645" customFormat="1" ht="21.75" customHeight="1">
      <c r="B65" s="670">
        <v>44340</v>
      </c>
      <c r="C65" s="671" t="s">
        <v>819</v>
      </c>
      <c r="D65" s="672" t="s">
        <v>840</v>
      </c>
      <c r="E65" s="673" t="s">
        <v>831</v>
      </c>
      <c r="F65" s="674"/>
      <c r="G65" s="672">
        <v>15</v>
      </c>
      <c r="H65" s="671" t="s">
        <v>807</v>
      </c>
      <c r="I65" s="675" t="s">
        <v>832</v>
      </c>
      <c r="J65" s="677" t="s">
        <v>804</v>
      </c>
      <c r="K65" s="671">
        <v>11</v>
      </c>
      <c r="L65" s="671">
        <f t="shared" si="0"/>
        <v>14.1</v>
      </c>
      <c r="M65" s="676"/>
      <c r="N65" s="657"/>
    </row>
    <row r="66" spans="2:14" s="645" customFormat="1" ht="21.75" customHeight="1">
      <c r="B66" s="670">
        <v>44340</v>
      </c>
      <c r="C66" s="671" t="s">
        <v>819</v>
      </c>
      <c r="D66" s="672" t="s">
        <v>835</v>
      </c>
      <c r="E66" s="673" t="s">
        <v>831</v>
      </c>
      <c r="F66" s="674"/>
      <c r="G66" s="672">
        <v>20</v>
      </c>
      <c r="H66" s="671" t="s">
        <v>807</v>
      </c>
      <c r="I66" s="675" t="s">
        <v>832</v>
      </c>
      <c r="J66" s="677" t="s">
        <v>804</v>
      </c>
      <c r="K66" s="677">
        <v>12</v>
      </c>
      <c r="L66" s="677">
        <f t="shared" si="0"/>
        <v>18.8</v>
      </c>
      <c r="M66" s="676"/>
      <c r="N66" s="657"/>
    </row>
    <row r="67" spans="2:14" s="645" customFormat="1" ht="21.75" customHeight="1">
      <c r="B67" s="670">
        <v>44340</v>
      </c>
      <c r="C67" s="671" t="s">
        <v>819</v>
      </c>
      <c r="D67" s="672" t="s">
        <v>836</v>
      </c>
      <c r="E67" s="673" t="s">
        <v>831</v>
      </c>
      <c r="F67" s="674"/>
      <c r="G67" s="672">
        <v>15</v>
      </c>
      <c r="H67" s="671" t="s">
        <v>807</v>
      </c>
      <c r="I67" s="675" t="s">
        <v>832</v>
      </c>
      <c r="J67" s="677" t="s">
        <v>804</v>
      </c>
      <c r="K67" s="677">
        <v>10</v>
      </c>
      <c r="L67" s="677">
        <f t="shared" si="0"/>
        <v>14.1</v>
      </c>
      <c r="M67" s="676"/>
    </row>
    <row r="68" spans="2:14" s="645" customFormat="1" ht="21.75" customHeight="1">
      <c r="B68" s="661">
        <v>44340</v>
      </c>
      <c r="C68" s="662" t="s">
        <v>837</v>
      </c>
      <c r="D68" s="663" t="s">
        <v>841</v>
      </c>
      <c r="E68" s="664" t="s">
        <v>831</v>
      </c>
      <c r="F68" s="665"/>
      <c r="G68" s="663">
        <v>20</v>
      </c>
      <c r="H68" s="662" t="s">
        <v>807</v>
      </c>
      <c r="I68" s="666" t="s">
        <v>838</v>
      </c>
      <c r="J68" s="667" t="s">
        <v>804</v>
      </c>
      <c r="K68" s="662">
        <v>9</v>
      </c>
      <c r="L68" s="662">
        <f t="shared" si="0"/>
        <v>18.8</v>
      </c>
      <c r="M68" s="668"/>
    </row>
    <row r="69" spans="2:14" s="645" customFormat="1" ht="21.75" customHeight="1">
      <c r="B69" s="661">
        <v>44340</v>
      </c>
      <c r="C69" s="662" t="s">
        <v>837</v>
      </c>
      <c r="D69" s="663" t="s">
        <v>830</v>
      </c>
      <c r="E69" s="664" t="s">
        <v>831</v>
      </c>
      <c r="F69" s="665"/>
      <c r="G69" s="663">
        <v>15</v>
      </c>
      <c r="H69" s="662" t="s">
        <v>807</v>
      </c>
      <c r="I69" s="666" t="s">
        <v>838</v>
      </c>
      <c r="J69" s="667" t="s">
        <v>804</v>
      </c>
      <c r="K69" s="662">
        <v>9</v>
      </c>
      <c r="L69" s="662">
        <f t="shared" si="0"/>
        <v>14.1</v>
      </c>
      <c r="M69" s="668"/>
    </row>
    <row r="70" spans="2:14" s="645" customFormat="1" ht="21.75" customHeight="1">
      <c r="B70" s="661">
        <v>44340</v>
      </c>
      <c r="C70" s="662" t="s">
        <v>837</v>
      </c>
      <c r="D70" s="663" t="s">
        <v>839</v>
      </c>
      <c r="E70" s="664" t="s">
        <v>831</v>
      </c>
      <c r="F70" s="665"/>
      <c r="G70" s="663">
        <v>15</v>
      </c>
      <c r="H70" s="662" t="s">
        <v>807</v>
      </c>
      <c r="I70" s="666" t="s">
        <v>838</v>
      </c>
      <c r="J70" s="667" t="s">
        <v>804</v>
      </c>
      <c r="K70" s="662">
        <v>9</v>
      </c>
      <c r="L70" s="662">
        <f t="shared" si="0"/>
        <v>14.1</v>
      </c>
      <c r="M70" s="668"/>
    </row>
    <row r="71" spans="2:14" s="645" customFormat="1" ht="21.75" customHeight="1">
      <c r="B71" s="661">
        <v>44340</v>
      </c>
      <c r="C71" s="662" t="s">
        <v>837</v>
      </c>
      <c r="D71" s="663" t="s">
        <v>834</v>
      </c>
      <c r="E71" s="664" t="s">
        <v>831</v>
      </c>
      <c r="F71" s="665"/>
      <c r="G71" s="663">
        <v>20</v>
      </c>
      <c r="H71" s="662" t="s">
        <v>807</v>
      </c>
      <c r="I71" s="666" t="s">
        <v>838</v>
      </c>
      <c r="J71" s="667" t="s">
        <v>804</v>
      </c>
      <c r="K71" s="662">
        <v>1</v>
      </c>
      <c r="L71" s="662">
        <f t="shared" si="0"/>
        <v>18.8</v>
      </c>
      <c r="M71" s="668"/>
    </row>
    <row r="72" spans="2:14" s="645" customFormat="1" ht="21.75" customHeight="1">
      <c r="B72" s="661">
        <v>44340</v>
      </c>
      <c r="C72" s="662" t="s">
        <v>837</v>
      </c>
      <c r="D72" s="663" t="s">
        <v>840</v>
      </c>
      <c r="E72" s="664" t="s">
        <v>831</v>
      </c>
      <c r="F72" s="665"/>
      <c r="G72" s="663">
        <v>15</v>
      </c>
      <c r="H72" s="662" t="s">
        <v>807</v>
      </c>
      <c r="I72" s="666" t="s">
        <v>838</v>
      </c>
      <c r="J72" s="667" t="s">
        <v>804</v>
      </c>
      <c r="K72" s="662">
        <v>9</v>
      </c>
      <c r="L72" s="662">
        <f t="shared" si="0"/>
        <v>14.1</v>
      </c>
      <c r="M72" s="668"/>
    </row>
    <row r="73" spans="2:14" s="645" customFormat="1" ht="21.75" customHeight="1">
      <c r="B73" s="661">
        <v>44340</v>
      </c>
      <c r="C73" s="662" t="s">
        <v>837</v>
      </c>
      <c r="D73" s="663" t="s">
        <v>835</v>
      </c>
      <c r="E73" s="664" t="s">
        <v>831</v>
      </c>
      <c r="F73" s="665"/>
      <c r="G73" s="663">
        <v>20</v>
      </c>
      <c r="H73" s="662" t="s">
        <v>807</v>
      </c>
      <c r="I73" s="666" t="s">
        <v>838</v>
      </c>
      <c r="J73" s="667" t="s">
        <v>804</v>
      </c>
      <c r="K73" s="667">
        <v>7</v>
      </c>
      <c r="L73" s="667">
        <f t="shared" ref="L73:L136" si="1">VLOOKUP(G73,$Q$4:$V$7,6,FALSE)</f>
        <v>18.8</v>
      </c>
      <c r="M73" s="668"/>
    </row>
    <row r="74" spans="2:14" s="645" customFormat="1" ht="21.75" customHeight="1">
      <c r="B74" s="670">
        <v>44341</v>
      </c>
      <c r="C74" s="671" t="s">
        <v>819</v>
      </c>
      <c r="D74" s="672" t="s">
        <v>840</v>
      </c>
      <c r="E74" s="673" t="s">
        <v>831</v>
      </c>
      <c r="F74" s="674"/>
      <c r="G74" s="672">
        <v>15</v>
      </c>
      <c r="H74" s="671" t="s">
        <v>807</v>
      </c>
      <c r="I74" s="675" t="s">
        <v>838</v>
      </c>
      <c r="J74" s="677" t="s">
        <v>804</v>
      </c>
      <c r="K74" s="671">
        <v>8</v>
      </c>
      <c r="L74" s="671">
        <f t="shared" si="1"/>
        <v>14.1</v>
      </c>
      <c r="M74" s="676"/>
    </row>
    <row r="75" spans="2:14" s="645" customFormat="1" ht="21.75" customHeight="1">
      <c r="B75" s="670">
        <v>44341</v>
      </c>
      <c r="C75" s="671" t="s">
        <v>819</v>
      </c>
      <c r="D75" s="672" t="s">
        <v>834</v>
      </c>
      <c r="E75" s="673" t="s">
        <v>831</v>
      </c>
      <c r="F75" s="674"/>
      <c r="G75" s="672">
        <v>20</v>
      </c>
      <c r="H75" s="671" t="s">
        <v>807</v>
      </c>
      <c r="I75" s="675" t="s">
        <v>838</v>
      </c>
      <c r="J75" s="677" t="s">
        <v>804</v>
      </c>
      <c r="K75" s="671">
        <v>8</v>
      </c>
      <c r="L75" s="671">
        <f t="shared" si="1"/>
        <v>18.8</v>
      </c>
      <c r="M75" s="676"/>
    </row>
    <row r="76" spans="2:14" s="645" customFormat="1" ht="21.75" customHeight="1">
      <c r="B76" s="670">
        <v>44341</v>
      </c>
      <c r="C76" s="671" t="s">
        <v>819</v>
      </c>
      <c r="D76" s="672" t="s">
        <v>836</v>
      </c>
      <c r="E76" s="673" t="s">
        <v>831</v>
      </c>
      <c r="F76" s="674"/>
      <c r="G76" s="672">
        <v>15</v>
      </c>
      <c r="H76" s="671" t="s">
        <v>807</v>
      </c>
      <c r="I76" s="675" t="s">
        <v>838</v>
      </c>
      <c r="J76" s="677" t="s">
        <v>804</v>
      </c>
      <c r="K76" s="671">
        <v>9</v>
      </c>
      <c r="L76" s="671">
        <f t="shared" si="1"/>
        <v>14.1</v>
      </c>
      <c r="M76" s="676"/>
    </row>
    <row r="77" spans="2:14" s="645" customFormat="1" ht="21.75" customHeight="1">
      <c r="B77" s="670">
        <v>44341</v>
      </c>
      <c r="C77" s="671" t="s">
        <v>819</v>
      </c>
      <c r="D77" s="672" t="s">
        <v>839</v>
      </c>
      <c r="E77" s="673" t="s">
        <v>831</v>
      </c>
      <c r="F77" s="674"/>
      <c r="G77" s="672">
        <v>15</v>
      </c>
      <c r="H77" s="671" t="s">
        <v>807</v>
      </c>
      <c r="I77" s="675" t="s">
        <v>838</v>
      </c>
      <c r="J77" s="677" t="s">
        <v>804</v>
      </c>
      <c r="K77" s="671">
        <v>2</v>
      </c>
      <c r="L77" s="671">
        <f t="shared" si="1"/>
        <v>14.1</v>
      </c>
      <c r="M77" s="676"/>
    </row>
    <row r="78" spans="2:14" s="645" customFormat="1" ht="21.75" customHeight="1">
      <c r="B78" s="661">
        <v>44341</v>
      </c>
      <c r="C78" s="662" t="s">
        <v>837</v>
      </c>
      <c r="D78" s="663" t="s">
        <v>840</v>
      </c>
      <c r="E78" s="664" t="s">
        <v>831</v>
      </c>
      <c r="F78" s="665"/>
      <c r="G78" s="663">
        <v>15</v>
      </c>
      <c r="H78" s="662" t="s">
        <v>807</v>
      </c>
      <c r="I78" s="666" t="s">
        <v>838</v>
      </c>
      <c r="J78" s="667" t="s">
        <v>804</v>
      </c>
      <c r="K78" s="662">
        <v>10</v>
      </c>
      <c r="L78" s="662">
        <f t="shared" si="1"/>
        <v>14.1</v>
      </c>
      <c r="M78" s="668"/>
    </row>
    <row r="79" spans="2:14" s="645" customFormat="1" ht="21.75" customHeight="1">
      <c r="B79" s="661">
        <v>44341</v>
      </c>
      <c r="C79" s="662" t="s">
        <v>837</v>
      </c>
      <c r="D79" s="663" t="s">
        <v>835</v>
      </c>
      <c r="E79" s="664" t="s">
        <v>831</v>
      </c>
      <c r="F79" s="665"/>
      <c r="G79" s="663">
        <v>20</v>
      </c>
      <c r="H79" s="662" t="s">
        <v>807</v>
      </c>
      <c r="I79" s="666" t="s">
        <v>838</v>
      </c>
      <c r="J79" s="667" t="s">
        <v>804</v>
      </c>
      <c r="K79" s="662">
        <v>9</v>
      </c>
      <c r="L79" s="662">
        <f t="shared" si="1"/>
        <v>18.8</v>
      </c>
      <c r="M79" s="668"/>
    </row>
    <row r="80" spans="2:14" s="645" customFormat="1" ht="21.75" customHeight="1">
      <c r="B80" s="661">
        <v>44341</v>
      </c>
      <c r="C80" s="662" t="s">
        <v>837</v>
      </c>
      <c r="D80" s="663" t="s">
        <v>841</v>
      </c>
      <c r="E80" s="664" t="s">
        <v>831</v>
      </c>
      <c r="F80" s="665"/>
      <c r="G80" s="663">
        <v>20</v>
      </c>
      <c r="H80" s="662" t="s">
        <v>807</v>
      </c>
      <c r="I80" s="666" t="s">
        <v>838</v>
      </c>
      <c r="J80" s="667" t="s">
        <v>804</v>
      </c>
      <c r="K80" s="662">
        <v>9</v>
      </c>
      <c r="L80" s="662">
        <f t="shared" si="1"/>
        <v>18.8</v>
      </c>
      <c r="M80" s="668"/>
    </row>
    <row r="81" spans="2:13" s="645" customFormat="1" ht="21.75" customHeight="1">
      <c r="B81" s="661">
        <v>44341</v>
      </c>
      <c r="C81" s="662" t="s">
        <v>837</v>
      </c>
      <c r="D81" s="663" t="s">
        <v>834</v>
      </c>
      <c r="E81" s="664" t="s">
        <v>831</v>
      </c>
      <c r="F81" s="665"/>
      <c r="G81" s="663">
        <v>20</v>
      </c>
      <c r="H81" s="662" t="s">
        <v>807</v>
      </c>
      <c r="I81" s="666" t="s">
        <v>838</v>
      </c>
      <c r="J81" s="667" t="s">
        <v>804</v>
      </c>
      <c r="K81" s="662">
        <v>10</v>
      </c>
      <c r="L81" s="662">
        <f t="shared" si="1"/>
        <v>18.8</v>
      </c>
      <c r="M81" s="668"/>
    </row>
    <row r="82" spans="2:13" s="645" customFormat="1" ht="21.75" customHeight="1">
      <c r="B82" s="661">
        <v>44341</v>
      </c>
      <c r="C82" s="662" t="s">
        <v>837</v>
      </c>
      <c r="D82" s="663" t="s">
        <v>839</v>
      </c>
      <c r="E82" s="664" t="s">
        <v>831</v>
      </c>
      <c r="F82" s="665"/>
      <c r="G82" s="663">
        <v>15</v>
      </c>
      <c r="H82" s="662" t="s">
        <v>807</v>
      </c>
      <c r="I82" s="666" t="s">
        <v>838</v>
      </c>
      <c r="J82" s="667" t="s">
        <v>804</v>
      </c>
      <c r="K82" s="662">
        <v>10</v>
      </c>
      <c r="L82" s="662">
        <f t="shared" si="1"/>
        <v>14.1</v>
      </c>
      <c r="M82" s="668"/>
    </row>
    <row r="83" spans="2:13" s="645" customFormat="1" ht="21.75" customHeight="1">
      <c r="B83" s="670">
        <v>44342</v>
      </c>
      <c r="C83" s="671" t="s">
        <v>819</v>
      </c>
      <c r="D83" s="672" t="s">
        <v>840</v>
      </c>
      <c r="E83" s="673" t="s">
        <v>831</v>
      </c>
      <c r="F83" s="674"/>
      <c r="G83" s="672">
        <v>15</v>
      </c>
      <c r="H83" s="671" t="s">
        <v>807</v>
      </c>
      <c r="I83" s="675" t="s">
        <v>842</v>
      </c>
      <c r="J83" s="677" t="s">
        <v>804</v>
      </c>
      <c r="K83" s="671">
        <v>5</v>
      </c>
      <c r="L83" s="671">
        <f t="shared" si="1"/>
        <v>14.1</v>
      </c>
      <c r="M83" s="676"/>
    </row>
    <row r="84" spans="2:13" s="645" customFormat="1" ht="21.75" customHeight="1">
      <c r="B84" s="670">
        <v>44342</v>
      </c>
      <c r="C84" s="671" t="s">
        <v>819</v>
      </c>
      <c r="D84" s="672" t="s">
        <v>835</v>
      </c>
      <c r="E84" s="673" t="s">
        <v>831</v>
      </c>
      <c r="F84" s="674"/>
      <c r="G84" s="672">
        <v>20</v>
      </c>
      <c r="H84" s="671" t="s">
        <v>807</v>
      </c>
      <c r="I84" s="675" t="s">
        <v>842</v>
      </c>
      <c r="J84" s="677" t="s">
        <v>804</v>
      </c>
      <c r="K84" s="671">
        <v>5</v>
      </c>
      <c r="L84" s="671">
        <f t="shared" si="1"/>
        <v>18.8</v>
      </c>
      <c r="M84" s="676"/>
    </row>
    <row r="85" spans="2:13" s="645" customFormat="1" ht="21.75" customHeight="1">
      <c r="B85" s="670">
        <v>44342</v>
      </c>
      <c r="C85" s="671" t="s">
        <v>819</v>
      </c>
      <c r="D85" s="672" t="s">
        <v>841</v>
      </c>
      <c r="E85" s="673" t="s">
        <v>831</v>
      </c>
      <c r="F85" s="674"/>
      <c r="G85" s="672">
        <v>20</v>
      </c>
      <c r="H85" s="671" t="s">
        <v>807</v>
      </c>
      <c r="I85" s="675" t="s">
        <v>842</v>
      </c>
      <c r="J85" s="677" t="s">
        <v>804</v>
      </c>
      <c r="K85" s="671">
        <v>5</v>
      </c>
      <c r="L85" s="671">
        <f t="shared" si="1"/>
        <v>18.8</v>
      </c>
      <c r="M85" s="676"/>
    </row>
    <row r="86" spans="2:13" s="645" customFormat="1" ht="21.75" customHeight="1">
      <c r="B86" s="670">
        <v>44342</v>
      </c>
      <c r="C86" s="671" t="s">
        <v>819</v>
      </c>
      <c r="D86" s="672" t="s">
        <v>834</v>
      </c>
      <c r="E86" s="673" t="s">
        <v>831</v>
      </c>
      <c r="F86" s="674"/>
      <c r="G86" s="672">
        <v>20</v>
      </c>
      <c r="H86" s="671" t="s">
        <v>807</v>
      </c>
      <c r="I86" s="675" t="s">
        <v>842</v>
      </c>
      <c r="J86" s="677" t="s">
        <v>804</v>
      </c>
      <c r="K86" s="671">
        <v>5</v>
      </c>
      <c r="L86" s="671">
        <f t="shared" si="1"/>
        <v>18.8</v>
      </c>
      <c r="M86" s="676"/>
    </row>
    <row r="87" spans="2:13" s="645" customFormat="1" ht="21.75" customHeight="1">
      <c r="B87" s="670">
        <v>44342</v>
      </c>
      <c r="C87" s="671" t="s">
        <v>819</v>
      </c>
      <c r="D87" s="672" t="s">
        <v>836</v>
      </c>
      <c r="E87" s="673" t="s">
        <v>831</v>
      </c>
      <c r="F87" s="674"/>
      <c r="G87" s="672">
        <v>15</v>
      </c>
      <c r="H87" s="671" t="s">
        <v>807</v>
      </c>
      <c r="I87" s="675" t="s">
        <v>842</v>
      </c>
      <c r="J87" s="677" t="s">
        <v>804</v>
      </c>
      <c r="K87" s="671">
        <v>5</v>
      </c>
      <c r="L87" s="671">
        <f t="shared" si="1"/>
        <v>14.1</v>
      </c>
      <c r="M87" s="676"/>
    </row>
    <row r="88" spans="2:13" s="645" customFormat="1" ht="21.75" customHeight="1">
      <c r="B88" s="670">
        <v>44342</v>
      </c>
      <c r="C88" s="671" t="s">
        <v>819</v>
      </c>
      <c r="D88" s="672" t="s">
        <v>830</v>
      </c>
      <c r="E88" s="673" t="s">
        <v>831</v>
      </c>
      <c r="F88" s="674"/>
      <c r="G88" s="672">
        <v>15</v>
      </c>
      <c r="H88" s="671" t="s">
        <v>807</v>
      </c>
      <c r="I88" s="675" t="s">
        <v>842</v>
      </c>
      <c r="J88" s="677" t="s">
        <v>804</v>
      </c>
      <c r="K88" s="671">
        <v>4</v>
      </c>
      <c r="L88" s="671">
        <f t="shared" si="1"/>
        <v>14.1</v>
      </c>
      <c r="M88" s="676"/>
    </row>
    <row r="89" spans="2:13" s="645" customFormat="1" ht="21.75" customHeight="1">
      <c r="B89" s="670">
        <v>44342</v>
      </c>
      <c r="C89" s="671" t="s">
        <v>819</v>
      </c>
      <c r="D89" s="672" t="s">
        <v>839</v>
      </c>
      <c r="E89" s="673" t="s">
        <v>831</v>
      </c>
      <c r="F89" s="674"/>
      <c r="G89" s="672">
        <v>15</v>
      </c>
      <c r="H89" s="671" t="s">
        <v>807</v>
      </c>
      <c r="I89" s="675" t="s">
        <v>842</v>
      </c>
      <c r="J89" s="677" t="s">
        <v>804</v>
      </c>
      <c r="K89" s="671">
        <v>5</v>
      </c>
      <c r="L89" s="671">
        <f t="shared" si="1"/>
        <v>14.1</v>
      </c>
      <c r="M89" s="676"/>
    </row>
    <row r="90" spans="2:13" s="645" customFormat="1" ht="21.75" customHeight="1">
      <c r="B90" s="661">
        <v>44342</v>
      </c>
      <c r="C90" s="662" t="s">
        <v>837</v>
      </c>
      <c r="D90" s="663" t="s">
        <v>840</v>
      </c>
      <c r="E90" s="664" t="s">
        <v>831</v>
      </c>
      <c r="F90" s="665"/>
      <c r="G90" s="663">
        <v>15</v>
      </c>
      <c r="H90" s="662" t="s">
        <v>807</v>
      </c>
      <c r="I90" s="666" t="s">
        <v>842</v>
      </c>
      <c r="J90" s="667" t="s">
        <v>804</v>
      </c>
      <c r="K90" s="662">
        <v>4</v>
      </c>
      <c r="L90" s="662">
        <f t="shared" si="1"/>
        <v>14.1</v>
      </c>
      <c r="M90" s="668"/>
    </row>
    <row r="91" spans="2:13" s="645" customFormat="1" ht="21.75" customHeight="1">
      <c r="B91" s="661">
        <v>44342</v>
      </c>
      <c r="C91" s="662" t="s">
        <v>837</v>
      </c>
      <c r="D91" s="663" t="s">
        <v>835</v>
      </c>
      <c r="E91" s="664" t="s">
        <v>831</v>
      </c>
      <c r="F91" s="665"/>
      <c r="G91" s="663">
        <v>20</v>
      </c>
      <c r="H91" s="662" t="s">
        <v>807</v>
      </c>
      <c r="I91" s="666" t="s">
        <v>842</v>
      </c>
      <c r="J91" s="667" t="s">
        <v>804</v>
      </c>
      <c r="K91" s="662">
        <v>4</v>
      </c>
      <c r="L91" s="662">
        <f t="shared" si="1"/>
        <v>18.8</v>
      </c>
      <c r="M91" s="668"/>
    </row>
    <row r="92" spans="2:13" s="645" customFormat="1" ht="21.75" customHeight="1">
      <c r="B92" s="661">
        <v>44342</v>
      </c>
      <c r="C92" s="662" t="s">
        <v>837</v>
      </c>
      <c r="D92" s="663" t="s">
        <v>841</v>
      </c>
      <c r="E92" s="664" t="s">
        <v>831</v>
      </c>
      <c r="F92" s="665"/>
      <c r="G92" s="663">
        <v>20</v>
      </c>
      <c r="H92" s="662" t="s">
        <v>807</v>
      </c>
      <c r="I92" s="666" t="s">
        <v>842</v>
      </c>
      <c r="J92" s="667" t="s">
        <v>804</v>
      </c>
      <c r="K92" s="662">
        <v>4</v>
      </c>
      <c r="L92" s="662">
        <f t="shared" si="1"/>
        <v>18.8</v>
      </c>
      <c r="M92" s="668"/>
    </row>
    <row r="93" spans="2:13" s="645" customFormat="1" ht="21.75" customHeight="1">
      <c r="B93" s="661">
        <v>44342</v>
      </c>
      <c r="C93" s="662" t="s">
        <v>837</v>
      </c>
      <c r="D93" s="663" t="s">
        <v>834</v>
      </c>
      <c r="E93" s="664" t="s">
        <v>831</v>
      </c>
      <c r="F93" s="665"/>
      <c r="G93" s="663">
        <v>20</v>
      </c>
      <c r="H93" s="662" t="s">
        <v>807</v>
      </c>
      <c r="I93" s="666" t="s">
        <v>842</v>
      </c>
      <c r="J93" s="667" t="s">
        <v>804</v>
      </c>
      <c r="K93" s="662">
        <v>3</v>
      </c>
      <c r="L93" s="662">
        <f t="shared" si="1"/>
        <v>18.8</v>
      </c>
      <c r="M93" s="668"/>
    </row>
    <row r="94" spans="2:13" s="645" customFormat="1" ht="21.75" customHeight="1">
      <c r="B94" s="661">
        <v>44342</v>
      </c>
      <c r="C94" s="662" t="s">
        <v>837</v>
      </c>
      <c r="D94" s="663" t="s">
        <v>830</v>
      </c>
      <c r="E94" s="664" t="s">
        <v>831</v>
      </c>
      <c r="F94" s="665"/>
      <c r="G94" s="663">
        <v>15</v>
      </c>
      <c r="H94" s="662" t="s">
        <v>807</v>
      </c>
      <c r="I94" s="666" t="s">
        <v>842</v>
      </c>
      <c r="J94" s="667" t="s">
        <v>804</v>
      </c>
      <c r="K94" s="662">
        <v>1</v>
      </c>
      <c r="L94" s="662">
        <f t="shared" si="1"/>
        <v>14.1</v>
      </c>
      <c r="M94" s="668"/>
    </row>
    <row r="95" spans="2:13" s="645" customFormat="1" ht="21.75" customHeight="1">
      <c r="B95" s="661">
        <v>44342</v>
      </c>
      <c r="C95" s="662" t="s">
        <v>837</v>
      </c>
      <c r="D95" s="663" t="s">
        <v>839</v>
      </c>
      <c r="E95" s="664" t="s">
        <v>831</v>
      </c>
      <c r="F95" s="665"/>
      <c r="G95" s="663">
        <v>15</v>
      </c>
      <c r="H95" s="662" t="s">
        <v>807</v>
      </c>
      <c r="I95" s="666" t="s">
        <v>842</v>
      </c>
      <c r="J95" s="667" t="s">
        <v>804</v>
      </c>
      <c r="K95" s="662">
        <v>4</v>
      </c>
      <c r="L95" s="662">
        <f t="shared" si="1"/>
        <v>14.1</v>
      </c>
      <c r="M95" s="668"/>
    </row>
    <row r="96" spans="2:13" s="645" customFormat="1" ht="21.75" customHeight="1">
      <c r="B96" s="670">
        <v>44343</v>
      </c>
      <c r="C96" s="671" t="s">
        <v>819</v>
      </c>
      <c r="D96" s="672" t="s">
        <v>840</v>
      </c>
      <c r="E96" s="673" t="s">
        <v>831</v>
      </c>
      <c r="F96" s="674"/>
      <c r="G96" s="672">
        <v>15</v>
      </c>
      <c r="H96" s="671" t="s">
        <v>807</v>
      </c>
      <c r="I96" s="675" t="s">
        <v>842</v>
      </c>
      <c r="J96" s="677" t="s">
        <v>804</v>
      </c>
      <c r="K96" s="671">
        <v>5</v>
      </c>
      <c r="L96" s="671">
        <f t="shared" si="1"/>
        <v>14.1</v>
      </c>
      <c r="M96" s="676"/>
    </row>
    <row r="97" spans="2:13" s="645" customFormat="1" ht="21.75" customHeight="1">
      <c r="B97" s="670">
        <v>44343</v>
      </c>
      <c r="C97" s="671" t="s">
        <v>819</v>
      </c>
      <c r="D97" s="672" t="s">
        <v>835</v>
      </c>
      <c r="E97" s="673" t="s">
        <v>831</v>
      </c>
      <c r="F97" s="674"/>
      <c r="G97" s="672">
        <v>20</v>
      </c>
      <c r="H97" s="671" t="s">
        <v>807</v>
      </c>
      <c r="I97" s="675" t="s">
        <v>842</v>
      </c>
      <c r="J97" s="677" t="s">
        <v>804</v>
      </c>
      <c r="K97" s="671">
        <v>5</v>
      </c>
      <c r="L97" s="671">
        <f t="shared" si="1"/>
        <v>18.8</v>
      </c>
      <c r="M97" s="676"/>
    </row>
    <row r="98" spans="2:13" s="645" customFormat="1" ht="21.75" customHeight="1">
      <c r="B98" s="670">
        <v>44343</v>
      </c>
      <c r="C98" s="671" t="s">
        <v>819</v>
      </c>
      <c r="D98" s="672" t="s">
        <v>841</v>
      </c>
      <c r="E98" s="673" t="s">
        <v>831</v>
      </c>
      <c r="F98" s="674"/>
      <c r="G98" s="672">
        <v>20</v>
      </c>
      <c r="H98" s="671" t="s">
        <v>807</v>
      </c>
      <c r="I98" s="675" t="s">
        <v>842</v>
      </c>
      <c r="J98" s="677" t="s">
        <v>804</v>
      </c>
      <c r="K98" s="671">
        <v>5</v>
      </c>
      <c r="L98" s="671">
        <f t="shared" si="1"/>
        <v>18.8</v>
      </c>
      <c r="M98" s="676"/>
    </row>
    <row r="99" spans="2:13" s="645" customFormat="1" ht="21.75" customHeight="1">
      <c r="B99" s="670">
        <v>44343</v>
      </c>
      <c r="C99" s="671" t="s">
        <v>819</v>
      </c>
      <c r="D99" s="672" t="s">
        <v>834</v>
      </c>
      <c r="E99" s="673" t="s">
        <v>831</v>
      </c>
      <c r="F99" s="674"/>
      <c r="G99" s="672">
        <v>20</v>
      </c>
      <c r="H99" s="671" t="s">
        <v>807</v>
      </c>
      <c r="I99" s="675" t="s">
        <v>842</v>
      </c>
      <c r="J99" s="677" t="s">
        <v>804</v>
      </c>
      <c r="K99" s="671">
        <v>5</v>
      </c>
      <c r="L99" s="671">
        <f t="shared" si="1"/>
        <v>18.8</v>
      </c>
      <c r="M99" s="676"/>
    </row>
    <row r="100" spans="2:13" s="645" customFormat="1" ht="21.75" customHeight="1">
      <c r="B100" s="670">
        <v>44343</v>
      </c>
      <c r="C100" s="671" t="s">
        <v>819</v>
      </c>
      <c r="D100" s="672" t="s">
        <v>836</v>
      </c>
      <c r="E100" s="673" t="s">
        <v>831</v>
      </c>
      <c r="F100" s="674"/>
      <c r="G100" s="672">
        <v>15</v>
      </c>
      <c r="H100" s="671" t="s">
        <v>807</v>
      </c>
      <c r="I100" s="675" t="s">
        <v>842</v>
      </c>
      <c r="J100" s="677" t="s">
        <v>804</v>
      </c>
      <c r="K100" s="671">
        <v>5</v>
      </c>
      <c r="L100" s="671">
        <f t="shared" si="1"/>
        <v>14.1</v>
      </c>
      <c r="M100" s="676"/>
    </row>
    <row r="101" spans="2:13" s="645" customFormat="1" ht="21.75" customHeight="1">
      <c r="B101" s="670">
        <v>44343</v>
      </c>
      <c r="C101" s="671" t="s">
        <v>819</v>
      </c>
      <c r="D101" s="672" t="s">
        <v>830</v>
      </c>
      <c r="E101" s="673" t="s">
        <v>831</v>
      </c>
      <c r="F101" s="674"/>
      <c r="G101" s="672">
        <v>15</v>
      </c>
      <c r="H101" s="671" t="s">
        <v>807</v>
      </c>
      <c r="I101" s="675" t="s">
        <v>842</v>
      </c>
      <c r="J101" s="677" t="s">
        <v>804</v>
      </c>
      <c r="K101" s="671">
        <v>4</v>
      </c>
      <c r="L101" s="671">
        <f t="shared" si="1"/>
        <v>14.1</v>
      </c>
      <c r="M101" s="676"/>
    </row>
    <row r="102" spans="2:13" s="645" customFormat="1" ht="21.75" customHeight="1">
      <c r="B102" s="670">
        <v>44343</v>
      </c>
      <c r="C102" s="671" t="s">
        <v>819</v>
      </c>
      <c r="D102" s="672" t="s">
        <v>839</v>
      </c>
      <c r="E102" s="673" t="s">
        <v>831</v>
      </c>
      <c r="F102" s="674"/>
      <c r="G102" s="672">
        <v>15</v>
      </c>
      <c r="H102" s="671" t="s">
        <v>807</v>
      </c>
      <c r="I102" s="675" t="s">
        <v>842</v>
      </c>
      <c r="J102" s="677" t="s">
        <v>804</v>
      </c>
      <c r="K102" s="671">
        <v>4</v>
      </c>
      <c r="L102" s="671">
        <f t="shared" si="1"/>
        <v>14.1</v>
      </c>
      <c r="M102" s="676"/>
    </row>
    <row r="103" spans="2:13" s="645" customFormat="1" ht="21.75" customHeight="1">
      <c r="B103" s="670">
        <v>44344</v>
      </c>
      <c r="C103" s="671" t="s">
        <v>819</v>
      </c>
      <c r="D103" s="672" t="s">
        <v>840</v>
      </c>
      <c r="E103" s="673" t="s">
        <v>831</v>
      </c>
      <c r="F103" s="674"/>
      <c r="G103" s="672">
        <v>15</v>
      </c>
      <c r="H103" s="671" t="s">
        <v>807</v>
      </c>
      <c r="I103" s="675" t="s">
        <v>843</v>
      </c>
      <c r="J103" s="677" t="s">
        <v>804</v>
      </c>
      <c r="K103" s="671">
        <v>6</v>
      </c>
      <c r="L103" s="671">
        <f t="shared" si="1"/>
        <v>14.1</v>
      </c>
      <c r="M103" s="676"/>
    </row>
    <row r="104" spans="2:13" s="645" customFormat="1" ht="21.75" customHeight="1">
      <c r="B104" s="670">
        <v>44344</v>
      </c>
      <c r="C104" s="671" t="s">
        <v>819</v>
      </c>
      <c r="D104" s="672" t="s">
        <v>835</v>
      </c>
      <c r="E104" s="673" t="s">
        <v>831</v>
      </c>
      <c r="F104" s="674"/>
      <c r="G104" s="672">
        <v>20</v>
      </c>
      <c r="H104" s="671" t="s">
        <v>807</v>
      </c>
      <c r="I104" s="675" t="s">
        <v>843</v>
      </c>
      <c r="J104" s="677" t="s">
        <v>804</v>
      </c>
      <c r="K104" s="671">
        <v>6</v>
      </c>
      <c r="L104" s="671">
        <f t="shared" si="1"/>
        <v>18.8</v>
      </c>
      <c r="M104" s="676"/>
    </row>
    <row r="105" spans="2:13" s="645" customFormat="1" ht="21.75" customHeight="1">
      <c r="B105" s="670">
        <v>44344</v>
      </c>
      <c r="C105" s="671" t="s">
        <v>819</v>
      </c>
      <c r="D105" s="672" t="s">
        <v>841</v>
      </c>
      <c r="E105" s="673" t="s">
        <v>831</v>
      </c>
      <c r="F105" s="674"/>
      <c r="G105" s="672">
        <v>20</v>
      </c>
      <c r="H105" s="671" t="s">
        <v>807</v>
      </c>
      <c r="I105" s="675" t="s">
        <v>843</v>
      </c>
      <c r="J105" s="677" t="s">
        <v>804</v>
      </c>
      <c r="K105" s="671">
        <v>5</v>
      </c>
      <c r="L105" s="671">
        <f t="shared" si="1"/>
        <v>18.8</v>
      </c>
      <c r="M105" s="676"/>
    </row>
    <row r="106" spans="2:13" s="645" customFormat="1" ht="21.75" customHeight="1">
      <c r="B106" s="670">
        <v>44344</v>
      </c>
      <c r="C106" s="671" t="s">
        <v>819</v>
      </c>
      <c r="D106" s="672" t="s">
        <v>834</v>
      </c>
      <c r="E106" s="673" t="s">
        <v>831</v>
      </c>
      <c r="F106" s="674"/>
      <c r="G106" s="672">
        <v>20</v>
      </c>
      <c r="H106" s="671" t="s">
        <v>807</v>
      </c>
      <c r="I106" s="675" t="s">
        <v>843</v>
      </c>
      <c r="J106" s="677" t="s">
        <v>804</v>
      </c>
      <c r="K106" s="671">
        <v>4</v>
      </c>
      <c r="L106" s="671">
        <f t="shared" si="1"/>
        <v>18.8</v>
      </c>
      <c r="M106" s="676"/>
    </row>
    <row r="107" spans="2:13" s="645" customFormat="1" ht="21.75" customHeight="1">
      <c r="B107" s="670">
        <v>44344</v>
      </c>
      <c r="C107" s="671" t="s">
        <v>819</v>
      </c>
      <c r="D107" s="672" t="s">
        <v>836</v>
      </c>
      <c r="E107" s="673" t="s">
        <v>831</v>
      </c>
      <c r="F107" s="674"/>
      <c r="G107" s="672">
        <v>15</v>
      </c>
      <c r="H107" s="671" t="s">
        <v>807</v>
      </c>
      <c r="I107" s="675" t="s">
        <v>843</v>
      </c>
      <c r="J107" s="677" t="s">
        <v>804</v>
      </c>
      <c r="K107" s="671">
        <v>5</v>
      </c>
      <c r="L107" s="671">
        <f t="shared" si="1"/>
        <v>14.1</v>
      </c>
      <c r="M107" s="676"/>
    </row>
    <row r="108" spans="2:13" s="645" customFormat="1" ht="21.75" customHeight="1">
      <c r="B108" s="670">
        <v>44344</v>
      </c>
      <c r="C108" s="671" t="s">
        <v>819</v>
      </c>
      <c r="D108" s="672" t="s">
        <v>830</v>
      </c>
      <c r="E108" s="673" t="s">
        <v>831</v>
      </c>
      <c r="F108" s="674"/>
      <c r="G108" s="672">
        <v>15</v>
      </c>
      <c r="H108" s="671" t="s">
        <v>807</v>
      </c>
      <c r="I108" s="675" t="s">
        <v>843</v>
      </c>
      <c r="J108" s="677" t="s">
        <v>804</v>
      </c>
      <c r="K108" s="671">
        <v>5</v>
      </c>
      <c r="L108" s="671">
        <f t="shared" si="1"/>
        <v>14.1</v>
      </c>
      <c r="M108" s="676"/>
    </row>
    <row r="109" spans="2:13" s="645" customFormat="1" ht="21.75" customHeight="1">
      <c r="B109" s="670">
        <v>44344</v>
      </c>
      <c r="C109" s="671" t="s">
        <v>819</v>
      </c>
      <c r="D109" s="672" t="s">
        <v>844</v>
      </c>
      <c r="E109" s="673" t="s">
        <v>831</v>
      </c>
      <c r="F109" s="674"/>
      <c r="G109" s="672">
        <v>15</v>
      </c>
      <c r="H109" s="671" t="s">
        <v>807</v>
      </c>
      <c r="I109" s="675" t="s">
        <v>843</v>
      </c>
      <c r="J109" s="677" t="s">
        <v>804</v>
      </c>
      <c r="K109" s="671">
        <v>4</v>
      </c>
      <c r="L109" s="671">
        <f t="shared" si="1"/>
        <v>14.1</v>
      </c>
      <c r="M109" s="676"/>
    </row>
    <row r="110" spans="2:13" s="645" customFormat="1" ht="21.75" customHeight="1">
      <c r="B110" s="670">
        <v>44344</v>
      </c>
      <c r="C110" s="671" t="s">
        <v>819</v>
      </c>
      <c r="D110" s="672" t="s">
        <v>839</v>
      </c>
      <c r="E110" s="673" t="s">
        <v>831</v>
      </c>
      <c r="F110" s="674"/>
      <c r="G110" s="672">
        <v>15</v>
      </c>
      <c r="H110" s="671" t="s">
        <v>807</v>
      </c>
      <c r="I110" s="675" t="s">
        <v>843</v>
      </c>
      <c r="J110" s="677" t="s">
        <v>804</v>
      </c>
      <c r="K110" s="671">
        <v>6</v>
      </c>
      <c r="L110" s="671">
        <f t="shared" si="1"/>
        <v>14.1</v>
      </c>
      <c r="M110" s="676"/>
    </row>
    <row r="111" spans="2:13" s="645" customFormat="1" ht="21.75" customHeight="1">
      <c r="B111" s="678">
        <v>44347</v>
      </c>
      <c r="C111" s="679" t="s">
        <v>819</v>
      </c>
      <c r="D111" s="680" t="s">
        <v>835</v>
      </c>
      <c r="E111" s="681" t="s">
        <v>831</v>
      </c>
      <c r="F111" s="682"/>
      <c r="G111" s="680">
        <v>20</v>
      </c>
      <c r="H111" s="679" t="s">
        <v>807</v>
      </c>
      <c r="I111" s="683" t="s">
        <v>843</v>
      </c>
      <c r="J111" s="684" t="s">
        <v>804</v>
      </c>
      <c r="K111" s="679">
        <v>1</v>
      </c>
      <c r="L111" s="679">
        <f t="shared" si="1"/>
        <v>18.8</v>
      </c>
      <c r="M111" s="668"/>
    </row>
    <row r="112" spans="2:13" s="645" customFormat="1" ht="21.75" customHeight="1">
      <c r="B112" s="678">
        <v>44347</v>
      </c>
      <c r="C112" s="679" t="s">
        <v>819</v>
      </c>
      <c r="D112" s="680" t="s">
        <v>841</v>
      </c>
      <c r="E112" s="681" t="s">
        <v>831</v>
      </c>
      <c r="F112" s="682"/>
      <c r="G112" s="680">
        <v>20</v>
      </c>
      <c r="H112" s="679" t="s">
        <v>807</v>
      </c>
      <c r="I112" s="683" t="s">
        <v>843</v>
      </c>
      <c r="J112" s="684" t="s">
        <v>804</v>
      </c>
      <c r="K112" s="679">
        <v>1</v>
      </c>
      <c r="L112" s="679">
        <f t="shared" si="1"/>
        <v>18.8</v>
      </c>
      <c r="M112" s="668"/>
    </row>
    <row r="113" spans="2:13" s="645" customFormat="1" ht="21.75" customHeight="1">
      <c r="B113" s="678">
        <v>44347</v>
      </c>
      <c r="C113" s="679" t="s">
        <v>819</v>
      </c>
      <c r="D113" s="680" t="s">
        <v>834</v>
      </c>
      <c r="E113" s="681" t="s">
        <v>831</v>
      </c>
      <c r="F113" s="682"/>
      <c r="G113" s="680">
        <v>20</v>
      </c>
      <c r="H113" s="679" t="s">
        <v>807</v>
      </c>
      <c r="I113" s="683" t="s">
        <v>843</v>
      </c>
      <c r="J113" s="684" t="s">
        <v>804</v>
      </c>
      <c r="K113" s="679">
        <v>1</v>
      </c>
      <c r="L113" s="679">
        <f t="shared" si="1"/>
        <v>18.8</v>
      </c>
      <c r="M113" s="668"/>
    </row>
    <row r="114" spans="2:13" s="645" customFormat="1" ht="21.75" customHeight="1">
      <c r="B114" s="678">
        <v>44347</v>
      </c>
      <c r="C114" s="679" t="s">
        <v>819</v>
      </c>
      <c r="D114" s="680" t="s">
        <v>836</v>
      </c>
      <c r="E114" s="681" t="s">
        <v>831</v>
      </c>
      <c r="F114" s="682"/>
      <c r="G114" s="680">
        <v>15</v>
      </c>
      <c r="H114" s="679" t="s">
        <v>807</v>
      </c>
      <c r="I114" s="683" t="s">
        <v>843</v>
      </c>
      <c r="J114" s="684" t="s">
        <v>804</v>
      </c>
      <c r="K114" s="679">
        <v>1</v>
      </c>
      <c r="L114" s="679">
        <f t="shared" si="1"/>
        <v>14.1</v>
      </c>
      <c r="M114" s="668"/>
    </row>
    <row r="115" spans="2:13" s="645" customFormat="1" ht="21.75" customHeight="1">
      <c r="B115" s="678">
        <v>44347</v>
      </c>
      <c r="C115" s="679" t="s">
        <v>819</v>
      </c>
      <c r="D115" s="680" t="s">
        <v>845</v>
      </c>
      <c r="E115" s="681" t="s">
        <v>831</v>
      </c>
      <c r="F115" s="682"/>
      <c r="G115" s="680">
        <v>15</v>
      </c>
      <c r="H115" s="679" t="s">
        <v>807</v>
      </c>
      <c r="I115" s="683" t="s">
        <v>846</v>
      </c>
      <c r="J115" s="684" t="s">
        <v>804</v>
      </c>
      <c r="K115" s="679">
        <v>1</v>
      </c>
      <c r="L115" s="679">
        <f t="shared" si="1"/>
        <v>14.1</v>
      </c>
      <c r="M115" s="668"/>
    </row>
    <row r="116" spans="2:13" s="645" customFormat="1" ht="21.75" customHeight="1">
      <c r="B116" s="678">
        <v>44347</v>
      </c>
      <c r="C116" s="679" t="s">
        <v>819</v>
      </c>
      <c r="D116" s="680" t="s">
        <v>847</v>
      </c>
      <c r="E116" s="681" t="s">
        <v>831</v>
      </c>
      <c r="F116" s="682"/>
      <c r="G116" s="680">
        <v>15</v>
      </c>
      <c r="H116" s="679" t="s">
        <v>807</v>
      </c>
      <c r="I116" s="683" t="s">
        <v>846</v>
      </c>
      <c r="J116" s="684" t="s">
        <v>804</v>
      </c>
      <c r="K116" s="679">
        <v>1</v>
      </c>
      <c r="L116" s="679">
        <f t="shared" si="1"/>
        <v>14.1</v>
      </c>
      <c r="M116" s="668"/>
    </row>
    <row r="117" spans="2:13" s="645" customFormat="1" ht="21.75" customHeight="1">
      <c r="B117" s="670">
        <v>44348</v>
      </c>
      <c r="C117" s="671" t="s">
        <v>819</v>
      </c>
      <c r="D117" s="672" t="s">
        <v>840</v>
      </c>
      <c r="E117" s="673" t="s">
        <v>831</v>
      </c>
      <c r="F117" s="674"/>
      <c r="G117" s="672">
        <v>15</v>
      </c>
      <c r="H117" s="671" t="s">
        <v>807</v>
      </c>
      <c r="I117" s="675" t="s">
        <v>843</v>
      </c>
      <c r="J117" s="677" t="s">
        <v>804</v>
      </c>
      <c r="K117" s="671">
        <v>5</v>
      </c>
      <c r="L117" s="671">
        <f t="shared" si="1"/>
        <v>14.1</v>
      </c>
      <c r="M117" s="676"/>
    </row>
    <row r="118" spans="2:13" s="645" customFormat="1" ht="21.75" customHeight="1">
      <c r="B118" s="670">
        <v>44348</v>
      </c>
      <c r="C118" s="671" t="s">
        <v>819</v>
      </c>
      <c r="D118" s="672" t="s">
        <v>835</v>
      </c>
      <c r="E118" s="673" t="s">
        <v>831</v>
      </c>
      <c r="F118" s="674"/>
      <c r="G118" s="672">
        <v>20</v>
      </c>
      <c r="H118" s="671" t="s">
        <v>807</v>
      </c>
      <c r="I118" s="675" t="s">
        <v>843</v>
      </c>
      <c r="J118" s="677" t="s">
        <v>804</v>
      </c>
      <c r="K118" s="671">
        <v>5</v>
      </c>
      <c r="L118" s="671">
        <f t="shared" si="1"/>
        <v>18.8</v>
      </c>
      <c r="M118" s="676"/>
    </row>
    <row r="119" spans="2:13" s="645" customFormat="1" ht="21.75" customHeight="1">
      <c r="B119" s="670">
        <v>44348</v>
      </c>
      <c r="C119" s="671" t="s">
        <v>819</v>
      </c>
      <c r="D119" s="672" t="s">
        <v>841</v>
      </c>
      <c r="E119" s="673" t="s">
        <v>831</v>
      </c>
      <c r="F119" s="674"/>
      <c r="G119" s="672">
        <v>20</v>
      </c>
      <c r="H119" s="671" t="s">
        <v>807</v>
      </c>
      <c r="I119" s="675" t="s">
        <v>843</v>
      </c>
      <c r="J119" s="677" t="s">
        <v>804</v>
      </c>
      <c r="K119" s="671">
        <v>5</v>
      </c>
      <c r="L119" s="671">
        <f t="shared" si="1"/>
        <v>18.8</v>
      </c>
      <c r="M119" s="676"/>
    </row>
    <row r="120" spans="2:13" s="645" customFormat="1" ht="21.75" customHeight="1">
      <c r="B120" s="670">
        <v>44348</v>
      </c>
      <c r="C120" s="671" t="s">
        <v>819</v>
      </c>
      <c r="D120" s="672" t="s">
        <v>834</v>
      </c>
      <c r="E120" s="673" t="s">
        <v>831</v>
      </c>
      <c r="F120" s="674"/>
      <c r="G120" s="672">
        <v>20</v>
      </c>
      <c r="H120" s="671" t="s">
        <v>807</v>
      </c>
      <c r="I120" s="675" t="s">
        <v>843</v>
      </c>
      <c r="J120" s="677" t="s">
        <v>804</v>
      </c>
      <c r="K120" s="671">
        <v>5</v>
      </c>
      <c r="L120" s="671">
        <f t="shared" si="1"/>
        <v>18.8</v>
      </c>
      <c r="M120" s="676"/>
    </row>
    <row r="121" spans="2:13" s="645" customFormat="1" ht="21.75" customHeight="1">
      <c r="B121" s="670">
        <v>44348</v>
      </c>
      <c r="C121" s="671" t="s">
        <v>819</v>
      </c>
      <c r="D121" s="672" t="s">
        <v>848</v>
      </c>
      <c r="E121" s="673" t="s">
        <v>831</v>
      </c>
      <c r="F121" s="674"/>
      <c r="G121" s="672">
        <v>20</v>
      </c>
      <c r="H121" s="671" t="s">
        <v>807</v>
      </c>
      <c r="I121" s="675" t="s">
        <v>843</v>
      </c>
      <c r="J121" s="677" t="s">
        <v>804</v>
      </c>
      <c r="K121" s="671">
        <v>5</v>
      </c>
      <c r="L121" s="671">
        <f t="shared" si="1"/>
        <v>18.8</v>
      </c>
      <c r="M121" s="676"/>
    </row>
    <row r="122" spans="2:13" s="645" customFormat="1" ht="21.75" customHeight="1">
      <c r="B122" s="670">
        <v>44348</v>
      </c>
      <c r="C122" s="671" t="s">
        <v>819</v>
      </c>
      <c r="D122" s="672" t="s">
        <v>836</v>
      </c>
      <c r="E122" s="673" t="s">
        <v>831</v>
      </c>
      <c r="F122" s="674"/>
      <c r="G122" s="672">
        <v>15</v>
      </c>
      <c r="H122" s="671" t="s">
        <v>807</v>
      </c>
      <c r="I122" s="675" t="s">
        <v>843</v>
      </c>
      <c r="J122" s="677" t="s">
        <v>804</v>
      </c>
      <c r="K122" s="671">
        <v>5</v>
      </c>
      <c r="L122" s="671">
        <f t="shared" si="1"/>
        <v>14.1</v>
      </c>
      <c r="M122" s="676"/>
    </row>
    <row r="123" spans="2:13" s="645" customFormat="1" ht="21.75" customHeight="1">
      <c r="B123" s="670">
        <v>44348</v>
      </c>
      <c r="C123" s="671" t="s">
        <v>819</v>
      </c>
      <c r="D123" s="672" t="s">
        <v>830</v>
      </c>
      <c r="E123" s="673" t="s">
        <v>831</v>
      </c>
      <c r="F123" s="674"/>
      <c r="G123" s="672">
        <v>15</v>
      </c>
      <c r="H123" s="671" t="s">
        <v>807</v>
      </c>
      <c r="I123" s="675" t="s">
        <v>843</v>
      </c>
      <c r="J123" s="677" t="s">
        <v>804</v>
      </c>
      <c r="K123" s="671">
        <v>5</v>
      </c>
      <c r="L123" s="671">
        <f t="shared" si="1"/>
        <v>14.1</v>
      </c>
      <c r="M123" s="676"/>
    </row>
    <row r="124" spans="2:13" s="645" customFormat="1" ht="21.75" customHeight="1">
      <c r="B124" s="670">
        <v>44348</v>
      </c>
      <c r="C124" s="671" t="s">
        <v>819</v>
      </c>
      <c r="D124" s="672" t="s">
        <v>844</v>
      </c>
      <c r="E124" s="673" t="s">
        <v>831</v>
      </c>
      <c r="F124" s="674"/>
      <c r="G124" s="672">
        <v>15</v>
      </c>
      <c r="H124" s="671" t="s">
        <v>807</v>
      </c>
      <c r="I124" s="675" t="s">
        <v>843</v>
      </c>
      <c r="J124" s="677" t="s">
        <v>804</v>
      </c>
      <c r="K124" s="671">
        <v>5</v>
      </c>
      <c r="L124" s="671">
        <f t="shared" si="1"/>
        <v>14.1</v>
      </c>
      <c r="M124" s="676"/>
    </row>
    <row r="125" spans="2:13" s="645" customFormat="1" ht="21.75" customHeight="1">
      <c r="B125" s="670">
        <v>44348</v>
      </c>
      <c r="C125" s="671" t="s">
        <v>819</v>
      </c>
      <c r="D125" s="672" t="s">
        <v>839</v>
      </c>
      <c r="E125" s="673" t="s">
        <v>831</v>
      </c>
      <c r="F125" s="674"/>
      <c r="G125" s="672">
        <v>15</v>
      </c>
      <c r="H125" s="671" t="s">
        <v>807</v>
      </c>
      <c r="I125" s="675" t="s">
        <v>843</v>
      </c>
      <c r="J125" s="677" t="s">
        <v>804</v>
      </c>
      <c r="K125" s="671">
        <v>1</v>
      </c>
      <c r="L125" s="671">
        <f t="shared" si="1"/>
        <v>14.1</v>
      </c>
      <c r="M125" s="676"/>
    </row>
    <row r="126" spans="2:13" s="645" customFormat="1" ht="21.75" customHeight="1">
      <c r="B126" s="678">
        <v>44349</v>
      </c>
      <c r="C126" s="679" t="s">
        <v>819</v>
      </c>
      <c r="D126" s="680" t="s">
        <v>840</v>
      </c>
      <c r="E126" s="681" t="s">
        <v>831</v>
      </c>
      <c r="F126" s="682"/>
      <c r="G126" s="680">
        <v>15</v>
      </c>
      <c r="H126" s="679" t="s">
        <v>807</v>
      </c>
      <c r="I126" s="683" t="s">
        <v>843</v>
      </c>
      <c r="J126" s="684" t="s">
        <v>804</v>
      </c>
      <c r="K126" s="679">
        <v>5</v>
      </c>
      <c r="L126" s="679">
        <f t="shared" si="1"/>
        <v>14.1</v>
      </c>
      <c r="M126" s="668"/>
    </row>
    <row r="127" spans="2:13" s="645" customFormat="1" ht="21.75" customHeight="1">
      <c r="B127" s="678">
        <v>44349</v>
      </c>
      <c r="C127" s="679" t="s">
        <v>819</v>
      </c>
      <c r="D127" s="680" t="s">
        <v>835</v>
      </c>
      <c r="E127" s="681" t="s">
        <v>831</v>
      </c>
      <c r="F127" s="682"/>
      <c r="G127" s="680">
        <v>20</v>
      </c>
      <c r="H127" s="679" t="s">
        <v>807</v>
      </c>
      <c r="I127" s="683" t="s">
        <v>843</v>
      </c>
      <c r="J127" s="684" t="s">
        <v>804</v>
      </c>
      <c r="K127" s="679">
        <v>5</v>
      </c>
      <c r="L127" s="679">
        <f t="shared" si="1"/>
        <v>18.8</v>
      </c>
      <c r="M127" s="668"/>
    </row>
    <row r="128" spans="2:13" s="645" customFormat="1" ht="21.75" customHeight="1">
      <c r="B128" s="678">
        <v>44349</v>
      </c>
      <c r="C128" s="679" t="s">
        <v>819</v>
      </c>
      <c r="D128" s="680" t="s">
        <v>841</v>
      </c>
      <c r="E128" s="681" t="s">
        <v>831</v>
      </c>
      <c r="F128" s="682"/>
      <c r="G128" s="680">
        <v>20</v>
      </c>
      <c r="H128" s="679" t="s">
        <v>807</v>
      </c>
      <c r="I128" s="683" t="s">
        <v>843</v>
      </c>
      <c r="J128" s="684" t="s">
        <v>804</v>
      </c>
      <c r="K128" s="679">
        <v>5</v>
      </c>
      <c r="L128" s="679">
        <f t="shared" si="1"/>
        <v>18.8</v>
      </c>
      <c r="M128" s="668"/>
    </row>
    <row r="129" spans="2:13" s="645" customFormat="1" ht="21.75" customHeight="1">
      <c r="B129" s="678">
        <v>44349</v>
      </c>
      <c r="C129" s="679" t="s">
        <v>819</v>
      </c>
      <c r="D129" s="680" t="s">
        <v>834</v>
      </c>
      <c r="E129" s="681" t="s">
        <v>831</v>
      </c>
      <c r="F129" s="682"/>
      <c r="G129" s="680">
        <v>20</v>
      </c>
      <c r="H129" s="679" t="s">
        <v>807</v>
      </c>
      <c r="I129" s="683" t="s">
        <v>843</v>
      </c>
      <c r="J129" s="684" t="s">
        <v>804</v>
      </c>
      <c r="K129" s="679">
        <v>5</v>
      </c>
      <c r="L129" s="679">
        <f t="shared" si="1"/>
        <v>18.8</v>
      </c>
      <c r="M129" s="668"/>
    </row>
    <row r="130" spans="2:13" s="645" customFormat="1" ht="21.75" customHeight="1">
      <c r="B130" s="678">
        <v>44349</v>
      </c>
      <c r="C130" s="679" t="s">
        <v>819</v>
      </c>
      <c r="D130" s="680" t="s">
        <v>848</v>
      </c>
      <c r="E130" s="681" t="s">
        <v>831</v>
      </c>
      <c r="F130" s="682"/>
      <c r="G130" s="680">
        <v>20</v>
      </c>
      <c r="H130" s="679" t="s">
        <v>807</v>
      </c>
      <c r="I130" s="683" t="s">
        <v>843</v>
      </c>
      <c r="J130" s="684" t="s">
        <v>804</v>
      </c>
      <c r="K130" s="679">
        <v>5</v>
      </c>
      <c r="L130" s="679">
        <f t="shared" si="1"/>
        <v>18.8</v>
      </c>
      <c r="M130" s="668"/>
    </row>
    <row r="131" spans="2:13" s="645" customFormat="1" ht="21.75" customHeight="1">
      <c r="B131" s="678">
        <v>44349</v>
      </c>
      <c r="C131" s="679" t="s">
        <v>819</v>
      </c>
      <c r="D131" s="680" t="s">
        <v>836</v>
      </c>
      <c r="E131" s="681" t="s">
        <v>831</v>
      </c>
      <c r="F131" s="682"/>
      <c r="G131" s="680">
        <v>15</v>
      </c>
      <c r="H131" s="679" t="s">
        <v>807</v>
      </c>
      <c r="I131" s="683" t="s">
        <v>843</v>
      </c>
      <c r="J131" s="684" t="s">
        <v>804</v>
      </c>
      <c r="K131" s="679">
        <v>5</v>
      </c>
      <c r="L131" s="679">
        <f t="shared" si="1"/>
        <v>14.1</v>
      </c>
      <c r="M131" s="668"/>
    </row>
    <row r="132" spans="2:13" s="645" customFormat="1" ht="21.75" customHeight="1">
      <c r="B132" s="678">
        <v>44349</v>
      </c>
      <c r="C132" s="679" t="s">
        <v>819</v>
      </c>
      <c r="D132" s="680" t="s">
        <v>830</v>
      </c>
      <c r="E132" s="681" t="s">
        <v>831</v>
      </c>
      <c r="F132" s="682"/>
      <c r="G132" s="680">
        <v>15</v>
      </c>
      <c r="H132" s="679" t="s">
        <v>807</v>
      </c>
      <c r="I132" s="683" t="s">
        <v>843</v>
      </c>
      <c r="J132" s="684" t="s">
        <v>804</v>
      </c>
      <c r="K132" s="679">
        <v>5</v>
      </c>
      <c r="L132" s="679">
        <f t="shared" si="1"/>
        <v>14.1</v>
      </c>
      <c r="M132" s="668"/>
    </row>
    <row r="133" spans="2:13" s="645" customFormat="1" ht="21.75" customHeight="1">
      <c r="B133" s="678">
        <v>44349</v>
      </c>
      <c r="C133" s="679" t="s">
        <v>819</v>
      </c>
      <c r="D133" s="680" t="s">
        <v>844</v>
      </c>
      <c r="E133" s="681" t="s">
        <v>831</v>
      </c>
      <c r="F133" s="682"/>
      <c r="G133" s="680">
        <v>15</v>
      </c>
      <c r="H133" s="679" t="s">
        <v>807</v>
      </c>
      <c r="I133" s="683" t="s">
        <v>843</v>
      </c>
      <c r="J133" s="684" t="s">
        <v>804</v>
      </c>
      <c r="K133" s="679">
        <v>5</v>
      </c>
      <c r="L133" s="679">
        <f t="shared" si="1"/>
        <v>14.1</v>
      </c>
      <c r="M133" s="668"/>
    </row>
    <row r="134" spans="2:13" s="645" customFormat="1" ht="21.75" customHeight="1">
      <c r="B134" s="678">
        <v>44349</v>
      </c>
      <c r="C134" s="679" t="s">
        <v>819</v>
      </c>
      <c r="D134" s="680" t="s">
        <v>839</v>
      </c>
      <c r="E134" s="681" t="s">
        <v>831</v>
      </c>
      <c r="F134" s="682"/>
      <c r="G134" s="680">
        <v>15</v>
      </c>
      <c r="H134" s="679" t="s">
        <v>807</v>
      </c>
      <c r="I134" s="683" t="s">
        <v>843</v>
      </c>
      <c r="J134" s="684" t="s">
        <v>804</v>
      </c>
      <c r="K134" s="679">
        <v>4</v>
      </c>
      <c r="L134" s="679">
        <f t="shared" si="1"/>
        <v>14.1</v>
      </c>
      <c r="M134" s="668"/>
    </row>
    <row r="135" spans="2:13" s="645" customFormat="1" ht="21.75" customHeight="1">
      <c r="B135" s="670">
        <v>44350</v>
      </c>
      <c r="C135" s="671" t="s">
        <v>819</v>
      </c>
      <c r="D135" s="672" t="s">
        <v>840</v>
      </c>
      <c r="E135" s="673" t="s">
        <v>831</v>
      </c>
      <c r="F135" s="674"/>
      <c r="G135" s="672">
        <v>15</v>
      </c>
      <c r="H135" s="671" t="s">
        <v>807</v>
      </c>
      <c r="I135" s="675" t="s">
        <v>843</v>
      </c>
      <c r="J135" s="677" t="s">
        <v>804</v>
      </c>
      <c r="K135" s="671">
        <v>5</v>
      </c>
      <c r="L135" s="671">
        <f t="shared" si="1"/>
        <v>14.1</v>
      </c>
      <c r="M135" s="676"/>
    </row>
    <row r="136" spans="2:13" s="645" customFormat="1" ht="21.75" customHeight="1">
      <c r="B136" s="670">
        <v>44350</v>
      </c>
      <c r="C136" s="671" t="s">
        <v>819</v>
      </c>
      <c r="D136" s="672" t="s">
        <v>835</v>
      </c>
      <c r="E136" s="673" t="s">
        <v>831</v>
      </c>
      <c r="F136" s="674"/>
      <c r="G136" s="672">
        <v>20</v>
      </c>
      <c r="H136" s="671" t="s">
        <v>807</v>
      </c>
      <c r="I136" s="675" t="s">
        <v>843</v>
      </c>
      <c r="J136" s="677" t="s">
        <v>804</v>
      </c>
      <c r="K136" s="671">
        <v>4</v>
      </c>
      <c r="L136" s="671">
        <f t="shared" si="1"/>
        <v>18.8</v>
      </c>
      <c r="M136" s="676"/>
    </row>
    <row r="137" spans="2:13" s="645" customFormat="1" ht="21.75" customHeight="1">
      <c r="B137" s="670">
        <v>44350</v>
      </c>
      <c r="C137" s="671" t="s">
        <v>819</v>
      </c>
      <c r="D137" s="672" t="s">
        <v>841</v>
      </c>
      <c r="E137" s="673" t="s">
        <v>831</v>
      </c>
      <c r="F137" s="674"/>
      <c r="G137" s="672">
        <v>20</v>
      </c>
      <c r="H137" s="671" t="s">
        <v>807</v>
      </c>
      <c r="I137" s="675" t="s">
        <v>843</v>
      </c>
      <c r="J137" s="677" t="s">
        <v>804</v>
      </c>
      <c r="K137" s="671">
        <v>5</v>
      </c>
      <c r="L137" s="671">
        <f t="shared" ref="L137:L200" si="2">VLOOKUP(G137,$Q$4:$V$7,6,FALSE)</f>
        <v>18.8</v>
      </c>
      <c r="M137" s="676"/>
    </row>
    <row r="138" spans="2:13" s="645" customFormat="1" ht="21.75" customHeight="1">
      <c r="B138" s="670">
        <v>44350</v>
      </c>
      <c r="C138" s="671" t="s">
        <v>819</v>
      </c>
      <c r="D138" s="672" t="s">
        <v>834</v>
      </c>
      <c r="E138" s="673" t="s">
        <v>831</v>
      </c>
      <c r="F138" s="674"/>
      <c r="G138" s="672">
        <v>20</v>
      </c>
      <c r="H138" s="671" t="s">
        <v>807</v>
      </c>
      <c r="I138" s="675" t="s">
        <v>843</v>
      </c>
      <c r="J138" s="677" t="s">
        <v>804</v>
      </c>
      <c r="K138" s="671">
        <v>5</v>
      </c>
      <c r="L138" s="671">
        <f t="shared" si="2"/>
        <v>18.8</v>
      </c>
      <c r="M138" s="676"/>
    </row>
    <row r="139" spans="2:13" s="645" customFormat="1" ht="21.75" customHeight="1">
      <c r="B139" s="670">
        <v>44350</v>
      </c>
      <c r="C139" s="671" t="s">
        <v>819</v>
      </c>
      <c r="D139" s="672" t="s">
        <v>836</v>
      </c>
      <c r="E139" s="673" t="s">
        <v>831</v>
      </c>
      <c r="F139" s="674"/>
      <c r="G139" s="672">
        <v>15</v>
      </c>
      <c r="H139" s="671" t="s">
        <v>807</v>
      </c>
      <c r="I139" s="675" t="s">
        <v>843</v>
      </c>
      <c r="J139" s="677" t="s">
        <v>804</v>
      </c>
      <c r="K139" s="671">
        <v>5</v>
      </c>
      <c r="L139" s="671">
        <f t="shared" si="2"/>
        <v>14.1</v>
      </c>
      <c r="M139" s="676"/>
    </row>
    <row r="140" spans="2:13" s="645" customFormat="1" ht="21.75" customHeight="1">
      <c r="B140" s="670">
        <v>44350</v>
      </c>
      <c r="C140" s="671" t="s">
        <v>819</v>
      </c>
      <c r="D140" s="672" t="s">
        <v>830</v>
      </c>
      <c r="E140" s="673" t="s">
        <v>831</v>
      </c>
      <c r="F140" s="674"/>
      <c r="G140" s="672">
        <v>15</v>
      </c>
      <c r="H140" s="671" t="s">
        <v>807</v>
      </c>
      <c r="I140" s="675" t="s">
        <v>843</v>
      </c>
      <c r="J140" s="677" t="s">
        <v>804</v>
      </c>
      <c r="K140" s="671">
        <v>5</v>
      </c>
      <c r="L140" s="671">
        <f t="shared" si="2"/>
        <v>14.1</v>
      </c>
      <c r="M140" s="676"/>
    </row>
    <row r="141" spans="2:13" s="645" customFormat="1" ht="21.75" customHeight="1">
      <c r="B141" s="670">
        <v>44350</v>
      </c>
      <c r="C141" s="671" t="s">
        <v>819</v>
      </c>
      <c r="D141" s="672" t="s">
        <v>844</v>
      </c>
      <c r="E141" s="673" t="s">
        <v>831</v>
      </c>
      <c r="F141" s="674"/>
      <c r="G141" s="672">
        <v>15</v>
      </c>
      <c r="H141" s="671" t="s">
        <v>807</v>
      </c>
      <c r="I141" s="675" t="s">
        <v>843</v>
      </c>
      <c r="J141" s="677" t="s">
        <v>804</v>
      </c>
      <c r="K141" s="671">
        <v>5</v>
      </c>
      <c r="L141" s="671">
        <f t="shared" si="2"/>
        <v>14.1</v>
      </c>
      <c r="M141" s="676"/>
    </row>
    <row r="142" spans="2:13" s="645" customFormat="1" ht="21.75" customHeight="1">
      <c r="B142" s="670">
        <v>44350</v>
      </c>
      <c r="C142" s="671" t="s">
        <v>819</v>
      </c>
      <c r="D142" s="672" t="s">
        <v>839</v>
      </c>
      <c r="E142" s="673" t="s">
        <v>831</v>
      </c>
      <c r="F142" s="674"/>
      <c r="G142" s="672">
        <v>15</v>
      </c>
      <c r="H142" s="671" t="s">
        <v>807</v>
      </c>
      <c r="I142" s="675" t="s">
        <v>843</v>
      </c>
      <c r="J142" s="677" t="s">
        <v>804</v>
      </c>
      <c r="K142" s="671">
        <v>5</v>
      </c>
      <c r="L142" s="671">
        <f t="shared" si="2"/>
        <v>14.1</v>
      </c>
      <c r="M142" s="676"/>
    </row>
    <row r="143" spans="2:13" s="645" customFormat="1" ht="21.75" customHeight="1">
      <c r="B143" s="670">
        <v>44350</v>
      </c>
      <c r="C143" s="671" t="s">
        <v>819</v>
      </c>
      <c r="D143" s="672" t="s">
        <v>848</v>
      </c>
      <c r="E143" s="673" t="s">
        <v>831</v>
      </c>
      <c r="F143" s="674"/>
      <c r="G143" s="672">
        <v>20</v>
      </c>
      <c r="H143" s="671" t="s">
        <v>807</v>
      </c>
      <c r="I143" s="675" t="s">
        <v>846</v>
      </c>
      <c r="J143" s="677" t="s">
        <v>804</v>
      </c>
      <c r="K143" s="671">
        <v>6</v>
      </c>
      <c r="L143" s="671">
        <f t="shared" si="2"/>
        <v>18.8</v>
      </c>
      <c r="M143" s="676"/>
    </row>
    <row r="144" spans="2:13" s="645" customFormat="1" ht="21.75" customHeight="1">
      <c r="B144" s="670">
        <v>44350</v>
      </c>
      <c r="C144" s="671" t="s">
        <v>819</v>
      </c>
      <c r="D144" s="672" t="s">
        <v>845</v>
      </c>
      <c r="E144" s="673" t="s">
        <v>831</v>
      </c>
      <c r="F144" s="674"/>
      <c r="G144" s="672">
        <v>17</v>
      </c>
      <c r="H144" s="671" t="s">
        <v>807</v>
      </c>
      <c r="I144" s="675" t="s">
        <v>846</v>
      </c>
      <c r="J144" s="677" t="s">
        <v>804</v>
      </c>
      <c r="K144" s="671">
        <v>7</v>
      </c>
      <c r="L144" s="671">
        <f t="shared" si="2"/>
        <v>15.98</v>
      </c>
      <c r="M144" s="676"/>
    </row>
    <row r="145" spans="2:13" s="645" customFormat="1" ht="21.75" customHeight="1">
      <c r="B145" s="670">
        <v>44350</v>
      </c>
      <c r="C145" s="671" t="s">
        <v>819</v>
      </c>
      <c r="D145" s="672" t="s">
        <v>847</v>
      </c>
      <c r="E145" s="673" t="s">
        <v>831</v>
      </c>
      <c r="F145" s="674"/>
      <c r="G145" s="672">
        <v>17</v>
      </c>
      <c r="H145" s="671" t="s">
        <v>807</v>
      </c>
      <c r="I145" s="675" t="s">
        <v>846</v>
      </c>
      <c r="J145" s="677" t="s">
        <v>804</v>
      </c>
      <c r="K145" s="671">
        <v>7</v>
      </c>
      <c r="L145" s="671">
        <f t="shared" si="2"/>
        <v>15.98</v>
      </c>
      <c r="M145" s="676"/>
    </row>
    <row r="146" spans="2:13" s="645" customFormat="1" ht="21.75" customHeight="1">
      <c r="B146" s="678">
        <v>44351</v>
      </c>
      <c r="C146" s="679" t="s">
        <v>819</v>
      </c>
      <c r="D146" s="680" t="s">
        <v>840</v>
      </c>
      <c r="E146" s="681" t="s">
        <v>831</v>
      </c>
      <c r="F146" s="682"/>
      <c r="G146" s="680">
        <v>20</v>
      </c>
      <c r="H146" s="679" t="s">
        <v>807</v>
      </c>
      <c r="I146" s="683" t="s">
        <v>843</v>
      </c>
      <c r="J146" s="684" t="s">
        <v>804</v>
      </c>
      <c r="K146" s="679">
        <v>4</v>
      </c>
      <c r="L146" s="679">
        <f t="shared" si="2"/>
        <v>18.8</v>
      </c>
      <c r="M146" s="668"/>
    </row>
    <row r="147" spans="2:13" s="645" customFormat="1" ht="21.75" customHeight="1">
      <c r="B147" s="678">
        <v>44351</v>
      </c>
      <c r="C147" s="679" t="s">
        <v>819</v>
      </c>
      <c r="D147" s="680" t="s">
        <v>835</v>
      </c>
      <c r="E147" s="681" t="s">
        <v>831</v>
      </c>
      <c r="F147" s="682"/>
      <c r="G147" s="680">
        <v>20</v>
      </c>
      <c r="H147" s="679" t="s">
        <v>807</v>
      </c>
      <c r="I147" s="683" t="s">
        <v>843</v>
      </c>
      <c r="J147" s="684" t="s">
        <v>804</v>
      </c>
      <c r="K147" s="679">
        <v>4</v>
      </c>
      <c r="L147" s="679">
        <f t="shared" si="2"/>
        <v>18.8</v>
      </c>
      <c r="M147" s="668"/>
    </row>
    <row r="148" spans="2:13" s="645" customFormat="1" ht="21.75" customHeight="1">
      <c r="B148" s="678">
        <v>44351</v>
      </c>
      <c r="C148" s="679" t="s">
        <v>819</v>
      </c>
      <c r="D148" s="680" t="s">
        <v>841</v>
      </c>
      <c r="E148" s="681" t="s">
        <v>831</v>
      </c>
      <c r="F148" s="682"/>
      <c r="G148" s="680">
        <v>20</v>
      </c>
      <c r="H148" s="679" t="s">
        <v>807</v>
      </c>
      <c r="I148" s="683" t="s">
        <v>843</v>
      </c>
      <c r="J148" s="684" t="s">
        <v>804</v>
      </c>
      <c r="K148" s="679">
        <v>3</v>
      </c>
      <c r="L148" s="679">
        <f t="shared" si="2"/>
        <v>18.8</v>
      </c>
      <c r="M148" s="668"/>
    </row>
    <row r="149" spans="2:13" s="645" customFormat="1" ht="21.75" customHeight="1">
      <c r="B149" s="678">
        <v>44351</v>
      </c>
      <c r="C149" s="679" t="s">
        <v>819</v>
      </c>
      <c r="D149" s="680" t="s">
        <v>834</v>
      </c>
      <c r="E149" s="681" t="s">
        <v>831</v>
      </c>
      <c r="F149" s="682"/>
      <c r="G149" s="680">
        <v>20</v>
      </c>
      <c r="H149" s="679" t="s">
        <v>807</v>
      </c>
      <c r="I149" s="683" t="s">
        <v>843</v>
      </c>
      <c r="J149" s="684" t="s">
        <v>804</v>
      </c>
      <c r="K149" s="679">
        <v>4</v>
      </c>
      <c r="L149" s="679">
        <f t="shared" si="2"/>
        <v>18.8</v>
      </c>
      <c r="M149" s="668"/>
    </row>
    <row r="150" spans="2:13" s="645" customFormat="1" ht="21.75" customHeight="1">
      <c r="B150" s="678">
        <v>44351</v>
      </c>
      <c r="C150" s="679" t="s">
        <v>819</v>
      </c>
      <c r="D150" s="680" t="s">
        <v>848</v>
      </c>
      <c r="E150" s="681" t="s">
        <v>831</v>
      </c>
      <c r="F150" s="682"/>
      <c r="G150" s="680">
        <v>20</v>
      </c>
      <c r="H150" s="679" t="s">
        <v>807</v>
      </c>
      <c r="I150" s="683" t="s">
        <v>843</v>
      </c>
      <c r="J150" s="684" t="s">
        <v>804</v>
      </c>
      <c r="K150" s="679">
        <v>2</v>
      </c>
      <c r="L150" s="679">
        <f t="shared" si="2"/>
        <v>18.8</v>
      </c>
      <c r="M150" s="668"/>
    </row>
    <row r="151" spans="2:13" s="645" customFormat="1" ht="21.75" customHeight="1">
      <c r="B151" s="678">
        <v>44351</v>
      </c>
      <c r="C151" s="679" t="s">
        <v>819</v>
      </c>
      <c r="D151" s="680" t="s">
        <v>836</v>
      </c>
      <c r="E151" s="681" t="s">
        <v>831</v>
      </c>
      <c r="F151" s="682"/>
      <c r="G151" s="680">
        <v>15</v>
      </c>
      <c r="H151" s="679" t="s">
        <v>807</v>
      </c>
      <c r="I151" s="683" t="s">
        <v>843</v>
      </c>
      <c r="J151" s="684" t="s">
        <v>804</v>
      </c>
      <c r="K151" s="679">
        <v>4</v>
      </c>
      <c r="L151" s="679">
        <f t="shared" si="2"/>
        <v>14.1</v>
      </c>
      <c r="M151" s="668"/>
    </row>
    <row r="152" spans="2:13" s="645" customFormat="1" ht="21.75" customHeight="1">
      <c r="B152" s="678">
        <v>44351</v>
      </c>
      <c r="C152" s="679" t="s">
        <v>819</v>
      </c>
      <c r="D152" s="680" t="s">
        <v>830</v>
      </c>
      <c r="E152" s="681" t="s">
        <v>831</v>
      </c>
      <c r="F152" s="682"/>
      <c r="G152" s="680">
        <v>15</v>
      </c>
      <c r="H152" s="679" t="s">
        <v>807</v>
      </c>
      <c r="I152" s="683" t="s">
        <v>843</v>
      </c>
      <c r="J152" s="684" t="s">
        <v>804</v>
      </c>
      <c r="K152" s="679">
        <v>4</v>
      </c>
      <c r="L152" s="679">
        <f t="shared" si="2"/>
        <v>14.1</v>
      </c>
      <c r="M152" s="668"/>
    </row>
    <row r="153" spans="2:13" s="645" customFormat="1" ht="21.75" customHeight="1">
      <c r="B153" s="678">
        <v>44351</v>
      </c>
      <c r="C153" s="679" t="s">
        <v>819</v>
      </c>
      <c r="D153" s="680" t="s">
        <v>844</v>
      </c>
      <c r="E153" s="681" t="s">
        <v>831</v>
      </c>
      <c r="F153" s="682"/>
      <c r="G153" s="680">
        <v>15</v>
      </c>
      <c r="H153" s="679" t="s">
        <v>807</v>
      </c>
      <c r="I153" s="683" t="s">
        <v>843</v>
      </c>
      <c r="J153" s="684" t="s">
        <v>804</v>
      </c>
      <c r="K153" s="679">
        <v>4</v>
      </c>
      <c r="L153" s="679">
        <f t="shared" si="2"/>
        <v>14.1</v>
      </c>
      <c r="M153" s="668"/>
    </row>
    <row r="154" spans="2:13" s="645" customFormat="1" ht="21.75" customHeight="1">
      <c r="B154" s="678">
        <v>44351</v>
      </c>
      <c r="C154" s="679" t="s">
        <v>819</v>
      </c>
      <c r="D154" s="680" t="s">
        <v>839</v>
      </c>
      <c r="E154" s="681" t="s">
        <v>831</v>
      </c>
      <c r="F154" s="682"/>
      <c r="G154" s="680">
        <v>15</v>
      </c>
      <c r="H154" s="679" t="s">
        <v>807</v>
      </c>
      <c r="I154" s="683" t="s">
        <v>843</v>
      </c>
      <c r="J154" s="684" t="s">
        <v>804</v>
      </c>
      <c r="K154" s="679">
        <v>4</v>
      </c>
      <c r="L154" s="679">
        <f t="shared" si="2"/>
        <v>14.1</v>
      </c>
      <c r="M154" s="668"/>
    </row>
    <row r="155" spans="2:13" s="645" customFormat="1" ht="21.75" customHeight="1">
      <c r="B155" s="678">
        <v>44351</v>
      </c>
      <c r="C155" s="679" t="s">
        <v>819</v>
      </c>
      <c r="D155" s="680" t="s">
        <v>848</v>
      </c>
      <c r="E155" s="681" t="s">
        <v>831</v>
      </c>
      <c r="F155" s="682"/>
      <c r="G155" s="680">
        <v>20</v>
      </c>
      <c r="H155" s="679" t="s">
        <v>807</v>
      </c>
      <c r="I155" s="683" t="s">
        <v>846</v>
      </c>
      <c r="J155" s="684" t="s">
        <v>804</v>
      </c>
      <c r="K155" s="679">
        <v>4</v>
      </c>
      <c r="L155" s="679">
        <f t="shared" si="2"/>
        <v>18.8</v>
      </c>
      <c r="M155" s="668"/>
    </row>
    <row r="156" spans="2:13" s="645" customFormat="1" ht="21.75" customHeight="1">
      <c r="B156" s="678">
        <v>44351</v>
      </c>
      <c r="C156" s="679" t="s">
        <v>819</v>
      </c>
      <c r="D156" s="680" t="s">
        <v>845</v>
      </c>
      <c r="E156" s="681" t="s">
        <v>831</v>
      </c>
      <c r="F156" s="682"/>
      <c r="G156" s="680">
        <v>17</v>
      </c>
      <c r="H156" s="679" t="s">
        <v>807</v>
      </c>
      <c r="I156" s="683" t="s">
        <v>846</v>
      </c>
      <c r="J156" s="684" t="s">
        <v>804</v>
      </c>
      <c r="K156" s="679">
        <v>8</v>
      </c>
      <c r="L156" s="679">
        <f t="shared" si="2"/>
        <v>15.98</v>
      </c>
      <c r="M156" s="668"/>
    </row>
    <row r="157" spans="2:13" s="645" customFormat="1" ht="21.75" customHeight="1">
      <c r="B157" s="678">
        <v>44351</v>
      </c>
      <c r="C157" s="679" t="s">
        <v>819</v>
      </c>
      <c r="D157" s="680" t="s">
        <v>847</v>
      </c>
      <c r="E157" s="681" t="s">
        <v>831</v>
      </c>
      <c r="F157" s="682"/>
      <c r="G157" s="680">
        <v>17</v>
      </c>
      <c r="H157" s="679" t="s">
        <v>807</v>
      </c>
      <c r="I157" s="683" t="s">
        <v>846</v>
      </c>
      <c r="J157" s="684" t="s">
        <v>804</v>
      </c>
      <c r="K157" s="679">
        <v>7</v>
      </c>
      <c r="L157" s="679">
        <f t="shared" si="2"/>
        <v>15.98</v>
      </c>
      <c r="M157" s="668"/>
    </row>
    <row r="158" spans="2:13" s="645" customFormat="1" ht="21.75" customHeight="1">
      <c r="B158" s="678">
        <v>44351</v>
      </c>
      <c r="C158" s="679" t="s">
        <v>819</v>
      </c>
      <c r="D158" s="680" t="s">
        <v>840</v>
      </c>
      <c r="E158" s="681" t="s">
        <v>831</v>
      </c>
      <c r="F158" s="682"/>
      <c r="G158" s="680">
        <v>15</v>
      </c>
      <c r="H158" s="679" t="s">
        <v>807</v>
      </c>
      <c r="I158" s="683" t="s">
        <v>838</v>
      </c>
      <c r="J158" s="684" t="s">
        <v>804</v>
      </c>
      <c r="K158" s="679">
        <v>2</v>
      </c>
      <c r="L158" s="679">
        <f t="shared" si="2"/>
        <v>14.1</v>
      </c>
      <c r="M158" s="668"/>
    </row>
    <row r="159" spans="2:13" s="645" customFormat="1" ht="21.75" customHeight="1">
      <c r="B159" s="678">
        <v>44351</v>
      </c>
      <c r="C159" s="679" t="s">
        <v>819</v>
      </c>
      <c r="D159" s="680" t="s">
        <v>835</v>
      </c>
      <c r="E159" s="681" t="s">
        <v>831</v>
      </c>
      <c r="F159" s="682"/>
      <c r="G159" s="680">
        <v>20</v>
      </c>
      <c r="H159" s="679" t="s">
        <v>807</v>
      </c>
      <c r="I159" s="683" t="s">
        <v>838</v>
      </c>
      <c r="J159" s="684" t="s">
        <v>804</v>
      </c>
      <c r="K159" s="679">
        <v>2</v>
      </c>
      <c r="L159" s="679">
        <f t="shared" si="2"/>
        <v>18.8</v>
      </c>
      <c r="M159" s="668"/>
    </row>
    <row r="160" spans="2:13" s="645" customFormat="1" ht="21.75" customHeight="1">
      <c r="B160" s="678">
        <v>44351</v>
      </c>
      <c r="C160" s="679" t="s">
        <v>819</v>
      </c>
      <c r="D160" s="680" t="s">
        <v>841</v>
      </c>
      <c r="E160" s="681" t="s">
        <v>831</v>
      </c>
      <c r="F160" s="682"/>
      <c r="G160" s="680">
        <v>20</v>
      </c>
      <c r="H160" s="679" t="s">
        <v>807</v>
      </c>
      <c r="I160" s="683" t="s">
        <v>838</v>
      </c>
      <c r="J160" s="684" t="s">
        <v>804</v>
      </c>
      <c r="K160" s="679">
        <v>3</v>
      </c>
      <c r="L160" s="679">
        <f t="shared" si="2"/>
        <v>18.8</v>
      </c>
      <c r="M160" s="668"/>
    </row>
    <row r="161" spans="2:13" s="645" customFormat="1" ht="21.75" customHeight="1">
      <c r="B161" s="678">
        <v>44351</v>
      </c>
      <c r="C161" s="679" t="s">
        <v>819</v>
      </c>
      <c r="D161" s="680" t="s">
        <v>834</v>
      </c>
      <c r="E161" s="681" t="s">
        <v>831</v>
      </c>
      <c r="F161" s="682"/>
      <c r="G161" s="680">
        <v>20</v>
      </c>
      <c r="H161" s="679" t="s">
        <v>807</v>
      </c>
      <c r="I161" s="683" t="s">
        <v>838</v>
      </c>
      <c r="J161" s="684" t="s">
        <v>804</v>
      </c>
      <c r="K161" s="679">
        <v>1</v>
      </c>
      <c r="L161" s="679">
        <f t="shared" si="2"/>
        <v>18.8</v>
      </c>
      <c r="M161" s="668"/>
    </row>
    <row r="162" spans="2:13" s="645" customFormat="1" ht="21.75" customHeight="1">
      <c r="B162" s="678">
        <v>44351</v>
      </c>
      <c r="C162" s="679" t="s">
        <v>819</v>
      </c>
      <c r="D162" s="680" t="s">
        <v>848</v>
      </c>
      <c r="E162" s="681" t="s">
        <v>831</v>
      </c>
      <c r="F162" s="682"/>
      <c r="G162" s="680">
        <v>20</v>
      </c>
      <c r="H162" s="679" t="s">
        <v>807</v>
      </c>
      <c r="I162" s="683" t="s">
        <v>838</v>
      </c>
      <c r="J162" s="684" t="s">
        <v>804</v>
      </c>
      <c r="K162" s="679">
        <v>1</v>
      </c>
      <c r="L162" s="679">
        <f t="shared" si="2"/>
        <v>18.8</v>
      </c>
      <c r="M162" s="668"/>
    </row>
    <row r="163" spans="2:13" s="645" customFormat="1" ht="21.75" customHeight="1">
      <c r="B163" s="678">
        <v>44351</v>
      </c>
      <c r="C163" s="679" t="s">
        <v>819</v>
      </c>
      <c r="D163" s="680" t="s">
        <v>836</v>
      </c>
      <c r="E163" s="681" t="s">
        <v>831</v>
      </c>
      <c r="F163" s="682"/>
      <c r="G163" s="680">
        <v>15</v>
      </c>
      <c r="H163" s="679" t="s">
        <v>807</v>
      </c>
      <c r="I163" s="683" t="s">
        <v>838</v>
      </c>
      <c r="J163" s="684" t="s">
        <v>804</v>
      </c>
      <c r="K163" s="679">
        <v>2</v>
      </c>
      <c r="L163" s="679">
        <f t="shared" si="2"/>
        <v>14.1</v>
      </c>
      <c r="M163" s="668"/>
    </row>
    <row r="164" spans="2:13" s="645" customFormat="1" ht="21.75" customHeight="1">
      <c r="B164" s="678">
        <v>44351</v>
      </c>
      <c r="C164" s="679" t="s">
        <v>819</v>
      </c>
      <c r="D164" s="680" t="s">
        <v>830</v>
      </c>
      <c r="E164" s="681" t="s">
        <v>831</v>
      </c>
      <c r="F164" s="682"/>
      <c r="G164" s="680">
        <v>15</v>
      </c>
      <c r="H164" s="679" t="s">
        <v>807</v>
      </c>
      <c r="I164" s="683" t="s">
        <v>838</v>
      </c>
      <c r="J164" s="684" t="s">
        <v>804</v>
      </c>
      <c r="K164" s="679">
        <v>2</v>
      </c>
      <c r="L164" s="679">
        <f t="shared" si="2"/>
        <v>14.1</v>
      </c>
      <c r="M164" s="668"/>
    </row>
    <row r="165" spans="2:13" s="645" customFormat="1" ht="21.75" customHeight="1">
      <c r="B165" s="678">
        <v>44351</v>
      </c>
      <c r="C165" s="679" t="s">
        <v>819</v>
      </c>
      <c r="D165" s="680" t="s">
        <v>844</v>
      </c>
      <c r="E165" s="681" t="s">
        <v>831</v>
      </c>
      <c r="F165" s="682"/>
      <c r="G165" s="680">
        <v>15</v>
      </c>
      <c r="H165" s="679" t="s">
        <v>807</v>
      </c>
      <c r="I165" s="683" t="s">
        <v>838</v>
      </c>
      <c r="J165" s="684" t="s">
        <v>804</v>
      </c>
      <c r="K165" s="679">
        <v>1</v>
      </c>
      <c r="L165" s="679">
        <f t="shared" si="2"/>
        <v>14.1</v>
      </c>
      <c r="M165" s="668"/>
    </row>
    <row r="166" spans="2:13" s="645" customFormat="1" ht="21.75" customHeight="1">
      <c r="B166" s="670">
        <v>44352</v>
      </c>
      <c r="C166" s="671" t="s">
        <v>819</v>
      </c>
      <c r="D166" s="672" t="s">
        <v>840</v>
      </c>
      <c r="E166" s="673" t="s">
        <v>831</v>
      </c>
      <c r="F166" s="674"/>
      <c r="G166" s="672">
        <v>15</v>
      </c>
      <c r="H166" s="671" t="s">
        <v>807</v>
      </c>
      <c r="I166" s="675" t="s">
        <v>843</v>
      </c>
      <c r="J166" s="677" t="s">
        <v>804</v>
      </c>
      <c r="K166" s="671">
        <v>1</v>
      </c>
      <c r="L166" s="671">
        <f t="shared" si="2"/>
        <v>14.1</v>
      </c>
      <c r="M166" s="676"/>
    </row>
    <row r="167" spans="2:13" s="645" customFormat="1" ht="21.75" customHeight="1">
      <c r="B167" s="670">
        <v>44352</v>
      </c>
      <c r="C167" s="671" t="s">
        <v>819</v>
      </c>
      <c r="D167" s="672" t="s">
        <v>835</v>
      </c>
      <c r="E167" s="673" t="s">
        <v>831</v>
      </c>
      <c r="F167" s="674"/>
      <c r="G167" s="672">
        <v>20</v>
      </c>
      <c r="H167" s="671" t="s">
        <v>807</v>
      </c>
      <c r="I167" s="675" t="s">
        <v>843</v>
      </c>
      <c r="J167" s="677" t="s">
        <v>804</v>
      </c>
      <c r="K167" s="671">
        <v>1</v>
      </c>
      <c r="L167" s="671">
        <f t="shared" si="2"/>
        <v>18.8</v>
      </c>
      <c r="M167" s="676"/>
    </row>
    <row r="168" spans="2:13" s="645" customFormat="1" ht="21.75" customHeight="1">
      <c r="B168" s="670">
        <v>44352</v>
      </c>
      <c r="C168" s="671" t="s">
        <v>819</v>
      </c>
      <c r="D168" s="672" t="s">
        <v>841</v>
      </c>
      <c r="E168" s="673" t="s">
        <v>831</v>
      </c>
      <c r="F168" s="674"/>
      <c r="G168" s="672">
        <v>20</v>
      </c>
      <c r="H168" s="671" t="s">
        <v>807</v>
      </c>
      <c r="I168" s="675" t="s">
        <v>843</v>
      </c>
      <c r="J168" s="677" t="s">
        <v>804</v>
      </c>
      <c r="K168" s="671">
        <v>1</v>
      </c>
      <c r="L168" s="671">
        <f t="shared" si="2"/>
        <v>18.8</v>
      </c>
      <c r="M168" s="676"/>
    </row>
    <row r="169" spans="2:13" s="645" customFormat="1" ht="21.75" customHeight="1">
      <c r="B169" s="670">
        <v>44352</v>
      </c>
      <c r="C169" s="671" t="s">
        <v>819</v>
      </c>
      <c r="D169" s="672" t="s">
        <v>834</v>
      </c>
      <c r="E169" s="673" t="s">
        <v>831</v>
      </c>
      <c r="F169" s="674"/>
      <c r="G169" s="672">
        <v>20</v>
      </c>
      <c r="H169" s="671" t="s">
        <v>807</v>
      </c>
      <c r="I169" s="675" t="s">
        <v>843</v>
      </c>
      <c r="J169" s="677" t="s">
        <v>804</v>
      </c>
      <c r="K169" s="671">
        <v>1</v>
      </c>
      <c r="L169" s="671">
        <f t="shared" si="2"/>
        <v>18.8</v>
      </c>
      <c r="M169" s="676"/>
    </row>
    <row r="170" spans="2:13" s="645" customFormat="1" ht="21.75" customHeight="1">
      <c r="B170" s="670">
        <v>44352</v>
      </c>
      <c r="C170" s="671" t="s">
        <v>819</v>
      </c>
      <c r="D170" s="672" t="s">
        <v>836</v>
      </c>
      <c r="E170" s="673" t="s">
        <v>831</v>
      </c>
      <c r="F170" s="674"/>
      <c r="G170" s="672">
        <v>15</v>
      </c>
      <c r="H170" s="671" t="s">
        <v>807</v>
      </c>
      <c r="I170" s="675" t="s">
        <v>843</v>
      </c>
      <c r="J170" s="677" t="s">
        <v>804</v>
      </c>
      <c r="K170" s="671">
        <v>1</v>
      </c>
      <c r="L170" s="671">
        <f t="shared" si="2"/>
        <v>14.1</v>
      </c>
      <c r="M170" s="676"/>
    </row>
    <row r="171" spans="2:13" s="645" customFormat="1" ht="21.75" customHeight="1">
      <c r="B171" s="670">
        <v>44352</v>
      </c>
      <c r="C171" s="671" t="s">
        <v>819</v>
      </c>
      <c r="D171" s="672" t="s">
        <v>830</v>
      </c>
      <c r="E171" s="673" t="s">
        <v>831</v>
      </c>
      <c r="F171" s="674"/>
      <c r="G171" s="672">
        <v>15</v>
      </c>
      <c r="H171" s="671" t="s">
        <v>807</v>
      </c>
      <c r="I171" s="675" t="s">
        <v>843</v>
      </c>
      <c r="J171" s="677" t="s">
        <v>804</v>
      </c>
      <c r="K171" s="671">
        <v>2</v>
      </c>
      <c r="L171" s="671">
        <f t="shared" si="2"/>
        <v>14.1</v>
      </c>
      <c r="M171" s="676"/>
    </row>
    <row r="172" spans="2:13" s="645" customFormat="1" ht="21.75" customHeight="1">
      <c r="B172" s="670">
        <v>44352</v>
      </c>
      <c r="C172" s="671" t="s">
        <v>819</v>
      </c>
      <c r="D172" s="672" t="s">
        <v>844</v>
      </c>
      <c r="E172" s="673" t="s">
        <v>831</v>
      </c>
      <c r="F172" s="674"/>
      <c r="G172" s="672">
        <v>15</v>
      </c>
      <c r="H172" s="671" t="s">
        <v>807</v>
      </c>
      <c r="I172" s="675" t="s">
        <v>843</v>
      </c>
      <c r="J172" s="677" t="s">
        <v>804</v>
      </c>
      <c r="K172" s="671">
        <v>1</v>
      </c>
      <c r="L172" s="671">
        <f t="shared" si="2"/>
        <v>14.1</v>
      </c>
      <c r="M172" s="676"/>
    </row>
    <row r="173" spans="2:13" s="645" customFormat="1" ht="21.75" customHeight="1">
      <c r="B173" s="670">
        <v>44352</v>
      </c>
      <c r="C173" s="671" t="s">
        <v>819</v>
      </c>
      <c r="D173" s="672" t="s">
        <v>839</v>
      </c>
      <c r="E173" s="673" t="s">
        <v>831</v>
      </c>
      <c r="F173" s="674"/>
      <c r="G173" s="672">
        <v>15</v>
      </c>
      <c r="H173" s="671" t="s">
        <v>807</v>
      </c>
      <c r="I173" s="675" t="s">
        <v>843</v>
      </c>
      <c r="J173" s="677" t="s">
        <v>804</v>
      </c>
      <c r="K173" s="671">
        <v>1</v>
      </c>
      <c r="L173" s="671">
        <f t="shared" si="2"/>
        <v>14.1</v>
      </c>
      <c r="M173" s="676"/>
    </row>
    <row r="174" spans="2:13" s="645" customFormat="1" ht="21.75" customHeight="1">
      <c r="B174" s="670">
        <v>44352</v>
      </c>
      <c r="C174" s="671" t="s">
        <v>819</v>
      </c>
      <c r="D174" s="672" t="s">
        <v>848</v>
      </c>
      <c r="E174" s="673" t="s">
        <v>831</v>
      </c>
      <c r="F174" s="674"/>
      <c r="G174" s="672">
        <v>20</v>
      </c>
      <c r="H174" s="671" t="s">
        <v>807</v>
      </c>
      <c r="I174" s="675" t="s">
        <v>846</v>
      </c>
      <c r="J174" s="677" t="s">
        <v>804</v>
      </c>
      <c r="K174" s="671">
        <v>4</v>
      </c>
      <c r="L174" s="671">
        <f t="shared" si="2"/>
        <v>18.8</v>
      </c>
      <c r="M174" s="676"/>
    </row>
    <row r="175" spans="2:13" s="645" customFormat="1" ht="21.75" customHeight="1">
      <c r="B175" s="670">
        <v>44352</v>
      </c>
      <c r="C175" s="671" t="s">
        <v>819</v>
      </c>
      <c r="D175" s="672" t="s">
        <v>845</v>
      </c>
      <c r="E175" s="673" t="s">
        <v>831</v>
      </c>
      <c r="F175" s="674"/>
      <c r="G175" s="672">
        <v>17</v>
      </c>
      <c r="H175" s="671" t="s">
        <v>807</v>
      </c>
      <c r="I175" s="675" t="s">
        <v>846</v>
      </c>
      <c r="J175" s="677" t="s">
        <v>804</v>
      </c>
      <c r="K175" s="671">
        <v>3</v>
      </c>
      <c r="L175" s="671">
        <f t="shared" si="2"/>
        <v>15.98</v>
      </c>
      <c r="M175" s="676"/>
    </row>
    <row r="176" spans="2:13" s="645" customFormat="1" ht="21.75" customHeight="1">
      <c r="B176" s="670">
        <v>44352</v>
      </c>
      <c r="C176" s="671" t="s">
        <v>819</v>
      </c>
      <c r="D176" s="672" t="s">
        <v>847</v>
      </c>
      <c r="E176" s="673" t="s">
        <v>831</v>
      </c>
      <c r="F176" s="674"/>
      <c r="G176" s="672">
        <v>17</v>
      </c>
      <c r="H176" s="671" t="s">
        <v>807</v>
      </c>
      <c r="I176" s="675" t="s">
        <v>846</v>
      </c>
      <c r="J176" s="677" t="s">
        <v>804</v>
      </c>
      <c r="K176" s="671">
        <v>3</v>
      </c>
      <c r="L176" s="671">
        <f t="shared" si="2"/>
        <v>15.98</v>
      </c>
      <c r="M176" s="676"/>
    </row>
    <row r="177" spans="2:13" s="645" customFormat="1" ht="21.75" customHeight="1">
      <c r="B177" s="670">
        <v>44352</v>
      </c>
      <c r="C177" s="671" t="s">
        <v>819</v>
      </c>
      <c r="D177" s="672" t="s">
        <v>835</v>
      </c>
      <c r="E177" s="673" t="s">
        <v>831</v>
      </c>
      <c r="F177" s="674"/>
      <c r="G177" s="672">
        <v>20</v>
      </c>
      <c r="H177" s="671" t="s">
        <v>807</v>
      </c>
      <c r="I177" s="675" t="s">
        <v>838</v>
      </c>
      <c r="J177" s="677" t="s">
        <v>804</v>
      </c>
      <c r="K177" s="671">
        <v>3</v>
      </c>
      <c r="L177" s="671">
        <f t="shared" si="2"/>
        <v>18.8</v>
      </c>
      <c r="M177" s="676"/>
    </row>
    <row r="178" spans="2:13" s="645" customFormat="1" ht="21.75" customHeight="1">
      <c r="B178" s="670">
        <v>44352</v>
      </c>
      <c r="C178" s="671" t="s">
        <v>819</v>
      </c>
      <c r="D178" s="672" t="s">
        <v>841</v>
      </c>
      <c r="E178" s="673" t="s">
        <v>831</v>
      </c>
      <c r="F178" s="674"/>
      <c r="G178" s="672">
        <v>20</v>
      </c>
      <c r="H178" s="671" t="s">
        <v>807</v>
      </c>
      <c r="I178" s="675" t="s">
        <v>838</v>
      </c>
      <c r="J178" s="677" t="s">
        <v>804</v>
      </c>
      <c r="K178" s="671">
        <v>1</v>
      </c>
      <c r="L178" s="671">
        <f t="shared" si="2"/>
        <v>18.8</v>
      </c>
      <c r="M178" s="676"/>
    </row>
    <row r="179" spans="2:13" s="645" customFormat="1" ht="21.75" customHeight="1">
      <c r="B179" s="670">
        <v>44352</v>
      </c>
      <c r="C179" s="671" t="s">
        <v>819</v>
      </c>
      <c r="D179" s="672" t="s">
        <v>834</v>
      </c>
      <c r="E179" s="673" t="s">
        <v>831</v>
      </c>
      <c r="F179" s="674"/>
      <c r="G179" s="672">
        <v>20</v>
      </c>
      <c r="H179" s="671" t="s">
        <v>807</v>
      </c>
      <c r="I179" s="675" t="s">
        <v>838</v>
      </c>
      <c r="J179" s="677" t="s">
        <v>804</v>
      </c>
      <c r="K179" s="671">
        <v>3</v>
      </c>
      <c r="L179" s="671">
        <f t="shared" si="2"/>
        <v>18.8</v>
      </c>
      <c r="M179" s="676"/>
    </row>
    <row r="180" spans="2:13" s="645" customFormat="1" ht="21.75" customHeight="1">
      <c r="B180" s="670">
        <v>44352</v>
      </c>
      <c r="C180" s="671" t="s">
        <v>819</v>
      </c>
      <c r="D180" s="672" t="s">
        <v>848</v>
      </c>
      <c r="E180" s="673" t="s">
        <v>831</v>
      </c>
      <c r="F180" s="674"/>
      <c r="G180" s="672">
        <v>20</v>
      </c>
      <c r="H180" s="671" t="s">
        <v>807</v>
      </c>
      <c r="I180" s="675" t="s">
        <v>838</v>
      </c>
      <c r="J180" s="677" t="s">
        <v>804</v>
      </c>
      <c r="K180" s="671">
        <v>2</v>
      </c>
      <c r="L180" s="671">
        <f t="shared" si="2"/>
        <v>18.8</v>
      </c>
      <c r="M180" s="676"/>
    </row>
    <row r="181" spans="2:13" s="645" customFormat="1" ht="21.75" customHeight="1">
      <c r="B181" s="670">
        <v>44352</v>
      </c>
      <c r="C181" s="671" t="s">
        <v>819</v>
      </c>
      <c r="D181" s="672" t="s">
        <v>836</v>
      </c>
      <c r="E181" s="673" t="s">
        <v>831</v>
      </c>
      <c r="F181" s="674"/>
      <c r="G181" s="672">
        <v>15</v>
      </c>
      <c r="H181" s="671" t="s">
        <v>807</v>
      </c>
      <c r="I181" s="675" t="s">
        <v>838</v>
      </c>
      <c r="J181" s="677" t="s">
        <v>804</v>
      </c>
      <c r="K181" s="671">
        <v>2</v>
      </c>
      <c r="L181" s="671">
        <f t="shared" si="2"/>
        <v>14.1</v>
      </c>
      <c r="M181" s="676"/>
    </row>
    <row r="182" spans="2:13" s="645" customFormat="1" ht="21.75" customHeight="1">
      <c r="B182" s="670">
        <v>44352</v>
      </c>
      <c r="C182" s="671" t="s">
        <v>819</v>
      </c>
      <c r="D182" s="672" t="s">
        <v>830</v>
      </c>
      <c r="E182" s="673" t="s">
        <v>831</v>
      </c>
      <c r="F182" s="674"/>
      <c r="G182" s="672">
        <v>15</v>
      </c>
      <c r="H182" s="671" t="s">
        <v>807</v>
      </c>
      <c r="I182" s="675" t="s">
        <v>838</v>
      </c>
      <c r="J182" s="677" t="s">
        <v>804</v>
      </c>
      <c r="K182" s="671">
        <v>3</v>
      </c>
      <c r="L182" s="671">
        <f t="shared" si="2"/>
        <v>14.1</v>
      </c>
      <c r="M182" s="676"/>
    </row>
    <row r="183" spans="2:13" s="645" customFormat="1" ht="21.75" customHeight="1">
      <c r="B183" s="670">
        <v>44352</v>
      </c>
      <c r="C183" s="671" t="s">
        <v>819</v>
      </c>
      <c r="D183" s="672" t="s">
        <v>844</v>
      </c>
      <c r="E183" s="673" t="s">
        <v>831</v>
      </c>
      <c r="F183" s="674"/>
      <c r="G183" s="672">
        <v>15</v>
      </c>
      <c r="H183" s="671" t="s">
        <v>807</v>
      </c>
      <c r="I183" s="675" t="s">
        <v>838</v>
      </c>
      <c r="J183" s="677" t="s">
        <v>804</v>
      </c>
      <c r="K183" s="671">
        <v>2</v>
      </c>
      <c r="L183" s="671">
        <f t="shared" si="2"/>
        <v>14.1</v>
      </c>
      <c r="M183" s="676"/>
    </row>
    <row r="184" spans="2:13" s="645" customFormat="1" ht="21.75" customHeight="1">
      <c r="B184" s="670">
        <v>44352</v>
      </c>
      <c r="C184" s="671" t="s">
        <v>819</v>
      </c>
      <c r="D184" s="672" t="s">
        <v>839</v>
      </c>
      <c r="E184" s="673" t="s">
        <v>831</v>
      </c>
      <c r="F184" s="674"/>
      <c r="G184" s="672">
        <v>15</v>
      </c>
      <c r="H184" s="671" t="s">
        <v>807</v>
      </c>
      <c r="I184" s="675" t="s">
        <v>838</v>
      </c>
      <c r="J184" s="677" t="s">
        <v>804</v>
      </c>
      <c r="K184" s="671">
        <v>1</v>
      </c>
      <c r="L184" s="671">
        <f t="shared" si="2"/>
        <v>14.1</v>
      </c>
      <c r="M184" s="676"/>
    </row>
    <row r="185" spans="2:13" s="645" customFormat="1" ht="21.75" customHeight="1">
      <c r="B185" s="670">
        <v>44352</v>
      </c>
      <c r="C185" s="671" t="s">
        <v>819</v>
      </c>
      <c r="D185" s="672" t="s">
        <v>847</v>
      </c>
      <c r="E185" s="673" t="s">
        <v>831</v>
      </c>
      <c r="F185" s="674"/>
      <c r="G185" s="672">
        <v>17</v>
      </c>
      <c r="H185" s="671" t="s">
        <v>807</v>
      </c>
      <c r="I185" s="675" t="s">
        <v>838</v>
      </c>
      <c r="J185" s="677" t="s">
        <v>804</v>
      </c>
      <c r="K185" s="671">
        <v>3</v>
      </c>
      <c r="L185" s="671">
        <f t="shared" si="2"/>
        <v>15.98</v>
      </c>
      <c r="M185" s="676"/>
    </row>
    <row r="186" spans="2:13" s="645" customFormat="1" ht="21.75" customHeight="1">
      <c r="B186" s="678">
        <v>44353</v>
      </c>
      <c r="C186" s="679" t="s">
        <v>819</v>
      </c>
      <c r="D186" s="680" t="s">
        <v>840</v>
      </c>
      <c r="E186" s="681" t="s">
        <v>831</v>
      </c>
      <c r="F186" s="682"/>
      <c r="G186" s="680">
        <v>15</v>
      </c>
      <c r="H186" s="679" t="s">
        <v>807</v>
      </c>
      <c r="I186" s="683" t="s">
        <v>843</v>
      </c>
      <c r="J186" s="684" t="s">
        <v>804</v>
      </c>
      <c r="K186" s="679">
        <v>4</v>
      </c>
      <c r="L186" s="679">
        <f t="shared" si="2"/>
        <v>14.1</v>
      </c>
      <c r="M186" s="668"/>
    </row>
    <row r="187" spans="2:13" s="645" customFormat="1" ht="21.75" customHeight="1">
      <c r="B187" s="678">
        <v>44353</v>
      </c>
      <c r="C187" s="679" t="s">
        <v>819</v>
      </c>
      <c r="D187" s="680" t="s">
        <v>835</v>
      </c>
      <c r="E187" s="681" t="s">
        <v>831</v>
      </c>
      <c r="F187" s="682"/>
      <c r="G187" s="680">
        <v>20</v>
      </c>
      <c r="H187" s="679" t="s">
        <v>807</v>
      </c>
      <c r="I187" s="683" t="s">
        <v>843</v>
      </c>
      <c r="J187" s="684" t="s">
        <v>804</v>
      </c>
      <c r="K187" s="679">
        <v>3</v>
      </c>
      <c r="L187" s="679">
        <f t="shared" si="2"/>
        <v>18.8</v>
      </c>
      <c r="M187" s="668"/>
    </row>
    <row r="188" spans="2:13" s="645" customFormat="1" ht="21.75" customHeight="1">
      <c r="B188" s="678">
        <v>44353</v>
      </c>
      <c r="C188" s="679" t="s">
        <v>819</v>
      </c>
      <c r="D188" s="680" t="s">
        <v>834</v>
      </c>
      <c r="E188" s="681" t="s">
        <v>831</v>
      </c>
      <c r="F188" s="682"/>
      <c r="G188" s="680">
        <v>20</v>
      </c>
      <c r="H188" s="679" t="s">
        <v>807</v>
      </c>
      <c r="I188" s="683" t="s">
        <v>843</v>
      </c>
      <c r="J188" s="684" t="s">
        <v>804</v>
      </c>
      <c r="K188" s="679">
        <v>3</v>
      </c>
      <c r="L188" s="679">
        <f t="shared" si="2"/>
        <v>18.8</v>
      </c>
      <c r="M188" s="668"/>
    </row>
    <row r="189" spans="2:13" s="645" customFormat="1" ht="21.75" customHeight="1">
      <c r="B189" s="678">
        <v>44353</v>
      </c>
      <c r="C189" s="679" t="s">
        <v>819</v>
      </c>
      <c r="D189" s="680" t="s">
        <v>848</v>
      </c>
      <c r="E189" s="681" t="s">
        <v>831</v>
      </c>
      <c r="F189" s="682"/>
      <c r="G189" s="680">
        <v>20</v>
      </c>
      <c r="H189" s="679" t="s">
        <v>807</v>
      </c>
      <c r="I189" s="683" t="s">
        <v>843</v>
      </c>
      <c r="J189" s="684" t="s">
        <v>804</v>
      </c>
      <c r="K189" s="679">
        <v>3</v>
      </c>
      <c r="L189" s="679">
        <f t="shared" si="2"/>
        <v>18.8</v>
      </c>
      <c r="M189" s="668"/>
    </row>
    <row r="190" spans="2:13" s="645" customFormat="1" ht="21.75" customHeight="1">
      <c r="B190" s="678">
        <v>44353</v>
      </c>
      <c r="C190" s="679" t="s">
        <v>819</v>
      </c>
      <c r="D190" s="680" t="s">
        <v>836</v>
      </c>
      <c r="E190" s="681" t="s">
        <v>831</v>
      </c>
      <c r="F190" s="682"/>
      <c r="G190" s="680">
        <v>15</v>
      </c>
      <c r="H190" s="679" t="s">
        <v>807</v>
      </c>
      <c r="I190" s="683" t="s">
        <v>843</v>
      </c>
      <c r="J190" s="684" t="s">
        <v>804</v>
      </c>
      <c r="K190" s="679">
        <v>3</v>
      </c>
      <c r="L190" s="679">
        <f t="shared" si="2"/>
        <v>14.1</v>
      </c>
      <c r="M190" s="668"/>
    </row>
    <row r="191" spans="2:13" s="645" customFormat="1" ht="21.75" customHeight="1">
      <c r="B191" s="678">
        <v>44353</v>
      </c>
      <c r="C191" s="679" t="s">
        <v>819</v>
      </c>
      <c r="D191" s="680" t="s">
        <v>830</v>
      </c>
      <c r="E191" s="681" t="s">
        <v>831</v>
      </c>
      <c r="F191" s="682"/>
      <c r="G191" s="680">
        <v>15</v>
      </c>
      <c r="H191" s="679" t="s">
        <v>807</v>
      </c>
      <c r="I191" s="683" t="s">
        <v>843</v>
      </c>
      <c r="J191" s="684" t="s">
        <v>804</v>
      </c>
      <c r="K191" s="679">
        <v>3</v>
      </c>
      <c r="L191" s="679">
        <f t="shared" si="2"/>
        <v>14.1</v>
      </c>
      <c r="M191" s="668"/>
    </row>
    <row r="192" spans="2:13" s="645" customFormat="1" ht="21.75" customHeight="1">
      <c r="B192" s="678">
        <v>44353</v>
      </c>
      <c r="C192" s="679" t="s">
        <v>819</v>
      </c>
      <c r="D192" s="680" t="s">
        <v>844</v>
      </c>
      <c r="E192" s="681" t="s">
        <v>831</v>
      </c>
      <c r="F192" s="682"/>
      <c r="G192" s="680">
        <v>15</v>
      </c>
      <c r="H192" s="679" t="s">
        <v>807</v>
      </c>
      <c r="I192" s="683" t="s">
        <v>843</v>
      </c>
      <c r="J192" s="684" t="s">
        <v>804</v>
      </c>
      <c r="K192" s="679">
        <v>3</v>
      </c>
      <c r="L192" s="679">
        <f t="shared" si="2"/>
        <v>14.1</v>
      </c>
      <c r="M192" s="668"/>
    </row>
    <row r="193" spans="2:13" s="645" customFormat="1" ht="21.75" customHeight="1">
      <c r="B193" s="678">
        <v>44353</v>
      </c>
      <c r="C193" s="679" t="s">
        <v>819</v>
      </c>
      <c r="D193" s="680" t="s">
        <v>839</v>
      </c>
      <c r="E193" s="681" t="s">
        <v>831</v>
      </c>
      <c r="F193" s="682"/>
      <c r="G193" s="680">
        <v>15</v>
      </c>
      <c r="H193" s="679" t="s">
        <v>807</v>
      </c>
      <c r="I193" s="683" t="s">
        <v>843</v>
      </c>
      <c r="J193" s="684" t="s">
        <v>804</v>
      </c>
      <c r="K193" s="679">
        <v>3</v>
      </c>
      <c r="L193" s="679">
        <f t="shared" si="2"/>
        <v>14.1</v>
      </c>
      <c r="M193" s="668"/>
    </row>
    <row r="194" spans="2:13" s="645" customFormat="1" ht="21.75" customHeight="1">
      <c r="B194" s="678">
        <v>44353</v>
      </c>
      <c r="C194" s="679" t="s">
        <v>819</v>
      </c>
      <c r="D194" s="680" t="s">
        <v>845</v>
      </c>
      <c r="E194" s="681" t="s">
        <v>831</v>
      </c>
      <c r="F194" s="682"/>
      <c r="G194" s="680">
        <v>17</v>
      </c>
      <c r="H194" s="679" t="s">
        <v>807</v>
      </c>
      <c r="I194" s="683" t="s">
        <v>843</v>
      </c>
      <c r="J194" s="684" t="s">
        <v>804</v>
      </c>
      <c r="K194" s="679">
        <v>3</v>
      </c>
      <c r="L194" s="679">
        <f t="shared" si="2"/>
        <v>15.98</v>
      </c>
      <c r="M194" s="668"/>
    </row>
    <row r="195" spans="2:13" s="645" customFormat="1" ht="21.75" customHeight="1">
      <c r="B195" s="678">
        <v>44353</v>
      </c>
      <c r="C195" s="679" t="s">
        <v>819</v>
      </c>
      <c r="D195" s="680" t="s">
        <v>847</v>
      </c>
      <c r="E195" s="681" t="s">
        <v>831</v>
      </c>
      <c r="F195" s="682"/>
      <c r="G195" s="680">
        <v>17</v>
      </c>
      <c r="H195" s="679" t="s">
        <v>807</v>
      </c>
      <c r="I195" s="683" t="s">
        <v>843</v>
      </c>
      <c r="J195" s="684" t="s">
        <v>804</v>
      </c>
      <c r="K195" s="679">
        <v>3</v>
      </c>
      <c r="L195" s="679">
        <f t="shared" si="2"/>
        <v>15.98</v>
      </c>
      <c r="M195" s="668"/>
    </row>
    <row r="196" spans="2:13" s="645" customFormat="1" ht="21.75" customHeight="1">
      <c r="B196" s="678">
        <v>44353</v>
      </c>
      <c r="C196" s="679" t="s">
        <v>819</v>
      </c>
      <c r="D196" s="680" t="s">
        <v>840</v>
      </c>
      <c r="E196" s="681" t="s">
        <v>831</v>
      </c>
      <c r="F196" s="682"/>
      <c r="G196" s="680">
        <v>15</v>
      </c>
      <c r="H196" s="679" t="s">
        <v>807</v>
      </c>
      <c r="I196" s="683" t="s">
        <v>838</v>
      </c>
      <c r="J196" s="684" t="s">
        <v>804</v>
      </c>
      <c r="K196" s="679">
        <v>1</v>
      </c>
      <c r="L196" s="679">
        <f t="shared" si="2"/>
        <v>14.1</v>
      </c>
      <c r="M196" s="668"/>
    </row>
    <row r="197" spans="2:13" s="645" customFormat="1" ht="21.75" customHeight="1">
      <c r="B197" s="678">
        <v>44353</v>
      </c>
      <c r="C197" s="679" t="s">
        <v>819</v>
      </c>
      <c r="D197" s="680" t="s">
        <v>835</v>
      </c>
      <c r="E197" s="681" t="s">
        <v>831</v>
      </c>
      <c r="F197" s="682"/>
      <c r="G197" s="680">
        <v>20</v>
      </c>
      <c r="H197" s="679" t="s">
        <v>807</v>
      </c>
      <c r="I197" s="683" t="s">
        <v>838</v>
      </c>
      <c r="J197" s="684" t="s">
        <v>804</v>
      </c>
      <c r="K197" s="679">
        <v>1</v>
      </c>
      <c r="L197" s="679">
        <f t="shared" si="2"/>
        <v>18.8</v>
      </c>
      <c r="M197" s="668"/>
    </row>
    <row r="198" spans="2:13" s="645" customFormat="1" ht="21.75" customHeight="1">
      <c r="B198" s="678">
        <v>44353</v>
      </c>
      <c r="C198" s="679" t="s">
        <v>819</v>
      </c>
      <c r="D198" s="680" t="s">
        <v>834</v>
      </c>
      <c r="E198" s="681" t="s">
        <v>831</v>
      </c>
      <c r="F198" s="682"/>
      <c r="G198" s="680">
        <v>20</v>
      </c>
      <c r="H198" s="679" t="s">
        <v>807</v>
      </c>
      <c r="I198" s="683" t="s">
        <v>838</v>
      </c>
      <c r="J198" s="684" t="s">
        <v>804</v>
      </c>
      <c r="K198" s="679">
        <v>1</v>
      </c>
      <c r="L198" s="679">
        <f t="shared" si="2"/>
        <v>18.8</v>
      </c>
      <c r="M198" s="668"/>
    </row>
    <row r="199" spans="2:13" s="645" customFormat="1" ht="21.75" customHeight="1">
      <c r="B199" s="678">
        <v>44353</v>
      </c>
      <c r="C199" s="679" t="s">
        <v>819</v>
      </c>
      <c r="D199" s="680" t="s">
        <v>848</v>
      </c>
      <c r="E199" s="681" t="s">
        <v>831</v>
      </c>
      <c r="F199" s="682"/>
      <c r="G199" s="680">
        <v>20</v>
      </c>
      <c r="H199" s="679" t="s">
        <v>807</v>
      </c>
      <c r="I199" s="683" t="s">
        <v>838</v>
      </c>
      <c r="J199" s="684" t="s">
        <v>804</v>
      </c>
      <c r="K199" s="679">
        <v>1</v>
      </c>
      <c r="L199" s="679">
        <f t="shared" si="2"/>
        <v>18.8</v>
      </c>
      <c r="M199" s="668"/>
    </row>
    <row r="200" spans="2:13" s="645" customFormat="1" ht="21.75" customHeight="1">
      <c r="B200" s="678">
        <v>44353</v>
      </c>
      <c r="C200" s="679" t="s">
        <v>819</v>
      </c>
      <c r="D200" s="680" t="s">
        <v>836</v>
      </c>
      <c r="E200" s="681" t="s">
        <v>831</v>
      </c>
      <c r="F200" s="682"/>
      <c r="G200" s="680">
        <v>15</v>
      </c>
      <c r="H200" s="679" t="s">
        <v>807</v>
      </c>
      <c r="I200" s="683" t="s">
        <v>838</v>
      </c>
      <c r="J200" s="684" t="s">
        <v>804</v>
      </c>
      <c r="K200" s="679">
        <v>1</v>
      </c>
      <c r="L200" s="679">
        <f t="shared" si="2"/>
        <v>14.1</v>
      </c>
      <c r="M200" s="668"/>
    </row>
    <row r="201" spans="2:13" s="645" customFormat="1" ht="21.75" customHeight="1">
      <c r="B201" s="678">
        <v>44353</v>
      </c>
      <c r="C201" s="679" t="s">
        <v>819</v>
      </c>
      <c r="D201" s="680" t="s">
        <v>830</v>
      </c>
      <c r="E201" s="681" t="s">
        <v>831</v>
      </c>
      <c r="F201" s="682"/>
      <c r="G201" s="680">
        <v>15</v>
      </c>
      <c r="H201" s="679" t="s">
        <v>807</v>
      </c>
      <c r="I201" s="683" t="s">
        <v>838</v>
      </c>
      <c r="J201" s="684" t="s">
        <v>804</v>
      </c>
      <c r="K201" s="679">
        <v>1</v>
      </c>
      <c r="L201" s="679">
        <f t="shared" ref="L201:L264" si="3">VLOOKUP(G201,$Q$4:$V$7,6,FALSE)</f>
        <v>14.1</v>
      </c>
      <c r="M201" s="668"/>
    </row>
    <row r="202" spans="2:13" s="645" customFormat="1" ht="21.75" customHeight="1">
      <c r="B202" s="670">
        <v>44354</v>
      </c>
      <c r="C202" s="671" t="s">
        <v>819</v>
      </c>
      <c r="D202" s="672" t="s">
        <v>840</v>
      </c>
      <c r="E202" s="673" t="s">
        <v>831</v>
      </c>
      <c r="F202" s="674"/>
      <c r="G202" s="672">
        <v>15</v>
      </c>
      <c r="H202" s="671" t="s">
        <v>807</v>
      </c>
      <c r="I202" s="675" t="s">
        <v>843</v>
      </c>
      <c r="J202" s="677" t="s">
        <v>804</v>
      </c>
      <c r="K202" s="671">
        <v>2</v>
      </c>
      <c r="L202" s="671">
        <f t="shared" si="3"/>
        <v>14.1</v>
      </c>
      <c r="M202" s="676"/>
    </row>
    <row r="203" spans="2:13" s="645" customFormat="1" ht="21.75" customHeight="1">
      <c r="B203" s="670">
        <v>44354</v>
      </c>
      <c r="C203" s="671" t="s">
        <v>819</v>
      </c>
      <c r="D203" s="672" t="s">
        <v>835</v>
      </c>
      <c r="E203" s="673" t="s">
        <v>831</v>
      </c>
      <c r="F203" s="674"/>
      <c r="G203" s="672">
        <v>20</v>
      </c>
      <c r="H203" s="671" t="s">
        <v>807</v>
      </c>
      <c r="I203" s="675" t="s">
        <v>843</v>
      </c>
      <c r="J203" s="677" t="s">
        <v>804</v>
      </c>
      <c r="K203" s="671">
        <v>2</v>
      </c>
      <c r="L203" s="671">
        <f t="shared" si="3"/>
        <v>18.8</v>
      </c>
      <c r="M203" s="676"/>
    </row>
    <row r="204" spans="2:13" s="645" customFormat="1" ht="21.75" customHeight="1">
      <c r="B204" s="670">
        <v>44354</v>
      </c>
      <c r="C204" s="671" t="s">
        <v>819</v>
      </c>
      <c r="D204" s="672" t="s">
        <v>834</v>
      </c>
      <c r="E204" s="673" t="s">
        <v>831</v>
      </c>
      <c r="F204" s="674"/>
      <c r="G204" s="672">
        <v>20</v>
      </c>
      <c r="H204" s="671" t="s">
        <v>807</v>
      </c>
      <c r="I204" s="675" t="s">
        <v>843</v>
      </c>
      <c r="J204" s="677" t="s">
        <v>804</v>
      </c>
      <c r="K204" s="671">
        <v>2</v>
      </c>
      <c r="L204" s="671">
        <f t="shared" si="3"/>
        <v>18.8</v>
      </c>
      <c r="M204" s="676"/>
    </row>
    <row r="205" spans="2:13" s="645" customFormat="1" ht="21.75" customHeight="1">
      <c r="B205" s="670">
        <v>44354</v>
      </c>
      <c r="C205" s="671" t="s">
        <v>819</v>
      </c>
      <c r="D205" s="672" t="s">
        <v>848</v>
      </c>
      <c r="E205" s="673" t="s">
        <v>831</v>
      </c>
      <c r="F205" s="674"/>
      <c r="G205" s="672">
        <v>20</v>
      </c>
      <c r="H205" s="671" t="s">
        <v>807</v>
      </c>
      <c r="I205" s="675" t="s">
        <v>843</v>
      </c>
      <c r="J205" s="677" t="s">
        <v>804</v>
      </c>
      <c r="K205" s="671">
        <v>2</v>
      </c>
      <c r="L205" s="671">
        <f t="shared" si="3"/>
        <v>18.8</v>
      </c>
      <c r="M205" s="676"/>
    </row>
    <row r="206" spans="2:13" s="645" customFormat="1" ht="21.75" customHeight="1">
      <c r="B206" s="670">
        <v>44354</v>
      </c>
      <c r="C206" s="671" t="s">
        <v>819</v>
      </c>
      <c r="D206" s="672" t="s">
        <v>836</v>
      </c>
      <c r="E206" s="673" t="s">
        <v>831</v>
      </c>
      <c r="F206" s="674"/>
      <c r="G206" s="672">
        <v>15</v>
      </c>
      <c r="H206" s="671" t="s">
        <v>807</v>
      </c>
      <c r="I206" s="675" t="s">
        <v>843</v>
      </c>
      <c r="J206" s="677" t="s">
        <v>804</v>
      </c>
      <c r="K206" s="671">
        <v>2</v>
      </c>
      <c r="L206" s="671">
        <f t="shared" si="3"/>
        <v>14.1</v>
      </c>
      <c r="M206" s="676"/>
    </row>
    <row r="207" spans="2:13" s="645" customFormat="1" ht="21.75" customHeight="1">
      <c r="B207" s="670">
        <v>44354</v>
      </c>
      <c r="C207" s="671" t="s">
        <v>819</v>
      </c>
      <c r="D207" s="672" t="s">
        <v>830</v>
      </c>
      <c r="E207" s="673" t="s">
        <v>831</v>
      </c>
      <c r="F207" s="674"/>
      <c r="G207" s="672">
        <v>15</v>
      </c>
      <c r="H207" s="671" t="s">
        <v>807</v>
      </c>
      <c r="I207" s="675" t="s">
        <v>843</v>
      </c>
      <c r="J207" s="677" t="s">
        <v>804</v>
      </c>
      <c r="K207" s="671">
        <v>1</v>
      </c>
      <c r="L207" s="671">
        <f t="shared" si="3"/>
        <v>14.1</v>
      </c>
      <c r="M207" s="676"/>
    </row>
    <row r="208" spans="2:13" s="645" customFormat="1" ht="21.75" customHeight="1">
      <c r="B208" s="670">
        <v>44354</v>
      </c>
      <c r="C208" s="671" t="s">
        <v>819</v>
      </c>
      <c r="D208" s="672" t="s">
        <v>844</v>
      </c>
      <c r="E208" s="673" t="s">
        <v>831</v>
      </c>
      <c r="F208" s="674"/>
      <c r="G208" s="672">
        <v>15</v>
      </c>
      <c r="H208" s="671" t="s">
        <v>807</v>
      </c>
      <c r="I208" s="675" t="s">
        <v>843</v>
      </c>
      <c r="J208" s="677" t="s">
        <v>804</v>
      </c>
      <c r="K208" s="671">
        <v>1</v>
      </c>
      <c r="L208" s="671">
        <f t="shared" si="3"/>
        <v>14.1</v>
      </c>
      <c r="M208" s="676"/>
    </row>
    <row r="209" spans="2:13" s="645" customFormat="1" ht="21.75" customHeight="1">
      <c r="B209" s="670">
        <v>44354</v>
      </c>
      <c r="C209" s="671" t="s">
        <v>819</v>
      </c>
      <c r="D209" s="672" t="s">
        <v>839</v>
      </c>
      <c r="E209" s="673" t="s">
        <v>831</v>
      </c>
      <c r="F209" s="674"/>
      <c r="G209" s="672">
        <v>15</v>
      </c>
      <c r="H209" s="671" t="s">
        <v>807</v>
      </c>
      <c r="I209" s="675" t="s">
        <v>843</v>
      </c>
      <c r="J209" s="677" t="s">
        <v>804</v>
      </c>
      <c r="K209" s="671">
        <v>2</v>
      </c>
      <c r="L209" s="671">
        <f t="shared" si="3"/>
        <v>14.1</v>
      </c>
      <c r="M209" s="676"/>
    </row>
    <row r="210" spans="2:13" s="645" customFormat="1" ht="21.75" customHeight="1">
      <c r="B210" s="670">
        <v>44354</v>
      </c>
      <c r="C210" s="671" t="s">
        <v>819</v>
      </c>
      <c r="D210" s="672" t="s">
        <v>845</v>
      </c>
      <c r="E210" s="673" t="s">
        <v>831</v>
      </c>
      <c r="F210" s="674"/>
      <c r="G210" s="672">
        <v>17</v>
      </c>
      <c r="H210" s="671" t="s">
        <v>807</v>
      </c>
      <c r="I210" s="675" t="s">
        <v>843</v>
      </c>
      <c r="J210" s="677" t="s">
        <v>804</v>
      </c>
      <c r="K210" s="671">
        <v>2</v>
      </c>
      <c r="L210" s="671">
        <f t="shared" si="3"/>
        <v>15.98</v>
      </c>
      <c r="M210" s="676"/>
    </row>
    <row r="211" spans="2:13" s="645" customFormat="1" ht="21.75" customHeight="1">
      <c r="B211" s="670">
        <v>44354</v>
      </c>
      <c r="C211" s="671" t="s">
        <v>819</v>
      </c>
      <c r="D211" s="672" t="s">
        <v>847</v>
      </c>
      <c r="E211" s="673" t="s">
        <v>831</v>
      </c>
      <c r="F211" s="674"/>
      <c r="G211" s="672">
        <v>17</v>
      </c>
      <c r="H211" s="671" t="s">
        <v>807</v>
      </c>
      <c r="I211" s="675" t="s">
        <v>843</v>
      </c>
      <c r="J211" s="677" t="s">
        <v>804</v>
      </c>
      <c r="K211" s="671">
        <v>1</v>
      </c>
      <c r="L211" s="671">
        <f t="shared" si="3"/>
        <v>15.98</v>
      </c>
      <c r="M211" s="676"/>
    </row>
    <row r="212" spans="2:13" s="645" customFormat="1" ht="21.75" customHeight="1">
      <c r="B212" s="678">
        <v>44355</v>
      </c>
      <c r="C212" s="679" t="s">
        <v>819</v>
      </c>
      <c r="D212" s="680" t="s">
        <v>840</v>
      </c>
      <c r="E212" s="681" t="s">
        <v>831</v>
      </c>
      <c r="F212" s="682"/>
      <c r="G212" s="680">
        <v>20</v>
      </c>
      <c r="H212" s="679" t="s">
        <v>807</v>
      </c>
      <c r="I212" s="683" t="s">
        <v>838</v>
      </c>
      <c r="J212" s="684" t="s">
        <v>804</v>
      </c>
      <c r="K212" s="679">
        <v>1</v>
      </c>
      <c r="L212" s="679">
        <f t="shared" si="3"/>
        <v>18.8</v>
      </c>
      <c r="M212" s="668"/>
    </row>
    <row r="213" spans="2:13" s="645" customFormat="1" ht="21.75" customHeight="1">
      <c r="B213" s="678">
        <v>44355</v>
      </c>
      <c r="C213" s="679" t="s">
        <v>819</v>
      </c>
      <c r="D213" s="680" t="s">
        <v>835</v>
      </c>
      <c r="E213" s="681" t="s">
        <v>831</v>
      </c>
      <c r="F213" s="682"/>
      <c r="G213" s="680">
        <v>20</v>
      </c>
      <c r="H213" s="679" t="s">
        <v>807</v>
      </c>
      <c r="I213" s="683" t="s">
        <v>838</v>
      </c>
      <c r="J213" s="684" t="s">
        <v>804</v>
      </c>
      <c r="K213" s="679">
        <v>4</v>
      </c>
      <c r="L213" s="679">
        <f t="shared" si="3"/>
        <v>18.8</v>
      </c>
      <c r="M213" s="668"/>
    </row>
    <row r="214" spans="2:13" s="645" customFormat="1" ht="21.75" customHeight="1">
      <c r="B214" s="678">
        <v>44355</v>
      </c>
      <c r="C214" s="679" t="s">
        <v>819</v>
      </c>
      <c r="D214" s="680" t="s">
        <v>841</v>
      </c>
      <c r="E214" s="681" t="s">
        <v>831</v>
      </c>
      <c r="F214" s="682"/>
      <c r="G214" s="680">
        <v>20</v>
      </c>
      <c r="H214" s="679" t="s">
        <v>807</v>
      </c>
      <c r="I214" s="683" t="s">
        <v>838</v>
      </c>
      <c r="J214" s="684" t="s">
        <v>804</v>
      </c>
      <c r="K214" s="679">
        <v>4</v>
      </c>
      <c r="L214" s="679">
        <f t="shared" si="3"/>
        <v>18.8</v>
      </c>
      <c r="M214" s="668"/>
    </row>
    <row r="215" spans="2:13" s="645" customFormat="1" ht="21.75" customHeight="1">
      <c r="B215" s="678">
        <v>44355</v>
      </c>
      <c r="C215" s="679" t="s">
        <v>819</v>
      </c>
      <c r="D215" s="680" t="s">
        <v>834</v>
      </c>
      <c r="E215" s="681" t="s">
        <v>831</v>
      </c>
      <c r="F215" s="682"/>
      <c r="G215" s="680">
        <v>20</v>
      </c>
      <c r="H215" s="679" t="s">
        <v>807</v>
      </c>
      <c r="I215" s="683" t="s">
        <v>838</v>
      </c>
      <c r="J215" s="684" t="s">
        <v>804</v>
      </c>
      <c r="K215" s="679">
        <v>4</v>
      </c>
      <c r="L215" s="679">
        <f t="shared" si="3"/>
        <v>18.8</v>
      </c>
      <c r="M215" s="668"/>
    </row>
    <row r="216" spans="2:13" s="645" customFormat="1" ht="21.75" customHeight="1">
      <c r="B216" s="678">
        <v>44355</v>
      </c>
      <c r="C216" s="679" t="s">
        <v>819</v>
      </c>
      <c r="D216" s="680" t="s">
        <v>848</v>
      </c>
      <c r="E216" s="681" t="s">
        <v>831</v>
      </c>
      <c r="F216" s="682"/>
      <c r="G216" s="680">
        <v>20</v>
      </c>
      <c r="H216" s="679" t="s">
        <v>807</v>
      </c>
      <c r="I216" s="683" t="s">
        <v>838</v>
      </c>
      <c r="J216" s="684" t="s">
        <v>804</v>
      </c>
      <c r="K216" s="679">
        <v>4</v>
      </c>
      <c r="L216" s="679">
        <f t="shared" si="3"/>
        <v>18.8</v>
      </c>
      <c r="M216" s="668"/>
    </row>
    <row r="217" spans="2:13" s="645" customFormat="1" ht="21.75" customHeight="1">
      <c r="B217" s="678">
        <v>44355</v>
      </c>
      <c r="C217" s="679" t="s">
        <v>819</v>
      </c>
      <c r="D217" s="680" t="s">
        <v>830</v>
      </c>
      <c r="E217" s="681" t="s">
        <v>831</v>
      </c>
      <c r="F217" s="682"/>
      <c r="G217" s="680">
        <v>15</v>
      </c>
      <c r="H217" s="679" t="s">
        <v>807</v>
      </c>
      <c r="I217" s="683" t="s">
        <v>838</v>
      </c>
      <c r="J217" s="684" t="s">
        <v>804</v>
      </c>
      <c r="K217" s="679">
        <v>4</v>
      </c>
      <c r="L217" s="679">
        <f t="shared" si="3"/>
        <v>14.1</v>
      </c>
      <c r="M217" s="668"/>
    </row>
    <row r="218" spans="2:13" s="645" customFormat="1" ht="21.75" customHeight="1">
      <c r="B218" s="678">
        <v>44355</v>
      </c>
      <c r="C218" s="679" t="s">
        <v>819</v>
      </c>
      <c r="D218" s="680" t="s">
        <v>844</v>
      </c>
      <c r="E218" s="681" t="s">
        <v>831</v>
      </c>
      <c r="F218" s="682"/>
      <c r="G218" s="680">
        <v>15</v>
      </c>
      <c r="H218" s="679" t="s">
        <v>807</v>
      </c>
      <c r="I218" s="683" t="s">
        <v>838</v>
      </c>
      <c r="J218" s="684" t="s">
        <v>804</v>
      </c>
      <c r="K218" s="679">
        <v>4</v>
      </c>
      <c r="L218" s="679">
        <f t="shared" si="3"/>
        <v>14.1</v>
      </c>
      <c r="M218" s="668"/>
    </row>
    <row r="219" spans="2:13" s="645" customFormat="1" ht="21.75" customHeight="1">
      <c r="B219" s="678">
        <v>44355</v>
      </c>
      <c r="C219" s="679" t="s">
        <v>819</v>
      </c>
      <c r="D219" s="680" t="s">
        <v>839</v>
      </c>
      <c r="E219" s="681" t="s">
        <v>831</v>
      </c>
      <c r="F219" s="682"/>
      <c r="G219" s="680">
        <v>15</v>
      </c>
      <c r="H219" s="679" t="s">
        <v>807</v>
      </c>
      <c r="I219" s="683" t="s">
        <v>838</v>
      </c>
      <c r="J219" s="684" t="s">
        <v>804</v>
      </c>
      <c r="K219" s="679">
        <v>4</v>
      </c>
      <c r="L219" s="679">
        <f t="shared" si="3"/>
        <v>14.1</v>
      </c>
      <c r="M219" s="668"/>
    </row>
    <row r="220" spans="2:13" s="645" customFormat="1" ht="21.75" customHeight="1">
      <c r="B220" s="678">
        <v>44355</v>
      </c>
      <c r="C220" s="679" t="s">
        <v>819</v>
      </c>
      <c r="D220" s="680" t="s">
        <v>845</v>
      </c>
      <c r="E220" s="681" t="s">
        <v>831</v>
      </c>
      <c r="F220" s="682"/>
      <c r="G220" s="680">
        <v>17</v>
      </c>
      <c r="H220" s="679" t="s">
        <v>807</v>
      </c>
      <c r="I220" s="683" t="s">
        <v>838</v>
      </c>
      <c r="J220" s="684" t="s">
        <v>804</v>
      </c>
      <c r="K220" s="679">
        <v>2</v>
      </c>
      <c r="L220" s="679">
        <f t="shared" si="3"/>
        <v>15.98</v>
      </c>
      <c r="M220" s="668"/>
    </row>
    <row r="221" spans="2:13" s="645" customFormat="1" ht="21.75" customHeight="1">
      <c r="B221" s="678">
        <v>44355</v>
      </c>
      <c r="C221" s="679" t="s">
        <v>819</v>
      </c>
      <c r="D221" s="680" t="s">
        <v>847</v>
      </c>
      <c r="E221" s="681" t="s">
        <v>831</v>
      </c>
      <c r="F221" s="682"/>
      <c r="G221" s="680">
        <v>17</v>
      </c>
      <c r="H221" s="679" t="s">
        <v>807</v>
      </c>
      <c r="I221" s="683" t="s">
        <v>838</v>
      </c>
      <c r="J221" s="684" t="s">
        <v>804</v>
      </c>
      <c r="K221" s="679">
        <v>4</v>
      </c>
      <c r="L221" s="679">
        <f t="shared" si="3"/>
        <v>15.98</v>
      </c>
      <c r="M221" s="668"/>
    </row>
    <row r="222" spans="2:13" s="645" customFormat="1" ht="21.75" customHeight="1">
      <c r="B222" s="670">
        <v>44357</v>
      </c>
      <c r="C222" s="671" t="s">
        <v>819</v>
      </c>
      <c r="D222" s="672" t="s">
        <v>840</v>
      </c>
      <c r="E222" s="673" t="s">
        <v>831</v>
      </c>
      <c r="F222" s="674"/>
      <c r="G222" s="672">
        <v>20</v>
      </c>
      <c r="H222" s="671" t="s">
        <v>807</v>
      </c>
      <c r="I222" s="675" t="s">
        <v>838</v>
      </c>
      <c r="J222" s="677" t="s">
        <v>804</v>
      </c>
      <c r="K222" s="671">
        <v>5</v>
      </c>
      <c r="L222" s="671">
        <f t="shared" si="3"/>
        <v>18.8</v>
      </c>
      <c r="M222" s="676"/>
    </row>
    <row r="223" spans="2:13" s="645" customFormat="1" ht="21.75" customHeight="1">
      <c r="B223" s="670">
        <v>44357</v>
      </c>
      <c r="C223" s="671" t="s">
        <v>819</v>
      </c>
      <c r="D223" s="672" t="s">
        <v>835</v>
      </c>
      <c r="E223" s="673" t="s">
        <v>831</v>
      </c>
      <c r="F223" s="674"/>
      <c r="G223" s="672">
        <v>20</v>
      </c>
      <c r="H223" s="671" t="s">
        <v>807</v>
      </c>
      <c r="I223" s="675" t="s">
        <v>838</v>
      </c>
      <c r="J223" s="677" t="s">
        <v>804</v>
      </c>
      <c r="K223" s="671">
        <v>4</v>
      </c>
      <c r="L223" s="671">
        <f t="shared" si="3"/>
        <v>18.8</v>
      </c>
      <c r="M223" s="676"/>
    </row>
    <row r="224" spans="2:13" s="645" customFormat="1" ht="21.75" customHeight="1">
      <c r="B224" s="670">
        <v>44357</v>
      </c>
      <c r="C224" s="671" t="s">
        <v>819</v>
      </c>
      <c r="D224" s="672" t="s">
        <v>841</v>
      </c>
      <c r="E224" s="673" t="s">
        <v>831</v>
      </c>
      <c r="F224" s="674"/>
      <c r="G224" s="672">
        <v>20</v>
      </c>
      <c r="H224" s="671" t="s">
        <v>807</v>
      </c>
      <c r="I224" s="675" t="s">
        <v>838</v>
      </c>
      <c r="J224" s="677" t="s">
        <v>804</v>
      </c>
      <c r="K224" s="671">
        <v>5</v>
      </c>
      <c r="L224" s="671">
        <f t="shared" si="3"/>
        <v>18.8</v>
      </c>
      <c r="M224" s="676"/>
    </row>
    <row r="225" spans="2:13" s="645" customFormat="1" ht="21.75" customHeight="1">
      <c r="B225" s="670">
        <v>44357</v>
      </c>
      <c r="C225" s="671" t="s">
        <v>819</v>
      </c>
      <c r="D225" s="672" t="s">
        <v>834</v>
      </c>
      <c r="E225" s="673" t="s">
        <v>831</v>
      </c>
      <c r="F225" s="674"/>
      <c r="G225" s="672">
        <v>20</v>
      </c>
      <c r="H225" s="671" t="s">
        <v>807</v>
      </c>
      <c r="I225" s="675" t="s">
        <v>838</v>
      </c>
      <c r="J225" s="677" t="s">
        <v>804</v>
      </c>
      <c r="K225" s="671">
        <v>5</v>
      </c>
      <c r="L225" s="671">
        <f t="shared" si="3"/>
        <v>18.8</v>
      </c>
      <c r="M225" s="676"/>
    </row>
    <row r="226" spans="2:13" s="645" customFormat="1" ht="21.75" customHeight="1">
      <c r="B226" s="670">
        <v>44357</v>
      </c>
      <c r="C226" s="671" t="s">
        <v>819</v>
      </c>
      <c r="D226" s="672" t="s">
        <v>848</v>
      </c>
      <c r="E226" s="673" t="s">
        <v>831</v>
      </c>
      <c r="F226" s="674"/>
      <c r="G226" s="672">
        <v>20</v>
      </c>
      <c r="H226" s="671" t="s">
        <v>807</v>
      </c>
      <c r="I226" s="675" t="s">
        <v>838</v>
      </c>
      <c r="J226" s="677" t="s">
        <v>804</v>
      </c>
      <c r="K226" s="671">
        <v>4</v>
      </c>
      <c r="L226" s="671">
        <f t="shared" si="3"/>
        <v>18.8</v>
      </c>
      <c r="M226" s="676"/>
    </row>
    <row r="227" spans="2:13" s="645" customFormat="1" ht="21.75" customHeight="1">
      <c r="B227" s="670">
        <v>44357</v>
      </c>
      <c r="C227" s="671" t="s">
        <v>819</v>
      </c>
      <c r="D227" s="672" t="s">
        <v>830</v>
      </c>
      <c r="E227" s="673" t="s">
        <v>831</v>
      </c>
      <c r="F227" s="674"/>
      <c r="G227" s="672">
        <v>15</v>
      </c>
      <c r="H227" s="671" t="s">
        <v>807</v>
      </c>
      <c r="I227" s="675" t="s">
        <v>838</v>
      </c>
      <c r="J227" s="677" t="s">
        <v>804</v>
      </c>
      <c r="K227" s="671">
        <v>4</v>
      </c>
      <c r="L227" s="671">
        <f t="shared" si="3"/>
        <v>14.1</v>
      </c>
      <c r="M227" s="676"/>
    </row>
    <row r="228" spans="2:13" s="645" customFormat="1" ht="21.75" customHeight="1">
      <c r="B228" s="670">
        <v>44357</v>
      </c>
      <c r="C228" s="671" t="s">
        <v>819</v>
      </c>
      <c r="D228" s="672" t="s">
        <v>839</v>
      </c>
      <c r="E228" s="673" t="s">
        <v>831</v>
      </c>
      <c r="F228" s="674"/>
      <c r="G228" s="672">
        <v>15</v>
      </c>
      <c r="H228" s="671" t="s">
        <v>807</v>
      </c>
      <c r="I228" s="675" t="s">
        <v>838</v>
      </c>
      <c r="J228" s="677" t="s">
        <v>804</v>
      </c>
      <c r="K228" s="671">
        <v>4</v>
      </c>
      <c r="L228" s="671">
        <f t="shared" si="3"/>
        <v>14.1</v>
      </c>
      <c r="M228" s="676"/>
    </row>
    <row r="229" spans="2:13" s="645" customFormat="1" ht="21.75" customHeight="1">
      <c r="B229" s="670">
        <v>44357</v>
      </c>
      <c r="C229" s="671" t="s">
        <v>819</v>
      </c>
      <c r="D229" s="672" t="s">
        <v>845</v>
      </c>
      <c r="E229" s="673" t="s">
        <v>831</v>
      </c>
      <c r="F229" s="674"/>
      <c r="G229" s="672">
        <v>17</v>
      </c>
      <c r="H229" s="671" t="s">
        <v>807</v>
      </c>
      <c r="I229" s="675" t="s">
        <v>838</v>
      </c>
      <c r="J229" s="677" t="s">
        <v>804</v>
      </c>
      <c r="K229" s="671">
        <v>4</v>
      </c>
      <c r="L229" s="671">
        <f t="shared" si="3"/>
        <v>15.98</v>
      </c>
      <c r="M229" s="676"/>
    </row>
    <row r="230" spans="2:13" s="645" customFormat="1" ht="21.75" customHeight="1">
      <c r="B230" s="670">
        <v>44357</v>
      </c>
      <c r="C230" s="671" t="s">
        <v>819</v>
      </c>
      <c r="D230" s="672" t="s">
        <v>847</v>
      </c>
      <c r="E230" s="673" t="s">
        <v>831</v>
      </c>
      <c r="F230" s="674"/>
      <c r="G230" s="672">
        <v>17</v>
      </c>
      <c r="H230" s="671" t="s">
        <v>807</v>
      </c>
      <c r="I230" s="675" t="s">
        <v>838</v>
      </c>
      <c r="J230" s="677" t="s">
        <v>804</v>
      </c>
      <c r="K230" s="671">
        <v>5</v>
      </c>
      <c r="L230" s="671">
        <f t="shared" si="3"/>
        <v>15.98</v>
      </c>
      <c r="M230" s="676"/>
    </row>
    <row r="231" spans="2:13" s="645" customFormat="1" ht="21.75" customHeight="1">
      <c r="B231" s="678">
        <v>44358</v>
      </c>
      <c r="C231" s="679" t="s">
        <v>819</v>
      </c>
      <c r="D231" s="680" t="s">
        <v>849</v>
      </c>
      <c r="E231" s="681" t="s">
        <v>831</v>
      </c>
      <c r="F231" s="682"/>
      <c r="G231" s="680">
        <v>20</v>
      </c>
      <c r="H231" s="679" t="s">
        <v>807</v>
      </c>
      <c r="I231" s="683" t="s">
        <v>843</v>
      </c>
      <c r="J231" s="684" t="s">
        <v>804</v>
      </c>
      <c r="K231" s="679">
        <v>1</v>
      </c>
      <c r="L231" s="679">
        <f t="shared" si="3"/>
        <v>18.8</v>
      </c>
      <c r="M231" s="668">
        <f t="shared" ref="M231:M294" si="4">L231*K231</f>
        <v>18.8</v>
      </c>
    </row>
    <row r="232" spans="2:13" s="645" customFormat="1" ht="21.75" customHeight="1">
      <c r="B232" s="678">
        <v>44358</v>
      </c>
      <c r="C232" s="679" t="s">
        <v>819</v>
      </c>
      <c r="D232" s="680" t="s">
        <v>840</v>
      </c>
      <c r="E232" s="681" t="s">
        <v>831</v>
      </c>
      <c r="F232" s="682"/>
      <c r="G232" s="680">
        <v>20</v>
      </c>
      <c r="H232" s="679" t="s">
        <v>807</v>
      </c>
      <c r="I232" s="683" t="s">
        <v>843</v>
      </c>
      <c r="J232" s="684" t="s">
        <v>804</v>
      </c>
      <c r="K232" s="679">
        <v>2</v>
      </c>
      <c r="L232" s="679">
        <f t="shared" si="3"/>
        <v>18.8</v>
      </c>
      <c r="M232" s="668">
        <f t="shared" si="4"/>
        <v>37.6</v>
      </c>
    </row>
    <row r="233" spans="2:13" s="645" customFormat="1" ht="21.75" customHeight="1">
      <c r="B233" s="678">
        <v>44358</v>
      </c>
      <c r="C233" s="679" t="s">
        <v>819</v>
      </c>
      <c r="D233" s="680" t="s">
        <v>835</v>
      </c>
      <c r="E233" s="681" t="s">
        <v>831</v>
      </c>
      <c r="F233" s="682"/>
      <c r="G233" s="680">
        <v>20</v>
      </c>
      <c r="H233" s="679" t="s">
        <v>807</v>
      </c>
      <c r="I233" s="683" t="s">
        <v>843</v>
      </c>
      <c r="J233" s="684" t="s">
        <v>804</v>
      </c>
      <c r="K233" s="679">
        <v>2</v>
      </c>
      <c r="L233" s="679">
        <f t="shared" si="3"/>
        <v>18.8</v>
      </c>
      <c r="M233" s="668">
        <f t="shared" si="4"/>
        <v>37.6</v>
      </c>
    </row>
    <row r="234" spans="2:13" s="645" customFormat="1" ht="21.75" customHeight="1">
      <c r="B234" s="678">
        <v>44358</v>
      </c>
      <c r="C234" s="679" t="s">
        <v>819</v>
      </c>
      <c r="D234" s="680" t="s">
        <v>841</v>
      </c>
      <c r="E234" s="681" t="s">
        <v>831</v>
      </c>
      <c r="F234" s="682"/>
      <c r="G234" s="680">
        <v>20</v>
      </c>
      <c r="H234" s="679" t="s">
        <v>807</v>
      </c>
      <c r="I234" s="683" t="s">
        <v>843</v>
      </c>
      <c r="J234" s="684" t="s">
        <v>804</v>
      </c>
      <c r="K234" s="679">
        <v>2</v>
      </c>
      <c r="L234" s="679">
        <f t="shared" si="3"/>
        <v>18.8</v>
      </c>
      <c r="M234" s="668">
        <f t="shared" si="4"/>
        <v>37.6</v>
      </c>
    </row>
    <row r="235" spans="2:13" s="645" customFormat="1" ht="21.75" customHeight="1">
      <c r="B235" s="678">
        <v>44358</v>
      </c>
      <c r="C235" s="679" t="s">
        <v>819</v>
      </c>
      <c r="D235" s="680" t="s">
        <v>834</v>
      </c>
      <c r="E235" s="681" t="s">
        <v>831</v>
      </c>
      <c r="F235" s="682"/>
      <c r="G235" s="680">
        <v>20</v>
      </c>
      <c r="H235" s="679" t="s">
        <v>807</v>
      </c>
      <c r="I235" s="683" t="s">
        <v>843</v>
      </c>
      <c r="J235" s="684" t="s">
        <v>804</v>
      </c>
      <c r="K235" s="679">
        <v>2</v>
      </c>
      <c r="L235" s="679">
        <f t="shared" si="3"/>
        <v>18.8</v>
      </c>
      <c r="M235" s="668">
        <f t="shared" si="4"/>
        <v>37.6</v>
      </c>
    </row>
    <row r="236" spans="2:13" s="645" customFormat="1" ht="21.75" customHeight="1">
      <c r="B236" s="678">
        <v>44358</v>
      </c>
      <c r="C236" s="679" t="s">
        <v>819</v>
      </c>
      <c r="D236" s="680" t="s">
        <v>848</v>
      </c>
      <c r="E236" s="681" t="s">
        <v>831</v>
      </c>
      <c r="F236" s="682"/>
      <c r="G236" s="680">
        <v>20</v>
      </c>
      <c r="H236" s="679" t="s">
        <v>807</v>
      </c>
      <c r="I236" s="683" t="s">
        <v>843</v>
      </c>
      <c r="J236" s="684" t="s">
        <v>804</v>
      </c>
      <c r="K236" s="679">
        <v>2</v>
      </c>
      <c r="L236" s="679">
        <f t="shared" si="3"/>
        <v>18.8</v>
      </c>
      <c r="M236" s="668">
        <f t="shared" si="4"/>
        <v>37.6</v>
      </c>
    </row>
    <row r="237" spans="2:13" s="645" customFormat="1" ht="21.75" customHeight="1">
      <c r="B237" s="678">
        <v>44358</v>
      </c>
      <c r="C237" s="679" t="s">
        <v>819</v>
      </c>
      <c r="D237" s="680" t="s">
        <v>830</v>
      </c>
      <c r="E237" s="681" t="s">
        <v>831</v>
      </c>
      <c r="F237" s="682"/>
      <c r="G237" s="680">
        <v>15</v>
      </c>
      <c r="H237" s="679" t="s">
        <v>807</v>
      </c>
      <c r="I237" s="683" t="s">
        <v>843</v>
      </c>
      <c r="J237" s="684" t="s">
        <v>804</v>
      </c>
      <c r="K237" s="679">
        <v>2</v>
      </c>
      <c r="L237" s="679">
        <f t="shared" si="3"/>
        <v>14.1</v>
      </c>
      <c r="M237" s="668">
        <f t="shared" si="4"/>
        <v>28.2</v>
      </c>
    </row>
    <row r="238" spans="2:13" s="645" customFormat="1" ht="21.75" customHeight="1">
      <c r="B238" s="678">
        <v>44358</v>
      </c>
      <c r="C238" s="679" t="s">
        <v>819</v>
      </c>
      <c r="D238" s="680" t="s">
        <v>839</v>
      </c>
      <c r="E238" s="681" t="s">
        <v>831</v>
      </c>
      <c r="F238" s="682"/>
      <c r="G238" s="680">
        <v>15</v>
      </c>
      <c r="H238" s="679" t="s">
        <v>807</v>
      </c>
      <c r="I238" s="683" t="s">
        <v>843</v>
      </c>
      <c r="J238" s="684" t="s">
        <v>804</v>
      </c>
      <c r="K238" s="679">
        <v>1</v>
      </c>
      <c r="L238" s="679">
        <f t="shared" si="3"/>
        <v>14.1</v>
      </c>
      <c r="M238" s="668">
        <f t="shared" si="4"/>
        <v>14.1</v>
      </c>
    </row>
    <row r="239" spans="2:13" s="645" customFormat="1" ht="21.75" customHeight="1">
      <c r="B239" s="678">
        <v>44358</v>
      </c>
      <c r="C239" s="679" t="s">
        <v>819</v>
      </c>
      <c r="D239" s="680" t="s">
        <v>845</v>
      </c>
      <c r="E239" s="681" t="s">
        <v>831</v>
      </c>
      <c r="F239" s="682"/>
      <c r="G239" s="680">
        <v>17</v>
      </c>
      <c r="H239" s="679" t="s">
        <v>807</v>
      </c>
      <c r="I239" s="683" t="s">
        <v>843</v>
      </c>
      <c r="J239" s="684" t="s">
        <v>804</v>
      </c>
      <c r="K239" s="679">
        <v>2</v>
      </c>
      <c r="L239" s="679">
        <f t="shared" si="3"/>
        <v>15.98</v>
      </c>
      <c r="M239" s="668">
        <f t="shared" si="4"/>
        <v>31.96</v>
      </c>
    </row>
    <row r="240" spans="2:13" s="645" customFormat="1" ht="21.75" customHeight="1">
      <c r="B240" s="678">
        <v>44358</v>
      </c>
      <c r="C240" s="679" t="s">
        <v>819</v>
      </c>
      <c r="D240" s="680" t="s">
        <v>847</v>
      </c>
      <c r="E240" s="681" t="s">
        <v>831</v>
      </c>
      <c r="F240" s="682"/>
      <c r="G240" s="680">
        <v>17</v>
      </c>
      <c r="H240" s="679" t="s">
        <v>807</v>
      </c>
      <c r="I240" s="683" t="s">
        <v>843</v>
      </c>
      <c r="J240" s="684" t="s">
        <v>804</v>
      </c>
      <c r="K240" s="679">
        <v>2</v>
      </c>
      <c r="L240" s="679">
        <f t="shared" si="3"/>
        <v>15.98</v>
      </c>
      <c r="M240" s="668">
        <f t="shared" si="4"/>
        <v>31.96</v>
      </c>
    </row>
    <row r="241" spans="2:13" s="645" customFormat="1" ht="21.75" customHeight="1">
      <c r="B241" s="678">
        <v>44358</v>
      </c>
      <c r="C241" s="679" t="s">
        <v>819</v>
      </c>
      <c r="D241" s="680" t="s">
        <v>850</v>
      </c>
      <c r="E241" s="681" t="s">
        <v>831</v>
      </c>
      <c r="F241" s="682"/>
      <c r="G241" s="680">
        <v>15</v>
      </c>
      <c r="H241" s="679" t="s">
        <v>807</v>
      </c>
      <c r="I241" s="683" t="s">
        <v>843</v>
      </c>
      <c r="J241" s="684" t="s">
        <v>804</v>
      </c>
      <c r="K241" s="679">
        <v>1</v>
      </c>
      <c r="L241" s="679">
        <f t="shared" si="3"/>
        <v>14.1</v>
      </c>
      <c r="M241" s="668">
        <f t="shared" si="4"/>
        <v>14.1</v>
      </c>
    </row>
    <row r="242" spans="2:13" s="645" customFormat="1" ht="21.75" customHeight="1">
      <c r="B242" s="670">
        <v>44359</v>
      </c>
      <c r="C242" s="671" t="s">
        <v>819</v>
      </c>
      <c r="D242" s="672" t="s">
        <v>849</v>
      </c>
      <c r="E242" s="673" t="s">
        <v>831</v>
      </c>
      <c r="F242" s="674"/>
      <c r="G242" s="672">
        <v>20</v>
      </c>
      <c r="H242" s="671" t="s">
        <v>807</v>
      </c>
      <c r="I242" s="675" t="s">
        <v>843</v>
      </c>
      <c r="J242" s="677" t="s">
        <v>804</v>
      </c>
      <c r="K242" s="671">
        <v>3</v>
      </c>
      <c r="L242" s="671">
        <f t="shared" si="3"/>
        <v>18.8</v>
      </c>
      <c r="M242" s="676">
        <f t="shared" si="4"/>
        <v>56.400000000000006</v>
      </c>
    </row>
    <row r="243" spans="2:13" s="645" customFormat="1" ht="21.75" customHeight="1">
      <c r="B243" s="670">
        <v>44359</v>
      </c>
      <c r="C243" s="671" t="s">
        <v>819</v>
      </c>
      <c r="D243" s="672" t="s">
        <v>840</v>
      </c>
      <c r="E243" s="673" t="s">
        <v>831</v>
      </c>
      <c r="F243" s="674"/>
      <c r="G243" s="672">
        <v>20</v>
      </c>
      <c r="H243" s="671" t="s">
        <v>807</v>
      </c>
      <c r="I243" s="675" t="s">
        <v>843</v>
      </c>
      <c r="J243" s="677" t="s">
        <v>804</v>
      </c>
      <c r="K243" s="671">
        <v>4</v>
      </c>
      <c r="L243" s="671">
        <f t="shared" si="3"/>
        <v>18.8</v>
      </c>
      <c r="M243" s="676">
        <f t="shared" si="4"/>
        <v>75.2</v>
      </c>
    </row>
    <row r="244" spans="2:13" s="645" customFormat="1" ht="21.75" customHeight="1">
      <c r="B244" s="670">
        <v>44359</v>
      </c>
      <c r="C244" s="671" t="s">
        <v>819</v>
      </c>
      <c r="D244" s="672" t="s">
        <v>835</v>
      </c>
      <c r="E244" s="673" t="s">
        <v>831</v>
      </c>
      <c r="F244" s="674"/>
      <c r="G244" s="672">
        <v>20</v>
      </c>
      <c r="H244" s="671" t="s">
        <v>807</v>
      </c>
      <c r="I244" s="675" t="s">
        <v>843</v>
      </c>
      <c r="J244" s="677" t="s">
        <v>804</v>
      </c>
      <c r="K244" s="671">
        <v>5</v>
      </c>
      <c r="L244" s="671">
        <f t="shared" si="3"/>
        <v>18.8</v>
      </c>
      <c r="M244" s="676">
        <f t="shared" si="4"/>
        <v>94</v>
      </c>
    </row>
    <row r="245" spans="2:13" s="645" customFormat="1" ht="21.75" customHeight="1">
      <c r="B245" s="670">
        <v>44359</v>
      </c>
      <c r="C245" s="671" t="s">
        <v>819</v>
      </c>
      <c r="D245" s="672" t="s">
        <v>841</v>
      </c>
      <c r="E245" s="673" t="s">
        <v>831</v>
      </c>
      <c r="F245" s="674"/>
      <c r="G245" s="672">
        <v>20</v>
      </c>
      <c r="H245" s="671" t="s">
        <v>807</v>
      </c>
      <c r="I245" s="675" t="s">
        <v>843</v>
      </c>
      <c r="J245" s="677" t="s">
        <v>804</v>
      </c>
      <c r="K245" s="671">
        <v>5</v>
      </c>
      <c r="L245" s="671">
        <f t="shared" si="3"/>
        <v>18.8</v>
      </c>
      <c r="M245" s="676">
        <f t="shared" si="4"/>
        <v>94</v>
      </c>
    </row>
    <row r="246" spans="2:13" s="645" customFormat="1" ht="21.75" customHeight="1">
      <c r="B246" s="670">
        <v>44359</v>
      </c>
      <c r="C246" s="671" t="s">
        <v>819</v>
      </c>
      <c r="D246" s="672" t="s">
        <v>834</v>
      </c>
      <c r="E246" s="673" t="s">
        <v>831</v>
      </c>
      <c r="F246" s="674"/>
      <c r="G246" s="672">
        <v>20</v>
      </c>
      <c r="H246" s="671" t="s">
        <v>807</v>
      </c>
      <c r="I246" s="675" t="s">
        <v>843</v>
      </c>
      <c r="J246" s="677" t="s">
        <v>804</v>
      </c>
      <c r="K246" s="671">
        <v>5</v>
      </c>
      <c r="L246" s="671">
        <f t="shared" si="3"/>
        <v>18.8</v>
      </c>
      <c r="M246" s="676">
        <f t="shared" si="4"/>
        <v>94</v>
      </c>
    </row>
    <row r="247" spans="2:13" s="645" customFormat="1" ht="21.75" customHeight="1">
      <c r="B247" s="670">
        <v>44359</v>
      </c>
      <c r="C247" s="671" t="s">
        <v>819</v>
      </c>
      <c r="D247" s="672" t="s">
        <v>848</v>
      </c>
      <c r="E247" s="673" t="s">
        <v>831</v>
      </c>
      <c r="F247" s="674"/>
      <c r="G247" s="672">
        <v>20</v>
      </c>
      <c r="H247" s="671" t="s">
        <v>807</v>
      </c>
      <c r="I247" s="675" t="s">
        <v>843</v>
      </c>
      <c r="J247" s="677" t="s">
        <v>804</v>
      </c>
      <c r="K247" s="671">
        <v>5</v>
      </c>
      <c r="L247" s="671">
        <f t="shared" si="3"/>
        <v>18.8</v>
      </c>
      <c r="M247" s="676">
        <f t="shared" si="4"/>
        <v>94</v>
      </c>
    </row>
    <row r="248" spans="2:13" s="645" customFormat="1" ht="21.75" customHeight="1">
      <c r="B248" s="670">
        <v>44359</v>
      </c>
      <c r="C248" s="671" t="s">
        <v>819</v>
      </c>
      <c r="D248" s="672" t="s">
        <v>836</v>
      </c>
      <c r="E248" s="673" t="s">
        <v>831</v>
      </c>
      <c r="F248" s="674"/>
      <c r="G248" s="672">
        <v>20</v>
      </c>
      <c r="H248" s="671" t="s">
        <v>807</v>
      </c>
      <c r="I248" s="675" t="s">
        <v>843</v>
      </c>
      <c r="J248" s="677" t="s">
        <v>804</v>
      </c>
      <c r="K248" s="671">
        <v>4</v>
      </c>
      <c r="L248" s="671">
        <f t="shared" si="3"/>
        <v>18.8</v>
      </c>
      <c r="M248" s="676">
        <f t="shared" si="4"/>
        <v>75.2</v>
      </c>
    </row>
    <row r="249" spans="2:13" s="645" customFormat="1" ht="21.75" customHeight="1">
      <c r="B249" s="670">
        <v>44359</v>
      </c>
      <c r="C249" s="671" t="s">
        <v>819</v>
      </c>
      <c r="D249" s="672" t="s">
        <v>830</v>
      </c>
      <c r="E249" s="673" t="s">
        <v>831</v>
      </c>
      <c r="F249" s="674"/>
      <c r="G249" s="672">
        <v>15</v>
      </c>
      <c r="H249" s="671" t="s">
        <v>807</v>
      </c>
      <c r="I249" s="675" t="s">
        <v>843</v>
      </c>
      <c r="J249" s="677" t="s">
        <v>804</v>
      </c>
      <c r="K249" s="671">
        <v>5</v>
      </c>
      <c r="L249" s="671">
        <f t="shared" si="3"/>
        <v>14.1</v>
      </c>
      <c r="M249" s="676">
        <f t="shared" si="4"/>
        <v>70.5</v>
      </c>
    </row>
    <row r="250" spans="2:13" s="645" customFormat="1" ht="21.75" customHeight="1">
      <c r="B250" s="670">
        <v>44359</v>
      </c>
      <c r="C250" s="671" t="s">
        <v>819</v>
      </c>
      <c r="D250" s="672" t="s">
        <v>844</v>
      </c>
      <c r="E250" s="673" t="s">
        <v>831</v>
      </c>
      <c r="F250" s="674"/>
      <c r="G250" s="672">
        <v>15</v>
      </c>
      <c r="H250" s="671" t="s">
        <v>807</v>
      </c>
      <c r="I250" s="675" t="s">
        <v>843</v>
      </c>
      <c r="J250" s="677" t="s">
        <v>804</v>
      </c>
      <c r="K250" s="671">
        <v>2</v>
      </c>
      <c r="L250" s="671">
        <f t="shared" si="3"/>
        <v>14.1</v>
      </c>
      <c r="M250" s="676">
        <f t="shared" si="4"/>
        <v>28.2</v>
      </c>
    </row>
    <row r="251" spans="2:13" s="645" customFormat="1" ht="21.75" customHeight="1">
      <c r="B251" s="670">
        <v>44359</v>
      </c>
      <c r="C251" s="671" t="s">
        <v>819</v>
      </c>
      <c r="D251" s="672" t="s">
        <v>839</v>
      </c>
      <c r="E251" s="673" t="s">
        <v>831</v>
      </c>
      <c r="F251" s="674"/>
      <c r="G251" s="672">
        <v>15</v>
      </c>
      <c r="H251" s="671" t="s">
        <v>807</v>
      </c>
      <c r="I251" s="675" t="s">
        <v>843</v>
      </c>
      <c r="J251" s="677" t="s">
        <v>804</v>
      </c>
      <c r="K251" s="671">
        <v>5</v>
      </c>
      <c r="L251" s="671">
        <f t="shared" si="3"/>
        <v>14.1</v>
      </c>
      <c r="M251" s="676">
        <f t="shared" si="4"/>
        <v>70.5</v>
      </c>
    </row>
    <row r="252" spans="2:13" s="645" customFormat="1" ht="21.75" customHeight="1">
      <c r="B252" s="670">
        <v>44359</v>
      </c>
      <c r="C252" s="671" t="s">
        <v>819</v>
      </c>
      <c r="D252" s="672" t="s">
        <v>845</v>
      </c>
      <c r="E252" s="673" t="s">
        <v>831</v>
      </c>
      <c r="F252" s="674"/>
      <c r="G252" s="672">
        <v>17</v>
      </c>
      <c r="H252" s="671" t="s">
        <v>807</v>
      </c>
      <c r="I252" s="675" t="s">
        <v>843</v>
      </c>
      <c r="J252" s="677" t="s">
        <v>804</v>
      </c>
      <c r="K252" s="671">
        <v>5</v>
      </c>
      <c r="L252" s="671">
        <f t="shared" si="3"/>
        <v>15.98</v>
      </c>
      <c r="M252" s="676">
        <f t="shared" si="4"/>
        <v>79.900000000000006</v>
      </c>
    </row>
    <row r="253" spans="2:13" s="645" customFormat="1" ht="21.75" customHeight="1">
      <c r="B253" s="670">
        <v>44359</v>
      </c>
      <c r="C253" s="671" t="s">
        <v>819</v>
      </c>
      <c r="D253" s="672" t="s">
        <v>847</v>
      </c>
      <c r="E253" s="673" t="s">
        <v>831</v>
      </c>
      <c r="F253" s="674"/>
      <c r="G253" s="672">
        <v>17</v>
      </c>
      <c r="H253" s="671" t="s">
        <v>807</v>
      </c>
      <c r="I253" s="675" t="s">
        <v>843</v>
      </c>
      <c r="J253" s="677" t="s">
        <v>804</v>
      </c>
      <c r="K253" s="671">
        <v>5</v>
      </c>
      <c r="L253" s="671">
        <f t="shared" si="3"/>
        <v>15.98</v>
      </c>
      <c r="M253" s="676">
        <f t="shared" si="4"/>
        <v>79.900000000000006</v>
      </c>
    </row>
    <row r="254" spans="2:13" s="645" customFormat="1" ht="21.75" customHeight="1">
      <c r="B254" s="670">
        <v>44359</v>
      </c>
      <c r="C254" s="671" t="s">
        <v>819</v>
      </c>
      <c r="D254" s="672" t="s">
        <v>850</v>
      </c>
      <c r="E254" s="673" t="s">
        <v>831</v>
      </c>
      <c r="F254" s="674"/>
      <c r="G254" s="672">
        <v>15</v>
      </c>
      <c r="H254" s="671" t="s">
        <v>807</v>
      </c>
      <c r="I254" s="675" t="s">
        <v>843</v>
      </c>
      <c r="J254" s="677" t="s">
        <v>804</v>
      </c>
      <c r="K254" s="671">
        <v>4</v>
      </c>
      <c r="L254" s="671">
        <f t="shared" si="3"/>
        <v>14.1</v>
      </c>
      <c r="M254" s="676">
        <f t="shared" si="4"/>
        <v>56.4</v>
      </c>
    </row>
    <row r="255" spans="2:13" s="645" customFormat="1" ht="21.75" customHeight="1">
      <c r="B255" s="678">
        <v>44360</v>
      </c>
      <c r="C255" s="679" t="s">
        <v>819</v>
      </c>
      <c r="D255" s="680" t="s">
        <v>849</v>
      </c>
      <c r="E255" s="681" t="s">
        <v>831</v>
      </c>
      <c r="F255" s="682"/>
      <c r="G255" s="680">
        <v>20</v>
      </c>
      <c r="H255" s="679" t="s">
        <v>807</v>
      </c>
      <c r="I255" s="683" t="s">
        <v>843</v>
      </c>
      <c r="J255" s="684" t="s">
        <v>804</v>
      </c>
      <c r="K255" s="679">
        <v>4</v>
      </c>
      <c r="L255" s="679">
        <f t="shared" si="3"/>
        <v>18.8</v>
      </c>
      <c r="M255" s="668">
        <f t="shared" si="4"/>
        <v>75.2</v>
      </c>
    </row>
    <row r="256" spans="2:13" s="645" customFormat="1" ht="21.75" customHeight="1">
      <c r="B256" s="678">
        <v>44360</v>
      </c>
      <c r="C256" s="679" t="s">
        <v>819</v>
      </c>
      <c r="D256" s="680" t="s">
        <v>840</v>
      </c>
      <c r="E256" s="681" t="s">
        <v>831</v>
      </c>
      <c r="F256" s="682"/>
      <c r="G256" s="680">
        <v>20</v>
      </c>
      <c r="H256" s="679" t="s">
        <v>807</v>
      </c>
      <c r="I256" s="683" t="s">
        <v>843</v>
      </c>
      <c r="J256" s="684" t="s">
        <v>804</v>
      </c>
      <c r="K256" s="679">
        <v>5</v>
      </c>
      <c r="L256" s="679">
        <f t="shared" si="3"/>
        <v>18.8</v>
      </c>
      <c r="M256" s="668">
        <f t="shared" si="4"/>
        <v>94</v>
      </c>
    </row>
    <row r="257" spans="2:16" s="645" customFormat="1" ht="21.75" customHeight="1">
      <c r="B257" s="678">
        <v>44360</v>
      </c>
      <c r="C257" s="679" t="s">
        <v>819</v>
      </c>
      <c r="D257" s="680" t="s">
        <v>835</v>
      </c>
      <c r="E257" s="681" t="s">
        <v>831</v>
      </c>
      <c r="F257" s="682"/>
      <c r="G257" s="680">
        <v>20</v>
      </c>
      <c r="H257" s="679" t="s">
        <v>807</v>
      </c>
      <c r="I257" s="683" t="s">
        <v>843</v>
      </c>
      <c r="J257" s="684" t="s">
        <v>804</v>
      </c>
      <c r="K257" s="679">
        <v>5</v>
      </c>
      <c r="L257" s="679">
        <f t="shared" si="3"/>
        <v>18.8</v>
      </c>
      <c r="M257" s="668">
        <f t="shared" si="4"/>
        <v>94</v>
      </c>
    </row>
    <row r="258" spans="2:16" s="645" customFormat="1" ht="21.75" customHeight="1">
      <c r="B258" s="678">
        <v>44360</v>
      </c>
      <c r="C258" s="679" t="s">
        <v>819</v>
      </c>
      <c r="D258" s="680" t="s">
        <v>841</v>
      </c>
      <c r="E258" s="681" t="s">
        <v>831</v>
      </c>
      <c r="F258" s="682"/>
      <c r="G258" s="680">
        <v>20</v>
      </c>
      <c r="H258" s="679" t="s">
        <v>807</v>
      </c>
      <c r="I258" s="683" t="s">
        <v>843</v>
      </c>
      <c r="J258" s="684" t="s">
        <v>804</v>
      </c>
      <c r="K258" s="679">
        <v>5</v>
      </c>
      <c r="L258" s="679">
        <f t="shared" si="3"/>
        <v>18.8</v>
      </c>
      <c r="M258" s="668">
        <f t="shared" si="4"/>
        <v>94</v>
      </c>
    </row>
    <row r="259" spans="2:16" s="645" customFormat="1" ht="21.75" customHeight="1">
      <c r="B259" s="678">
        <v>44360</v>
      </c>
      <c r="C259" s="679" t="s">
        <v>819</v>
      </c>
      <c r="D259" s="680" t="s">
        <v>834</v>
      </c>
      <c r="E259" s="681" t="s">
        <v>831</v>
      </c>
      <c r="F259" s="682"/>
      <c r="G259" s="680">
        <v>20</v>
      </c>
      <c r="H259" s="679" t="s">
        <v>807</v>
      </c>
      <c r="I259" s="683" t="s">
        <v>843</v>
      </c>
      <c r="J259" s="684" t="s">
        <v>804</v>
      </c>
      <c r="K259" s="679">
        <v>5</v>
      </c>
      <c r="L259" s="679">
        <f t="shared" si="3"/>
        <v>18.8</v>
      </c>
      <c r="M259" s="668">
        <f t="shared" si="4"/>
        <v>94</v>
      </c>
    </row>
    <row r="260" spans="2:16" s="645" customFormat="1" ht="21.75" customHeight="1">
      <c r="B260" s="678">
        <v>44360</v>
      </c>
      <c r="C260" s="679" t="s">
        <v>819</v>
      </c>
      <c r="D260" s="680" t="s">
        <v>848</v>
      </c>
      <c r="E260" s="681" t="s">
        <v>831</v>
      </c>
      <c r="F260" s="682"/>
      <c r="G260" s="680">
        <v>20</v>
      </c>
      <c r="H260" s="679" t="s">
        <v>807</v>
      </c>
      <c r="I260" s="683" t="s">
        <v>843</v>
      </c>
      <c r="J260" s="684" t="s">
        <v>804</v>
      </c>
      <c r="K260" s="679">
        <v>4</v>
      </c>
      <c r="L260" s="679">
        <f t="shared" si="3"/>
        <v>18.8</v>
      </c>
      <c r="M260" s="668">
        <f t="shared" si="4"/>
        <v>75.2</v>
      </c>
    </row>
    <row r="261" spans="2:16" s="645" customFormat="1" ht="21.75" customHeight="1">
      <c r="B261" s="678">
        <v>44360</v>
      </c>
      <c r="C261" s="679" t="s">
        <v>819</v>
      </c>
      <c r="D261" s="680" t="s">
        <v>836</v>
      </c>
      <c r="E261" s="681" t="s">
        <v>831</v>
      </c>
      <c r="F261" s="682"/>
      <c r="G261" s="680">
        <v>20</v>
      </c>
      <c r="H261" s="679" t="s">
        <v>807</v>
      </c>
      <c r="I261" s="683" t="s">
        <v>843</v>
      </c>
      <c r="J261" s="684" t="s">
        <v>804</v>
      </c>
      <c r="K261" s="679">
        <v>5</v>
      </c>
      <c r="L261" s="679">
        <f t="shared" si="3"/>
        <v>18.8</v>
      </c>
      <c r="M261" s="668">
        <f t="shared" si="4"/>
        <v>94</v>
      </c>
    </row>
    <row r="262" spans="2:16" s="645" customFormat="1" ht="21.75" customHeight="1">
      <c r="B262" s="678">
        <v>44360</v>
      </c>
      <c r="C262" s="679" t="s">
        <v>819</v>
      </c>
      <c r="D262" s="680" t="s">
        <v>830</v>
      </c>
      <c r="E262" s="681" t="s">
        <v>831</v>
      </c>
      <c r="F262" s="682"/>
      <c r="G262" s="680">
        <v>15</v>
      </c>
      <c r="H262" s="679" t="s">
        <v>807</v>
      </c>
      <c r="I262" s="683" t="s">
        <v>843</v>
      </c>
      <c r="J262" s="684" t="s">
        <v>804</v>
      </c>
      <c r="K262" s="679">
        <v>4</v>
      </c>
      <c r="L262" s="679">
        <f t="shared" si="3"/>
        <v>14.1</v>
      </c>
      <c r="M262" s="668">
        <f t="shared" si="4"/>
        <v>56.4</v>
      </c>
    </row>
    <row r="263" spans="2:16" s="645" customFormat="1" ht="21.75" customHeight="1">
      <c r="B263" s="678">
        <v>44360</v>
      </c>
      <c r="C263" s="679" t="s">
        <v>819</v>
      </c>
      <c r="D263" s="680" t="s">
        <v>844</v>
      </c>
      <c r="E263" s="681" t="s">
        <v>831</v>
      </c>
      <c r="F263" s="682"/>
      <c r="G263" s="680">
        <v>15</v>
      </c>
      <c r="H263" s="679" t="s">
        <v>807</v>
      </c>
      <c r="I263" s="683" t="s">
        <v>843</v>
      </c>
      <c r="J263" s="684" t="s">
        <v>804</v>
      </c>
      <c r="K263" s="679">
        <v>2</v>
      </c>
      <c r="L263" s="679">
        <f t="shared" si="3"/>
        <v>14.1</v>
      </c>
      <c r="M263" s="668">
        <f t="shared" si="4"/>
        <v>28.2</v>
      </c>
    </row>
    <row r="264" spans="2:16" s="645" customFormat="1" ht="21.75" customHeight="1">
      <c r="B264" s="678">
        <v>44360</v>
      </c>
      <c r="C264" s="679" t="s">
        <v>819</v>
      </c>
      <c r="D264" s="680" t="s">
        <v>839</v>
      </c>
      <c r="E264" s="681" t="s">
        <v>831</v>
      </c>
      <c r="F264" s="682"/>
      <c r="G264" s="680">
        <v>15</v>
      </c>
      <c r="H264" s="679" t="s">
        <v>807</v>
      </c>
      <c r="I264" s="683" t="s">
        <v>843</v>
      </c>
      <c r="J264" s="684" t="s">
        <v>804</v>
      </c>
      <c r="K264" s="679">
        <v>4</v>
      </c>
      <c r="L264" s="679">
        <f t="shared" si="3"/>
        <v>14.1</v>
      </c>
      <c r="M264" s="668">
        <f t="shared" si="4"/>
        <v>56.4</v>
      </c>
    </row>
    <row r="265" spans="2:16" s="645" customFormat="1" ht="21.75" customHeight="1">
      <c r="B265" s="678">
        <v>44360</v>
      </c>
      <c r="C265" s="679" t="s">
        <v>819</v>
      </c>
      <c r="D265" s="680" t="s">
        <v>845</v>
      </c>
      <c r="E265" s="681" t="s">
        <v>831</v>
      </c>
      <c r="F265" s="682"/>
      <c r="G265" s="680">
        <v>17</v>
      </c>
      <c r="H265" s="679" t="s">
        <v>807</v>
      </c>
      <c r="I265" s="683" t="s">
        <v>843</v>
      </c>
      <c r="J265" s="684" t="s">
        <v>804</v>
      </c>
      <c r="K265" s="679">
        <v>4</v>
      </c>
      <c r="L265" s="679">
        <f t="shared" ref="L265:L328" si="5">VLOOKUP(G265,$Q$4:$V$7,6,FALSE)</f>
        <v>15.98</v>
      </c>
      <c r="M265" s="668">
        <f t="shared" si="4"/>
        <v>63.92</v>
      </c>
    </row>
    <row r="266" spans="2:16" s="645" customFormat="1" ht="21.75" customHeight="1">
      <c r="B266" s="678">
        <v>44360</v>
      </c>
      <c r="C266" s="679" t="s">
        <v>819</v>
      </c>
      <c r="D266" s="680" t="s">
        <v>847</v>
      </c>
      <c r="E266" s="681" t="s">
        <v>831</v>
      </c>
      <c r="F266" s="682"/>
      <c r="G266" s="680">
        <v>17</v>
      </c>
      <c r="H266" s="679" t="s">
        <v>807</v>
      </c>
      <c r="I266" s="683" t="s">
        <v>843</v>
      </c>
      <c r="J266" s="684" t="s">
        <v>804</v>
      </c>
      <c r="K266" s="679">
        <v>5</v>
      </c>
      <c r="L266" s="679">
        <f t="shared" si="5"/>
        <v>15.98</v>
      </c>
      <c r="M266" s="668">
        <f t="shared" si="4"/>
        <v>79.900000000000006</v>
      </c>
    </row>
    <row r="267" spans="2:16" s="645" customFormat="1" ht="21.75" customHeight="1">
      <c r="B267" s="678">
        <v>44360</v>
      </c>
      <c r="C267" s="679" t="s">
        <v>819</v>
      </c>
      <c r="D267" s="680" t="s">
        <v>850</v>
      </c>
      <c r="E267" s="681" t="s">
        <v>831</v>
      </c>
      <c r="F267" s="682"/>
      <c r="G267" s="680">
        <v>15</v>
      </c>
      <c r="H267" s="679" t="s">
        <v>807</v>
      </c>
      <c r="I267" s="683" t="s">
        <v>843</v>
      </c>
      <c r="J267" s="684" t="s">
        <v>804</v>
      </c>
      <c r="K267" s="679">
        <v>3</v>
      </c>
      <c r="L267" s="679">
        <f t="shared" si="5"/>
        <v>14.1</v>
      </c>
      <c r="M267" s="668">
        <f t="shared" si="4"/>
        <v>42.3</v>
      </c>
    </row>
    <row r="268" spans="2:16" s="645" customFormat="1" ht="21.75" customHeight="1">
      <c r="B268" s="670">
        <v>44361</v>
      </c>
      <c r="C268" s="671" t="s">
        <v>819</v>
      </c>
      <c r="D268" s="672" t="s">
        <v>849</v>
      </c>
      <c r="E268" s="673" t="s">
        <v>831</v>
      </c>
      <c r="F268" s="674"/>
      <c r="G268" s="672">
        <v>20</v>
      </c>
      <c r="H268" s="671" t="s">
        <v>807</v>
      </c>
      <c r="I268" s="675" t="s">
        <v>838</v>
      </c>
      <c r="J268" s="677" t="s">
        <v>804</v>
      </c>
      <c r="K268" s="671">
        <v>4</v>
      </c>
      <c r="L268" s="671">
        <f t="shared" si="5"/>
        <v>18.8</v>
      </c>
      <c r="M268" s="676">
        <f t="shared" si="4"/>
        <v>75.2</v>
      </c>
      <c r="P268" s="669"/>
    </row>
    <row r="269" spans="2:16" s="645" customFormat="1" ht="21.75" customHeight="1">
      <c r="B269" s="670">
        <v>44361</v>
      </c>
      <c r="C269" s="671" t="s">
        <v>819</v>
      </c>
      <c r="D269" s="672" t="s">
        <v>840</v>
      </c>
      <c r="E269" s="673" t="s">
        <v>831</v>
      </c>
      <c r="F269" s="674"/>
      <c r="G269" s="672">
        <v>20</v>
      </c>
      <c r="H269" s="671" t="s">
        <v>807</v>
      </c>
      <c r="I269" s="675" t="s">
        <v>838</v>
      </c>
      <c r="J269" s="677" t="s">
        <v>804</v>
      </c>
      <c r="K269" s="671">
        <v>1</v>
      </c>
      <c r="L269" s="671">
        <f t="shared" si="5"/>
        <v>18.8</v>
      </c>
      <c r="M269" s="676">
        <f t="shared" si="4"/>
        <v>18.8</v>
      </c>
      <c r="P269" s="669"/>
    </row>
    <row r="270" spans="2:16" s="645" customFormat="1" ht="21.75" customHeight="1">
      <c r="B270" s="670">
        <v>44361</v>
      </c>
      <c r="C270" s="671" t="s">
        <v>819</v>
      </c>
      <c r="D270" s="672" t="s">
        <v>835</v>
      </c>
      <c r="E270" s="673" t="s">
        <v>831</v>
      </c>
      <c r="F270" s="674"/>
      <c r="G270" s="672">
        <v>20</v>
      </c>
      <c r="H270" s="671" t="s">
        <v>807</v>
      </c>
      <c r="I270" s="675" t="s">
        <v>838</v>
      </c>
      <c r="J270" s="677" t="s">
        <v>804</v>
      </c>
      <c r="K270" s="671">
        <v>6</v>
      </c>
      <c r="L270" s="671">
        <f t="shared" si="5"/>
        <v>18.8</v>
      </c>
      <c r="M270" s="676">
        <f t="shared" si="4"/>
        <v>112.80000000000001</v>
      </c>
      <c r="P270" s="669"/>
    </row>
    <row r="271" spans="2:16" s="645" customFormat="1" ht="21.75" customHeight="1">
      <c r="B271" s="670">
        <v>44361</v>
      </c>
      <c r="C271" s="671" t="s">
        <v>819</v>
      </c>
      <c r="D271" s="672" t="s">
        <v>841</v>
      </c>
      <c r="E271" s="673" t="s">
        <v>831</v>
      </c>
      <c r="F271" s="674"/>
      <c r="G271" s="672">
        <v>20</v>
      </c>
      <c r="H271" s="671" t="s">
        <v>807</v>
      </c>
      <c r="I271" s="675" t="s">
        <v>838</v>
      </c>
      <c r="J271" s="677" t="s">
        <v>804</v>
      </c>
      <c r="K271" s="671">
        <v>6</v>
      </c>
      <c r="L271" s="671">
        <f t="shared" si="5"/>
        <v>18.8</v>
      </c>
      <c r="M271" s="676">
        <f t="shared" si="4"/>
        <v>112.80000000000001</v>
      </c>
      <c r="P271" s="669"/>
    </row>
    <row r="272" spans="2:16" s="645" customFormat="1" ht="21.75" customHeight="1">
      <c r="B272" s="670">
        <v>44361</v>
      </c>
      <c r="C272" s="671" t="s">
        <v>819</v>
      </c>
      <c r="D272" s="672" t="s">
        <v>834</v>
      </c>
      <c r="E272" s="673" t="s">
        <v>831</v>
      </c>
      <c r="F272" s="674"/>
      <c r="G272" s="672">
        <v>20</v>
      </c>
      <c r="H272" s="671" t="s">
        <v>807</v>
      </c>
      <c r="I272" s="675" t="s">
        <v>838</v>
      </c>
      <c r="J272" s="677" t="s">
        <v>804</v>
      </c>
      <c r="K272" s="671">
        <v>2</v>
      </c>
      <c r="L272" s="671">
        <f t="shared" si="5"/>
        <v>18.8</v>
      </c>
      <c r="M272" s="676">
        <f t="shared" si="4"/>
        <v>37.6</v>
      </c>
      <c r="P272" s="669"/>
    </row>
    <row r="273" spans="2:16" s="645" customFormat="1" ht="21.75" customHeight="1">
      <c r="B273" s="670">
        <v>44361</v>
      </c>
      <c r="C273" s="671" t="s">
        <v>819</v>
      </c>
      <c r="D273" s="672" t="s">
        <v>848</v>
      </c>
      <c r="E273" s="673" t="s">
        <v>831</v>
      </c>
      <c r="F273" s="674"/>
      <c r="G273" s="672">
        <v>20</v>
      </c>
      <c r="H273" s="671" t="s">
        <v>807</v>
      </c>
      <c r="I273" s="675" t="s">
        <v>838</v>
      </c>
      <c r="J273" s="677" t="s">
        <v>804</v>
      </c>
      <c r="K273" s="671">
        <v>6</v>
      </c>
      <c r="L273" s="671">
        <f t="shared" si="5"/>
        <v>18.8</v>
      </c>
      <c r="M273" s="676">
        <f t="shared" si="4"/>
        <v>112.80000000000001</v>
      </c>
      <c r="P273" s="669"/>
    </row>
    <row r="274" spans="2:16" s="645" customFormat="1" ht="21.75" customHeight="1">
      <c r="B274" s="670">
        <v>44361</v>
      </c>
      <c r="C274" s="671" t="s">
        <v>819</v>
      </c>
      <c r="D274" s="672" t="s">
        <v>836</v>
      </c>
      <c r="E274" s="673" t="s">
        <v>831</v>
      </c>
      <c r="F274" s="674"/>
      <c r="G274" s="672">
        <v>20</v>
      </c>
      <c r="H274" s="671" t="s">
        <v>807</v>
      </c>
      <c r="I274" s="675" t="s">
        <v>838</v>
      </c>
      <c r="J274" s="677" t="s">
        <v>804</v>
      </c>
      <c r="K274" s="671">
        <v>3</v>
      </c>
      <c r="L274" s="671">
        <f t="shared" si="5"/>
        <v>18.8</v>
      </c>
      <c r="M274" s="676">
        <f t="shared" si="4"/>
        <v>56.400000000000006</v>
      </c>
      <c r="P274" s="669"/>
    </row>
    <row r="275" spans="2:16" s="645" customFormat="1" ht="21.75" customHeight="1">
      <c r="B275" s="670">
        <v>44361</v>
      </c>
      <c r="C275" s="671" t="s">
        <v>819</v>
      </c>
      <c r="D275" s="672" t="s">
        <v>830</v>
      </c>
      <c r="E275" s="673" t="s">
        <v>831</v>
      </c>
      <c r="F275" s="674"/>
      <c r="G275" s="672">
        <v>15</v>
      </c>
      <c r="H275" s="671" t="s">
        <v>807</v>
      </c>
      <c r="I275" s="675" t="s">
        <v>838</v>
      </c>
      <c r="J275" s="677" t="s">
        <v>804</v>
      </c>
      <c r="K275" s="671">
        <v>2</v>
      </c>
      <c r="L275" s="671">
        <f t="shared" si="5"/>
        <v>14.1</v>
      </c>
      <c r="M275" s="676">
        <f t="shared" si="4"/>
        <v>28.2</v>
      </c>
    </row>
    <row r="276" spans="2:16" s="645" customFormat="1" ht="21.75" customHeight="1">
      <c r="B276" s="670">
        <v>44361</v>
      </c>
      <c r="C276" s="671" t="s">
        <v>819</v>
      </c>
      <c r="D276" s="672" t="s">
        <v>839</v>
      </c>
      <c r="E276" s="673" t="s">
        <v>831</v>
      </c>
      <c r="F276" s="674"/>
      <c r="G276" s="672">
        <v>15</v>
      </c>
      <c r="H276" s="671" t="s">
        <v>807</v>
      </c>
      <c r="I276" s="675" t="s">
        <v>838</v>
      </c>
      <c r="J276" s="677" t="s">
        <v>804</v>
      </c>
      <c r="K276" s="671">
        <v>2</v>
      </c>
      <c r="L276" s="671">
        <f t="shared" si="5"/>
        <v>14.1</v>
      </c>
      <c r="M276" s="676">
        <f t="shared" si="4"/>
        <v>28.2</v>
      </c>
      <c r="P276" s="669"/>
    </row>
    <row r="277" spans="2:16" s="645" customFormat="1" ht="21.75" customHeight="1">
      <c r="B277" s="670">
        <v>44361</v>
      </c>
      <c r="C277" s="671" t="s">
        <v>819</v>
      </c>
      <c r="D277" s="672" t="s">
        <v>833</v>
      </c>
      <c r="E277" s="673" t="s">
        <v>831</v>
      </c>
      <c r="F277" s="674"/>
      <c r="G277" s="672">
        <v>15</v>
      </c>
      <c r="H277" s="671" t="s">
        <v>807</v>
      </c>
      <c r="I277" s="675" t="s">
        <v>838</v>
      </c>
      <c r="J277" s="677" t="s">
        <v>804</v>
      </c>
      <c r="K277" s="671">
        <v>5</v>
      </c>
      <c r="L277" s="671">
        <f t="shared" si="5"/>
        <v>14.1</v>
      </c>
      <c r="M277" s="676">
        <f t="shared" si="4"/>
        <v>70.5</v>
      </c>
      <c r="P277" s="669"/>
    </row>
    <row r="278" spans="2:16" s="645" customFormat="1" ht="21.75" customHeight="1">
      <c r="B278" s="670">
        <v>44361</v>
      </c>
      <c r="C278" s="671" t="s">
        <v>819</v>
      </c>
      <c r="D278" s="672" t="s">
        <v>845</v>
      </c>
      <c r="E278" s="673" t="s">
        <v>831</v>
      </c>
      <c r="F278" s="674"/>
      <c r="G278" s="672">
        <v>17</v>
      </c>
      <c r="H278" s="671" t="s">
        <v>807</v>
      </c>
      <c r="I278" s="675" t="s">
        <v>838</v>
      </c>
      <c r="J278" s="677" t="s">
        <v>804</v>
      </c>
      <c r="K278" s="671">
        <v>2</v>
      </c>
      <c r="L278" s="671">
        <f t="shared" si="5"/>
        <v>15.98</v>
      </c>
      <c r="M278" s="676">
        <f t="shared" si="4"/>
        <v>31.96</v>
      </c>
    </row>
    <row r="279" spans="2:16" s="645" customFormat="1" ht="21.75" customHeight="1">
      <c r="B279" s="670">
        <v>44361</v>
      </c>
      <c r="C279" s="671" t="s">
        <v>819</v>
      </c>
      <c r="D279" s="672" t="s">
        <v>847</v>
      </c>
      <c r="E279" s="673" t="s">
        <v>831</v>
      </c>
      <c r="F279" s="674"/>
      <c r="G279" s="672">
        <v>17</v>
      </c>
      <c r="H279" s="671" t="s">
        <v>807</v>
      </c>
      <c r="I279" s="675" t="s">
        <v>838</v>
      </c>
      <c r="J279" s="677" t="s">
        <v>804</v>
      </c>
      <c r="K279" s="671">
        <v>4</v>
      </c>
      <c r="L279" s="671">
        <f t="shared" si="5"/>
        <v>15.98</v>
      </c>
      <c r="M279" s="676">
        <f t="shared" si="4"/>
        <v>63.92</v>
      </c>
      <c r="P279" s="669"/>
    </row>
    <row r="280" spans="2:16" s="645" customFormat="1" ht="21.75" customHeight="1">
      <c r="B280" s="678">
        <v>44362</v>
      </c>
      <c r="C280" s="679" t="s">
        <v>819</v>
      </c>
      <c r="D280" s="680" t="s">
        <v>849</v>
      </c>
      <c r="E280" s="681" t="s">
        <v>831</v>
      </c>
      <c r="F280" s="682"/>
      <c r="G280" s="680">
        <v>20</v>
      </c>
      <c r="H280" s="679" t="s">
        <v>807</v>
      </c>
      <c r="I280" s="683" t="s">
        <v>838</v>
      </c>
      <c r="J280" s="684" t="s">
        <v>804</v>
      </c>
      <c r="K280" s="679">
        <v>5</v>
      </c>
      <c r="L280" s="679">
        <f t="shared" si="5"/>
        <v>18.8</v>
      </c>
      <c r="M280" s="668">
        <f t="shared" si="4"/>
        <v>94</v>
      </c>
      <c r="P280" s="669"/>
    </row>
    <row r="281" spans="2:16" s="645" customFormat="1" ht="21.75" customHeight="1">
      <c r="B281" s="678">
        <v>44362</v>
      </c>
      <c r="C281" s="679" t="s">
        <v>819</v>
      </c>
      <c r="D281" s="680" t="s">
        <v>840</v>
      </c>
      <c r="E281" s="681" t="s">
        <v>831</v>
      </c>
      <c r="F281" s="682"/>
      <c r="G281" s="680">
        <v>20</v>
      </c>
      <c r="H281" s="679" t="s">
        <v>807</v>
      </c>
      <c r="I281" s="683" t="s">
        <v>838</v>
      </c>
      <c r="J281" s="684" t="s">
        <v>804</v>
      </c>
      <c r="K281" s="679">
        <v>5</v>
      </c>
      <c r="L281" s="679">
        <f t="shared" si="5"/>
        <v>18.8</v>
      </c>
      <c r="M281" s="668">
        <f t="shared" si="4"/>
        <v>94</v>
      </c>
      <c r="P281" s="669"/>
    </row>
    <row r="282" spans="2:16" s="645" customFormat="1" ht="21.75" customHeight="1">
      <c r="B282" s="678">
        <v>44362</v>
      </c>
      <c r="C282" s="679" t="s">
        <v>819</v>
      </c>
      <c r="D282" s="680" t="s">
        <v>835</v>
      </c>
      <c r="E282" s="681" t="s">
        <v>831</v>
      </c>
      <c r="F282" s="682"/>
      <c r="G282" s="680">
        <v>20</v>
      </c>
      <c r="H282" s="679" t="s">
        <v>807</v>
      </c>
      <c r="I282" s="683" t="s">
        <v>838</v>
      </c>
      <c r="J282" s="684" t="s">
        <v>804</v>
      </c>
      <c r="K282" s="679">
        <v>6</v>
      </c>
      <c r="L282" s="679">
        <f t="shared" si="5"/>
        <v>18.8</v>
      </c>
      <c r="M282" s="668">
        <f t="shared" si="4"/>
        <v>112.80000000000001</v>
      </c>
      <c r="P282" s="669"/>
    </row>
    <row r="283" spans="2:16" s="645" customFormat="1" ht="21.75" customHeight="1">
      <c r="B283" s="678">
        <v>44362</v>
      </c>
      <c r="C283" s="679" t="s">
        <v>819</v>
      </c>
      <c r="D283" s="680" t="s">
        <v>841</v>
      </c>
      <c r="E283" s="681" t="s">
        <v>831</v>
      </c>
      <c r="F283" s="682"/>
      <c r="G283" s="680">
        <v>20</v>
      </c>
      <c r="H283" s="679" t="s">
        <v>807</v>
      </c>
      <c r="I283" s="683" t="s">
        <v>838</v>
      </c>
      <c r="J283" s="684" t="s">
        <v>804</v>
      </c>
      <c r="K283" s="679">
        <v>6</v>
      </c>
      <c r="L283" s="679">
        <f t="shared" si="5"/>
        <v>18.8</v>
      </c>
      <c r="M283" s="668">
        <f t="shared" si="4"/>
        <v>112.80000000000001</v>
      </c>
      <c r="P283" s="669"/>
    </row>
    <row r="284" spans="2:16" s="645" customFormat="1" ht="21.75" customHeight="1">
      <c r="B284" s="678">
        <v>44362</v>
      </c>
      <c r="C284" s="679" t="s">
        <v>819</v>
      </c>
      <c r="D284" s="680" t="s">
        <v>834</v>
      </c>
      <c r="E284" s="681" t="s">
        <v>831</v>
      </c>
      <c r="F284" s="682"/>
      <c r="G284" s="680">
        <v>20</v>
      </c>
      <c r="H284" s="679" t="s">
        <v>807</v>
      </c>
      <c r="I284" s="683" t="s">
        <v>838</v>
      </c>
      <c r="J284" s="684" t="s">
        <v>804</v>
      </c>
      <c r="K284" s="679">
        <v>5</v>
      </c>
      <c r="L284" s="679">
        <f t="shared" si="5"/>
        <v>18.8</v>
      </c>
      <c r="M284" s="668">
        <f t="shared" si="4"/>
        <v>94</v>
      </c>
      <c r="P284" s="669"/>
    </row>
    <row r="285" spans="2:16" s="645" customFormat="1" ht="21.75" customHeight="1">
      <c r="B285" s="678">
        <v>44362</v>
      </c>
      <c r="C285" s="679" t="s">
        <v>819</v>
      </c>
      <c r="D285" s="680" t="s">
        <v>848</v>
      </c>
      <c r="E285" s="681" t="s">
        <v>831</v>
      </c>
      <c r="F285" s="682"/>
      <c r="G285" s="680">
        <v>20</v>
      </c>
      <c r="H285" s="679" t="s">
        <v>807</v>
      </c>
      <c r="I285" s="683" t="s">
        <v>838</v>
      </c>
      <c r="J285" s="684" t="s">
        <v>804</v>
      </c>
      <c r="K285" s="679">
        <v>6</v>
      </c>
      <c r="L285" s="679">
        <f t="shared" si="5"/>
        <v>18.8</v>
      </c>
      <c r="M285" s="668">
        <f t="shared" si="4"/>
        <v>112.80000000000001</v>
      </c>
      <c r="P285" s="669"/>
    </row>
    <row r="286" spans="2:16" s="645" customFormat="1" ht="21.75" customHeight="1">
      <c r="B286" s="678">
        <v>44362</v>
      </c>
      <c r="C286" s="679" t="s">
        <v>819</v>
      </c>
      <c r="D286" s="680" t="s">
        <v>836</v>
      </c>
      <c r="E286" s="681" t="s">
        <v>831</v>
      </c>
      <c r="F286" s="682"/>
      <c r="G286" s="680">
        <v>20</v>
      </c>
      <c r="H286" s="679" t="s">
        <v>807</v>
      </c>
      <c r="I286" s="683" t="s">
        <v>838</v>
      </c>
      <c r="J286" s="684" t="s">
        <v>804</v>
      </c>
      <c r="K286" s="679">
        <v>5</v>
      </c>
      <c r="L286" s="679">
        <f t="shared" si="5"/>
        <v>18.8</v>
      </c>
      <c r="M286" s="668">
        <f t="shared" si="4"/>
        <v>94</v>
      </c>
      <c r="P286" s="669"/>
    </row>
    <row r="287" spans="2:16" s="645" customFormat="1" ht="21.75" customHeight="1">
      <c r="B287" s="678">
        <v>44362</v>
      </c>
      <c r="C287" s="679" t="s">
        <v>819</v>
      </c>
      <c r="D287" s="680" t="s">
        <v>830</v>
      </c>
      <c r="E287" s="681" t="s">
        <v>831</v>
      </c>
      <c r="F287" s="682"/>
      <c r="G287" s="680">
        <v>15</v>
      </c>
      <c r="H287" s="679" t="s">
        <v>807</v>
      </c>
      <c r="I287" s="683" t="s">
        <v>838</v>
      </c>
      <c r="J287" s="684" t="s">
        <v>804</v>
      </c>
      <c r="K287" s="679">
        <v>6</v>
      </c>
      <c r="L287" s="679">
        <f t="shared" si="5"/>
        <v>14.1</v>
      </c>
      <c r="M287" s="668">
        <f t="shared" si="4"/>
        <v>84.6</v>
      </c>
      <c r="P287" s="669"/>
    </row>
    <row r="288" spans="2:16" s="645" customFormat="1" ht="21.75" customHeight="1">
      <c r="B288" s="678">
        <v>44362</v>
      </c>
      <c r="C288" s="679" t="s">
        <v>819</v>
      </c>
      <c r="D288" s="680" t="s">
        <v>844</v>
      </c>
      <c r="E288" s="681" t="s">
        <v>831</v>
      </c>
      <c r="F288" s="682"/>
      <c r="G288" s="680">
        <v>15</v>
      </c>
      <c r="H288" s="679" t="s">
        <v>807</v>
      </c>
      <c r="I288" s="683" t="s">
        <v>838</v>
      </c>
      <c r="J288" s="684" t="s">
        <v>804</v>
      </c>
      <c r="K288" s="679">
        <v>2</v>
      </c>
      <c r="L288" s="679">
        <f t="shared" si="5"/>
        <v>14.1</v>
      </c>
      <c r="M288" s="668">
        <f t="shared" si="4"/>
        <v>28.2</v>
      </c>
      <c r="P288" s="669"/>
    </row>
    <row r="289" spans="2:16" s="645" customFormat="1" ht="21.75" customHeight="1">
      <c r="B289" s="678">
        <v>44362</v>
      </c>
      <c r="C289" s="679" t="s">
        <v>819</v>
      </c>
      <c r="D289" s="680" t="s">
        <v>839</v>
      </c>
      <c r="E289" s="681" t="s">
        <v>831</v>
      </c>
      <c r="F289" s="682"/>
      <c r="G289" s="680">
        <v>15</v>
      </c>
      <c r="H289" s="679" t="s">
        <v>807</v>
      </c>
      <c r="I289" s="683" t="s">
        <v>838</v>
      </c>
      <c r="J289" s="684" t="s">
        <v>804</v>
      </c>
      <c r="K289" s="679">
        <v>5</v>
      </c>
      <c r="L289" s="679">
        <f t="shared" si="5"/>
        <v>14.1</v>
      </c>
      <c r="M289" s="668">
        <f t="shared" si="4"/>
        <v>70.5</v>
      </c>
      <c r="P289" s="669"/>
    </row>
    <row r="290" spans="2:16" s="645" customFormat="1" ht="21.75" customHeight="1">
      <c r="B290" s="678">
        <v>44362</v>
      </c>
      <c r="C290" s="679" t="s">
        <v>819</v>
      </c>
      <c r="D290" s="680" t="s">
        <v>833</v>
      </c>
      <c r="E290" s="681" t="s">
        <v>831</v>
      </c>
      <c r="F290" s="682"/>
      <c r="G290" s="680">
        <v>15</v>
      </c>
      <c r="H290" s="679" t="s">
        <v>807</v>
      </c>
      <c r="I290" s="683" t="s">
        <v>838</v>
      </c>
      <c r="J290" s="684" t="s">
        <v>804</v>
      </c>
      <c r="K290" s="679">
        <v>6</v>
      </c>
      <c r="L290" s="679">
        <f t="shared" si="5"/>
        <v>14.1</v>
      </c>
      <c r="M290" s="668">
        <f t="shared" si="4"/>
        <v>84.6</v>
      </c>
      <c r="P290" s="669"/>
    </row>
    <row r="291" spans="2:16" s="645" customFormat="1" ht="21.75" customHeight="1">
      <c r="B291" s="678">
        <v>44362</v>
      </c>
      <c r="C291" s="679" t="s">
        <v>819</v>
      </c>
      <c r="D291" s="680" t="s">
        <v>845</v>
      </c>
      <c r="E291" s="681" t="s">
        <v>831</v>
      </c>
      <c r="F291" s="682"/>
      <c r="G291" s="680">
        <v>17</v>
      </c>
      <c r="H291" s="679" t="s">
        <v>807</v>
      </c>
      <c r="I291" s="683" t="s">
        <v>838</v>
      </c>
      <c r="J291" s="684" t="s">
        <v>804</v>
      </c>
      <c r="K291" s="679">
        <v>5</v>
      </c>
      <c r="L291" s="679">
        <f t="shared" si="5"/>
        <v>15.98</v>
      </c>
      <c r="M291" s="668">
        <f t="shared" si="4"/>
        <v>79.900000000000006</v>
      </c>
      <c r="P291" s="669"/>
    </row>
    <row r="292" spans="2:16" s="645" customFormat="1" ht="21.75" customHeight="1">
      <c r="B292" s="678">
        <v>44362</v>
      </c>
      <c r="C292" s="679" t="s">
        <v>819</v>
      </c>
      <c r="D292" s="680" t="s">
        <v>847</v>
      </c>
      <c r="E292" s="681" t="s">
        <v>831</v>
      </c>
      <c r="F292" s="682"/>
      <c r="G292" s="680">
        <v>17</v>
      </c>
      <c r="H292" s="679" t="s">
        <v>807</v>
      </c>
      <c r="I292" s="683" t="s">
        <v>838</v>
      </c>
      <c r="J292" s="684" t="s">
        <v>804</v>
      </c>
      <c r="K292" s="679">
        <v>6</v>
      </c>
      <c r="L292" s="679">
        <f t="shared" si="5"/>
        <v>15.98</v>
      </c>
      <c r="M292" s="668">
        <f t="shared" si="4"/>
        <v>95.88</v>
      </c>
      <c r="P292" s="669"/>
    </row>
    <row r="293" spans="2:16" s="645" customFormat="1" ht="21.75" customHeight="1">
      <c r="B293" s="670">
        <v>44363</v>
      </c>
      <c r="C293" s="671" t="s">
        <v>819</v>
      </c>
      <c r="D293" s="672" t="s">
        <v>849</v>
      </c>
      <c r="E293" s="673" t="s">
        <v>831</v>
      </c>
      <c r="F293" s="674"/>
      <c r="G293" s="672">
        <v>20</v>
      </c>
      <c r="H293" s="671" t="s">
        <v>807</v>
      </c>
      <c r="I293" s="675" t="s">
        <v>838</v>
      </c>
      <c r="J293" s="677" t="s">
        <v>804</v>
      </c>
      <c r="K293" s="671">
        <v>4</v>
      </c>
      <c r="L293" s="671">
        <f t="shared" si="5"/>
        <v>18.8</v>
      </c>
      <c r="M293" s="676">
        <f t="shared" si="4"/>
        <v>75.2</v>
      </c>
      <c r="P293" s="669"/>
    </row>
    <row r="294" spans="2:16" s="645" customFormat="1" ht="21.75" customHeight="1">
      <c r="B294" s="670">
        <v>44363</v>
      </c>
      <c r="C294" s="671" t="s">
        <v>819</v>
      </c>
      <c r="D294" s="672" t="s">
        <v>840</v>
      </c>
      <c r="E294" s="673" t="s">
        <v>831</v>
      </c>
      <c r="F294" s="674"/>
      <c r="G294" s="672">
        <v>20</v>
      </c>
      <c r="H294" s="671" t="s">
        <v>807</v>
      </c>
      <c r="I294" s="675" t="s">
        <v>838</v>
      </c>
      <c r="J294" s="677" t="s">
        <v>804</v>
      </c>
      <c r="K294" s="671">
        <v>5</v>
      </c>
      <c r="L294" s="671">
        <f t="shared" si="5"/>
        <v>18.8</v>
      </c>
      <c r="M294" s="676">
        <f t="shared" si="4"/>
        <v>94</v>
      </c>
      <c r="P294" s="669"/>
    </row>
    <row r="295" spans="2:16" s="645" customFormat="1" ht="21.75" customHeight="1">
      <c r="B295" s="670">
        <v>44363</v>
      </c>
      <c r="C295" s="671" t="s">
        <v>819</v>
      </c>
      <c r="D295" s="672" t="s">
        <v>835</v>
      </c>
      <c r="E295" s="673" t="s">
        <v>831</v>
      </c>
      <c r="F295" s="674"/>
      <c r="G295" s="672">
        <v>20</v>
      </c>
      <c r="H295" s="671" t="s">
        <v>807</v>
      </c>
      <c r="I295" s="675" t="s">
        <v>838</v>
      </c>
      <c r="J295" s="677" t="s">
        <v>804</v>
      </c>
      <c r="K295" s="671">
        <v>6</v>
      </c>
      <c r="L295" s="671">
        <f t="shared" si="5"/>
        <v>18.8</v>
      </c>
      <c r="M295" s="676">
        <f t="shared" ref="M295:M358" si="6">L295*K295</f>
        <v>112.80000000000001</v>
      </c>
      <c r="P295" s="669"/>
    </row>
    <row r="296" spans="2:16" s="645" customFormat="1" ht="21.75" customHeight="1">
      <c r="B296" s="670">
        <v>44363</v>
      </c>
      <c r="C296" s="671" t="s">
        <v>819</v>
      </c>
      <c r="D296" s="672" t="s">
        <v>841</v>
      </c>
      <c r="E296" s="673" t="s">
        <v>831</v>
      </c>
      <c r="F296" s="674"/>
      <c r="G296" s="672">
        <v>20</v>
      </c>
      <c r="H296" s="671" t="s">
        <v>807</v>
      </c>
      <c r="I296" s="675" t="s">
        <v>838</v>
      </c>
      <c r="J296" s="677" t="s">
        <v>804</v>
      </c>
      <c r="K296" s="671">
        <v>6</v>
      </c>
      <c r="L296" s="671">
        <f t="shared" si="5"/>
        <v>18.8</v>
      </c>
      <c r="M296" s="676">
        <f t="shared" si="6"/>
        <v>112.80000000000001</v>
      </c>
      <c r="P296" s="669"/>
    </row>
    <row r="297" spans="2:16" s="645" customFormat="1" ht="21.75" customHeight="1">
      <c r="B297" s="670">
        <v>44363</v>
      </c>
      <c r="C297" s="671" t="s">
        <v>819</v>
      </c>
      <c r="D297" s="672" t="s">
        <v>834</v>
      </c>
      <c r="E297" s="673" t="s">
        <v>831</v>
      </c>
      <c r="F297" s="674"/>
      <c r="G297" s="672">
        <v>20</v>
      </c>
      <c r="H297" s="671" t="s">
        <v>807</v>
      </c>
      <c r="I297" s="675" t="s">
        <v>838</v>
      </c>
      <c r="J297" s="677" t="s">
        <v>804</v>
      </c>
      <c r="K297" s="671">
        <v>6</v>
      </c>
      <c r="L297" s="671">
        <f t="shared" si="5"/>
        <v>18.8</v>
      </c>
      <c r="M297" s="676">
        <f t="shared" si="6"/>
        <v>112.80000000000001</v>
      </c>
      <c r="P297" s="669"/>
    </row>
    <row r="298" spans="2:16" s="645" customFormat="1" ht="21.75" customHeight="1">
      <c r="B298" s="670">
        <v>44363</v>
      </c>
      <c r="C298" s="671" t="s">
        <v>819</v>
      </c>
      <c r="D298" s="672" t="s">
        <v>848</v>
      </c>
      <c r="E298" s="673" t="s">
        <v>831</v>
      </c>
      <c r="F298" s="674"/>
      <c r="G298" s="672">
        <v>20</v>
      </c>
      <c r="H298" s="671" t="s">
        <v>807</v>
      </c>
      <c r="I298" s="675" t="s">
        <v>838</v>
      </c>
      <c r="J298" s="677" t="s">
        <v>804</v>
      </c>
      <c r="K298" s="671">
        <v>1</v>
      </c>
      <c r="L298" s="671">
        <f t="shared" si="5"/>
        <v>18.8</v>
      </c>
      <c r="M298" s="676">
        <f t="shared" si="6"/>
        <v>18.8</v>
      </c>
      <c r="P298" s="669"/>
    </row>
    <row r="299" spans="2:16" s="645" customFormat="1" ht="21.75" customHeight="1">
      <c r="B299" s="670">
        <v>44363</v>
      </c>
      <c r="C299" s="671" t="s">
        <v>819</v>
      </c>
      <c r="D299" s="672" t="s">
        <v>836</v>
      </c>
      <c r="E299" s="673" t="s">
        <v>831</v>
      </c>
      <c r="F299" s="674"/>
      <c r="G299" s="672">
        <v>20</v>
      </c>
      <c r="H299" s="671" t="s">
        <v>807</v>
      </c>
      <c r="I299" s="675" t="s">
        <v>838</v>
      </c>
      <c r="J299" s="677" t="s">
        <v>804</v>
      </c>
      <c r="K299" s="671">
        <v>5</v>
      </c>
      <c r="L299" s="671">
        <f t="shared" si="5"/>
        <v>18.8</v>
      </c>
      <c r="M299" s="676">
        <f t="shared" si="6"/>
        <v>94</v>
      </c>
      <c r="P299" s="669"/>
    </row>
    <row r="300" spans="2:16" s="645" customFormat="1" ht="21.75" customHeight="1">
      <c r="B300" s="670">
        <v>44363</v>
      </c>
      <c r="C300" s="671" t="s">
        <v>819</v>
      </c>
      <c r="D300" s="672" t="s">
        <v>830</v>
      </c>
      <c r="E300" s="673" t="s">
        <v>831</v>
      </c>
      <c r="F300" s="674"/>
      <c r="G300" s="672">
        <v>15</v>
      </c>
      <c r="H300" s="671" t="s">
        <v>807</v>
      </c>
      <c r="I300" s="675" t="s">
        <v>838</v>
      </c>
      <c r="J300" s="677" t="s">
        <v>804</v>
      </c>
      <c r="K300" s="671">
        <v>5</v>
      </c>
      <c r="L300" s="671">
        <f t="shared" si="5"/>
        <v>14.1</v>
      </c>
      <c r="M300" s="676">
        <f t="shared" si="6"/>
        <v>70.5</v>
      </c>
      <c r="P300" s="669"/>
    </row>
    <row r="301" spans="2:16" s="645" customFormat="1" ht="21.75" customHeight="1">
      <c r="B301" s="670">
        <v>44363</v>
      </c>
      <c r="C301" s="671" t="s">
        <v>819</v>
      </c>
      <c r="D301" s="672" t="s">
        <v>844</v>
      </c>
      <c r="E301" s="673" t="s">
        <v>831</v>
      </c>
      <c r="F301" s="674"/>
      <c r="G301" s="672">
        <v>15</v>
      </c>
      <c r="H301" s="671" t="s">
        <v>807</v>
      </c>
      <c r="I301" s="675" t="s">
        <v>838</v>
      </c>
      <c r="J301" s="677" t="s">
        <v>804</v>
      </c>
      <c r="K301" s="671">
        <v>5</v>
      </c>
      <c r="L301" s="671">
        <f t="shared" si="5"/>
        <v>14.1</v>
      </c>
      <c r="M301" s="676">
        <f t="shared" si="6"/>
        <v>70.5</v>
      </c>
      <c r="P301" s="669"/>
    </row>
    <row r="302" spans="2:16" s="645" customFormat="1" ht="21.75" customHeight="1">
      <c r="B302" s="670">
        <v>44363</v>
      </c>
      <c r="C302" s="671" t="s">
        <v>819</v>
      </c>
      <c r="D302" s="672" t="s">
        <v>839</v>
      </c>
      <c r="E302" s="673" t="s">
        <v>831</v>
      </c>
      <c r="F302" s="674"/>
      <c r="G302" s="672">
        <v>15</v>
      </c>
      <c r="H302" s="671" t="s">
        <v>807</v>
      </c>
      <c r="I302" s="675" t="s">
        <v>838</v>
      </c>
      <c r="J302" s="677" t="s">
        <v>804</v>
      </c>
      <c r="K302" s="671">
        <v>5</v>
      </c>
      <c r="L302" s="671">
        <f t="shared" si="5"/>
        <v>14.1</v>
      </c>
      <c r="M302" s="676">
        <f t="shared" si="6"/>
        <v>70.5</v>
      </c>
      <c r="P302" s="669"/>
    </row>
    <row r="303" spans="2:16" s="645" customFormat="1" ht="21.75" customHeight="1">
      <c r="B303" s="670">
        <v>44363</v>
      </c>
      <c r="C303" s="671" t="s">
        <v>819</v>
      </c>
      <c r="D303" s="672" t="s">
        <v>833</v>
      </c>
      <c r="E303" s="673" t="s">
        <v>831</v>
      </c>
      <c r="F303" s="674"/>
      <c r="G303" s="672">
        <v>15</v>
      </c>
      <c r="H303" s="671" t="s">
        <v>807</v>
      </c>
      <c r="I303" s="675" t="s">
        <v>838</v>
      </c>
      <c r="J303" s="677" t="s">
        <v>804</v>
      </c>
      <c r="K303" s="671">
        <v>6</v>
      </c>
      <c r="L303" s="671">
        <f t="shared" si="5"/>
        <v>14.1</v>
      </c>
      <c r="M303" s="676">
        <f t="shared" si="6"/>
        <v>84.6</v>
      </c>
      <c r="P303" s="669"/>
    </row>
    <row r="304" spans="2:16" s="645" customFormat="1" ht="21.75" customHeight="1">
      <c r="B304" s="670">
        <v>44363</v>
      </c>
      <c r="C304" s="671" t="s">
        <v>819</v>
      </c>
      <c r="D304" s="672" t="s">
        <v>845</v>
      </c>
      <c r="E304" s="673" t="s">
        <v>831</v>
      </c>
      <c r="F304" s="674"/>
      <c r="G304" s="672">
        <v>17</v>
      </c>
      <c r="H304" s="671" t="s">
        <v>807</v>
      </c>
      <c r="I304" s="675" t="s">
        <v>838</v>
      </c>
      <c r="J304" s="677" t="s">
        <v>804</v>
      </c>
      <c r="K304" s="671">
        <v>5</v>
      </c>
      <c r="L304" s="671">
        <f t="shared" si="5"/>
        <v>15.98</v>
      </c>
      <c r="M304" s="676">
        <f t="shared" si="6"/>
        <v>79.900000000000006</v>
      </c>
      <c r="P304" s="669"/>
    </row>
    <row r="305" spans="2:16" s="645" customFormat="1" ht="21.75" customHeight="1">
      <c r="B305" s="670">
        <v>44363</v>
      </c>
      <c r="C305" s="671" t="s">
        <v>819</v>
      </c>
      <c r="D305" s="672" t="s">
        <v>847</v>
      </c>
      <c r="E305" s="673" t="s">
        <v>831</v>
      </c>
      <c r="F305" s="674"/>
      <c r="G305" s="672">
        <v>17</v>
      </c>
      <c r="H305" s="671" t="s">
        <v>807</v>
      </c>
      <c r="I305" s="675" t="s">
        <v>838</v>
      </c>
      <c r="J305" s="677" t="s">
        <v>804</v>
      </c>
      <c r="K305" s="671">
        <v>4</v>
      </c>
      <c r="L305" s="671">
        <f t="shared" si="5"/>
        <v>15.98</v>
      </c>
      <c r="M305" s="676">
        <f t="shared" si="6"/>
        <v>63.92</v>
      </c>
      <c r="P305" s="669"/>
    </row>
    <row r="306" spans="2:16" s="645" customFormat="1" ht="21.75" customHeight="1">
      <c r="B306" s="678">
        <v>44364</v>
      </c>
      <c r="C306" s="679" t="s">
        <v>819</v>
      </c>
      <c r="D306" s="680" t="s">
        <v>849</v>
      </c>
      <c r="E306" s="681" t="s">
        <v>831</v>
      </c>
      <c r="F306" s="682"/>
      <c r="G306" s="680">
        <v>20</v>
      </c>
      <c r="H306" s="679" t="s">
        <v>807</v>
      </c>
      <c r="I306" s="683" t="s">
        <v>838</v>
      </c>
      <c r="J306" s="684" t="s">
        <v>804</v>
      </c>
      <c r="K306" s="679">
        <v>2</v>
      </c>
      <c r="L306" s="679">
        <f t="shared" si="5"/>
        <v>18.8</v>
      </c>
      <c r="M306" s="668">
        <f t="shared" si="6"/>
        <v>37.6</v>
      </c>
      <c r="P306" s="669"/>
    </row>
    <row r="307" spans="2:16" s="645" customFormat="1" ht="21.75" customHeight="1">
      <c r="B307" s="678">
        <v>44364</v>
      </c>
      <c r="C307" s="679" t="s">
        <v>819</v>
      </c>
      <c r="D307" s="680" t="s">
        <v>840</v>
      </c>
      <c r="E307" s="681" t="s">
        <v>831</v>
      </c>
      <c r="F307" s="682"/>
      <c r="G307" s="680">
        <v>20</v>
      </c>
      <c r="H307" s="679" t="s">
        <v>807</v>
      </c>
      <c r="I307" s="683" t="s">
        <v>838</v>
      </c>
      <c r="J307" s="684" t="s">
        <v>804</v>
      </c>
      <c r="K307" s="679">
        <v>10</v>
      </c>
      <c r="L307" s="679">
        <f t="shared" si="5"/>
        <v>18.8</v>
      </c>
      <c r="M307" s="668">
        <f t="shared" si="6"/>
        <v>188</v>
      </c>
      <c r="P307" s="669"/>
    </row>
    <row r="308" spans="2:16" s="645" customFormat="1" ht="21.75" customHeight="1">
      <c r="B308" s="678">
        <v>44364</v>
      </c>
      <c r="C308" s="679" t="s">
        <v>819</v>
      </c>
      <c r="D308" s="680" t="s">
        <v>835</v>
      </c>
      <c r="E308" s="681" t="s">
        <v>831</v>
      </c>
      <c r="F308" s="682"/>
      <c r="G308" s="680">
        <v>20</v>
      </c>
      <c r="H308" s="679" t="s">
        <v>807</v>
      </c>
      <c r="I308" s="683" t="s">
        <v>838</v>
      </c>
      <c r="J308" s="684" t="s">
        <v>804</v>
      </c>
      <c r="K308" s="679">
        <v>7</v>
      </c>
      <c r="L308" s="679">
        <f t="shared" si="5"/>
        <v>18.8</v>
      </c>
      <c r="M308" s="668">
        <f t="shared" si="6"/>
        <v>131.6</v>
      </c>
      <c r="P308" s="669"/>
    </row>
    <row r="309" spans="2:16" s="645" customFormat="1" ht="21.75" customHeight="1">
      <c r="B309" s="678">
        <v>44364</v>
      </c>
      <c r="C309" s="679" t="s">
        <v>819</v>
      </c>
      <c r="D309" s="680" t="s">
        <v>841</v>
      </c>
      <c r="E309" s="681" t="s">
        <v>831</v>
      </c>
      <c r="F309" s="682"/>
      <c r="G309" s="680">
        <v>20</v>
      </c>
      <c r="H309" s="679" t="s">
        <v>807</v>
      </c>
      <c r="I309" s="683" t="s">
        <v>838</v>
      </c>
      <c r="J309" s="684" t="s">
        <v>804</v>
      </c>
      <c r="K309" s="679">
        <v>9</v>
      </c>
      <c r="L309" s="679">
        <f t="shared" si="5"/>
        <v>18.8</v>
      </c>
      <c r="M309" s="668">
        <f t="shared" si="6"/>
        <v>169.20000000000002</v>
      </c>
      <c r="P309" s="669"/>
    </row>
    <row r="310" spans="2:16" s="645" customFormat="1" ht="21.75" customHeight="1">
      <c r="B310" s="678">
        <v>44364</v>
      </c>
      <c r="C310" s="679" t="s">
        <v>819</v>
      </c>
      <c r="D310" s="680" t="s">
        <v>834</v>
      </c>
      <c r="E310" s="681" t="s">
        <v>831</v>
      </c>
      <c r="F310" s="682"/>
      <c r="G310" s="680">
        <v>20</v>
      </c>
      <c r="H310" s="679" t="s">
        <v>807</v>
      </c>
      <c r="I310" s="683" t="s">
        <v>838</v>
      </c>
      <c r="J310" s="684" t="s">
        <v>804</v>
      </c>
      <c r="K310" s="679">
        <v>7</v>
      </c>
      <c r="L310" s="679">
        <f t="shared" si="5"/>
        <v>18.8</v>
      </c>
      <c r="M310" s="668">
        <f t="shared" si="6"/>
        <v>131.6</v>
      </c>
      <c r="P310" s="669"/>
    </row>
    <row r="311" spans="2:16" s="645" customFormat="1" ht="21.75" customHeight="1">
      <c r="B311" s="678">
        <v>44364</v>
      </c>
      <c r="C311" s="679" t="s">
        <v>819</v>
      </c>
      <c r="D311" s="680" t="s">
        <v>848</v>
      </c>
      <c r="E311" s="681" t="s">
        <v>831</v>
      </c>
      <c r="F311" s="682"/>
      <c r="G311" s="680">
        <v>20</v>
      </c>
      <c r="H311" s="679" t="s">
        <v>807</v>
      </c>
      <c r="I311" s="683" t="s">
        <v>838</v>
      </c>
      <c r="J311" s="684" t="s">
        <v>804</v>
      </c>
      <c r="K311" s="679">
        <v>8</v>
      </c>
      <c r="L311" s="679">
        <f t="shared" si="5"/>
        <v>18.8</v>
      </c>
      <c r="M311" s="668">
        <f t="shared" si="6"/>
        <v>150.4</v>
      </c>
      <c r="P311" s="669"/>
    </row>
    <row r="312" spans="2:16" s="645" customFormat="1" ht="21.75" customHeight="1">
      <c r="B312" s="678">
        <v>44364</v>
      </c>
      <c r="C312" s="679" t="s">
        <v>819</v>
      </c>
      <c r="D312" s="680" t="s">
        <v>836</v>
      </c>
      <c r="E312" s="681" t="s">
        <v>831</v>
      </c>
      <c r="F312" s="682"/>
      <c r="G312" s="680">
        <v>20</v>
      </c>
      <c r="H312" s="679" t="s">
        <v>807</v>
      </c>
      <c r="I312" s="683" t="s">
        <v>838</v>
      </c>
      <c r="J312" s="684" t="s">
        <v>804</v>
      </c>
      <c r="K312" s="679">
        <v>7</v>
      </c>
      <c r="L312" s="679">
        <f t="shared" si="5"/>
        <v>18.8</v>
      </c>
      <c r="M312" s="668">
        <f t="shared" si="6"/>
        <v>131.6</v>
      </c>
      <c r="P312" s="669"/>
    </row>
    <row r="313" spans="2:16" s="645" customFormat="1" ht="21.75" customHeight="1">
      <c r="B313" s="678">
        <v>44364</v>
      </c>
      <c r="C313" s="679" t="s">
        <v>819</v>
      </c>
      <c r="D313" s="680" t="s">
        <v>830</v>
      </c>
      <c r="E313" s="681" t="s">
        <v>831</v>
      </c>
      <c r="F313" s="682"/>
      <c r="G313" s="680">
        <v>15</v>
      </c>
      <c r="H313" s="679" t="s">
        <v>807</v>
      </c>
      <c r="I313" s="683" t="s">
        <v>838</v>
      </c>
      <c r="J313" s="684" t="s">
        <v>804</v>
      </c>
      <c r="K313" s="679">
        <v>6</v>
      </c>
      <c r="L313" s="679">
        <f t="shared" si="5"/>
        <v>14.1</v>
      </c>
      <c r="M313" s="668">
        <f t="shared" si="6"/>
        <v>84.6</v>
      </c>
      <c r="P313" s="669"/>
    </row>
    <row r="314" spans="2:16" s="645" customFormat="1" ht="21.75" customHeight="1">
      <c r="B314" s="678">
        <v>44364</v>
      </c>
      <c r="C314" s="679" t="s">
        <v>819</v>
      </c>
      <c r="D314" s="680" t="s">
        <v>844</v>
      </c>
      <c r="E314" s="681" t="s">
        <v>831</v>
      </c>
      <c r="F314" s="682"/>
      <c r="G314" s="680">
        <v>15</v>
      </c>
      <c r="H314" s="679" t="s">
        <v>807</v>
      </c>
      <c r="I314" s="683" t="s">
        <v>838</v>
      </c>
      <c r="J314" s="684" t="s">
        <v>804</v>
      </c>
      <c r="K314" s="679">
        <v>9</v>
      </c>
      <c r="L314" s="679">
        <f t="shared" si="5"/>
        <v>14.1</v>
      </c>
      <c r="M314" s="668">
        <f t="shared" si="6"/>
        <v>126.89999999999999</v>
      </c>
      <c r="P314" s="669"/>
    </row>
    <row r="315" spans="2:16" s="645" customFormat="1" ht="21.75" customHeight="1">
      <c r="B315" s="678">
        <v>44364</v>
      </c>
      <c r="C315" s="679" t="s">
        <v>819</v>
      </c>
      <c r="D315" s="680" t="s">
        <v>839</v>
      </c>
      <c r="E315" s="681" t="s">
        <v>831</v>
      </c>
      <c r="F315" s="682"/>
      <c r="G315" s="680">
        <v>15</v>
      </c>
      <c r="H315" s="679" t="s">
        <v>807</v>
      </c>
      <c r="I315" s="683" t="s">
        <v>838</v>
      </c>
      <c r="J315" s="684" t="s">
        <v>804</v>
      </c>
      <c r="K315" s="679">
        <v>6</v>
      </c>
      <c r="L315" s="679">
        <f t="shared" si="5"/>
        <v>14.1</v>
      </c>
      <c r="M315" s="668">
        <f t="shared" si="6"/>
        <v>84.6</v>
      </c>
      <c r="P315" s="669"/>
    </row>
    <row r="316" spans="2:16" s="645" customFormat="1" ht="21.75" customHeight="1">
      <c r="B316" s="678">
        <v>44364</v>
      </c>
      <c r="C316" s="679" t="s">
        <v>819</v>
      </c>
      <c r="D316" s="680" t="s">
        <v>833</v>
      </c>
      <c r="E316" s="681" t="s">
        <v>831</v>
      </c>
      <c r="F316" s="682"/>
      <c r="G316" s="680">
        <v>15</v>
      </c>
      <c r="H316" s="679" t="s">
        <v>807</v>
      </c>
      <c r="I316" s="683" t="s">
        <v>838</v>
      </c>
      <c r="J316" s="684" t="s">
        <v>804</v>
      </c>
      <c r="K316" s="679">
        <v>9</v>
      </c>
      <c r="L316" s="679">
        <f t="shared" si="5"/>
        <v>14.1</v>
      </c>
      <c r="M316" s="668">
        <f t="shared" si="6"/>
        <v>126.89999999999999</v>
      </c>
      <c r="P316" s="669"/>
    </row>
    <row r="317" spans="2:16" s="645" customFormat="1" ht="21.75" customHeight="1">
      <c r="B317" s="678">
        <v>44364</v>
      </c>
      <c r="C317" s="679" t="s">
        <v>819</v>
      </c>
      <c r="D317" s="680" t="s">
        <v>845</v>
      </c>
      <c r="E317" s="681" t="s">
        <v>831</v>
      </c>
      <c r="F317" s="682"/>
      <c r="G317" s="680">
        <v>17</v>
      </c>
      <c r="H317" s="679" t="s">
        <v>807</v>
      </c>
      <c r="I317" s="683" t="s">
        <v>838</v>
      </c>
      <c r="J317" s="684" t="s">
        <v>804</v>
      </c>
      <c r="K317" s="679">
        <v>6</v>
      </c>
      <c r="L317" s="679">
        <f t="shared" si="5"/>
        <v>15.98</v>
      </c>
      <c r="M317" s="668">
        <f t="shared" si="6"/>
        <v>95.88</v>
      </c>
      <c r="P317" s="669"/>
    </row>
    <row r="318" spans="2:16" s="645" customFormat="1" ht="21.75" customHeight="1">
      <c r="B318" s="678">
        <v>44364</v>
      </c>
      <c r="C318" s="679" t="s">
        <v>819</v>
      </c>
      <c r="D318" s="680" t="s">
        <v>847</v>
      </c>
      <c r="E318" s="681" t="s">
        <v>831</v>
      </c>
      <c r="F318" s="682"/>
      <c r="G318" s="680">
        <v>17</v>
      </c>
      <c r="H318" s="679" t="s">
        <v>807</v>
      </c>
      <c r="I318" s="683" t="s">
        <v>838</v>
      </c>
      <c r="J318" s="684" t="s">
        <v>804</v>
      </c>
      <c r="K318" s="679">
        <v>8</v>
      </c>
      <c r="L318" s="679">
        <f t="shared" si="5"/>
        <v>15.98</v>
      </c>
      <c r="M318" s="668">
        <f t="shared" si="6"/>
        <v>127.84</v>
      </c>
      <c r="P318" s="669"/>
    </row>
    <row r="319" spans="2:16" s="645" customFormat="1" ht="21.75" customHeight="1">
      <c r="B319" s="661">
        <v>44364</v>
      </c>
      <c r="C319" s="662" t="s">
        <v>819</v>
      </c>
      <c r="D319" s="663" t="s">
        <v>849</v>
      </c>
      <c r="E319" s="664" t="s">
        <v>831</v>
      </c>
      <c r="F319" s="665"/>
      <c r="G319" s="663">
        <v>20</v>
      </c>
      <c r="H319" s="662" t="s">
        <v>807</v>
      </c>
      <c r="I319" s="666" t="s">
        <v>851</v>
      </c>
      <c r="J319" s="667" t="s">
        <v>852</v>
      </c>
      <c r="K319" s="662">
        <v>1</v>
      </c>
      <c r="L319" s="685">
        <f t="shared" si="5"/>
        <v>18.8</v>
      </c>
      <c r="M319" s="686">
        <f t="shared" si="6"/>
        <v>18.8</v>
      </c>
      <c r="P319" s="669"/>
    </row>
    <row r="320" spans="2:16" s="645" customFormat="1" ht="21.75" customHeight="1">
      <c r="B320" s="661">
        <v>44364</v>
      </c>
      <c r="C320" s="662" t="s">
        <v>819</v>
      </c>
      <c r="D320" s="663" t="s">
        <v>840</v>
      </c>
      <c r="E320" s="664" t="s">
        <v>831</v>
      </c>
      <c r="F320" s="665"/>
      <c r="G320" s="663">
        <v>20</v>
      </c>
      <c r="H320" s="662" t="s">
        <v>807</v>
      </c>
      <c r="I320" s="666" t="s">
        <v>851</v>
      </c>
      <c r="J320" s="667" t="s">
        <v>852</v>
      </c>
      <c r="K320" s="662">
        <v>1</v>
      </c>
      <c r="L320" s="685">
        <f t="shared" si="5"/>
        <v>18.8</v>
      </c>
      <c r="M320" s="686">
        <f t="shared" si="6"/>
        <v>18.8</v>
      </c>
      <c r="P320" s="669"/>
    </row>
    <row r="321" spans="2:16" s="645" customFormat="1" ht="21.75" customHeight="1">
      <c r="B321" s="661">
        <v>44364</v>
      </c>
      <c r="C321" s="662" t="s">
        <v>819</v>
      </c>
      <c r="D321" s="663" t="s">
        <v>835</v>
      </c>
      <c r="E321" s="664" t="s">
        <v>831</v>
      </c>
      <c r="F321" s="665"/>
      <c r="G321" s="663">
        <v>20</v>
      </c>
      <c r="H321" s="662" t="s">
        <v>807</v>
      </c>
      <c r="I321" s="666" t="s">
        <v>851</v>
      </c>
      <c r="J321" s="667" t="s">
        <v>852</v>
      </c>
      <c r="K321" s="662">
        <v>2</v>
      </c>
      <c r="L321" s="685">
        <f t="shared" si="5"/>
        <v>18.8</v>
      </c>
      <c r="M321" s="686">
        <f t="shared" si="6"/>
        <v>37.6</v>
      </c>
      <c r="P321" s="669"/>
    </row>
    <row r="322" spans="2:16" s="645" customFormat="1" ht="21.75" customHeight="1">
      <c r="B322" s="661">
        <v>44364</v>
      </c>
      <c r="C322" s="662" t="s">
        <v>819</v>
      </c>
      <c r="D322" s="663" t="s">
        <v>841</v>
      </c>
      <c r="E322" s="664" t="s">
        <v>831</v>
      </c>
      <c r="F322" s="665"/>
      <c r="G322" s="663">
        <v>20</v>
      </c>
      <c r="H322" s="662" t="s">
        <v>807</v>
      </c>
      <c r="I322" s="666" t="s">
        <v>851</v>
      </c>
      <c r="J322" s="667" t="s">
        <v>852</v>
      </c>
      <c r="K322" s="662">
        <v>2</v>
      </c>
      <c r="L322" s="685">
        <f t="shared" si="5"/>
        <v>18.8</v>
      </c>
      <c r="M322" s="686">
        <f t="shared" si="6"/>
        <v>37.6</v>
      </c>
      <c r="P322" s="669"/>
    </row>
    <row r="323" spans="2:16" s="645" customFormat="1" ht="21.75" customHeight="1">
      <c r="B323" s="661">
        <v>44364</v>
      </c>
      <c r="C323" s="662" t="s">
        <v>819</v>
      </c>
      <c r="D323" s="663" t="s">
        <v>834</v>
      </c>
      <c r="E323" s="664" t="s">
        <v>831</v>
      </c>
      <c r="F323" s="665"/>
      <c r="G323" s="663">
        <v>20</v>
      </c>
      <c r="H323" s="662" t="s">
        <v>807</v>
      </c>
      <c r="I323" s="666" t="s">
        <v>851</v>
      </c>
      <c r="J323" s="667" t="s">
        <v>852</v>
      </c>
      <c r="K323" s="662">
        <v>2</v>
      </c>
      <c r="L323" s="685">
        <f t="shared" si="5"/>
        <v>18.8</v>
      </c>
      <c r="M323" s="686">
        <f t="shared" si="6"/>
        <v>37.6</v>
      </c>
      <c r="P323" s="669"/>
    </row>
    <row r="324" spans="2:16" s="645" customFormat="1" ht="21.75" customHeight="1">
      <c r="B324" s="661">
        <v>44364</v>
      </c>
      <c r="C324" s="662" t="s">
        <v>819</v>
      </c>
      <c r="D324" s="663" t="s">
        <v>848</v>
      </c>
      <c r="E324" s="664" t="s">
        <v>831</v>
      </c>
      <c r="F324" s="665"/>
      <c r="G324" s="663">
        <v>20</v>
      </c>
      <c r="H324" s="662" t="s">
        <v>807</v>
      </c>
      <c r="I324" s="666" t="s">
        <v>851</v>
      </c>
      <c r="J324" s="667" t="s">
        <v>852</v>
      </c>
      <c r="K324" s="662">
        <v>2</v>
      </c>
      <c r="L324" s="685">
        <f t="shared" si="5"/>
        <v>18.8</v>
      </c>
      <c r="M324" s="686">
        <f t="shared" si="6"/>
        <v>37.6</v>
      </c>
      <c r="P324" s="669"/>
    </row>
    <row r="325" spans="2:16" s="645" customFormat="1" ht="21.75" customHeight="1">
      <c r="B325" s="661">
        <v>44364</v>
      </c>
      <c r="C325" s="662" t="s">
        <v>819</v>
      </c>
      <c r="D325" s="663" t="s">
        <v>836</v>
      </c>
      <c r="E325" s="664" t="s">
        <v>831</v>
      </c>
      <c r="F325" s="665"/>
      <c r="G325" s="663">
        <v>20</v>
      </c>
      <c r="H325" s="662" t="s">
        <v>807</v>
      </c>
      <c r="I325" s="666" t="s">
        <v>851</v>
      </c>
      <c r="J325" s="667" t="s">
        <v>852</v>
      </c>
      <c r="K325" s="662">
        <v>1</v>
      </c>
      <c r="L325" s="685">
        <f t="shared" si="5"/>
        <v>18.8</v>
      </c>
      <c r="M325" s="686">
        <f t="shared" si="6"/>
        <v>18.8</v>
      </c>
      <c r="P325" s="669"/>
    </row>
    <row r="326" spans="2:16" s="645" customFormat="1" ht="21.75" customHeight="1">
      <c r="B326" s="661">
        <v>44364</v>
      </c>
      <c r="C326" s="662" t="s">
        <v>819</v>
      </c>
      <c r="D326" s="663" t="s">
        <v>830</v>
      </c>
      <c r="E326" s="664" t="s">
        <v>831</v>
      </c>
      <c r="F326" s="665"/>
      <c r="G326" s="663">
        <v>15</v>
      </c>
      <c r="H326" s="662" t="s">
        <v>807</v>
      </c>
      <c r="I326" s="666" t="s">
        <v>851</v>
      </c>
      <c r="J326" s="667" t="s">
        <v>852</v>
      </c>
      <c r="K326" s="662">
        <v>2</v>
      </c>
      <c r="L326" s="685">
        <f t="shared" si="5"/>
        <v>14.1</v>
      </c>
      <c r="M326" s="686">
        <f t="shared" si="6"/>
        <v>28.2</v>
      </c>
      <c r="P326" s="669"/>
    </row>
    <row r="327" spans="2:16" s="645" customFormat="1" ht="21.75" customHeight="1">
      <c r="B327" s="661">
        <v>44364</v>
      </c>
      <c r="C327" s="662" t="s">
        <v>819</v>
      </c>
      <c r="D327" s="663" t="s">
        <v>844</v>
      </c>
      <c r="E327" s="664" t="s">
        <v>831</v>
      </c>
      <c r="F327" s="665"/>
      <c r="G327" s="663">
        <v>15</v>
      </c>
      <c r="H327" s="662" t="s">
        <v>807</v>
      </c>
      <c r="I327" s="666" t="s">
        <v>851</v>
      </c>
      <c r="J327" s="667" t="s">
        <v>852</v>
      </c>
      <c r="K327" s="662">
        <v>2</v>
      </c>
      <c r="L327" s="685">
        <f t="shared" si="5"/>
        <v>14.1</v>
      </c>
      <c r="M327" s="686">
        <f t="shared" si="6"/>
        <v>28.2</v>
      </c>
      <c r="P327" s="669"/>
    </row>
    <row r="328" spans="2:16" s="645" customFormat="1" ht="21.75" customHeight="1">
      <c r="B328" s="661">
        <v>44364</v>
      </c>
      <c r="C328" s="662" t="s">
        <v>819</v>
      </c>
      <c r="D328" s="663" t="s">
        <v>839</v>
      </c>
      <c r="E328" s="664" t="s">
        <v>831</v>
      </c>
      <c r="F328" s="665"/>
      <c r="G328" s="663">
        <v>15</v>
      </c>
      <c r="H328" s="662" t="s">
        <v>807</v>
      </c>
      <c r="I328" s="666" t="s">
        <v>851</v>
      </c>
      <c r="J328" s="667" t="s">
        <v>852</v>
      </c>
      <c r="K328" s="662">
        <v>2</v>
      </c>
      <c r="L328" s="685">
        <f t="shared" si="5"/>
        <v>14.1</v>
      </c>
      <c r="M328" s="686">
        <f t="shared" si="6"/>
        <v>28.2</v>
      </c>
      <c r="P328" s="669"/>
    </row>
    <row r="329" spans="2:16" s="645" customFormat="1" ht="21.75" customHeight="1">
      <c r="B329" s="661">
        <v>44364</v>
      </c>
      <c r="C329" s="662" t="s">
        <v>819</v>
      </c>
      <c r="D329" s="663" t="s">
        <v>833</v>
      </c>
      <c r="E329" s="664" t="s">
        <v>831</v>
      </c>
      <c r="F329" s="665"/>
      <c r="G329" s="663">
        <v>15</v>
      </c>
      <c r="H329" s="662" t="s">
        <v>807</v>
      </c>
      <c r="I329" s="666" t="s">
        <v>851</v>
      </c>
      <c r="J329" s="667" t="s">
        <v>852</v>
      </c>
      <c r="K329" s="662">
        <v>2</v>
      </c>
      <c r="L329" s="685">
        <f t="shared" ref="L329:L392" si="7">VLOOKUP(G329,$Q$4:$V$7,6,FALSE)</f>
        <v>14.1</v>
      </c>
      <c r="M329" s="686">
        <f t="shared" si="6"/>
        <v>28.2</v>
      </c>
    </row>
    <row r="330" spans="2:16" s="645" customFormat="1" ht="21.75" customHeight="1">
      <c r="B330" s="661">
        <v>44364</v>
      </c>
      <c r="C330" s="662" t="s">
        <v>819</v>
      </c>
      <c r="D330" s="663" t="s">
        <v>845</v>
      </c>
      <c r="E330" s="664" t="s">
        <v>831</v>
      </c>
      <c r="F330" s="665"/>
      <c r="G330" s="663">
        <v>17</v>
      </c>
      <c r="H330" s="662" t="s">
        <v>807</v>
      </c>
      <c r="I330" s="666" t="s">
        <v>851</v>
      </c>
      <c r="J330" s="667" t="s">
        <v>852</v>
      </c>
      <c r="K330" s="662">
        <v>2</v>
      </c>
      <c r="L330" s="685">
        <f t="shared" si="7"/>
        <v>15.98</v>
      </c>
      <c r="M330" s="686">
        <f t="shared" si="6"/>
        <v>31.96</v>
      </c>
    </row>
    <row r="331" spans="2:16" s="645" customFormat="1" ht="21.75" customHeight="1">
      <c r="B331" s="661">
        <v>44364</v>
      </c>
      <c r="C331" s="662" t="s">
        <v>819</v>
      </c>
      <c r="D331" s="663" t="s">
        <v>847</v>
      </c>
      <c r="E331" s="664" t="s">
        <v>831</v>
      </c>
      <c r="F331" s="665"/>
      <c r="G331" s="663">
        <v>17</v>
      </c>
      <c r="H331" s="662" t="s">
        <v>807</v>
      </c>
      <c r="I331" s="666" t="s">
        <v>851</v>
      </c>
      <c r="J331" s="667" t="s">
        <v>852</v>
      </c>
      <c r="K331" s="662">
        <v>2</v>
      </c>
      <c r="L331" s="685">
        <f t="shared" si="7"/>
        <v>15.98</v>
      </c>
      <c r="M331" s="686">
        <f t="shared" si="6"/>
        <v>31.96</v>
      </c>
    </row>
    <row r="332" spans="2:16" s="645" customFormat="1" ht="21.75" customHeight="1">
      <c r="B332" s="670">
        <v>44365</v>
      </c>
      <c r="C332" s="671" t="s">
        <v>819</v>
      </c>
      <c r="D332" s="672" t="s">
        <v>849</v>
      </c>
      <c r="E332" s="673" t="s">
        <v>831</v>
      </c>
      <c r="F332" s="674"/>
      <c r="G332" s="672">
        <v>20</v>
      </c>
      <c r="H332" s="671" t="s">
        <v>807</v>
      </c>
      <c r="I332" s="675" t="s">
        <v>838</v>
      </c>
      <c r="J332" s="677" t="s">
        <v>804</v>
      </c>
      <c r="K332" s="671">
        <v>11</v>
      </c>
      <c r="L332" s="671">
        <f t="shared" si="7"/>
        <v>18.8</v>
      </c>
      <c r="M332" s="676">
        <f t="shared" si="6"/>
        <v>206.8</v>
      </c>
    </row>
    <row r="333" spans="2:16" s="645" customFormat="1" ht="21.75" customHeight="1">
      <c r="B333" s="670">
        <v>44365</v>
      </c>
      <c r="C333" s="671" t="s">
        <v>819</v>
      </c>
      <c r="D333" s="672" t="s">
        <v>840</v>
      </c>
      <c r="E333" s="673" t="s">
        <v>831</v>
      </c>
      <c r="F333" s="674"/>
      <c r="G333" s="672">
        <v>20</v>
      </c>
      <c r="H333" s="671" t="s">
        <v>807</v>
      </c>
      <c r="I333" s="675" t="s">
        <v>838</v>
      </c>
      <c r="J333" s="677" t="s">
        <v>804</v>
      </c>
      <c r="K333" s="671">
        <v>11</v>
      </c>
      <c r="L333" s="671">
        <f t="shared" si="7"/>
        <v>18.8</v>
      </c>
      <c r="M333" s="676">
        <f t="shared" si="6"/>
        <v>206.8</v>
      </c>
    </row>
    <row r="334" spans="2:16" s="645" customFormat="1" ht="21.75" customHeight="1">
      <c r="B334" s="670">
        <v>44365</v>
      </c>
      <c r="C334" s="671" t="s">
        <v>819</v>
      </c>
      <c r="D334" s="672" t="s">
        <v>835</v>
      </c>
      <c r="E334" s="673" t="s">
        <v>831</v>
      </c>
      <c r="F334" s="674"/>
      <c r="G334" s="672">
        <v>20</v>
      </c>
      <c r="H334" s="671" t="s">
        <v>807</v>
      </c>
      <c r="I334" s="675" t="s">
        <v>838</v>
      </c>
      <c r="J334" s="677" t="s">
        <v>804</v>
      </c>
      <c r="K334" s="671">
        <v>7</v>
      </c>
      <c r="L334" s="671">
        <f t="shared" si="7"/>
        <v>18.8</v>
      </c>
      <c r="M334" s="676">
        <f t="shared" si="6"/>
        <v>131.6</v>
      </c>
      <c r="P334" s="669"/>
    </row>
    <row r="335" spans="2:16" s="645" customFormat="1" ht="21.75" customHeight="1">
      <c r="B335" s="670">
        <v>44365</v>
      </c>
      <c r="C335" s="671" t="s">
        <v>819</v>
      </c>
      <c r="D335" s="672" t="s">
        <v>841</v>
      </c>
      <c r="E335" s="673" t="s">
        <v>831</v>
      </c>
      <c r="F335" s="674"/>
      <c r="G335" s="672">
        <v>20</v>
      </c>
      <c r="H335" s="671" t="s">
        <v>807</v>
      </c>
      <c r="I335" s="675" t="s">
        <v>838</v>
      </c>
      <c r="J335" s="677" t="s">
        <v>804</v>
      </c>
      <c r="K335" s="671">
        <v>10</v>
      </c>
      <c r="L335" s="671">
        <f t="shared" si="7"/>
        <v>18.8</v>
      </c>
      <c r="M335" s="676">
        <f t="shared" si="6"/>
        <v>188</v>
      </c>
      <c r="P335" s="669"/>
    </row>
    <row r="336" spans="2:16" s="645" customFormat="1" ht="21.75" customHeight="1">
      <c r="B336" s="670">
        <v>44365</v>
      </c>
      <c r="C336" s="671" t="s">
        <v>819</v>
      </c>
      <c r="D336" s="672" t="s">
        <v>834</v>
      </c>
      <c r="E336" s="673" t="s">
        <v>831</v>
      </c>
      <c r="F336" s="674"/>
      <c r="G336" s="672">
        <v>20</v>
      </c>
      <c r="H336" s="671" t="s">
        <v>807</v>
      </c>
      <c r="I336" s="675" t="s">
        <v>838</v>
      </c>
      <c r="J336" s="677" t="s">
        <v>804</v>
      </c>
      <c r="K336" s="671">
        <v>11</v>
      </c>
      <c r="L336" s="671">
        <f t="shared" si="7"/>
        <v>18.8</v>
      </c>
      <c r="M336" s="676">
        <f t="shared" si="6"/>
        <v>206.8</v>
      </c>
      <c r="P336" s="669"/>
    </row>
    <row r="337" spans="2:16" s="645" customFormat="1" ht="21.75" customHeight="1">
      <c r="B337" s="670">
        <v>44365</v>
      </c>
      <c r="C337" s="671" t="s">
        <v>819</v>
      </c>
      <c r="D337" s="672" t="s">
        <v>848</v>
      </c>
      <c r="E337" s="673" t="s">
        <v>831</v>
      </c>
      <c r="F337" s="674"/>
      <c r="G337" s="672">
        <v>20</v>
      </c>
      <c r="H337" s="671" t="s">
        <v>807</v>
      </c>
      <c r="I337" s="675" t="s">
        <v>838</v>
      </c>
      <c r="J337" s="677" t="s">
        <v>804</v>
      </c>
      <c r="K337" s="671">
        <v>9</v>
      </c>
      <c r="L337" s="671">
        <f t="shared" si="7"/>
        <v>18.8</v>
      </c>
      <c r="M337" s="676">
        <f t="shared" si="6"/>
        <v>169.20000000000002</v>
      </c>
      <c r="P337" s="669"/>
    </row>
    <row r="338" spans="2:16" s="645" customFormat="1" ht="21.75" customHeight="1">
      <c r="B338" s="670">
        <v>44365</v>
      </c>
      <c r="C338" s="671" t="s">
        <v>819</v>
      </c>
      <c r="D338" s="672" t="s">
        <v>830</v>
      </c>
      <c r="E338" s="673" t="s">
        <v>831</v>
      </c>
      <c r="F338" s="674"/>
      <c r="G338" s="672">
        <v>15</v>
      </c>
      <c r="H338" s="671" t="s">
        <v>807</v>
      </c>
      <c r="I338" s="675" t="s">
        <v>838</v>
      </c>
      <c r="J338" s="677" t="s">
        <v>804</v>
      </c>
      <c r="K338" s="671">
        <v>12</v>
      </c>
      <c r="L338" s="671">
        <f t="shared" si="7"/>
        <v>14.1</v>
      </c>
      <c r="M338" s="676">
        <f t="shared" si="6"/>
        <v>169.2</v>
      </c>
      <c r="P338" s="669"/>
    </row>
    <row r="339" spans="2:16" s="645" customFormat="1" ht="21.75" customHeight="1">
      <c r="B339" s="670">
        <v>44365</v>
      </c>
      <c r="C339" s="671" t="s">
        <v>819</v>
      </c>
      <c r="D339" s="672" t="s">
        <v>833</v>
      </c>
      <c r="E339" s="673" t="s">
        <v>831</v>
      </c>
      <c r="F339" s="674"/>
      <c r="G339" s="672">
        <v>15</v>
      </c>
      <c r="H339" s="671" t="s">
        <v>807</v>
      </c>
      <c r="I339" s="675" t="s">
        <v>838</v>
      </c>
      <c r="J339" s="677" t="s">
        <v>804</v>
      </c>
      <c r="K339" s="671">
        <v>11</v>
      </c>
      <c r="L339" s="671">
        <f t="shared" si="7"/>
        <v>14.1</v>
      </c>
      <c r="M339" s="676">
        <f t="shared" si="6"/>
        <v>155.1</v>
      </c>
      <c r="P339" s="669"/>
    </row>
    <row r="340" spans="2:16" s="645" customFormat="1" ht="21.75" customHeight="1">
      <c r="B340" s="670">
        <v>44365</v>
      </c>
      <c r="C340" s="671" t="s">
        <v>819</v>
      </c>
      <c r="D340" s="672" t="s">
        <v>845</v>
      </c>
      <c r="E340" s="673" t="s">
        <v>831</v>
      </c>
      <c r="F340" s="674"/>
      <c r="G340" s="672">
        <v>17</v>
      </c>
      <c r="H340" s="671" t="s">
        <v>807</v>
      </c>
      <c r="I340" s="675" t="s">
        <v>838</v>
      </c>
      <c r="J340" s="677" t="s">
        <v>804</v>
      </c>
      <c r="K340" s="671">
        <v>11</v>
      </c>
      <c r="L340" s="671">
        <f t="shared" si="7"/>
        <v>15.98</v>
      </c>
      <c r="M340" s="676">
        <f t="shared" si="6"/>
        <v>175.78</v>
      </c>
      <c r="P340" s="669"/>
    </row>
    <row r="341" spans="2:16" s="645" customFormat="1" ht="21.75" customHeight="1">
      <c r="B341" s="670">
        <v>44365</v>
      </c>
      <c r="C341" s="671" t="s">
        <v>819</v>
      </c>
      <c r="D341" s="672" t="s">
        <v>847</v>
      </c>
      <c r="E341" s="673" t="s">
        <v>831</v>
      </c>
      <c r="F341" s="674"/>
      <c r="G341" s="672">
        <v>17</v>
      </c>
      <c r="H341" s="671" t="s">
        <v>807</v>
      </c>
      <c r="I341" s="675" t="s">
        <v>838</v>
      </c>
      <c r="J341" s="677" t="s">
        <v>804</v>
      </c>
      <c r="K341" s="671">
        <v>12</v>
      </c>
      <c r="L341" s="671">
        <f t="shared" si="7"/>
        <v>15.98</v>
      </c>
      <c r="M341" s="676">
        <f t="shared" si="6"/>
        <v>191.76</v>
      </c>
      <c r="P341" s="669"/>
    </row>
    <row r="342" spans="2:16" s="645" customFormat="1" ht="21.75" customHeight="1">
      <c r="B342" s="678">
        <v>44365</v>
      </c>
      <c r="C342" s="679" t="s">
        <v>837</v>
      </c>
      <c r="D342" s="680" t="s">
        <v>835</v>
      </c>
      <c r="E342" s="681" t="s">
        <v>831</v>
      </c>
      <c r="F342" s="682"/>
      <c r="G342" s="680">
        <v>20</v>
      </c>
      <c r="H342" s="679" t="s">
        <v>807</v>
      </c>
      <c r="I342" s="683" t="s">
        <v>838</v>
      </c>
      <c r="J342" s="684" t="s">
        <v>804</v>
      </c>
      <c r="K342" s="679">
        <v>4</v>
      </c>
      <c r="L342" s="679">
        <f t="shared" si="7"/>
        <v>18.8</v>
      </c>
      <c r="M342" s="668">
        <f t="shared" si="6"/>
        <v>75.2</v>
      </c>
      <c r="P342" s="669"/>
    </row>
    <row r="343" spans="2:16" s="645" customFormat="1" ht="21.75" customHeight="1">
      <c r="B343" s="678">
        <v>44365</v>
      </c>
      <c r="C343" s="679" t="s">
        <v>837</v>
      </c>
      <c r="D343" s="680" t="s">
        <v>834</v>
      </c>
      <c r="E343" s="681" t="s">
        <v>831</v>
      </c>
      <c r="F343" s="682"/>
      <c r="G343" s="680">
        <v>20</v>
      </c>
      <c r="H343" s="679" t="s">
        <v>807</v>
      </c>
      <c r="I343" s="683" t="s">
        <v>838</v>
      </c>
      <c r="J343" s="684" t="s">
        <v>804</v>
      </c>
      <c r="K343" s="679">
        <v>4</v>
      </c>
      <c r="L343" s="679">
        <f t="shared" si="7"/>
        <v>18.8</v>
      </c>
      <c r="M343" s="668">
        <f t="shared" si="6"/>
        <v>75.2</v>
      </c>
    </row>
    <row r="344" spans="2:16" s="645" customFormat="1" ht="21.75" customHeight="1">
      <c r="B344" s="678">
        <v>44365</v>
      </c>
      <c r="C344" s="679" t="s">
        <v>837</v>
      </c>
      <c r="D344" s="680" t="s">
        <v>848</v>
      </c>
      <c r="E344" s="681" t="s">
        <v>831</v>
      </c>
      <c r="F344" s="682"/>
      <c r="G344" s="680">
        <v>20</v>
      </c>
      <c r="H344" s="679" t="s">
        <v>807</v>
      </c>
      <c r="I344" s="683" t="s">
        <v>838</v>
      </c>
      <c r="J344" s="684" t="s">
        <v>804</v>
      </c>
      <c r="K344" s="679">
        <v>4</v>
      </c>
      <c r="L344" s="679">
        <f t="shared" si="7"/>
        <v>18.8</v>
      </c>
      <c r="M344" s="668">
        <f t="shared" si="6"/>
        <v>75.2</v>
      </c>
    </row>
    <row r="345" spans="2:16" s="645" customFormat="1" ht="21.75" customHeight="1">
      <c r="B345" s="678">
        <v>44365</v>
      </c>
      <c r="C345" s="679" t="s">
        <v>837</v>
      </c>
      <c r="D345" s="680" t="s">
        <v>845</v>
      </c>
      <c r="E345" s="681" t="s">
        <v>831</v>
      </c>
      <c r="F345" s="682"/>
      <c r="G345" s="680">
        <v>17</v>
      </c>
      <c r="H345" s="679" t="s">
        <v>807</v>
      </c>
      <c r="I345" s="683" t="s">
        <v>838</v>
      </c>
      <c r="J345" s="684" t="s">
        <v>804</v>
      </c>
      <c r="K345" s="679">
        <v>4</v>
      </c>
      <c r="L345" s="679">
        <f t="shared" si="7"/>
        <v>15.98</v>
      </c>
      <c r="M345" s="668">
        <f t="shared" si="6"/>
        <v>63.92</v>
      </c>
    </row>
    <row r="346" spans="2:16" s="645" customFormat="1" ht="21.75" customHeight="1">
      <c r="B346" s="678">
        <v>44365</v>
      </c>
      <c r="C346" s="679" t="s">
        <v>837</v>
      </c>
      <c r="D346" s="680" t="s">
        <v>847</v>
      </c>
      <c r="E346" s="681" t="s">
        <v>831</v>
      </c>
      <c r="F346" s="682"/>
      <c r="G346" s="680">
        <v>17</v>
      </c>
      <c r="H346" s="679" t="s">
        <v>807</v>
      </c>
      <c r="I346" s="683" t="s">
        <v>838</v>
      </c>
      <c r="J346" s="684" t="s">
        <v>804</v>
      </c>
      <c r="K346" s="679">
        <v>4</v>
      </c>
      <c r="L346" s="679">
        <f t="shared" si="7"/>
        <v>15.98</v>
      </c>
      <c r="M346" s="668">
        <f t="shared" si="6"/>
        <v>63.92</v>
      </c>
    </row>
    <row r="347" spans="2:16" s="645" customFormat="1" ht="21.75" customHeight="1">
      <c r="B347" s="670">
        <v>44366</v>
      </c>
      <c r="C347" s="671" t="s">
        <v>819</v>
      </c>
      <c r="D347" s="672" t="s">
        <v>849</v>
      </c>
      <c r="E347" s="673" t="s">
        <v>831</v>
      </c>
      <c r="F347" s="674"/>
      <c r="G347" s="672">
        <v>20</v>
      </c>
      <c r="H347" s="671" t="s">
        <v>807</v>
      </c>
      <c r="I347" s="675" t="s">
        <v>838</v>
      </c>
      <c r="J347" s="677" t="s">
        <v>804</v>
      </c>
      <c r="K347" s="671">
        <v>8</v>
      </c>
      <c r="L347" s="671">
        <f t="shared" si="7"/>
        <v>18.8</v>
      </c>
      <c r="M347" s="676">
        <f t="shared" si="6"/>
        <v>150.4</v>
      </c>
    </row>
    <row r="348" spans="2:16" s="645" customFormat="1" ht="21.75" customHeight="1">
      <c r="B348" s="670">
        <v>44366</v>
      </c>
      <c r="C348" s="671" t="s">
        <v>819</v>
      </c>
      <c r="D348" s="672" t="s">
        <v>840</v>
      </c>
      <c r="E348" s="673" t="s">
        <v>831</v>
      </c>
      <c r="F348" s="674"/>
      <c r="G348" s="672">
        <v>20</v>
      </c>
      <c r="H348" s="671" t="s">
        <v>807</v>
      </c>
      <c r="I348" s="675" t="s">
        <v>838</v>
      </c>
      <c r="J348" s="677" t="s">
        <v>804</v>
      </c>
      <c r="K348" s="671">
        <v>6</v>
      </c>
      <c r="L348" s="671">
        <f t="shared" si="7"/>
        <v>18.8</v>
      </c>
      <c r="M348" s="676">
        <f t="shared" si="6"/>
        <v>112.80000000000001</v>
      </c>
    </row>
    <row r="349" spans="2:16" s="645" customFormat="1" ht="21.75" customHeight="1">
      <c r="B349" s="670">
        <v>44366</v>
      </c>
      <c r="C349" s="671" t="s">
        <v>819</v>
      </c>
      <c r="D349" s="672" t="s">
        <v>835</v>
      </c>
      <c r="E349" s="673" t="s">
        <v>831</v>
      </c>
      <c r="F349" s="674"/>
      <c r="G349" s="672">
        <v>20</v>
      </c>
      <c r="H349" s="671" t="s">
        <v>807</v>
      </c>
      <c r="I349" s="675" t="s">
        <v>838</v>
      </c>
      <c r="J349" s="677" t="s">
        <v>804</v>
      </c>
      <c r="K349" s="671">
        <v>6</v>
      </c>
      <c r="L349" s="671">
        <f t="shared" si="7"/>
        <v>18.8</v>
      </c>
      <c r="M349" s="676">
        <f t="shared" si="6"/>
        <v>112.80000000000001</v>
      </c>
    </row>
    <row r="350" spans="2:16" s="645" customFormat="1" ht="21.75" customHeight="1">
      <c r="B350" s="670">
        <v>44366</v>
      </c>
      <c r="C350" s="671" t="s">
        <v>819</v>
      </c>
      <c r="D350" s="672" t="s">
        <v>841</v>
      </c>
      <c r="E350" s="673" t="s">
        <v>831</v>
      </c>
      <c r="F350" s="674"/>
      <c r="G350" s="672">
        <v>20</v>
      </c>
      <c r="H350" s="671" t="s">
        <v>807</v>
      </c>
      <c r="I350" s="675" t="s">
        <v>838</v>
      </c>
      <c r="J350" s="677" t="s">
        <v>804</v>
      </c>
      <c r="K350" s="671">
        <v>7</v>
      </c>
      <c r="L350" s="671">
        <f t="shared" si="7"/>
        <v>18.8</v>
      </c>
      <c r="M350" s="676">
        <f t="shared" si="6"/>
        <v>131.6</v>
      </c>
    </row>
    <row r="351" spans="2:16" s="645" customFormat="1" ht="21.75" customHeight="1">
      <c r="B351" s="670">
        <v>44366</v>
      </c>
      <c r="C351" s="671" t="s">
        <v>819</v>
      </c>
      <c r="D351" s="672" t="s">
        <v>848</v>
      </c>
      <c r="E351" s="673" t="s">
        <v>831</v>
      </c>
      <c r="F351" s="674"/>
      <c r="G351" s="672">
        <v>20</v>
      </c>
      <c r="H351" s="671" t="s">
        <v>807</v>
      </c>
      <c r="I351" s="675" t="s">
        <v>838</v>
      </c>
      <c r="J351" s="677" t="s">
        <v>804</v>
      </c>
      <c r="K351" s="671">
        <v>7</v>
      </c>
      <c r="L351" s="671">
        <f t="shared" si="7"/>
        <v>18.8</v>
      </c>
      <c r="M351" s="676">
        <f t="shared" si="6"/>
        <v>131.6</v>
      </c>
    </row>
    <row r="352" spans="2:16" s="645" customFormat="1" ht="21.75" customHeight="1">
      <c r="B352" s="670">
        <v>44366</v>
      </c>
      <c r="C352" s="671" t="s">
        <v>819</v>
      </c>
      <c r="D352" s="672" t="s">
        <v>830</v>
      </c>
      <c r="E352" s="673" t="s">
        <v>831</v>
      </c>
      <c r="F352" s="674"/>
      <c r="G352" s="672">
        <v>15</v>
      </c>
      <c r="H352" s="671" t="s">
        <v>807</v>
      </c>
      <c r="I352" s="675" t="s">
        <v>838</v>
      </c>
      <c r="J352" s="677" t="s">
        <v>804</v>
      </c>
      <c r="K352" s="671">
        <v>8</v>
      </c>
      <c r="L352" s="671">
        <f t="shared" si="7"/>
        <v>14.1</v>
      </c>
      <c r="M352" s="676">
        <f t="shared" si="6"/>
        <v>112.8</v>
      </c>
    </row>
    <row r="353" spans="2:16" s="645" customFormat="1" ht="21.75" customHeight="1">
      <c r="B353" s="670">
        <v>44366</v>
      </c>
      <c r="C353" s="671" t="s">
        <v>819</v>
      </c>
      <c r="D353" s="672" t="s">
        <v>844</v>
      </c>
      <c r="E353" s="673" t="s">
        <v>831</v>
      </c>
      <c r="F353" s="674"/>
      <c r="G353" s="672">
        <v>15</v>
      </c>
      <c r="H353" s="671" t="s">
        <v>807</v>
      </c>
      <c r="I353" s="675" t="s">
        <v>838</v>
      </c>
      <c r="J353" s="677" t="s">
        <v>804</v>
      </c>
      <c r="K353" s="671">
        <v>2</v>
      </c>
      <c r="L353" s="671">
        <f t="shared" si="7"/>
        <v>14.1</v>
      </c>
      <c r="M353" s="676">
        <f t="shared" si="6"/>
        <v>28.2</v>
      </c>
    </row>
    <row r="354" spans="2:16" s="645" customFormat="1" ht="21.75" customHeight="1">
      <c r="B354" s="670">
        <v>44366</v>
      </c>
      <c r="C354" s="671" t="s">
        <v>819</v>
      </c>
      <c r="D354" s="672" t="s">
        <v>845</v>
      </c>
      <c r="E354" s="673" t="s">
        <v>831</v>
      </c>
      <c r="F354" s="674"/>
      <c r="G354" s="672">
        <v>17</v>
      </c>
      <c r="H354" s="671" t="s">
        <v>807</v>
      </c>
      <c r="I354" s="675" t="s">
        <v>838</v>
      </c>
      <c r="J354" s="677" t="s">
        <v>804</v>
      </c>
      <c r="K354" s="671">
        <v>7</v>
      </c>
      <c r="L354" s="671">
        <f t="shared" si="7"/>
        <v>15.98</v>
      </c>
      <c r="M354" s="676">
        <f t="shared" si="6"/>
        <v>111.86</v>
      </c>
    </row>
    <row r="355" spans="2:16" s="645" customFormat="1" ht="21.75" customHeight="1">
      <c r="B355" s="670">
        <v>44366</v>
      </c>
      <c r="C355" s="671" t="s">
        <v>819</v>
      </c>
      <c r="D355" s="672" t="s">
        <v>847</v>
      </c>
      <c r="E355" s="673" t="s">
        <v>831</v>
      </c>
      <c r="F355" s="674"/>
      <c r="G355" s="672">
        <v>17</v>
      </c>
      <c r="H355" s="671" t="s">
        <v>807</v>
      </c>
      <c r="I355" s="675" t="s">
        <v>838</v>
      </c>
      <c r="J355" s="677" t="s">
        <v>804</v>
      </c>
      <c r="K355" s="671">
        <v>8</v>
      </c>
      <c r="L355" s="671">
        <f t="shared" si="7"/>
        <v>15.98</v>
      </c>
      <c r="M355" s="676">
        <f t="shared" si="6"/>
        <v>127.84</v>
      </c>
    </row>
    <row r="356" spans="2:16" s="645" customFormat="1" ht="21.75" customHeight="1">
      <c r="B356" s="661">
        <v>44366</v>
      </c>
      <c r="C356" s="662" t="s">
        <v>837</v>
      </c>
      <c r="D356" s="663" t="s">
        <v>835</v>
      </c>
      <c r="E356" s="664" t="s">
        <v>831</v>
      </c>
      <c r="F356" s="665"/>
      <c r="G356" s="663">
        <v>20</v>
      </c>
      <c r="H356" s="662" t="s">
        <v>807</v>
      </c>
      <c r="I356" s="666" t="s">
        <v>838</v>
      </c>
      <c r="J356" s="667" t="s">
        <v>804</v>
      </c>
      <c r="K356" s="662">
        <v>5</v>
      </c>
      <c r="L356" s="679">
        <f t="shared" si="7"/>
        <v>18.8</v>
      </c>
      <c r="M356" s="668">
        <f t="shared" si="6"/>
        <v>94</v>
      </c>
    </row>
    <row r="357" spans="2:16" s="645" customFormat="1" ht="21.75" customHeight="1">
      <c r="B357" s="661">
        <v>44366</v>
      </c>
      <c r="C357" s="662" t="s">
        <v>837</v>
      </c>
      <c r="D357" s="663" t="s">
        <v>841</v>
      </c>
      <c r="E357" s="664" t="s">
        <v>831</v>
      </c>
      <c r="F357" s="665"/>
      <c r="G357" s="663">
        <v>20</v>
      </c>
      <c r="H357" s="662" t="s">
        <v>807</v>
      </c>
      <c r="I357" s="666" t="s">
        <v>838</v>
      </c>
      <c r="J357" s="667" t="s">
        <v>804</v>
      </c>
      <c r="K357" s="662">
        <v>5</v>
      </c>
      <c r="L357" s="679">
        <f t="shared" si="7"/>
        <v>18.8</v>
      </c>
      <c r="M357" s="668">
        <f t="shared" si="6"/>
        <v>94</v>
      </c>
    </row>
    <row r="358" spans="2:16" s="645" customFormat="1" ht="21.75" customHeight="1">
      <c r="B358" s="661">
        <v>44366</v>
      </c>
      <c r="C358" s="662" t="s">
        <v>837</v>
      </c>
      <c r="D358" s="663" t="s">
        <v>848</v>
      </c>
      <c r="E358" s="664" t="s">
        <v>831</v>
      </c>
      <c r="F358" s="665"/>
      <c r="G358" s="663">
        <v>20</v>
      </c>
      <c r="H358" s="662" t="s">
        <v>807</v>
      </c>
      <c r="I358" s="666" t="s">
        <v>838</v>
      </c>
      <c r="J358" s="667" t="s">
        <v>804</v>
      </c>
      <c r="K358" s="662">
        <v>5</v>
      </c>
      <c r="L358" s="679">
        <f t="shared" si="7"/>
        <v>18.8</v>
      </c>
      <c r="M358" s="668">
        <f t="shared" si="6"/>
        <v>94</v>
      </c>
      <c r="P358" s="669"/>
    </row>
    <row r="359" spans="2:16" s="645" customFormat="1" ht="21.75" customHeight="1">
      <c r="B359" s="661">
        <v>44366</v>
      </c>
      <c r="C359" s="662" t="s">
        <v>837</v>
      </c>
      <c r="D359" s="663" t="s">
        <v>845</v>
      </c>
      <c r="E359" s="664" t="s">
        <v>831</v>
      </c>
      <c r="F359" s="665"/>
      <c r="G359" s="663">
        <v>17</v>
      </c>
      <c r="H359" s="662" t="s">
        <v>807</v>
      </c>
      <c r="I359" s="666" t="s">
        <v>838</v>
      </c>
      <c r="J359" s="667" t="s">
        <v>804</v>
      </c>
      <c r="K359" s="662">
        <v>5</v>
      </c>
      <c r="L359" s="679">
        <f t="shared" si="7"/>
        <v>15.98</v>
      </c>
      <c r="M359" s="668">
        <f t="shared" ref="M359:M422" si="8">L359*K359</f>
        <v>79.900000000000006</v>
      </c>
      <c r="P359" s="669"/>
    </row>
    <row r="360" spans="2:16" s="645" customFormat="1" ht="21.75" customHeight="1">
      <c r="B360" s="661">
        <v>44366</v>
      </c>
      <c r="C360" s="662" t="s">
        <v>837</v>
      </c>
      <c r="D360" s="663" t="s">
        <v>847</v>
      </c>
      <c r="E360" s="664" t="s">
        <v>831</v>
      </c>
      <c r="F360" s="665"/>
      <c r="G360" s="663">
        <v>17</v>
      </c>
      <c r="H360" s="662" t="s">
        <v>807</v>
      </c>
      <c r="I360" s="666" t="s">
        <v>838</v>
      </c>
      <c r="J360" s="667" t="s">
        <v>804</v>
      </c>
      <c r="K360" s="662">
        <v>5</v>
      </c>
      <c r="L360" s="679">
        <f t="shared" si="7"/>
        <v>15.98</v>
      </c>
      <c r="M360" s="668">
        <f t="shared" si="8"/>
        <v>79.900000000000006</v>
      </c>
      <c r="P360" s="669"/>
    </row>
    <row r="361" spans="2:16" s="645" customFormat="1" ht="21.75" customHeight="1">
      <c r="B361" s="670">
        <v>44367</v>
      </c>
      <c r="C361" s="671" t="s">
        <v>819</v>
      </c>
      <c r="D361" s="672" t="s">
        <v>849</v>
      </c>
      <c r="E361" s="673" t="s">
        <v>831</v>
      </c>
      <c r="F361" s="674"/>
      <c r="G361" s="672">
        <v>20</v>
      </c>
      <c r="H361" s="671" t="s">
        <v>807</v>
      </c>
      <c r="I361" s="675" t="s">
        <v>843</v>
      </c>
      <c r="J361" s="677" t="s">
        <v>804</v>
      </c>
      <c r="K361" s="671">
        <v>1</v>
      </c>
      <c r="L361" s="671">
        <f t="shared" si="7"/>
        <v>18.8</v>
      </c>
      <c r="M361" s="676">
        <f t="shared" si="8"/>
        <v>18.8</v>
      </c>
      <c r="P361" s="669"/>
    </row>
    <row r="362" spans="2:16" s="645" customFormat="1" ht="21.75" customHeight="1">
      <c r="B362" s="670">
        <v>44367</v>
      </c>
      <c r="C362" s="671" t="s">
        <v>819</v>
      </c>
      <c r="D362" s="672" t="s">
        <v>840</v>
      </c>
      <c r="E362" s="673" t="s">
        <v>831</v>
      </c>
      <c r="F362" s="674"/>
      <c r="G362" s="672">
        <v>20</v>
      </c>
      <c r="H362" s="671" t="s">
        <v>807</v>
      </c>
      <c r="I362" s="675" t="s">
        <v>843</v>
      </c>
      <c r="J362" s="677" t="s">
        <v>804</v>
      </c>
      <c r="K362" s="671">
        <v>1</v>
      </c>
      <c r="L362" s="671">
        <f t="shared" si="7"/>
        <v>18.8</v>
      </c>
      <c r="M362" s="676">
        <f t="shared" si="8"/>
        <v>18.8</v>
      </c>
      <c r="P362" s="669"/>
    </row>
    <row r="363" spans="2:16" s="645" customFormat="1" ht="21.75" customHeight="1">
      <c r="B363" s="670">
        <v>44367</v>
      </c>
      <c r="C363" s="671" t="s">
        <v>819</v>
      </c>
      <c r="D363" s="672" t="s">
        <v>835</v>
      </c>
      <c r="E363" s="673" t="s">
        <v>831</v>
      </c>
      <c r="F363" s="674"/>
      <c r="G363" s="672">
        <v>20</v>
      </c>
      <c r="H363" s="671" t="s">
        <v>807</v>
      </c>
      <c r="I363" s="675" t="s">
        <v>843</v>
      </c>
      <c r="J363" s="677" t="s">
        <v>804</v>
      </c>
      <c r="K363" s="671">
        <v>2</v>
      </c>
      <c r="L363" s="671">
        <f t="shared" si="7"/>
        <v>18.8</v>
      </c>
      <c r="M363" s="676">
        <f t="shared" si="8"/>
        <v>37.6</v>
      </c>
      <c r="P363" s="669"/>
    </row>
    <row r="364" spans="2:16" s="645" customFormat="1" ht="21.75" customHeight="1">
      <c r="B364" s="670">
        <v>44367</v>
      </c>
      <c r="C364" s="671" t="s">
        <v>819</v>
      </c>
      <c r="D364" s="672" t="s">
        <v>841</v>
      </c>
      <c r="E364" s="673" t="s">
        <v>831</v>
      </c>
      <c r="F364" s="674"/>
      <c r="G364" s="672">
        <v>20</v>
      </c>
      <c r="H364" s="671" t="s">
        <v>807</v>
      </c>
      <c r="I364" s="675" t="s">
        <v>843</v>
      </c>
      <c r="J364" s="677" t="s">
        <v>804</v>
      </c>
      <c r="K364" s="671">
        <v>1</v>
      </c>
      <c r="L364" s="671">
        <f t="shared" si="7"/>
        <v>18.8</v>
      </c>
      <c r="M364" s="676">
        <f t="shared" si="8"/>
        <v>18.8</v>
      </c>
      <c r="P364" s="669"/>
    </row>
    <row r="365" spans="2:16" s="645" customFormat="1" ht="21.75" customHeight="1">
      <c r="B365" s="670">
        <v>44367</v>
      </c>
      <c r="C365" s="671" t="s">
        <v>819</v>
      </c>
      <c r="D365" s="672" t="s">
        <v>848</v>
      </c>
      <c r="E365" s="673" t="s">
        <v>831</v>
      </c>
      <c r="F365" s="674"/>
      <c r="G365" s="672">
        <v>20</v>
      </c>
      <c r="H365" s="671" t="s">
        <v>807</v>
      </c>
      <c r="I365" s="675" t="s">
        <v>843</v>
      </c>
      <c r="J365" s="677" t="s">
        <v>804</v>
      </c>
      <c r="K365" s="671">
        <v>1</v>
      </c>
      <c r="L365" s="671">
        <f t="shared" si="7"/>
        <v>18.8</v>
      </c>
      <c r="M365" s="676">
        <f t="shared" si="8"/>
        <v>18.8</v>
      </c>
      <c r="P365" s="669"/>
    </row>
    <row r="366" spans="2:16" s="645" customFormat="1" ht="21.75" customHeight="1">
      <c r="B366" s="670">
        <v>44367</v>
      </c>
      <c r="C366" s="671" t="s">
        <v>819</v>
      </c>
      <c r="D366" s="672" t="s">
        <v>830</v>
      </c>
      <c r="E366" s="673" t="s">
        <v>831</v>
      </c>
      <c r="F366" s="674"/>
      <c r="G366" s="672">
        <v>15</v>
      </c>
      <c r="H366" s="671" t="s">
        <v>807</v>
      </c>
      <c r="I366" s="675" t="s">
        <v>843</v>
      </c>
      <c r="J366" s="677" t="s">
        <v>804</v>
      </c>
      <c r="K366" s="671">
        <v>2</v>
      </c>
      <c r="L366" s="671">
        <f t="shared" si="7"/>
        <v>14.1</v>
      </c>
      <c r="M366" s="676">
        <f t="shared" si="8"/>
        <v>28.2</v>
      </c>
      <c r="P366" s="669"/>
    </row>
    <row r="367" spans="2:16" s="645" customFormat="1" ht="21.75" customHeight="1">
      <c r="B367" s="670">
        <v>44367</v>
      </c>
      <c r="C367" s="671" t="s">
        <v>819</v>
      </c>
      <c r="D367" s="672" t="s">
        <v>844</v>
      </c>
      <c r="E367" s="673" t="s">
        <v>831</v>
      </c>
      <c r="F367" s="674"/>
      <c r="G367" s="672">
        <v>15</v>
      </c>
      <c r="H367" s="671" t="s">
        <v>807</v>
      </c>
      <c r="I367" s="675" t="s">
        <v>843</v>
      </c>
      <c r="J367" s="677" t="s">
        <v>804</v>
      </c>
      <c r="K367" s="671">
        <v>2</v>
      </c>
      <c r="L367" s="671">
        <f t="shared" si="7"/>
        <v>14.1</v>
      </c>
      <c r="M367" s="676">
        <f t="shared" si="8"/>
        <v>28.2</v>
      </c>
      <c r="P367" s="669"/>
    </row>
    <row r="368" spans="2:16" s="645" customFormat="1" ht="21.75" customHeight="1">
      <c r="B368" s="670">
        <v>44367</v>
      </c>
      <c r="C368" s="671" t="s">
        <v>819</v>
      </c>
      <c r="D368" s="672" t="s">
        <v>839</v>
      </c>
      <c r="E368" s="673" t="s">
        <v>831</v>
      </c>
      <c r="F368" s="674"/>
      <c r="G368" s="672">
        <v>15</v>
      </c>
      <c r="H368" s="671" t="s">
        <v>807</v>
      </c>
      <c r="I368" s="675" t="s">
        <v>843</v>
      </c>
      <c r="J368" s="677" t="s">
        <v>804</v>
      </c>
      <c r="K368" s="671">
        <v>1</v>
      </c>
      <c r="L368" s="671">
        <f t="shared" si="7"/>
        <v>14.1</v>
      </c>
      <c r="M368" s="676">
        <f t="shared" si="8"/>
        <v>14.1</v>
      </c>
    </row>
    <row r="369" spans="2:13" s="645" customFormat="1" ht="21.75" customHeight="1">
      <c r="B369" s="670">
        <v>44367</v>
      </c>
      <c r="C369" s="671" t="s">
        <v>819</v>
      </c>
      <c r="D369" s="672" t="s">
        <v>845</v>
      </c>
      <c r="E369" s="673" t="s">
        <v>831</v>
      </c>
      <c r="F369" s="674"/>
      <c r="G369" s="672">
        <v>17</v>
      </c>
      <c r="H369" s="671" t="s">
        <v>807</v>
      </c>
      <c r="I369" s="675" t="s">
        <v>843</v>
      </c>
      <c r="J369" s="677" t="s">
        <v>804</v>
      </c>
      <c r="K369" s="671">
        <v>1</v>
      </c>
      <c r="L369" s="671">
        <f t="shared" si="7"/>
        <v>15.98</v>
      </c>
      <c r="M369" s="676">
        <f t="shared" si="8"/>
        <v>15.98</v>
      </c>
    </row>
    <row r="370" spans="2:13" s="645" customFormat="1" ht="21.75" customHeight="1">
      <c r="B370" s="670">
        <v>44367</v>
      </c>
      <c r="C370" s="671" t="s">
        <v>819</v>
      </c>
      <c r="D370" s="672" t="s">
        <v>847</v>
      </c>
      <c r="E370" s="673" t="s">
        <v>831</v>
      </c>
      <c r="F370" s="674"/>
      <c r="G370" s="672">
        <v>17</v>
      </c>
      <c r="H370" s="671" t="s">
        <v>807</v>
      </c>
      <c r="I370" s="675" t="s">
        <v>843</v>
      </c>
      <c r="J370" s="677" t="s">
        <v>804</v>
      </c>
      <c r="K370" s="671">
        <v>1</v>
      </c>
      <c r="L370" s="671">
        <f t="shared" si="7"/>
        <v>15.98</v>
      </c>
      <c r="M370" s="676">
        <f t="shared" si="8"/>
        <v>15.98</v>
      </c>
    </row>
    <row r="371" spans="2:13" s="645" customFormat="1" ht="21.75" customHeight="1">
      <c r="B371" s="670">
        <v>44367</v>
      </c>
      <c r="C371" s="671" t="s">
        <v>819</v>
      </c>
      <c r="D371" s="672" t="s">
        <v>849</v>
      </c>
      <c r="E371" s="673" t="s">
        <v>831</v>
      </c>
      <c r="F371" s="674"/>
      <c r="G371" s="672">
        <v>20</v>
      </c>
      <c r="H371" s="671" t="s">
        <v>807</v>
      </c>
      <c r="I371" s="675" t="s">
        <v>838</v>
      </c>
      <c r="J371" s="677" t="s">
        <v>804</v>
      </c>
      <c r="K371" s="671">
        <v>5</v>
      </c>
      <c r="L371" s="671">
        <f t="shared" si="7"/>
        <v>18.8</v>
      </c>
      <c r="M371" s="676">
        <f t="shared" si="8"/>
        <v>94</v>
      </c>
    </row>
    <row r="372" spans="2:13" s="645" customFormat="1" ht="21.75" customHeight="1">
      <c r="B372" s="670">
        <v>44367</v>
      </c>
      <c r="C372" s="671" t="s">
        <v>819</v>
      </c>
      <c r="D372" s="672" t="s">
        <v>840</v>
      </c>
      <c r="E372" s="673" t="s">
        <v>831</v>
      </c>
      <c r="F372" s="674"/>
      <c r="G372" s="672">
        <v>20</v>
      </c>
      <c r="H372" s="671" t="s">
        <v>807</v>
      </c>
      <c r="I372" s="675" t="s">
        <v>838</v>
      </c>
      <c r="J372" s="677" t="s">
        <v>804</v>
      </c>
      <c r="K372" s="671">
        <v>5</v>
      </c>
      <c r="L372" s="671">
        <f t="shared" si="7"/>
        <v>18.8</v>
      </c>
      <c r="M372" s="676">
        <f t="shared" si="8"/>
        <v>94</v>
      </c>
    </row>
    <row r="373" spans="2:13" s="645" customFormat="1" ht="21.75" customHeight="1">
      <c r="B373" s="670">
        <v>44367</v>
      </c>
      <c r="C373" s="671" t="s">
        <v>819</v>
      </c>
      <c r="D373" s="672" t="s">
        <v>835</v>
      </c>
      <c r="E373" s="673" t="s">
        <v>831</v>
      </c>
      <c r="F373" s="674"/>
      <c r="G373" s="672">
        <v>20</v>
      </c>
      <c r="H373" s="671" t="s">
        <v>807</v>
      </c>
      <c r="I373" s="675" t="s">
        <v>838</v>
      </c>
      <c r="J373" s="677" t="s">
        <v>804</v>
      </c>
      <c r="K373" s="671">
        <v>5</v>
      </c>
      <c r="L373" s="671">
        <f t="shared" si="7"/>
        <v>18.8</v>
      </c>
      <c r="M373" s="676">
        <f t="shared" si="8"/>
        <v>94</v>
      </c>
    </row>
    <row r="374" spans="2:13" s="645" customFormat="1" ht="21.75" customHeight="1">
      <c r="B374" s="670">
        <v>44367</v>
      </c>
      <c r="C374" s="671" t="s">
        <v>819</v>
      </c>
      <c r="D374" s="672" t="s">
        <v>841</v>
      </c>
      <c r="E374" s="673" t="s">
        <v>831</v>
      </c>
      <c r="F374" s="674"/>
      <c r="G374" s="672">
        <v>20</v>
      </c>
      <c r="H374" s="671" t="s">
        <v>807</v>
      </c>
      <c r="I374" s="675" t="s">
        <v>838</v>
      </c>
      <c r="J374" s="677" t="s">
        <v>804</v>
      </c>
      <c r="K374" s="671">
        <v>5</v>
      </c>
      <c r="L374" s="671">
        <f t="shared" si="7"/>
        <v>18.8</v>
      </c>
      <c r="M374" s="676">
        <f t="shared" si="8"/>
        <v>94</v>
      </c>
    </row>
    <row r="375" spans="2:13" s="645" customFormat="1" ht="21.75" customHeight="1">
      <c r="B375" s="670">
        <v>44367</v>
      </c>
      <c r="C375" s="671" t="s">
        <v>819</v>
      </c>
      <c r="D375" s="672" t="s">
        <v>848</v>
      </c>
      <c r="E375" s="673" t="s">
        <v>831</v>
      </c>
      <c r="F375" s="674"/>
      <c r="G375" s="672">
        <v>20</v>
      </c>
      <c r="H375" s="671" t="s">
        <v>807</v>
      </c>
      <c r="I375" s="675" t="s">
        <v>838</v>
      </c>
      <c r="J375" s="677" t="s">
        <v>804</v>
      </c>
      <c r="K375" s="671">
        <v>5</v>
      </c>
      <c r="L375" s="671">
        <f t="shared" si="7"/>
        <v>18.8</v>
      </c>
      <c r="M375" s="676">
        <f t="shared" si="8"/>
        <v>94</v>
      </c>
    </row>
    <row r="376" spans="2:13" s="645" customFormat="1" ht="21.75" customHeight="1">
      <c r="B376" s="670">
        <v>44367</v>
      </c>
      <c r="C376" s="671" t="s">
        <v>819</v>
      </c>
      <c r="D376" s="672" t="s">
        <v>830</v>
      </c>
      <c r="E376" s="673" t="s">
        <v>831</v>
      </c>
      <c r="F376" s="674"/>
      <c r="G376" s="672">
        <v>15</v>
      </c>
      <c r="H376" s="671" t="s">
        <v>807</v>
      </c>
      <c r="I376" s="675" t="s">
        <v>838</v>
      </c>
      <c r="J376" s="677" t="s">
        <v>804</v>
      </c>
      <c r="K376" s="671">
        <v>3</v>
      </c>
      <c r="L376" s="671">
        <f t="shared" si="7"/>
        <v>14.1</v>
      </c>
      <c r="M376" s="676">
        <f t="shared" si="8"/>
        <v>42.3</v>
      </c>
    </row>
    <row r="377" spans="2:13" s="645" customFormat="1" ht="21.75" customHeight="1">
      <c r="B377" s="670">
        <v>44367</v>
      </c>
      <c r="C377" s="671" t="s">
        <v>819</v>
      </c>
      <c r="D377" s="672" t="s">
        <v>844</v>
      </c>
      <c r="E377" s="673" t="s">
        <v>831</v>
      </c>
      <c r="F377" s="674"/>
      <c r="G377" s="672">
        <v>15</v>
      </c>
      <c r="H377" s="671" t="s">
        <v>807</v>
      </c>
      <c r="I377" s="675" t="s">
        <v>838</v>
      </c>
      <c r="J377" s="677" t="s">
        <v>804</v>
      </c>
      <c r="K377" s="671">
        <v>5</v>
      </c>
      <c r="L377" s="671">
        <f t="shared" si="7"/>
        <v>14.1</v>
      </c>
      <c r="M377" s="676">
        <f t="shared" si="8"/>
        <v>70.5</v>
      </c>
    </row>
    <row r="378" spans="2:13" s="645" customFormat="1" ht="21.75" customHeight="1">
      <c r="B378" s="670">
        <v>44367</v>
      </c>
      <c r="C378" s="671" t="s">
        <v>819</v>
      </c>
      <c r="D378" s="672" t="s">
        <v>839</v>
      </c>
      <c r="E378" s="673" t="s">
        <v>831</v>
      </c>
      <c r="F378" s="674"/>
      <c r="G378" s="672">
        <v>15</v>
      </c>
      <c r="H378" s="671" t="s">
        <v>807</v>
      </c>
      <c r="I378" s="675" t="s">
        <v>838</v>
      </c>
      <c r="J378" s="677" t="s">
        <v>804</v>
      </c>
      <c r="K378" s="671">
        <v>5</v>
      </c>
      <c r="L378" s="671">
        <f t="shared" si="7"/>
        <v>14.1</v>
      </c>
      <c r="M378" s="676">
        <f t="shared" si="8"/>
        <v>70.5</v>
      </c>
    </row>
    <row r="379" spans="2:13" s="645" customFormat="1" ht="21.75" customHeight="1">
      <c r="B379" s="670">
        <v>44367</v>
      </c>
      <c r="C379" s="671" t="s">
        <v>819</v>
      </c>
      <c r="D379" s="672" t="s">
        <v>845</v>
      </c>
      <c r="E379" s="673" t="s">
        <v>831</v>
      </c>
      <c r="F379" s="674"/>
      <c r="G379" s="672">
        <v>17</v>
      </c>
      <c r="H379" s="671" t="s">
        <v>807</v>
      </c>
      <c r="I379" s="675" t="s">
        <v>838</v>
      </c>
      <c r="J379" s="677" t="s">
        <v>804</v>
      </c>
      <c r="K379" s="671">
        <v>4</v>
      </c>
      <c r="L379" s="671">
        <f t="shared" si="7"/>
        <v>15.98</v>
      </c>
      <c r="M379" s="676">
        <f t="shared" si="8"/>
        <v>63.92</v>
      </c>
    </row>
    <row r="380" spans="2:13" s="645" customFormat="1" ht="21.75" customHeight="1">
      <c r="B380" s="670">
        <v>44367</v>
      </c>
      <c r="C380" s="671" t="s">
        <v>819</v>
      </c>
      <c r="D380" s="672" t="s">
        <v>847</v>
      </c>
      <c r="E380" s="673" t="s">
        <v>831</v>
      </c>
      <c r="F380" s="674"/>
      <c r="G380" s="672">
        <v>17</v>
      </c>
      <c r="H380" s="671" t="s">
        <v>807</v>
      </c>
      <c r="I380" s="675" t="s">
        <v>838</v>
      </c>
      <c r="J380" s="677" t="s">
        <v>804</v>
      </c>
      <c r="K380" s="671">
        <v>5</v>
      </c>
      <c r="L380" s="671">
        <f t="shared" si="7"/>
        <v>15.98</v>
      </c>
      <c r="M380" s="676">
        <f t="shared" si="8"/>
        <v>79.900000000000006</v>
      </c>
    </row>
    <row r="381" spans="2:13" s="645" customFormat="1" ht="21.75" customHeight="1">
      <c r="B381" s="678">
        <v>44367</v>
      </c>
      <c r="C381" s="679" t="s">
        <v>837</v>
      </c>
      <c r="D381" s="680" t="s">
        <v>840</v>
      </c>
      <c r="E381" s="681" t="s">
        <v>831</v>
      </c>
      <c r="F381" s="682"/>
      <c r="G381" s="680">
        <v>20</v>
      </c>
      <c r="H381" s="679" t="s">
        <v>807</v>
      </c>
      <c r="I381" s="683" t="s">
        <v>843</v>
      </c>
      <c r="J381" s="684" t="s">
        <v>804</v>
      </c>
      <c r="K381" s="679">
        <v>5</v>
      </c>
      <c r="L381" s="679">
        <f t="shared" si="7"/>
        <v>18.8</v>
      </c>
      <c r="M381" s="668">
        <f t="shared" si="8"/>
        <v>94</v>
      </c>
    </row>
    <row r="382" spans="2:13" s="645" customFormat="1" ht="21.75" customHeight="1">
      <c r="B382" s="678">
        <v>44367</v>
      </c>
      <c r="C382" s="679" t="s">
        <v>837</v>
      </c>
      <c r="D382" s="680" t="s">
        <v>835</v>
      </c>
      <c r="E382" s="681" t="s">
        <v>831</v>
      </c>
      <c r="F382" s="682"/>
      <c r="G382" s="680">
        <v>20</v>
      </c>
      <c r="H382" s="679" t="s">
        <v>807</v>
      </c>
      <c r="I382" s="683" t="s">
        <v>843</v>
      </c>
      <c r="J382" s="684" t="s">
        <v>804</v>
      </c>
      <c r="K382" s="679">
        <v>4</v>
      </c>
      <c r="L382" s="679">
        <f t="shared" si="7"/>
        <v>18.8</v>
      </c>
      <c r="M382" s="668">
        <f t="shared" si="8"/>
        <v>75.2</v>
      </c>
    </row>
    <row r="383" spans="2:13" s="645" customFormat="1" ht="21.75" customHeight="1">
      <c r="B383" s="678">
        <v>44367</v>
      </c>
      <c r="C383" s="679" t="s">
        <v>837</v>
      </c>
      <c r="D383" s="680" t="s">
        <v>841</v>
      </c>
      <c r="E383" s="681" t="s">
        <v>831</v>
      </c>
      <c r="F383" s="682"/>
      <c r="G383" s="680">
        <v>20</v>
      </c>
      <c r="H383" s="679" t="s">
        <v>807</v>
      </c>
      <c r="I383" s="683" t="s">
        <v>843</v>
      </c>
      <c r="J383" s="684" t="s">
        <v>804</v>
      </c>
      <c r="K383" s="679">
        <v>4</v>
      </c>
      <c r="L383" s="679">
        <f t="shared" si="7"/>
        <v>18.8</v>
      </c>
      <c r="M383" s="668">
        <f t="shared" si="8"/>
        <v>75.2</v>
      </c>
    </row>
    <row r="384" spans="2:13" s="645" customFormat="1" ht="21.75" customHeight="1">
      <c r="B384" s="678">
        <v>44367</v>
      </c>
      <c r="C384" s="679" t="s">
        <v>837</v>
      </c>
      <c r="D384" s="680" t="s">
        <v>848</v>
      </c>
      <c r="E384" s="681" t="s">
        <v>831</v>
      </c>
      <c r="F384" s="682"/>
      <c r="G384" s="680">
        <v>20</v>
      </c>
      <c r="H384" s="679" t="s">
        <v>807</v>
      </c>
      <c r="I384" s="683" t="s">
        <v>843</v>
      </c>
      <c r="J384" s="684" t="s">
        <v>804</v>
      </c>
      <c r="K384" s="679">
        <v>4</v>
      </c>
      <c r="L384" s="679">
        <f t="shared" si="7"/>
        <v>18.8</v>
      </c>
      <c r="M384" s="668">
        <f t="shared" si="8"/>
        <v>75.2</v>
      </c>
    </row>
    <row r="385" spans="2:13" s="645" customFormat="1" ht="21.75" customHeight="1">
      <c r="B385" s="678">
        <v>44367</v>
      </c>
      <c r="C385" s="679" t="s">
        <v>837</v>
      </c>
      <c r="D385" s="680" t="s">
        <v>845</v>
      </c>
      <c r="E385" s="681" t="s">
        <v>831</v>
      </c>
      <c r="F385" s="682"/>
      <c r="G385" s="680">
        <v>17</v>
      </c>
      <c r="H385" s="679" t="s">
        <v>807</v>
      </c>
      <c r="I385" s="683" t="s">
        <v>843</v>
      </c>
      <c r="J385" s="684" t="s">
        <v>804</v>
      </c>
      <c r="K385" s="679">
        <v>4</v>
      </c>
      <c r="L385" s="679">
        <f t="shared" si="7"/>
        <v>15.98</v>
      </c>
      <c r="M385" s="668">
        <f t="shared" si="8"/>
        <v>63.92</v>
      </c>
    </row>
    <row r="386" spans="2:13" s="645" customFormat="1" ht="21.75" customHeight="1">
      <c r="B386" s="678">
        <v>44367</v>
      </c>
      <c r="C386" s="679" t="s">
        <v>837</v>
      </c>
      <c r="D386" s="680" t="s">
        <v>847</v>
      </c>
      <c r="E386" s="681" t="s">
        <v>831</v>
      </c>
      <c r="F386" s="682"/>
      <c r="G386" s="680">
        <v>17</v>
      </c>
      <c r="H386" s="679" t="s">
        <v>807</v>
      </c>
      <c r="I386" s="683" t="s">
        <v>843</v>
      </c>
      <c r="J386" s="684" t="s">
        <v>804</v>
      </c>
      <c r="K386" s="679">
        <v>4</v>
      </c>
      <c r="L386" s="679">
        <f t="shared" si="7"/>
        <v>15.98</v>
      </c>
      <c r="M386" s="668">
        <f t="shared" si="8"/>
        <v>63.92</v>
      </c>
    </row>
    <row r="387" spans="2:13" s="645" customFormat="1" ht="21.75" customHeight="1">
      <c r="B387" s="670">
        <v>44368</v>
      </c>
      <c r="C387" s="671" t="s">
        <v>819</v>
      </c>
      <c r="D387" s="672" t="s">
        <v>849</v>
      </c>
      <c r="E387" s="673" t="s">
        <v>831</v>
      </c>
      <c r="F387" s="674"/>
      <c r="G387" s="672">
        <v>20</v>
      </c>
      <c r="H387" s="671" t="s">
        <v>807</v>
      </c>
      <c r="I387" s="675" t="s">
        <v>843</v>
      </c>
      <c r="J387" s="677" t="s">
        <v>804</v>
      </c>
      <c r="K387" s="671">
        <v>1</v>
      </c>
      <c r="L387" s="671">
        <f t="shared" si="7"/>
        <v>18.8</v>
      </c>
      <c r="M387" s="676">
        <f t="shared" si="8"/>
        <v>18.8</v>
      </c>
    </row>
    <row r="388" spans="2:13" s="645" customFormat="1" ht="21.75" customHeight="1">
      <c r="B388" s="670">
        <v>44368</v>
      </c>
      <c r="C388" s="671" t="s">
        <v>819</v>
      </c>
      <c r="D388" s="672" t="s">
        <v>840</v>
      </c>
      <c r="E388" s="673" t="s">
        <v>831</v>
      </c>
      <c r="F388" s="674"/>
      <c r="G388" s="672">
        <v>20</v>
      </c>
      <c r="H388" s="671" t="s">
        <v>807</v>
      </c>
      <c r="I388" s="675" t="s">
        <v>843</v>
      </c>
      <c r="J388" s="677" t="s">
        <v>804</v>
      </c>
      <c r="K388" s="671">
        <v>5</v>
      </c>
      <c r="L388" s="671">
        <f t="shared" si="7"/>
        <v>18.8</v>
      </c>
      <c r="M388" s="676">
        <f t="shared" si="8"/>
        <v>94</v>
      </c>
    </row>
    <row r="389" spans="2:13" s="645" customFormat="1" ht="21.75" customHeight="1">
      <c r="B389" s="670">
        <v>44368</v>
      </c>
      <c r="C389" s="671" t="s">
        <v>819</v>
      </c>
      <c r="D389" s="672" t="s">
        <v>835</v>
      </c>
      <c r="E389" s="673" t="s">
        <v>831</v>
      </c>
      <c r="F389" s="674"/>
      <c r="G389" s="672">
        <v>20</v>
      </c>
      <c r="H389" s="671" t="s">
        <v>807</v>
      </c>
      <c r="I389" s="675" t="s">
        <v>843</v>
      </c>
      <c r="J389" s="677" t="s">
        <v>804</v>
      </c>
      <c r="K389" s="671">
        <v>4</v>
      </c>
      <c r="L389" s="671">
        <f t="shared" si="7"/>
        <v>18.8</v>
      </c>
      <c r="M389" s="676">
        <f t="shared" si="8"/>
        <v>75.2</v>
      </c>
    </row>
    <row r="390" spans="2:13" s="645" customFormat="1" ht="21.75" customHeight="1">
      <c r="B390" s="670">
        <v>44368</v>
      </c>
      <c r="C390" s="671" t="s">
        <v>819</v>
      </c>
      <c r="D390" s="672" t="s">
        <v>841</v>
      </c>
      <c r="E390" s="673" t="s">
        <v>831</v>
      </c>
      <c r="F390" s="674"/>
      <c r="G390" s="672">
        <v>20</v>
      </c>
      <c r="H390" s="671" t="s">
        <v>807</v>
      </c>
      <c r="I390" s="675" t="s">
        <v>843</v>
      </c>
      <c r="J390" s="677" t="s">
        <v>804</v>
      </c>
      <c r="K390" s="671">
        <v>5</v>
      </c>
      <c r="L390" s="671">
        <f t="shared" si="7"/>
        <v>18.8</v>
      </c>
      <c r="M390" s="676">
        <f t="shared" si="8"/>
        <v>94</v>
      </c>
    </row>
    <row r="391" spans="2:13" s="645" customFormat="1" ht="21.75" customHeight="1">
      <c r="B391" s="670">
        <v>44368</v>
      </c>
      <c r="C391" s="671" t="s">
        <v>819</v>
      </c>
      <c r="D391" s="672" t="s">
        <v>848</v>
      </c>
      <c r="E391" s="673" t="s">
        <v>831</v>
      </c>
      <c r="F391" s="674"/>
      <c r="G391" s="672">
        <v>20</v>
      </c>
      <c r="H391" s="671" t="s">
        <v>807</v>
      </c>
      <c r="I391" s="675" t="s">
        <v>843</v>
      </c>
      <c r="J391" s="677" t="s">
        <v>804</v>
      </c>
      <c r="K391" s="671">
        <v>5</v>
      </c>
      <c r="L391" s="671">
        <f t="shared" si="7"/>
        <v>18.8</v>
      </c>
      <c r="M391" s="676">
        <f t="shared" si="8"/>
        <v>94</v>
      </c>
    </row>
    <row r="392" spans="2:13" s="645" customFormat="1" ht="21.75" customHeight="1">
      <c r="B392" s="670">
        <v>44368</v>
      </c>
      <c r="C392" s="671" t="s">
        <v>819</v>
      </c>
      <c r="D392" s="672" t="s">
        <v>830</v>
      </c>
      <c r="E392" s="673" t="s">
        <v>831</v>
      </c>
      <c r="F392" s="674"/>
      <c r="G392" s="672">
        <v>15</v>
      </c>
      <c r="H392" s="671" t="s">
        <v>807</v>
      </c>
      <c r="I392" s="675" t="s">
        <v>843</v>
      </c>
      <c r="J392" s="677" t="s">
        <v>804</v>
      </c>
      <c r="K392" s="671">
        <v>5</v>
      </c>
      <c r="L392" s="671">
        <f t="shared" si="7"/>
        <v>14.1</v>
      </c>
      <c r="M392" s="676">
        <f t="shared" si="8"/>
        <v>70.5</v>
      </c>
    </row>
    <row r="393" spans="2:13" s="645" customFormat="1" ht="21.75" customHeight="1">
      <c r="B393" s="670">
        <v>44368</v>
      </c>
      <c r="C393" s="671" t="s">
        <v>819</v>
      </c>
      <c r="D393" s="672" t="s">
        <v>844</v>
      </c>
      <c r="E393" s="673" t="s">
        <v>831</v>
      </c>
      <c r="F393" s="674"/>
      <c r="G393" s="672">
        <v>15</v>
      </c>
      <c r="H393" s="671" t="s">
        <v>807</v>
      </c>
      <c r="I393" s="675" t="s">
        <v>843</v>
      </c>
      <c r="J393" s="677" t="s">
        <v>804</v>
      </c>
      <c r="K393" s="671">
        <v>3</v>
      </c>
      <c r="L393" s="671">
        <f t="shared" ref="L393:L456" si="9">VLOOKUP(G393,$Q$4:$V$7,6,FALSE)</f>
        <v>14.1</v>
      </c>
      <c r="M393" s="676">
        <f t="shared" si="8"/>
        <v>42.3</v>
      </c>
    </row>
    <row r="394" spans="2:13" s="645" customFormat="1" ht="21.75" customHeight="1">
      <c r="B394" s="670">
        <v>44368</v>
      </c>
      <c r="C394" s="671" t="s">
        <v>819</v>
      </c>
      <c r="D394" s="672" t="s">
        <v>833</v>
      </c>
      <c r="E394" s="673" t="s">
        <v>831</v>
      </c>
      <c r="F394" s="674"/>
      <c r="G394" s="672">
        <v>15</v>
      </c>
      <c r="H394" s="671" t="s">
        <v>807</v>
      </c>
      <c r="I394" s="675" t="s">
        <v>843</v>
      </c>
      <c r="J394" s="677" t="s">
        <v>804</v>
      </c>
      <c r="K394" s="671">
        <v>3</v>
      </c>
      <c r="L394" s="671">
        <f t="shared" si="9"/>
        <v>14.1</v>
      </c>
      <c r="M394" s="676">
        <f t="shared" si="8"/>
        <v>42.3</v>
      </c>
    </row>
    <row r="395" spans="2:13" s="645" customFormat="1" ht="21.75" customHeight="1">
      <c r="B395" s="670">
        <v>44368</v>
      </c>
      <c r="C395" s="671" t="s">
        <v>819</v>
      </c>
      <c r="D395" s="672" t="s">
        <v>845</v>
      </c>
      <c r="E395" s="673" t="s">
        <v>831</v>
      </c>
      <c r="F395" s="674"/>
      <c r="G395" s="672">
        <v>17</v>
      </c>
      <c r="H395" s="671" t="s">
        <v>807</v>
      </c>
      <c r="I395" s="675" t="s">
        <v>843</v>
      </c>
      <c r="J395" s="677" t="s">
        <v>804</v>
      </c>
      <c r="K395" s="671">
        <v>5</v>
      </c>
      <c r="L395" s="671">
        <f t="shared" si="9"/>
        <v>15.98</v>
      </c>
      <c r="M395" s="676">
        <f t="shared" si="8"/>
        <v>79.900000000000006</v>
      </c>
    </row>
    <row r="396" spans="2:13" s="645" customFormat="1" ht="21.75" customHeight="1">
      <c r="B396" s="670">
        <v>44368</v>
      </c>
      <c r="C396" s="671" t="s">
        <v>819</v>
      </c>
      <c r="D396" s="672" t="s">
        <v>847</v>
      </c>
      <c r="E396" s="673" t="s">
        <v>831</v>
      </c>
      <c r="F396" s="674"/>
      <c r="G396" s="672">
        <v>17</v>
      </c>
      <c r="H396" s="671" t="s">
        <v>807</v>
      </c>
      <c r="I396" s="675" t="s">
        <v>843</v>
      </c>
      <c r="J396" s="677" t="s">
        <v>804</v>
      </c>
      <c r="K396" s="671">
        <v>5</v>
      </c>
      <c r="L396" s="671">
        <f t="shared" si="9"/>
        <v>15.98</v>
      </c>
      <c r="M396" s="676">
        <f t="shared" si="8"/>
        <v>79.900000000000006</v>
      </c>
    </row>
    <row r="397" spans="2:13" s="645" customFormat="1" ht="21.75" customHeight="1">
      <c r="B397" s="670">
        <v>44368</v>
      </c>
      <c r="C397" s="671" t="s">
        <v>819</v>
      </c>
      <c r="D397" s="672" t="s">
        <v>850</v>
      </c>
      <c r="E397" s="673" t="s">
        <v>831</v>
      </c>
      <c r="F397" s="674"/>
      <c r="G397" s="672">
        <v>15</v>
      </c>
      <c r="H397" s="671" t="s">
        <v>807</v>
      </c>
      <c r="I397" s="675" t="s">
        <v>843</v>
      </c>
      <c r="J397" s="677" t="s">
        <v>804</v>
      </c>
      <c r="K397" s="671">
        <v>5</v>
      </c>
      <c r="L397" s="671">
        <f t="shared" si="9"/>
        <v>14.1</v>
      </c>
      <c r="M397" s="676">
        <f t="shared" si="8"/>
        <v>70.5</v>
      </c>
    </row>
    <row r="398" spans="2:13" s="645" customFormat="1" ht="21.75" customHeight="1">
      <c r="B398" s="678">
        <v>44368</v>
      </c>
      <c r="C398" s="679" t="s">
        <v>837</v>
      </c>
      <c r="D398" s="680" t="s">
        <v>849</v>
      </c>
      <c r="E398" s="681" t="s">
        <v>831</v>
      </c>
      <c r="F398" s="682"/>
      <c r="G398" s="680">
        <v>20</v>
      </c>
      <c r="H398" s="679" t="s">
        <v>807</v>
      </c>
      <c r="I398" s="683" t="s">
        <v>843</v>
      </c>
      <c r="J398" s="684" t="s">
        <v>804</v>
      </c>
      <c r="K398" s="679">
        <v>5</v>
      </c>
      <c r="L398" s="679">
        <f t="shared" si="9"/>
        <v>18.8</v>
      </c>
      <c r="M398" s="668">
        <f t="shared" si="8"/>
        <v>94</v>
      </c>
    </row>
    <row r="399" spans="2:13" s="645" customFormat="1" ht="21.75" customHeight="1">
      <c r="B399" s="678">
        <v>44368</v>
      </c>
      <c r="C399" s="679" t="s">
        <v>837</v>
      </c>
      <c r="D399" s="680" t="s">
        <v>835</v>
      </c>
      <c r="E399" s="681" t="s">
        <v>831</v>
      </c>
      <c r="F399" s="682"/>
      <c r="G399" s="680">
        <v>20</v>
      </c>
      <c r="H399" s="679" t="s">
        <v>807</v>
      </c>
      <c r="I399" s="683" t="s">
        <v>843</v>
      </c>
      <c r="J399" s="684" t="s">
        <v>804</v>
      </c>
      <c r="K399" s="679">
        <v>5</v>
      </c>
      <c r="L399" s="679">
        <f t="shared" si="9"/>
        <v>18.8</v>
      </c>
      <c r="M399" s="668">
        <f t="shared" si="8"/>
        <v>94</v>
      </c>
    </row>
    <row r="400" spans="2:13" s="645" customFormat="1" ht="21.75" customHeight="1">
      <c r="B400" s="678">
        <v>44368</v>
      </c>
      <c r="C400" s="679" t="s">
        <v>837</v>
      </c>
      <c r="D400" s="680" t="s">
        <v>841</v>
      </c>
      <c r="E400" s="681" t="s">
        <v>831</v>
      </c>
      <c r="F400" s="682"/>
      <c r="G400" s="680">
        <v>20</v>
      </c>
      <c r="H400" s="679" t="s">
        <v>807</v>
      </c>
      <c r="I400" s="683" t="s">
        <v>843</v>
      </c>
      <c r="J400" s="684" t="s">
        <v>804</v>
      </c>
      <c r="K400" s="679">
        <v>5</v>
      </c>
      <c r="L400" s="679">
        <f t="shared" si="9"/>
        <v>18.8</v>
      </c>
      <c r="M400" s="668">
        <f t="shared" si="8"/>
        <v>94</v>
      </c>
    </row>
    <row r="401" spans="2:13" s="645" customFormat="1" ht="21.75" customHeight="1">
      <c r="B401" s="678">
        <v>44368</v>
      </c>
      <c r="C401" s="679" t="s">
        <v>837</v>
      </c>
      <c r="D401" s="680" t="s">
        <v>848</v>
      </c>
      <c r="E401" s="681" t="s">
        <v>831</v>
      </c>
      <c r="F401" s="682"/>
      <c r="G401" s="680">
        <v>20</v>
      </c>
      <c r="H401" s="679" t="s">
        <v>807</v>
      </c>
      <c r="I401" s="683" t="s">
        <v>843</v>
      </c>
      <c r="J401" s="684" t="s">
        <v>804</v>
      </c>
      <c r="K401" s="679">
        <v>5</v>
      </c>
      <c r="L401" s="679">
        <f t="shared" si="9"/>
        <v>18.8</v>
      </c>
      <c r="M401" s="668">
        <f t="shared" si="8"/>
        <v>94</v>
      </c>
    </row>
    <row r="402" spans="2:13" s="645" customFormat="1" ht="21.75" customHeight="1">
      <c r="B402" s="678">
        <v>44368</v>
      </c>
      <c r="C402" s="679" t="s">
        <v>837</v>
      </c>
      <c r="D402" s="680" t="s">
        <v>845</v>
      </c>
      <c r="E402" s="681" t="s">
        <v>831</v>
      </c>
      <c r="F402" s="682"/>
      <c r="G402" s="680">
        <v>17</v>
      </c>
      <c r="H402" s="679" t="s">
        <v>807</v>
      </c>
      <c r="I402" s="683" t="s">
        <v>843</v>
      </c>
      <c r="J402" s="684" t="s">
        <v>804</v>
      </c>
      <c r="K402" s="679">
        <v>5</v>
      </c>
      <c r="L402" s="679">
        <f t="shared" si="9"/>
        <v>15.98</v>
      </c>
      <c r="M402" s="668">
        <f t="shared" si="8"/>
        <v>79.900000000000006</v>
      </c>
    </row>
    <row r="403" spans="2:13" s="645" customFormat="1" ht="21.75" customHeight="1">
      <c r="B403" s="678">
        <v>44368</v>
      </c>
      <c r="C403" s="679" t="s">
        <v>837</v>
      </c>
      <c r="D403" s="680" t="s">
        <v>847</v>
      </c>
      <c r="E403" s="681" t="s">
        <v>831</v>
      </c>
      <c r="F403" s="682"/>
      <c r="G403" s="680">
        <v>17</v>
      </c>
      <c r="H403" s="679" t="s">
        <v>807</v>
      </c>
      <c r="I403" s="683" t="s">
        <v>843</v>
      </c>
      <c r="J403" s="684" t="s">
        <v>804</v>
      </c>
      <c r="K403" s="679">
        <v>5</v>
      </c>
      <c r="L403" s="679">
        <f t="shared" si="9"/>
        <v>15.98</v>
      </c>
      <c r="M403" s="668">
        <f t="shared" si="8"/>
        <v>79.900000000000006</v>
      </c>
    </row>
    <row r="404" spans="2:13" s="645" customFormat="1" ht="21.75" customHeight="1">
      <c r="B404" s="670">
        <v>44369</v>
      </c>
      <c r="C404" s="671" t="s">
        <v>819</v>
      </c>
      <c r="D404" s="672" t="s">
        <v>849</v>
      </c>
      <c r="E404" s="673" t="s">
        <v>831</v>
      </c>
      <c r="F404" s="674"/>
      <c r="G404" s="672">
        <v>20</v>
      </c>
      <c r="H404" s="671" t="s">
        <v>807</v>
      </c>
      <c r="I404" s="675" t="s">
        <v>843</v>
      </c>
      <c r="J404" s="677" t="s">
        <v>804</v>
      </c>
      <c r="K404" s="671">
        <v>3</v>
      </c>
      <c r="L404" s="671">
        <f t="shared" si="9"/>
        <v>18.8</v>
      </c>
      <c r="M404" s="676">
        <f t="shared" si="8"/>
        <v>56.400000000000006</v>
      </c>
    </row>
    <row r="405" spans="2:13" s="645" customFormat="1" ht="21.75" customHeight="1">
      <c r="B405" s="670">
        <v>44369</v>
      </c>
      <c r="C405" s="671" t="s">
        <v>819</v>
      </c>
      <c r="D405" s="672" t="s">
        <v>840</v>
      </c>
      <c r="E405" s="673" t="s">
        <v>831</v>
      </c>
      <c r="F405" s="674"/>
      <c r="G405" s="672">
        <v>20</v>
      </c>
      <c r="H405" s="671" t="s">
        <v>807</v>
      </c>
      <c r="I405" s="675" t="s">
        <v>843</v>
      </c>
      <c r="J405" s="677" t="s">
        <v>804</v>
      </c>
      <c r="K405" s="671">
        <v>5</v>
      </c>
      <c r="L405" s="671">
        <f t="shared" si="9"/>
        <v>18.8</v>
      </c>
      <c r="M405" s="676">
        <f t="shared" si="8"/>
        <v>94</v>
      </c>
    </row>
    <row r="406" spans="2:13" s="645" customFormat="1" ht="21.75" customHeight="1">
      <c r="B406" s="670">
        <v>44369</v>
      </c>
      <c r="C406" s="671" t="s">
        <v>819</v>
      </c>
      <c r="D406" s="672" t="s">
        <v>835</v>
      </c>
      <c r="E406" s="673" t="s">
        <v>831</v>
      </c>
      <c r="F406" s="674"/>
      <c r="G406" s="672">
        <v>20</v>
      </c>
      <c r="H406" s="671" t="s">
        <v>807</v>
      </c>
      <c r="I406" s="675" t="s">
        <v>843</v>
      </c>
      <c r="J406" s="677" t="s">
        <v>804</v>
      </c>
      <c r="K406" s="671">
        <v>5</v>
      </c>
      <c r="L406" s="671">
        <f t="shared" si="9"/>
        <v>18.8</v>
      </c>
      <c r="M406" s="676">
        <f t="shared" si="8"/>
        <v>94</v>
      </c>
    </row>
    <row r="407" spans="2:13" s="645" customFormat="1" ht="21.75" customHeight="1">
      <c r="B407" s="670">
        <v>44369</v>
      </c>
      <c r="C407" s="671" t="s">
        <v>819</v>
      </c>
      <c r="D407" s="672" t="s">
        <v>841</v>
      </c>
      <c r="E407" s="673" t="s">
        <v>831</v>
      </c>
      <c r="F407" s="674"/>
      <c r="G407" s="672">
        <v>20</v>
      </c>
      <c r="H407" s="671" t="s">
        <v>807</v>
      </c>
      <c r="I407" s="675" t="s">
        <v>843</v>
      </c>
      <c r="J407" s="677" t="s">
        <v>804</v>
      </c>
      <c r="K407" s="671">
        <v>5</v>
      </c>
      <c r="L407" s="671">
        <f t="shared" si="9"/>
        <v>18.8</v>
      </c>
      <c r="M407" s="676">
        <f t="shared" si="8"/>
        <v>94</v>
      </c>
    </row>
    <row r="408" spans="2:13" s="645" customFormat="1" ht="21.75" customHeight="1">
      <c r="B408" s="670">
        <v>44369</v>
      </c>
      <c r="C408" s="671" t="s">
        <v>819</v>
      </c>
      <c r="D408" s="672" t="s">
        <v>848</v>
      </c>
      <c r="E408" s="673" t="s">
        <v>831</v>
      </c>
      <c r="F408" s="674"/>
      <c r="G408" s="672">
        <v>20</v>
      </c>
      <c r="H408" s="671" t="s">
        <v>807</v>
      </c>
      <c r="I408" s="675" t="s">
        <v>843</v>
      </c>
      <c r="J408" s="677" t="s">
        <v>804</v>
      </c>
      <c r="K408" s="671">
        <v>5</v>
      </c>
      <c r="L408" s="671">
        <f t="shared" si="9"/>
        <v>18.8</v>
      </c>
      <c r="M408" s="676">
        <f t="shared" si="8"/>
        <v>94</v>
      </c>
    </row>
    <row r="409" spans="2:13" s="645" customFormat="1" ht="21.75" customHeight="1">
      <c r="B409" s="670">
        <v>44369</v>
      </c>
      <c r="C409" s="671" t="s">
        <v>819</v>
      </c>
      <c r="D409" s="672" t="s">
        <v>836</v>
      </c>
      <c r="E409" s="673" t="s">
        <v>831</v>
      </c>
      <c r="F409" s="674"/>
      <c r="G409" s="672">
        <v>20</v>
      </c>
      <c r="H409" s="671" t="s">
        <v>807</v>
      </c>
      <c r="I409" s="675" t="s">
        <v>843</v>
      </c>
      <c r="J409" s="677" t="s">
        <v>804</v>
      </c>
      <c r="K409" s="671">
        <v>5</v>
      </c>
      <c r="L409" s="671">
        <f t="shared" si="9"/>
        <v>18.8</v>
      </c>
      <c r="M409" s="676">
        <f t="shared" si="8"/>
        <v>94</v>
      </c>
    </row>
    <row r="410" spans="2:13" s="645" customFormat="1" ht="21.75" customHeight="1">
      <c r="B410" s="670">
        <v>44369</v>
      </c>
      <c r="C410" s="671" t="s">
        <v>819</v>
      </c>
      <c r="D410" s="672" t="s">
        <v>830</v>
      </c>
      <c r="E410" s="673" t="s">
        <v>831</v>
      </c>
      <c r="F410" s="674"/>
      <c r="G410" s="672">
        <v>15</v>
      </c>
      <c r="H410" s="671" t="s">
        <v>807</v>
      </c>
      <c r="I410" s="675" t="s">
        <v>843</v>
      </c>
      <c r="J410" s="677" t="s">
        <v>804</v>
      </c>
      <c r="K410" s="671">
        <v>3</v>
      </c>
      <c r="L410" s="671">
        <f t="shared" si="9"/>
        <v>14.1</v>
      </c>
      <c r="M410" s="676">
        <f t="shared" si="8"/>
        <v>42.3</v>
      </c>
    </row>
    <row r="411" spans="2:13" s="645" customFormat="1" ht="21.75" customHeight="1">
      <c r="B411" s="670">
        <v>44369</v>
      </c>
      <c r="C411" s="671" t="s">
        <v>819</v>
      </c>
      <c r="D411" s="672" t="s">
        <v>844</v>
      </c>
      <c r="E411" s="673" t="s">
        <v>831</v>
      </c>
      <c r="F411" s="674"/>
      <c r="G411" s="672">
        <v>15</v>
      </c>
      <c r="H411" s="671" t="s">
        <v>807</v>
      </c>
      <c r="I411" s="675" t="s">
        <v>843</v>
      </c>
      <c r="J411" s="677" t="s">
        <v>804</v>
      </c>
      <c r="K411" s="671">
        <v>2</v>
      </c>
      <c r="L411" s="671">
        <f t="shared" si="9"/>
        <v>14.1</v>
      </c>
      <c r="M411" s="676">
        <f t="shared" si="8"/>
        <v>28.2</v>
      </c>
    </row>
    <row r="412" spans="2:13" s="645" customFormat="1" ht="21.75" customHeight="1">
      <c r="B412" s="670">
        <v>44369</v>
      </c>
      <c r="C412" s="671" t="s">
        <v>819</v>
      </c>
      <c r="D412" s="672" t="s">
        <v>845</v>
      </c>
      <c r="E412" s="673" t="s">
        <v>831</v>
      </c>
      <c r="F412" s="674"/>
      <c r="G412" s="672">
        <v>17</v>
      </c>
      <c r="H412" s="671" t="s">
        <v>807</v>
      </c>
      <c r="I412" s="675" t="s">
        <v>843</v>
      </c>
      <c r="J412" s="677" t="s">
        <v>804</v>
      </c>
      <c r="K412" s="671">
        <v>5</v>
      </c>
      <c r="L412" s="671">
        <f t="shared" si="9"/>
        <v>15.98</v>
      </c>
      <c r="M412" s="676">
        <f t="shared" si="8"/>
        <v>79.900000000000006</v>
      </c>
    </row>
    <row r="413" spans="2:13" s="645" customFormat="1" ht="21.75" customHeight="1">
      <c r="B413" s="670">
        <v>44369</v>
      </c>
      <c r="C413" s="671" t="s">
        <v>819</v>
      </c>
      <c r="D413" s="672" t="s">
        <v>847</v>
      </c>
      <c r="E413" s="673" t="s">
        <v>831</v>
      </c>
      <c r="F413" s="674"/>
      <c r="G413" s="672">
        <v>17</v>
      </c>
      <c r="H413" s="671" t="s">
        <v>807</v>
      </c>
      <c r="I413" s="675" t="s">
        <v>843</v>
      </c>
      <c r="J413" s="677" t="s">
        <v>804</v>
      </c>
      <c r="K413" s="671">
        <v>3</v>
      </c>
      <c r="L413" s="671">
        <f t="shared" si="9"/>
        <v>15.98</v>
      </c>
      <c r="M413" s="676">
        <f t="shared" si="8"/>
        <v>47.94</v>
      </c>
    </row>
    <row r="414" spans="2:13" s="645" customFormat="1" ht="21.75" customHeight="1">
      <c r="B414" s="670">
        <v>44369</v>
      </c>
      <c r="C414" s="671" t="s">
        <v>819</v>
      </c>
      <c r="D414" s="672" t="s">
        <v>850</v>
      </c>
      <c r="E414" s="673" t="s">
        <v>831</v>
      </c>
      <c r="F414" s="674"/>
      <c r="G414" s="672">
        <v>15</v>
      </c>
      <c r="H414" s="671" t="s">
        <v>807</v>
      </c>
      <c r="I414" s="675" t="s">
        <v>843</v>
      </c>
      <c r="J414" s="677" t="s">
        <v>804</v>
      </c>
      <c r="K414" s="671">
        <v>5</v>
      </c>
      <c r="L414" s="671">
        <f t="shared" si="9"/>
        <v>14.1</v>
      </c>
      <c r="M414" s="676">
        <f t="shared" si="8"/>
        <v>70.5</v>
      </c>
    </row>
    <row r="415" spans="2:13" s="645" customFormat="1" ht="21.75" customHeight="1">
      <c r="B415" s="678">
        <v>44369</v>
      </c>
      <c r="C415" s="679" t="s">
        <v>837</v>
      </c>
      <c r="D415" s="680" t="s">
        <v>835</v>
      </c>
      <c r="E415" s="681" t="s">
        <v>831</v>
      </c>
      <c r="F415" s="682"/>
      <c r="G415" s="680">
        <v>20</v>
      </c>
      <c r="H415" s="679" t="s">
        <v>807</v>
      </c>
      <c r="I415" s="683" t="s">
        <v>843</v>
      </c>
      <c r="J415" s="684" t="s">
        <v>804</v>
      </c>
      <c r="K415" s="679">
        <v>5</v>
      </c>
      <c r="L415" s="679">
        <f t="shared" si="9"/>
        <v>18.8</v>
      </c>
      <c r="M415" s="668">
        <f t="shared" si="8"/>
        <v>94</v>
      </c>
    </row>
    <row r="416" spans="2:13" s="645" customFormat="1" ht="21.75" customHeight="1">
      <c r="B416" s="678">
        <v>44369</v>
      </c>
      <c r="C416" s="679" t="s">
        <v>837</v>
      </c>
      <c r="D416" s="680" t="s">
        <v>841</v>
      </c>
      <c r="E416" s="681" t="s">
        <v>831</v>
      </c>
      <c r="F416" s="682"/>
      <c r="G416" s="680">
        <v>20</v>
      </c>
      <c r="H416" s="679" t="s">
        <v>807</v>
      </c>
      <c r="I416" s="683" t="s">
        <v>843</v>
      </c>
      <c r="J416" s="684" t="s">
        <v>804</v>
      </c>
      <c r="K416" s="679">
        <v>5</v>
      </c>
      <c r="L416" s="679">
        <f t="shared" si="9"/>
        <v>18.8</v>
      </c>
      <c r="M416" s="668">
        <f t="shared" si="8"/>
        <v>94</v>
      </c>
    </row>
    <row r="417" spans="2:13" s="645" customFormat="1" ht="21.75" customHeight="1">
      <c r="B417" s="678">
        <v>44369</v>
      </c>
      <c r="C417" s="679" t="s">
        <v>837</v>
      </c>
      <c r="D417" s="680" t="s">
        <v>848</v>
      </c>
      <c r="E417" s="681" t="s">
        <v>831</v>
      </c>
      <c r="F417" s="682"/>
      <c r="G417" s="680">
        <v>20</v>
      </c>
      <c r="H417" s="679" t="s">
        <v>807</v>
      </c>
      <c r="I417" s="683" t="s">
        <v>843</v>
      </c>
      <c r="J417" s="684" t="s">
        <v>804</v>
      </c>
      <c r="K417" s="679">
        <v>5</v>
      </c>
      <c r="L417" s="679">
        <f t="shared" si="9"/>
        <v>18.8</v>
      </c>
      <c r="M417" s="668">
        <f t="shared" si="8"/>
        <v>94</v>
      </c>
    </row>
    <row r="418" spans="2:13" s="645" customFormat="1" ht="21.75" customHeight="1">
      <c r="B418" s="678">
        <v>44369</v>
      </c>
      <c r="C418" s="679" t="s">
        <v>837</v>
      </c>
      <c r="D418" s="680" t="s">
        <v>830</v>
      </c>
      <c r="E418" s="681" t="s">
        <v>831</v>
      </c>
      <c r="F418" s="682"/>
      <c r="G418" s="680">
        <v>15</v>
      </c>
      <c r="H418" s="679" t="s">
        <v>807</v>
      </c>
      <c r="I418" s="683" t="s">
        <v>843</v>
      </c>
      <c r="J418" s="684" t="s">
        <v>804</v>
      </c>
      <c r="K418" s="679">
        <v>5</v>
      </c>
      <c r="L418" s="679">
        <f t="shared" si="9"/>
        <v>14.1</v>
      </c>
      <c r="M418" s="668">
        <f t="shared" si="8"/>
        <v>70.5</v>
      </c>
    </row>
    <row r="419" spans="2:13" s="645" customFormat="1" ht="21.75" customHeight="1">
      <c r="B419" s="678">
        <v>44369</v>
      </c>
      <c r="C419" s="679" t="s">
        <v>837</v>
      </c>
      <c r="D419" s="680" t="s">
        <v>845</v>
      </c>
      <c r="E419" s="681" t="s">
        <v>831</v>
      </c>
      <c r="F419" s="682"/>
      <c r="G419" s="680">
        <v>17</v>
      </c>
      <c r="H419" s="679" t="s">
        <v>807</v>
      </c>
      <c r="I419" s="683" t="s">
        <v>843</v>
      </c>
      <c r="J419" s="684" t="s">
        <v>804</v>
      </c>
      <c r="K419" s="679">
        <v>5</v>
      </c>
      <c r="L419" s="679">
        <f t="shared" si="9"/>
        <v>15.98</v>
      </c>
      <c r="M419" s="668">
        <f t="shared" si="8"/>
        <v>79.900000000000006</v>
      </c>
    </row>
    <row r="420" spans="2:13" s="645" customFormat="1" ht="21.75" customHeight="1">
      <c r="B420" s="670">
        <v>44370</v>
      </c>
      <c r="C420" s="671" t="s">
        <v>819</v>
      </c>
      <c r="D420" s="672" t="s">
        <v>840</v>
      </c>
      <c r="E420" s="673" t="s">
        <v>831</v>
      </c>
      <c r="F420" s="674"/>
      <c r="G420" s="672">
        <v>20</v>
      </c>
      <c r="H420" s="671" t="s">
        <v>807</v>
      </c>
      <c r="I420" s="675" t="s">
        <v>838</v>
      </c>
      <c r="J420" s="677" t="s">
        <v>804</v>
      </c>
      <c r="K420" s="671">
        <v>8</v>
      </c>
      <c r="L420" s="671">
        <f t="shared" si="9"/>
        <v>18.8</v>
      </c>
      <c r="M420" s="676">
        <f t="shared" si="8"/>
        <v>150.4</v>
      </c>
    </row>
    <row r="421" spans="2:13" s="645" customFormat="1" ht="21.75" customHeight="1">
      <c r="B421" s="670">
        <v>44370</v>
      </c>
      <c r="C421" s="671" t="s">
        <v>819</v>
      </c>
      <c r="D421" s="672" t="s">
        <v>835</v>
      </c>
      <c r="E421" s="673" t="s">
        <v>831</v>
      </c>
      <c r="F421" s="674"/>
      <c r="G421" s="672">
        <v>20</v>
      </c>
      <c r="H421" s="671" t="s">
        <v>807</v>
      </c>
      <c r="I421" s="675" t="s">
        <v>838</v>
      </c>
      <c r="J421" s="677" t="s">
        <v>804</v>
      </c>
      <c r="K421" s="671">
        <v>10</v>
      </c>
      <c r="L421" s="671">
        <f t="shared" si="9"/>
        <v>18.8</v>
      </c>
      <c r="M421" s="676">
        <f t="shared" si="8"/>
        <v>188</v>
      </c>
    </row>
    <row r="422" spans="2:13" s="645" customFormat="1" ht="21.75" customHeight="1">
      <c r="B422" s="670">
        <v>44370</v>
      </c>
      <c r="C422" s="671" t="s">
        <v>819</v>
      </c>
      <c r="D422" s="672" t="s">
        <v>841</v>
      </c>
      <c r="E422" s="673" t="s">
        <v>831</v>
      </c>
      <c r="F422" s="674"/>
      <c r="G422" s="672">
        <v>20</v>
      </c>
      <c r="H422" s="671" t="s">
        <v>807</v>
      </c>
      <c r="I422" s="675" t="s">
        <v>838</v>
      </c>
      <c r="J422" s="677" t="s">
        <v>804</v>
      </c>
      <c r="K422" s="671">
        <v>10</v>
      </c>
      <c r="L422" s="671">
        <f t="shared" si="9"/>
        <v>18.8</v>
      </c>
      <c r="M422" s="676">
        <f t="shared" si="8"/>
        <v>188</v>
      </c>
    </row>
    <row r="423" spans="2:13" s="645" customFormat="1" ht="21.75" customHeight="1">
      <c r="B423" s="670">
        <v>44370</v>
      </c>
      <c r="C423" s="671" t="s">
        <v>819</v>
      </c>
      <c r="D423" s="672" t="s">
        <v>848</v>
      </c>
      <c r="E423" s="673" t="s">
        <v>831</v>
      </c>
      <c r="F423" s="674"/>
      <c r="G423" s="672">
        <v>20</v>
      </c>
      <c r="H423" s="671" t="s">
        <v>807</v>
      </c>
      <c r="I423" s="675" t="s">
        <v>838</v>
      </c>
      <c r="J423" s="677" t="s">
        <v>804</v>
      </c>
      <c r="K423" s="671">
        <v>11</v>
      </c>
      <c r="L423" s="671">
        <f t="shared" si="9"/>
        <v>18.8</v>
      </c>
      <c r="M423" s="676">
        <f t="shared" ref="M423:M486" si="10">L423*K423</f>
        <v>206.8</v>
      </c>
    </row>
    <row r="424" spans="2:13" s="645" customFormat="1" ht="21.75" customHeight="1">
      <c r="B424" s="670">
        <v>44370</v>
      </c>
      <c r="C424" s="671" t="s">
        <v>819</v>
      </c>
      <c r="D424" s="672" t="s">
        <v>836</v>
      </c>
      <c r="E424" s="673" t="s">
        <v>831</v>
      </c>
      <c r="F424" s="674"/>
      <c r="G424" s="672">
        <v>20</v>
      </c>
      <c r="H424" s="671" t="s">
        <v>807</v>
      </c>
      <c r="I424" s="675" t="s">
        <v>838</v>
      </c>
      <c r="J424" s="677" t="s">
        <v>804</v>
      </c>
      <c r="K424" s="671">
        <v>8</v>
      </c>
      <c r="L424" s="671">
        <f t="shared" si="9"/>
        <v>18.8</v>
      </c>
      <c r="M424" s="676">
        <f t="shared" si="10"/>
        <v>150.4</v>
      </c>
    </row>
    <row r="425" spans="2:13" s="645" customFormat="1" ht="21.75" customHeight="1">
      <c r="B425" s="670">
        <v>44370</v>
      </c>
      <c r="C425" s="671" t="s">
        <v>819</v>
      </c>
      <c r="D425" s="672" t="s">
        <v>830</v>
      </c>
      <c r="E425" s="673" t="s">
        <v>831</v>
      </c>
      <c r="F425" s="674"/>
      <c r="G425" s="672">
        <v>15</v>
      </c>
      <c r="H425" s="671" t="s">
        <v>807</v>
      </c>
      <c r="I425" s="675" t="s">
        <v>838</v>
      </c>
      <c r="J425" s="677" t="s">
        <v>804</v>
      </c>
      <c r="K425" s="671">
        <v>12</v>
      </c>
      <c r="L425" s="671">
        <f t="shared" si="9"/>
        <v>14.1</v>
      </c>
      <c r="M425" s="676">
        <f t="shared" si="10"/>
        <v>169.2</v>
      </c>
    </row>
    <row r="426" spans="2:13" s="645" customFormat="1" ht="21.75" customHeight="1">
      <c r="B426" s="670">
        <v>44370</v>
      </c>
      <c r="C426" s="671" t="s">
        <v>819</v>
      </c>
      <c r="D426" s="672" t="s">
        <v>833</v>
      </c>
      <c r="E426" s="673" t="s">
        <v>831</v>
      </c>
      <c r="F426" s="674"/>
      <c r="G426" s="672">
        <v>15</v>
      </c>
      <c r="H426" s="671" t="s">
        <v>807</v>
      </c>
      <c r="I426" s="675" t="s">
        <v>838</v>
      </c>
      <c r="J426" s="677" t="s">
        <v>804</v>
      </c>
      <c r="K426" s="671">
        <v>6</v>
      </c>
      <c r="L426" s="671">
        <f t="shared" si="9"/>
        <v>14.1</v>
      </c>
      <c r="M426" s="676">
        <f t="shared" si="10"/>
        <v>84.6</v>
      </c>
    </row>
    <row r="427" spans="2:13" s="645" customFormat="1" ht="21.75" customHeight="1">
      <c r="B427" s="670">
        <v>44370</v>
      </c>
      <c r="C427" s="671" t="s">
        <v>819</v>
      </c>
      <c r="D427" s="672" t="s">
        <v>845</v>
      </c>
      <c r="E427" s="673" t="s">
        <v>831</v>
      </c>
      <c r="F427" s="674"/>
      <c r="G427" s="672">
        <v>17</v>
      </c>
      <c r="H427" s="671" t="s">
        <v>807</v>
      </c>
      <c r="I427" s="675" t="s">
        <v>838</v>
      </c>
      <c r="J427" s="677" t="s">
        <v>804</v>
      </c>
      <c r="K427" s="671">
        <v>8</v>
      </c>
      <c r="L427" s="671">
        <f t="shared" si="9"/>
        <v>15.98</v>
      </c>
      <c r="M427" s="676">
        <f t="shared" si="10"/>
        <v>127.84</v>
      </c>
    </row>
    <row r="428" spans="2:13" s="645" customFormat="1" ht="21.75" customHeight="1">
      <c r="B428" s="670">
        <v>44370</v>
      </c>
      <c r="C428" s="671" t="s">
        <v>819</v>
      </c>
      <c r="D428" s="672" t="s">
        <v>847</v>
      </c>
      <c r="E428" s="673" t="s">
        <v>831</v>
      </c>
      <c r="F428" s="674"/>
      <c r="G428" s="672">
        <v>17</v>
      </c>
      <c r="H428" s="671" t="s">
        <v>807</v>
      </c>
      <c r="I428" s="675" t="s">
        <v>838</v>
      </c>
      <c r="J428" s="677" t="s">
        <v>804</v>
      </c>
      <c r="K428" s="671">
        <v>7</v>
      </c>
      <c r="L428" s="671">
        <f t="shared" si="9"/>
        <v>15.98</v>
      </c>
      <c r="M428" s="676">
        <f t="shared" si="10"/>
        <v>111.86</v>
      </c>
    </row>
    <row r="429" spans="2:13" s="645" customFormat="1" ht="21.75" customHeight="1">
      <c r="B429" s="670">
        <v>44370</v>
      </c>
      <c r="C429" s="671" t="s">
        <v>819</v>
      </c>
      <c r="D429" s="672" t="s">
        <v>850</v>
      </c>
      <c r="E429" s="673" t="s">
        <v>831</v>
      </c>
      <c r="F429" s="674"/>
      <c r="G429" s="672">
        <v>15</v>
      </c>
      <c r="H429" s="671" t="s">
        <v>807</v>
      </c>
      <c r="I429" s="675" t="s">
        <v>838</v>
      </c>
      <c r="J429" s="677" t="s">
        <v>804</v>
      </c>
      <c r="K429" s="671">
        <v>9</v>
      </c>
      <c r="L429" s="671">
        <f t="shared" si="9"/>
        <v>14.1</v>
      </c>
      <c r="M429" s="676">
        <f t="shared" si="10"/>
        <v>126.89999999999999</v>
      </c>
    </row>
    <row r="430" spans="2:13" s="645" customFormat="1" ht="21.75" customHeight="1">
      <c r="B430" s="678">
        <v>44370</v>
      </c>
      <c r="C430" s="679" t="s">
        <v>837</v>
      </c>
      <c r="D430" s="680" t="s">
        <v>849</v>
      </c>
      <c r="E430" s="681" t="s">
        <v>831</v>
      </c>
      <c r="F430" s="682"/>
      <c r="G430" s="680">
        <v>20</v>
      </c>
      <c r="H430" s="679" t="s">
        <v>807</v>
      </c>
      <c r="I430" s="683" t="s">
        <v>838</v>
      </c>
      <c r="J430" s="684" t="s">
        <v>804</v>
      </c>
      <c r="K430" s="679">
        <v>4</v>
      </c>
      <c r="L430" s="679">
        <f t="shared" si="9"/>
        <v>18.8</v>
      </c>
      <c r="M430" s="668">
        <f t="shared" si="10"/>
        <v>75.2</v>
      </c>
    </row>
    <row r="431" spans="2:13" s="645" customFormat="1" ht="21.75" customHeight="1">
      <c r="B431" s="678">
        <v>44370</v>
      </c>
      <c r="C431" s="679" t="s">
        <v>837</v>
      </c>
      <c r="D431" s="680" t="s">
        <v>835</v>
      </c>
      <c r="E431" s="681" t="s">
        <v>831</v>
      </c>
      <c r="F431" s="682"/>
      <c r="G431" s="680">
        <v>20</v>
      </c>
      <c r="H431" s="679" t="s">
        <v>807</v>
      </c>
      <c r="I431" s="683" t="s">
        <v>838</v>
      </c>
      <c r="J431" s="684" t="s">
        <v>804</v>
      </c>
      <c r="K431" s="679">
        <v>4</v>
      </c>
      <c r="L431" s="679">
        <f t="shared" si="9"/>
        <v>18.8</v>
      </c>
      <c r="M431" s="668">
        <f t="shared" si="10"/>
        <v>75.2</v>
      </c>
    </row>
    <row r="432" spans="2:13" s="645" customFormat="1" ht="21.75" customHeight="1">
      <c r="B432" s="678">
        <v>44370</v>
      </c>
      <c r="C432" s="679" t="s">
        <v>837</v>
      </c>
      <c r="D432" s="680" t="s">
        <v>841</v>
      </c>
      <c r="E432" s="681" t="s">
        <v>831</v>
      </c>
      <c r="F432" s="682"/>
      <c r="G432" s="680">
        <v>20</v>
      </c>
      <c r="H432" s="679" t="s">
        <v>807</v>
      </c>
      <c r="I432" s="683" t="s">
        <v>838</v>
      </c>
      <c r="J432" s="684" t="s">
        <v>804</v>
      </c>
      <c r="K432" s="679">
        <v>4</v>
      </c>
      <c r="L432" s="679">
        <f t="shared" si="9"/>
        <v>18.8</v>
      </c>
      <c r="M432" s="668">
        <f t="shared" si="10"/>
        <v>75.2</v>
      </c>
    </row>
    <row r="433" spans="2:13" s="645" customFormat="1" ht="21.75" customHeight="1">
      <c r="B433" s="678">
        <v>44370</v>
      </c>
      <c r="C433" s="679" t="s">
        <v>837</v>
      </c>
      <c r="D433" s="680" t="s">
        <v>848</v>
      </c>
      <c r="E433" s="681" t="s">
        <v>831</v>
      </c>
      <c r="F433" s="682"/>
      <c r="G433" s="680">
        <v>20</v>
      </c>
      <c r="H433" s="679" t="s">
        <v>807</v>
      </c>
      <c r="I433" s="683" t="s">
        <v>838</v>
      </c>
      <c r="J433" s="684" t="s">
        <v>804</v>
      </c>
      <c r="K433" s="679">
        <v>4</v>
      </c>
      <c r="L433" s="679">
        <f t="shared" si="9"/>
        <v>18.8</v>
      </c>
      <c r="M433" s="668">
        <f t="shared" si="10"/>
        <v>75.2</v>
      </c>
    </row>
    <row r="434" spans="2:13" s="645" customFormat="1" ht="21.75" customHeight="1">
      <c r="B434" s="678">
        <v>44370</v>
      </c>
      <c r="C434" s="679" t="s">
        <v>837</v>
      </c>
      <c r="D434" s="680" t="s">
        <v>845</v>
      </c>
      <c r="E434" s="681" t="s">
        <v>831</v>
      </c>
      <c r="F434" s="682"/>
      <c r="G434" s="680">
        <v>17</v>
      </c>
      <c r="H434" s="679" t="s">
        <v>807</v>
      </c>
      <c r="I434" s="683" t="s">
        <v>838</v>
      </c>
      <c r="J434" s="684" t="s">
        <v>804</v>
      </c>
      <c r="K434" s="679">
        <v>4</v>
      </c>
      <c r="L434" s="679">
        <f t="shared" si="9"/>
        <v>15.98</v>
      </c>
      <c r="M434" s="668">
        <f t="shared" si="10"/>
        <v>63.92</v>
      </c>
    </row>
    <row r="435" spans="2:13" s="645" customFormat="1" ht="21.75" customHeight="1">
      <c r="B435" s="678">
        <v>44370</v>
      </c>
      <c r="C435" s="679" t="s">
        <v>837</v>
      </c>
      <c r="D435" s="680" t="s">
        <v>847</v>
      </c>
      <c r="E435" s="681" t="s">
        <v>831</v>
      </c>
      <c r="F435" s="682"/>
      <c r="G435" s="680">
        <v>17</v>
      </c>
      <c r="H435" s="679" t="s">
        <v>807</v>
      </c>
      <c r="I435" s="683" t="s">
        <v>838</v>
      </c>
      <c r="J435" s="684" t="s">
        <v>804</v>
      </c>
      <c r="K435" s="679">
        <v>4</v>
      </c>
      <c r="L435" s="679">
        <f t="shared" si="9"/>
        <v>15.98</v>
      </c>
      <c r="M435" s="668">
        <f t="shared" si="10"/>
        <v>63.92</v>
      </c>
    </row>
    <row r="436" spans="2:13" s="645" customFormat="1" ht="21.75" customHeight="1">
      <c r="B436" s="670">
        <v>44371</v>
      </c>
      <c r="C436" s="671" t="s">
        <v>819</v>
      </c>
      <c r="D436" s="672" t="s">
        <v>849</v>
      </c>
      <c r="E436" s="673" t="s">
        <v>831</v>
      </c>
      <c r="F436" s="674"/>
      <c r="G436" s="672">
        <v>20</v>
      </c>
      <c r="H436" s="671" t="s">
        <v>807</v>
      </c>
      <c r="I436" s="675" t="s">
        <v>838</v>
      </c>
      <c r="J436" s="677" t="s">
        <v>804</v>
      </c>
      <c r="K436" s="671">
        <v>2</v>
      </c>
      <c r="L436" s="671">
        <f t="shared" si="9"/>
        <v>18.8</v>
      </c>
      <c r="M436" s="676">
        <f t="shared" si="10"/>
        <v>37.6</v>
      </c>
    </row>
    <row r="437" spans="2:13" s="645" customFormat="1" ht="21.75" customHeight="1">
      <c r="B437" s="670">
        <v>44371</v>
      </c>
      <c r="C437" s="671" t="s">
        <v>819</v>
      </c>
      <c r="D437" s="672" t="s">
        <v>840</v>
      </c>
      <c r="E437" s="673" t="s">
        <v>831</v>
      </c>
      <c r="F437" s="674"/>
      <c r="G437" s="672">
        <v>20</v>
      </c>
      <c r="H437" s="671" t="s">
        <v>807</v>
      </c>
      <c r="I437" s="675" t="s">
        <v>838</v>
      </c>
      <c r="J437" s="677" t="s">
        <v>804</v>
      </c>
      <c r="K437" s="671">
        <v>7</v>
      </c>
      <c r="L437" s="671">
        <f t="shared" si="9"/>
        <v>18.8</v>
      </c>
      <c r="M437" s="676">
        <f t="shared" si="10"/>
        <v>131.6</v>
      </c>
    </row>
    <row r="438" spans="2:13" s="645" customFormat="1" ht="21.75" customHeight="1">
      <c r="B438" s="670">
        <v>44371</v>
      </c>
      <c r="C438" s="671" t="s">
        <v>819</v>
      </c>
      <c r="D438" s="672" t="s">
        <v>835</v>
      </c>
      <c r="E438" s="673" t="s">
        <v>831</v>
      </c>
      <c r="F438" s="674"/>
      <c r="G438" s="672">
        <v>20</v>
      </c>
      <c r="H438" s="671" t="s">
        <v>807</v>
      </c>
      <c r="I438" s="675" t="s">
        <v>838</v>
      </c>
      <c r="J438" s="677" t="s">
        <v>804</v>
      </c>
      <c r="K438" s="671">
        <v>11</v>
      </c>
      <c r="L438" s="671">
        <f t="shared" si="9"/>
        <v>18.8</v>
      </c>
      <c r="M438" s="676">
        <f t="shared" si="10"/>
        <v>206.8</v>
      </c>
    </row>
    <row r="439" spans="2:13" s="645" customFormat="1" ht="21.75" customHeight="1">
      <c r="B439" s="670">
        <v>44371</v>
      </c>
      <c r="C439" s="671" t="s">
        <v>819</v>
      </c>
      <c r="D439" s="672" t="s">
        <v>841</v>
      </c>
      <c r="E439" s="673" t="s">
        <v>831</v>
      </c>
      <c r="F439" s="674"/>
      <c r="G439" s="672">
        <v>20</v>
      </c>
      <c r="H439" s="671" t="s">
        <v>807</v>
      </c>
      <c r="I439" s="675" t="s">
        <v>838</v>
      </c>
      <c r="J439" s="677" t="s">
        <v>804</v>
      </c>
      <c r="K439" s="671">
        <v>9</v>
      </c>
      <c r="L439" s="671">
        <f t="shared" si="9"/>
        <v>18.8</v>
      </c>
      <c r="M439" s="676">
        <f t="shared" si="10"/>
        <v>169.20000000000002</v>
      </c>
    </row>
    <row r="440" spans="2:13" s="645" customFormat="1" ht="21.75" customHeight="1">
      <c r="B440" s="670">
        <v>44371</v>
      </c>
      <c r="C440" s="671" t="s">
        <v>819</v>
      </c>
      <c r="D440" s="672" t="s">
        <v>848</v>
      </c>
      <c r="E440" s="673" t="s">
        <v>831</v>
      </c>
      <c r="F440" s="674"/>
      <c r="G440" s="672">
        <v>20</v>
      </c>
      <c r="H440" s="671" t="s">
        <v>807</v>
      </c>
      <c r="I440" s="675" t="s">
        <v>838</v>
      </c>
      <c r="J440" s="677" t="s">
        <v>804</v>
      </c>
      <c r="K440" s="671">
        <v>7</v>
      </c>
      <c r="L440" s="671">
        <f t="shared" si="9"/>
        <v>18.8</v>
      </c>
      <c r="M440" s="676">
        <f t="shared" si="10"/>
        <v>131.6</v>
      </c>
    </row>
    <row r="441" spans="2:13" s="645" customFormat="1" ht="21.75" customHeight="1">
      <c r="B441" s="670">
        <v>44371</v>
      </c>
      <c r="C441" s="671" t="s">
        <v>819</v>
      </c>
      <c r="D441" s="672" t="s">
        <v>836</v>
      </c>
      <c r="E441" s="673" t="s">
        <v>831</v>
      </c>
      <c r="F441" s="674"/>
      <c r="G441" s="672">
        <v>20</v>
      </c>
      <c r="H441" s="671" t="s">
        <v>807</v>
      </c>
      <c r="I441" s="675" t="s">
        <v>838</v>
      </c>
      <c r="J441" s="677" t="s">
        <v>804</v>
      </c>
      <c r="K441" s="671">
        <v>8</v>
      </c>
      <c r="L441" s="671">
        <f t="shared" si="9"/>
        <v>18.8</v>
      </c>
      <c r="M441" s="676">
        <f t="shared" si="10"/>
        <v>150.4</v>
      </c>
    </row>
    <row r="442" spans="2:13" s="645" customFormat="1" ht="21.75" customHeight="1">
      <c r="B442" s="670">
        <v>44371</v>
      </c>
      <c r="C442" s="671" t="s">
        <v>819</v>
      </c>
      <c r="D442" s="672" t="s">
        <v>830</v>
      </c>
      <c r="E442" s="673" t="s">
        <v>831</v>
      </c>
      <c r="F442" s="674"/>
      <c r="G442" s="672">
        <v>15</v>
      </c>
      <c r="H442" s="671" t="s">
        <v>807</v>
      </c>
      <c r="I442" s="675" t="s">
        <v>838</v>
      </c>
      <c r="J442" s="677" t="s">
        <v>804</v>
      </c>
      <c r="K442" s="671">
        <v>7</v>
      </c>
      <c r="L442" s="671">
        <f t="shared" si="9"/>
        <v>14.1</v>
      </c>
      <c r="M442" s="676">
        <f t="shared" si="10"/>
        <v>98.7</v>
      </c>
    </row>
    <row r="443" spans="2:13" s="645" customFormat="1" ht="21.75" customHeight="1">
      <c r="B443" s="670">
        <v>44371</v>
      </c>
      <c r="C443" s="671" t="s">
        <v>819</v>
      </c>
      <c r="D443" s="672" t="s">
        <v>833</v>
      </c>
      <c r="E443" s="673" t="s">
        <v>831</v>
      </c>
      <c r="F443" s="674"/>
      <c r="G443" s="672">
        <v>15</v>
      </c>
      <c r="H443" s="671" t="s">
        <v>807</v>
      </c>
      <c r="I443" s="675" t="s">
        <v>838</v>
      </c>
      <c r="J443" s="677" t="s">
        <v>804</v>
      </c>
      <c r="K443" s="671">
        <v>10</v>
      </c>
      <c r="L443" s="671">
        <f t="shared" si="9"/>
        <v>14.1</v>
      </c>
      <c r="M443" s="676">
        <f t="shared" si="10"/>
        <v>141</v>
      </c>
    </row>
    <row r="444" spans="2:13" s="645" customFormat="1" ht="21.75" customHeight="1">
      <c r="B444" s="670">
        <v>44371</v>
      </c>
      <c r="C444" s="671" t="s">
        <v>819</v>
      </c>
      <c r="D444" s="672" t="s">
        <v>845</v>
      </c>
      <c r="E444" s="673" t="s">
        <v>831</v>
      </c>
      <c r="F444" s="674"/>
      <c r="G444" s="672">
        <v>17</v>
      </c>
      <c r="H444" s="671" t="s">
        <v>807</v>
      </c>
      <c r="I444" s="675" t="s">
        <v>838</v>
      </c>
      <c r="J444" s="677" t="s">
        <v>804</v>
      </c>
      <c r="K444" s="671">
        <v>9</v>
      </c>
      <c r="L444" s="671">
        <f t="shared" si="9"/>
        <v>15.98</v>
      </c>
      <c r="M444" s="676">
        <f t="shared" si="10"/>
        <v>143.82</v>
      </c>
    </row>
    <row r="445" spans="2:13" s="645" customFormat="1" ht="21.75" customHeight="1">
      <c r="B445" s="670">
        <v>44371</v>
      </c>
      <c r="C445" s="671" t="s">
        <v>819</v>
      </c>
      <c r="D445" s="672" t="s">
        <v>847</v>
      </c>
      <c r="E445" s="673" t="s">
        <v>831</v>
      </c>
      <c r="F445" s="674"/>
      <c r="G445" s="672">
        <v>17</v>
      </c>
      <c r="H445" s="671" t="s">
        <v>807</v>
      </c>
      <c r="I445" s="675" t="s">
        <v>838</v>
      </c>
      <c r="J445" s="677" t="s">
        <v>804</v>
      </c>
      <c r="K445" s="671">
        <v>8</v>
      </c>
      <c r="L445" s="671">
        <f t="shared" si="9"/>
        <v>15.98</v>
      </c>
      <c r="M445" s="676">
        <f t="shared" si="10"/>
        <v>127.84</v>
      </c>
    </row>
    <row r="446" spans="2:13" s="645" customFormat="1" ht="21.75" customHeight="1">
      <c r="B446" s="670">
        <v>44371</v>
      </c>
      <c r="C446" s="671" t="s">
        <v>819</v>
      </c>
      <c r="D446" s="672" t="s">
        <v>850</v>
      </c>
      <c r="E446" s="673" t="s">
        <v>831</v>
      </c>
      <c r="F446" s="674"/>
      <c r="G446" s="672">
        <v>15</v>
      </c>
      <c r="H446" s="671" t="s">
        <v>807</v>
      </c>
      <c r="I446" s="675" t="s">
        <v>838</v>
      </c>
      <c r="J446" s="677" t="s">
        <v>804</v>
      </c>
      <c r="K446" s="671">
        <v>4</v>
      </c>
      <c r="L446" s="671">
        <f t="shared" si="9"/>
        <v>14.1</v>
      </c>
      <c r="M446" s="676">
        <f t="shared" si="10"/>
        <v>56.4</v>
      </c>
    </row>
    <row r="447" spans="2:13" s="645" customFormat="1" ht="21.75" customHeight="1">
      <c r="B447" s="678">
        <v>44371</v>
      </c>
      <c r="C447" s="679" t="s">
        <v>837</v>
      </c>
      <c r="D447" s="680" t="s">
        <v>849</v>
      </c>
      <c r="E447" s="681" t="s">
        <v>831</v>
      </c>
      <c r="F447" s="682"/>
      <c r="G447" s="680">
        <v>20</v>
      </c>
      <c r="H447" s="679" t="s">
        <v>807</v>
      </c>
      <c r="I447" s="683" t="s">
        <v>838</v>
      </c>
      <c r="J447" s="684" t="s">
        <v>804</v>
      </c>
      <c r="K447" s="679">
        <v>5</v>
      </c>
      <c r="L447" s="679">
        <f t="shared" si="9"/>
        <v>18.8</v>
      </c>
      <c r="M447" s="668">
        <f t="shared" si="10"/>
        <v>94</v>
      </c>
    </row>
    <row r="448" spans="2:13" s="645" customFormat="1" ht="21.75" customHeight="1">
      <c r="B448" s="678">
        <v>44371</v>
      </c>
      <c r="C448" s="679" t="s">
        <v>837</v>
      </c>
      <c r="D448" s="680" t="s">
        <v>835</v>
      </c>
      <c r="E448" s="681" t="s">
        <v>831</v>
      </c>
      <c r="F448" s="682"/>
      <c r="G448" s="680">
        <v>20</v>
      </c>
      <c r="H448" s="679" t="s">
        <v>807</v>
      </c>
      <c r="I448" s="683" t="s">
        <v>838</v>
      </c>
      <c r="J448" s="684" t="s">
        <v>804</v>
      </c>
      <c r="K448" s="679">
        <v>5</v>
      </c>
      <c r="L448" s="679">
        <f t="shared" si="9"/>
        <v>18.8</v>
      </c>
      <c r="M448" s="668">
        <f t="shared" si="10"/>
        <v>94</v>
      </c>
    </row>
    <row r="449" spans="2:13" s="645" customFormat="1" ht="21.75" customHeight="1">
      <c r="B449" s="678">
        <v>44371</v>
      </c>
      <c r="C449" s="679" t="s">
        <v>837</v>
      </c>
      <c r="D449" s="680" t="s">
        <v>841</v>
      </c>
      <c r="E449" s="681" t="s">
        <v>831</v>
      </c>
      <c r="F449" s="682"/>
      <c r="G449" s="680">
        <v>20</v>
      </c>
      <c r="H449" s="679" t="s">
        <v>807</v>
      </c>
      <c r="I449" s="683" t="s">
        <v>838</v>
      </c>
      <c r="J449" s="684" t="s">
        <v>804</v>
      </c>
      <c r="K449" s="679">
        <v>5</v>
      </c>
      <c r="L449" s="679">
        <f t="shared" si="9"/>
        <v>18.8</v>
      </c>
      <c r="M449" s="668">
        <f t="shared" si="10"/>
        <v>94</v>
      </c>
    </row>
    <row r="450" spans="2:13" s="645" customFormat="1" ht="21.75" customHeight="1">
      <c r="B450" s="678">
        <v>44371</v>
      </c>
      <c r="C450" s="679" t="s">
        <v>837</v>
      </c>
      <c r="D450" s="680" t="s">
        <v>848</v>
      </c>
      <c r="E450" s="681" t="s">
        <v>831</v>
      </c>
      <c r="F450" s="682"/>
      <c r="G450" s="680">
        <v>20</v>
      </c>
      <c r="H450" s="679" t="s">
        <v>807</v>
      </c>
      <c r="I450" s="683" t="s">
        <v>838</v>
      </c>
      <c r="J450" s="684" t="s">
        <v>804</v>
      </c>
      <c r="K450" s="679">
        <v>5</v>
      </c>
      <c r="L450" s="679">
        <f t="shared" si="9"/>
        <v>18.8</v>
      </c>
      <c r="M450" s="668">
        <f t="shared" si="10"/>
        <v>94</v>
      </c>
    </row>
    <row r="451" spans="2:13" s="645" customFormat="1" ht="21.75" customHeight="1">
      <c r="B451" s="678">
        <v>44371</v>
      </c>
      <c r="C451" s="679" t="s">
        <v>837</v>
      </c>
      <c r="D451" s="680" t="s">
        <v>830</v>
      </c>
      <c r="E451" s="681" t="s">
        <v>831</v>
      </c>
      <c r="F451" s="682"/>
      <c r="G451" s="680">
        <v>15</v>
      </c>
      <c r="H451" s="679" t="s">
        <v>807</v>
      </c>
      <c r="I451" s="683" t="s">
        <v>838</v>
      </c>
      <c r="J451" s="684" t="s">
        <v>804</v>
      </c>
      <c r="K451" s="679">
        <v>5</v>
      </c>
      <c r="L451" s="679">
        <f t="shared" si="9"/>
        <v>14.1</v>
      </c>
      <c r="M451" s="668">
        <f t="shared" si="10"/>
        <v>70.5</v>
      </c>
    </row>
    <row r="452" spans="2:13" s="645" customFormat="1" ht="21.75" customHeight="1">
      <c r="B452" s="678">
        <v>44371</v>
      </c>
      <c r="C452" s="679" t="s">
        <v>837</v>
      </c>
      <c r="D452" s="680" t="s">
        <v>847</v>
      </c>
      <c r="E452" s="681" t="s">
        <v>831</v>
      </c>
      <c r="F452" s="682"/>
      <c r="G452" s="680">
        <v>17</v>
      </c>
      <c r="H452" s="679" t="s">
        <v>807</v>
      </c>
      <c r="I452" s="683" t="s">
        <v>838</v>
      </c>
      <c r="J452" s="684" t="s">
        <v>804</v>
      </c>
      <c r="K452" s="679">
        <v>5</v>
      </c>
      <c r="L452" s="679">
        <f t="shared" si="9"/>
        <v>15.98</v>
      </c>
      <c r="M452" s="668">
        <f t="shared" si="10"/>
        <v>79.900000000000006</v>
      </c>
    </row>
    <row r="453" spans="2:13" s="645" customFormat="1" ht="21.75" customHeight="1">
      <c r="B453" s="670">
        <v>44372</v>
      </c>
      <c r="C453" s="671" t="s">
        <v>819</v>
      </c>
      <c r="D453" s="672" t="s">
        <v>849</v>
      </c>
      <c r="E453" s="673" t="s">
        <v>831</v>
      </c>
      <c r="F453" s="674"/>
      <c r="G453" s="672">
        <v>20</v>
      </c>
      <c r="H453" s="671" t="s">
        <v>807</v>
      </c>
      <c r="I453" s="675" t="s">
        <v>838</v>
      </c>
      <c r="J453" s="677" t="s">
        <v>804</v>
      </c>
      <c r="K453" s="671">
        <v>11</v>
      </c>
      <c r="L453" s="671">
        <f t="shared" si="9"/>
        <v>18.8</v>
      </c>
      <c r="M453" s="676">
        <f t="shared" si="10"/>
        <v>206.8</v>
      </c>
    </row>
    <row r="454" spans="2:13" s="645" customFormat="1" ht="21.75" customHeight="1">
      <c r="B454" s="670">
        <v>44372</v>
      </c>
      <c r="C454" s="671" t="s">
        <v>819</v>
      </c>
      <c r="D454" s="672" t="s">
        <v>840</v>
      </c>
      <c r="E454" s="673" t="s">
        <v>831</v>
      </c>
      <c r="F454" s="674"/>
      <c r="G454" s="672">
        <v>20</v>
      </c>
      <c r="H454" s="671" t="s">
        <v>807</v>
      </c>
      <c r="I454" s="675" t="s">
        <v>838</v>
      </c>
      <c r="J454" s="677" t="s">
        <v>804</v>
      </c>
      <c r="K454" s="671">
        <v>10</v>
      </c>
      <c r="L454" s="671">
        <f t="shared" si="9"/>
        <v>18.8</v>
      </c>
      <c r="M454" s="676">
        <f t="shared" si="10"/>
        <v>188</v>
      </c>
    </row>
    <row r="455" spans="2:13" s="645" customFormat="1" ht="21.75" customHeight="1">
      <c r="B455" s="670">
        <v>44372</v>
      </c>
      <c r="C455" s="671" t="s">
        <v>819</v>
      </c>
      <c r="D455" s="672" t="s">
        <v>835</v>
      </c>
      <c r="E455" s="673" t="s">
        <v>831</v>
      </c>
      <c r="F455" s="674"/>
      <c r="G455" s="672">
        <v>20</v>
      </c>
      <c r="H455" s="671" t="s">
        <v>807</v>
      </c>
      <c r="I455" s="675" t="s">
        <v>838</v>
      </c>
      <c r="J455" s="677" t="s">
        <v>804</v>
      </c>
      <c r="K455" s="671">
        <v>9</v>
      </c>
      <c r="L455" s="671">
        <f t="shared" si="9"/>
        <v>18.8</v>
      </c>
      <c r="M455" s="676">
        <f t="shared" si="10"/>
        <v>169.20000000000002</v>
      </c>
    </row>
    <row r="456" spans="2:13" s="645" customFormat="1" ht="21.75" customHeight="1">
      <c r="B456" s="670">
        <v>44372</v>
      </c>
      <c r="C456" s="671" t="s">
        <v>819</v>
      </c>
      <c r="D456" s="672" t="s">
        <v>841</v>
      </c>
      <c r="E456" s="673" t="s">
        <v>831</v>
      </c>
      <c r="F456" s="674"/>
      <c r="G456" s="672">
        <v>20</v>
      </c>
      <c r="H456" s="671" t="s">
        <v>807</v>
      </c>
      <c r="I456" s="675" t="s">
        <v>838</v>
      </c>
      <c r="J456" s="677" t="s">
        <v>804</v>
      </c>
      <c r="K456" s="671">
        <v>10</v>
      </c>
      <c r="L456" s="671">
        <f t="shared" si="9"/>
        <v>18.8</v>
      </c>
      <c r="M456" s="676">
        <f t="shared" si="10"/>
        <v>188</v>
      </c>
    </row>
    <row r="457" spans="2:13" s="645" customFormat="1" ht="21.75" customHeight="1">
      <c r="B457" s="670">
        <v>44372</v>
      </c>
      <c r="C457" s="671" t="s">
        <v>819</v>
      </c>
      <c r="D457" s="672" t="s">
        <v>834</v>
      </c>
      <c r="E457" s="673" t="s">
        <v>831</v>
      </c>
      <c r="F457" s="674"/>
      <c r="G457" s="672">
        <v>20</v>
      </c>
      <c r="H457" s="671" t="s">
        <v>807</v>
      </c>
      <c r="I457" s="675" t="s">
        <v>838</v>
      </c>
      <c r="J457" s="677" t="s">
        <v>804</v>
      </c>
      <c r="K457" s="671">
        <v>9</v>
      </c>
      <c r="L457" s="671">
        <f t="shared" ref="L457:L520" si="11">VLOOKUP(G457,$Q$4:$V$7,6,FALSE)</f>
        <v>18.8</v>
      </c>
      <c r="M457" s="676">
        <f t="shared" si="10"/>
        <v>169.20000000000002</v>
      </c>
    </row>
    <row r="458" spans="2:13" s="645" customFormat="1" ht="21.75" customHeight="1">
      <c r="B458" s="670">
        <v>44372</v>
      </c>
      <c r="C458" s="671" t="s">
        <v>819</v>
      </c>
      <c r="D458" s="672" t="s">
        <v>848</v>
      </c>
      <c r="E458" s="673" t="s">
        <v>831</v>
      </c>
      <c r="F458" s="674"/>
      <c r="G458" s="672">
        <v>20</v>
      </c>
      <c r="H458" s="671" t="s">
        <v>807</v>
      </c>
      <c r="I458" s="675" t="s">
        <v>838</v>
      </c>
      <c r="J458" s="677" t="s">
        <v>804</v>
      </c>
      <c r="K458" s="671">
        <v>10</v>
      </c>
      <c r="L458" s="671">
        <f t="shared" si="11"/>
        <v>18.8</v>
      </c>
      <c r="M458" s="676">
        <f t="shared" si="10"/>
        <v>188</v>
      </c>
    </row>
    <row r="459" spans="2:13" s="645" customFormat="1" ht="21.75" customHeight="1">
      <c r="B459" s="670">
        <v>44372</v>
      </c>
      <c r="C459" s="671" t="s">
        <v>819</v>
      </c>
      <c r="D459" s="672" t="s">
        <v>836</v>
      </c>
      <c r="E459" s="673" t="s">
        <v>831</v>
      </c>
      <c r="F459" s="674"/>
      <c r="G459" s="672">
        <v>20</v>
      </c>
      <c r="H459" s="671" t="s">
        <v>807</v>
      </c>
      <c r="I459" s="675" t="s">
        <v>838</v>
      </c>
      <c r="J459" s="677" t="s">
        <v>804</v>
      </c>
      <c r="K459" s="671">
        <v>11</v>
      </c>
      <c r="L459" s="671">
        <f t="shared" si="11"/>
        <v>18.8</v>
      </c>
      <c r="M459" s="676">
        <f t="shared" si="10"/>
        <v>206.8</v>
      </c>
    </row>
    <row r="460" spans="2:13" s="645" customFormat="1" ht="21.75" customHeight="1">
      <c r="B460" s="670">
        <v>44372</v>
      </c>
      <c r="C460" s="671" t="s">
        <v>819</v>
      </c>
      <c r="D460" s="672" t="s">
        <v>830</v>
      </c>
      <c r="E460" s="673" t="s">
        <v>831</v>
      </c>
      <c r="F460" s="674"/>
      <c r="G460" s="672">
        <v>15</v>
      </c>
      <c r="H460" s="671" t="s">
        <v>807</v>
      </c>
      <c r="I460" s="675" t="s">
        <v>838</v>
      </c>
      <c r="J460" s="677" t="s">
        <v>804</v>
      </c>
      <c r="K460" s="671">
        <v>10</v>
      </c>
      <c r="L460" s="671">
        <f t="shared" si="11"/>
        <v>14.1</v>
      </c>
      <c r="M460" s="676">
        <f t="shared" si="10"/>
        <v>141</v>
      </c>
    </row>
    <row r="461" spans="2:13" s="645" customFormat="1" ht="21.75" customHeight="1">
      <c r="B461" s="670">
        <v>44372</v>
      </c>
      <c r="C461" s="671" t="s">
        <v>819</v>
      </c>
      <c r="D461" s="672" t="s">
        <v>839</v>
      </c>
      <c r="E461" s="673" t="s">
        <v>831</v>
      </c>
      <c r="F461" s="674"/>
      <c r="G461" s="672">
        <v>15</v>
      </c>
      <c r="H461" s="671" t="s">
        <v>807</v>
      </c>
      <c r="I461" s="675" t="s">
        <v>838</v>
      </c>
      <c r="J461" s="677" t="s">
        <v>804</v>
      </c>
      <c r="K461" s="671">
        <v>4</v>
      </c>
      <c r="L461" s="671">
        <f t="shared" si="11"/>
        <v>14.1</v>
      </c>
      <c r="M461" s="676">
        <f t="shared" si="10"/>
        <v>56.4</v>
      </c>
    </row>
    <row r="462" spans="2:13" s="645" customFormat="1" ht="21.75" customHeight="1">
      <c r="B462" s="670">
        <v>44372</v>
      </c>
      <c r="C462" s="671" t="s">
        <v>819</v>
      </c>
      <c r="D462" s="672" t="s">
        <v>833</v>
      </c>
      <c r="E462" s="673" t="s">
        <v>831</v>
      </c>
      <c r="F462" s="674"/>
      <c r="G462" s="672">
        <v>15</v>
      </c>
      <c r="H462" s="671" t="s">
        <v>807</v>
      </c>
      <c r="I462" s="675" t="s">
        <v>838</v>
      </c>
      <c r="J462" s="677" t="s">
        <v>804</v>
      </c>
      <c r="K462" s="671">
        <v>11</v>
      </c>
      <c r="L462" s="671">
        <f t="shared" si="11"/>
        <v>14.1</v>
      </c>
      <c r="M462" s="676">
        <f t="shared" si="10"/>
        <v>155.1</v>
      </c>
    </row>
    <row r="463" spans="2:13" s="645" customFormat="1" ht="21.75" customHeight="1">
      <c r="B463" s="678">
        <v>44372</v>
      </c>
      <c r="C463" s="679" t="s">
        <v>837</v>
      </c>
      <c r="D463" s="680" t="s">
        <v>849</v>
      </c>
      <c r="E463" s="681" t="s">
        <v>831</v>
      </c>
      <c r="F463" s="682"/>
      <c r="G463" s="680">
        <v>20</v>
      </c>
      <c r="H463" s="679" t="s">
        <v>807</v>
      </c>
      <c r="I463" s="683" t="s">
        <v>838</v>
      </c>
      <c r="J463" s="684" t="s">
        <v>804</v>
      </c>
      <c r="K463" s="679">
        <v>6</v>
      </c>
      <c r="L463" s="679">
        <f t="shared" si="11"/>
        <v>18.8</v>
      </c>
      <c r="M463" s="668">
        <f t="shared" si="10"/>
        <v>112.80000000000001</v>
      </c>
    </row>
    <row r="464" spans="2:13" s="645" customFormat="1" ht="21.75" customHeight="1">
      <c r="B464" s="678">
        <v>44372</v>
      </c>
      <c r="C464" s="679" t="s">
        <v>837</v>
      </c>
      <c r="D464" s="680" t="s">
        <v>835</v>
      </c>
      <c r="E464" s="681" t="s">
        <v>831</v>
      </c>
      <c r="F464" s="682"/>
      <c r="G464" s="680">
        <v>20</v>
      </c>
      <c r="H464" s="679" t="s">
        <v>807</v>
      </c>
      <c r="I464" s="683" t="s">
        <v>838</v>
      </c>
      <c r="J464" s="684" t="s">
        <v>804</v>
      </c>
      <c r="K464" s="679">
        <v>6</v>
      </c>
      <c r="L464" s="679">
        <f t="shared" si="11"/>
        <v>18.8</v>
      </c>
      <c r="M464" s="668">
        <f t="shared" si="10"/>
        <v>112.80000000000001</v>
      </c>
    </row>
    <row r="465" spans="2:13" s="645" customFormat="1" ht="21.75" customHeight="1">
      <c r="B465" s="678">
        <v>44372</v>
      </c>
      <c r="C465" s="679" t="s">
        <v>837</v>
      </c>
      <c r="D465" s="680" t="s">
        <v>841</v>
      </c>
      <c r="E465" s="681" t="s">
        <v>831</v>
      </c>
      <c r="F465" s="682"/>
      <c r="G465" s="680">
        <v>20</v>
      </c>
      <c r="H465" s="679" t="s">
        <v>807</v>
      </c>
      <c r="I465" s="683" t="s">
        <v>838</v>
      </c>
      <c r="J465" s="684" t="s">
        <v>804</v>
      </c>
      <c r="K465" s="679">
        <v>6</v>
      </c>
      <c r="L465" s="679">
        <f t="shared" si="11"/>
        <v>18.8</v>
      </c>
      <c r="M465" s="668">
        <f t="shared" si="10"/>
        <v>112.80000000000001</v>
      </c>
    </row>
    <row r="466" spans="2:13" s="645" customFormat="1" ht="21.75" customHeight="1">
      <c r="B466" s="678">
        <v>44372</v>
      </c>
      <c r="C466" s="679" t="s">
        <v>837</v>
      </c>
      <c r="D466" s="680" t="s">
        <v>834</v>
      </c>
      <c r="E466" s="681" t="s">
        <v>831</v>
      </c>
      <c r="F466" s="682"/>
      <c r="G466" s="680">
        <v>20</v>
      </c>
      <c r="H466" s="679" t="s">
        <v>807</v>
      </c>
      <c r="I466" s="683" t="s">
        <v>838</v>
      </c>
      <c r="J466" s="684" t="s">
        <v>804</v>
      </c>
      <c r="K466" s="679">
        <v>6</v>
      </c>
      <c r="L466" s="679">
        <f t="shared" si="11"/>
        <v>18.8</v>
      </c>
      <c r="M466" s="668">
        <f t="shared" si="10"/>
        <v>112.80000000000001</v>
      </c>
    </row>
    <row r="467" spans="2:13" s="645" customFormat="1" ht="21.75" customHeight="1">
      <c r="B467" s="678">
        <v>44372</v>
      </c>
      <c r="C467" s="679" t="s">
        <v>837</v>
      </c>
      <c r="D467" s="680" t="s">
        <v>848</v>
      </c>
      <c r="E467" s="681" t="s">
        <v>831</v>
      </c>
      <c r="F467" s="682"/>
      <c r="G467" s="680">
        <v>20</v>
      </c>
      <c r="H467" s="679" t="s">
        <v>807</v>
      </c>
      <c r="I467" s="683" t="s">
        <v>838</v>
      </c>
      <c r="J467" s="684" t="s">
        <v>804</v>
      </c>
      <c r="K467" s="679">
        <v>6</v>
      </c>
      <c r="L467" s="679">
        <f t="shared" si="11"/>
        <v>18.8</v>
      </c>
      <c r="M467" s="668">
        <f t="shared" si="10"/>
        <v>112.80000000000001</v>
      </c>
    </row>
    <row r="468" spans="2:13" s="645" customFormat="1" ht="21.75" customHeight="1">
      <c r="B468" s="678">
        <v>44372</v>
      </c>
      <c r="C468" s="679" t="s">
        <v>837</v>
      </c>
      <c r="D468" s="680" t="s">
        <v>839</v>
      </c>
      <c r="E468" s="681" t="s">
        <v>831</v>
      </c>
      <c r="F468" s="682"/>
      <c r="G468" s="680">
        <v>15</v>
      </c>
      <c r="H468" s="679" t="s">
        <v>807</v>
      </c>
      <c r="I468" s="683" t="s">
        <v>838</v>
      </c>
      <c r="J468" s="684" t="s">
        <v>804</v>
      </c>
      <c r="K468" s="679">
        <v>5</v>
      </c>
      <c r="L468" s="679">
        <f t="shared" si="11"/>
        <v>14.1</v>
      </c>
      <c r="M468" s="668">
        <f t="shared" si="10"/>
        <v>70.5</v>
      </c>
    </row>
    <row r="469" spans="2:13" s="645" customFormat="1" ht="21.75" customHeight="1">
      <c r="B469" s="670">
        <v>44373</v>
      </c>
      <c r="C469" s="671" t="s">
        <v>819</v>
      </c>
      <c r="D469" s="672" t="s">
        <v>849</v>
      </c>
      <c r="E469" s="673" t="s">
        <v>831</v>
      </c>
      <c r="F469" s="674"/>
      <c r="G469" s="672">
        <v>20</v>
      </c>
      <c r="H469" s="671" t="s">
        <v>807</v>
      </c>
      <c r="I469" s="675" t="s">
        <v>838</v>
      </c>
      <c r="J469" s="677" t="s">
        <v>804</v>
      </c>
      <c r="K469" s="671">
        <v>11</v>
      </c>
      <c r="L469" s="687">
        <f t="shared" si="11"/>
        <v>18.8</v>
      </c>
      <c r="M469" s="676">
        <f t="shared" si="10"/>
        <v>206.8</v>
      </c>
    </row>
    <row r="470" spans="2:13" s="645" customFormat="1" ht="21.75" customHeight="1">
      <c r="B470" s="670">
        <v>44373</v>
      </c>
      <c r="C470" s="671" t="s">
        <v>819</v>
      </c>
      <c r="D470" s="672" t="s">
        <v>840</v>
      </c>
      <c r="E470" s="673" t="s">
        <v>831</v>
      </c>
      <c r="F470" s="674"/>
      <c r="G470" s="672">
        <v>20</v>
      </c>
      <c r="H470" s="671" t="s">
        <v>807</v>
      </c>
      <c r="I470" s="675" t="s">
        <v>838</v>
      </c>
      <c r="J470" s="677" t="s">
        <v>804</v>
      </c>
      <c r="K470" s="671">
        <v>12</v>
      </c>
      <c r="L470" s="687">
        <f t="shared" si="11"/>
        <v>18.8</v>
      </c>
      <c r="M470" s="676">
        <f t="shared" si="10"/>
        <v>225.60000000000002</v>
      </c>
    </row>
    <row r="471" spans="2:13" s="645" customFormat="1" ht="21.75" customHeight="1">
      <c r="B471" s="670">
        <v>44373</v>
      </c>
      <c r="C471" s="671" t="s">
        <v>819</v>
      </c>
      <c r="D471" s="672" t="s">
        <v>835</v>
      </c>
      <c r="E471" s="673" t="s">
        <v>831</v>
      </c>
      <c r="F471" s="674"/>
      <c r="G471" s="672">
        <v>20</v>
      </c>
      <c r="H471" s="671" t="s">
        <v>807</v>
      </c>
      <c r="I471" s="675" t="s">
        <v>838</v>
      </c>
      <c r="J471" s="677" t="s">
        <v>804</v>
      </c>
      <c r="K471" s="671">
        <v>12</v>
      </c>
      <c r="L471" s="687">
        <f t="shared" si="11"/>
        <v>18.8</v>
      </c>
      <c r="M471" s="676">
        <f t="shared" si="10"/>
        <v>225.60000000000002</v>
      </c>
    </row>
    <row r="472" spans="2:13" s="645" customFormat="1" ht="21.75" customHeight="1">
      <c r="B472" s="670">
        <v>44373</v>
      </c>
      <c r="C472" s="671" t="s">
        <v>819</v>
      </c>
      <c r="D472" s="672" t="s">
        <v>841</v>
      </c>
      <c r="E472" s="673" t="s">
        <v>831</v>
      </c>
      <c r="F472" s="674"/>
      <c r="G472" s="672">
        <v>20</v>
      </c>
      <c r="H472" s="671" t="s">
        <v>807</v>
      </c>
      <c r="I472" s="675" t="s">
        <v>838</v>
      </c>
      <c r="J472" s="677" t="s">
        <v>804</v>
      </c>
      <c r="K472" s="671">
        <v>11</v>
      </c>
      <c r="L472" s="671">
        <f t="shared" si="11"/>
        <v>18.8</v>
      </c>
      <c r="M472" s="676">
        <f t="shared" si="10"/>
        <v>206.8</v>
      </c>
    </row>
    <row r="473" spans="2:13" s="645" customFormat="1" ht="21.75" customHeight="1">
      <c r="B473" s="670">
        <v>44373</v>
      </c>
      <c r="C473" s="671" t="s">
        <v>819</v>
      </c>
      <c r="D473" s="672" t="s">
        <v>834</v>
      </c>
      <c r="E473" s="673" t="s">
        <v>831</v>
      </c>
      <c r="F473" s="674"/>
      <c r="G473" s="672">
        <v>20</v>
      </c>
      <c r="H473" s="671" t="s">
        <v>807</v>
      </c>
      <c r="I473" s="675" t="s">
        <v>838</v>
      </c>
      <c r="J473" s="677" t="s">
        <v>804</v>
      </c>
      <c r="K473" s="671">
        <v>9</v>
      </c>
      <c r="L473" s="671">
        <f t="shared" si="11"/>
        <v>18.8</v>
      </c>
      <c r="M473" s="676">
        <f t="shared" si="10"/>
        <v>169.20000000000002</v>
      </c>
    </row>
    <row r="474" spans="2:13" s="645" customFormat="1" ht="21.75" customHeight="1">
      <c r="B474" s="670">
        <v>44373</v>
      </c>
      <c r="C474" s="671" t="s">
        <v>819</v>
      </c>
      <c r="D474" s="672" t="s">
        <v>848</v>
      </c>
      <c r="E474" s="673" t="s">
        <v>831</v>
      </c>
      <c r="F474" s="674"/>
      <c r="G474" s="672">
        <v>20</v>
      </c>
      <c r="H474" s="671" t="s">
        <v>807</v>
      </c>
      <c r="I474" s="675" t="s">
        <v>838</v>
      </c>
      <c r="J474" s="677" t="s">
        <v>804</v>
      </c>
      <c r="K474" s="671">
        <v>12</v>
      </c>
      <c r="L474" s="671">
        <f t="shared" si="11"/>
        <v>18.8</v>
      </c>
      <c r="M474" s="676">
        <f t="shared" si="10"/>
        <v>225.60000000000002</v>
      </c>
    </row>
    <row r="475" spans="2:13" s="645" customFormat="1" ht="21.75" customHeight="1">
      <c r="B475" s="670">
        <v>44373</v>
      </c>
      <c r="C475" s="671" t="s">
        <v>819</v>
      </c>
      <c r="D475" s="672" t="s">
        <v>836</v>
      </c>
      <c r="E475" s="673" t="s">
        <v>831</v>
      </c>
      <c r="F475" s="674"/>
      <c r="G475" s="672">
        <v>20</v>
      </c>
      <c r="H475" s="671" t="s">
        <v>807</v>
      </c>
      <c r="I475" s="675" t="s">
        <v>838</v>
      </c>
      <c r="J475" s="677" t="s">
        <v>804</v>
      </c>
      <c r="K475" s="671">
        <v>11</v>
      </c>
      <c r="L475" s="671">
        <f t="shared" si="11"/>
        <v>18.8</v>
      </c>
      <c r="M475" s="676">
        <f t="shared" si="10"/>
        <v>206.8</v>
      </c>
    </row>
    <row r="476" spans="2:13" s="645" customFormat="1" ht="21.75" customHeight="1">
      <c r="B476" s="670">
        <v>44373</v>
      </c>
      <c r="C476" s="671" t="s">
        <v>819</v>
      </c>
      <c r="D476" s="672" t="s">
        <v>830</v>
      </c>
      <c r="E476" s="673" t="s">
        <v>831</v>
      </c>
      <c r="F476" s="674"/>
      <c r="G476" s="672">
        <v>15</v>
      </c>
      <c r="H476" s="671" t="s">
        <v>807</v>
      </c>
      <c r="I476" s="675" t="s">
        <v>838</v>
      </c>
      <c r="J476" s="677" t="s">
        <v>804</v>
      </c>
      <c r="K476" s="671">
        <v>11</v>
      </c>
      <c r="L476" s="671">
        <f t="shared" si="11"/>
        <v>14.1</v>
      </c>
      <c r="M476" s="676">
        <f t="shared" si="10"/>
        <v>155.1</v>
      </c>
    </row>
    <row r="477" spans="2:13" s="645" customFormat="1" ht="21.75" customHeight="1">
      <c r="B477" s="670">
        <v>44373</v>
      </c>
      <c r="C477" s="671" t="s">
        <v>819</v>
      </c>
      <c r="D477" s="672" t="s">
        <v>839</v>
      </c>
      <c r="E477" s="673" t="s">
        <v>831</v>
      </c>
      <c r="F477" s="674"/>
      <c r="G477" s="672">
        <v>15</v>
      </c>
      <c r="H477" s="671" t="s">
        <v>807</v>
      </c>
      <c r="I477" s="675" t="s">
        <v>838</v>
      </c>
      <c r="J477" s="677" t="s">
        <v>804</v>
      </c>
      <c r="K477" s="671">
        <v>8</v>
      </c>
      <c r="L477" s="671">
        <f t="shared" si="11"/>
        <v>14.1</v>
      </c>
      <c r="M477" s="676">
        <f t="shared" si="10"/>
        <v>112.8</v>
      </c>
    </row>
    <row r="478" spans="2:13" s="645" customFormat="1" ht="21.75" customHeight="1">
      <c r="B478" s="670">
        <v>44373</v>
      </c>
      <c r="C478" s="671" t="s">
        <v>819</v>
      </c>
      <c r="D478" s="672" t="s">
        <v>833</v>
      </c>
      <c r="E478" s="673" t="s">
        <v>831</v>
      </c>
      <c r="F478" s="674"/>
      <c r="G478" s="672">
        <v>15</v>
      </c>
      <c r="H478" s="671" t="s">
        <v>807</v>
      </c>
      <c r="I478" s="675" t="s">
        <v>838</v>
      </c>
      <c r="J478" s="677" t="s">
        <v>804</v>
      </c>
      <c r="K478" s="671">
        <v>12</v>
      </c>
      <c r="L478" s="671">
        <f t="shared" si="11"/>
        <v>14.1</v>
      </c>
      <c r="M478" s="676">
        <f t="shared" si="10"/>
        <v>169.2</v>
      </c>
    </row>
    <row r="479" spans="2:13" s="645" customFormat="1" ht="21.75" customHeight="1">
      <c r="B479" s="678">
        <v>44373</v>
      </c>
      <c r="C479" s="679" t="s">
        <v>837</v>
      </c>
      <c r="D479" s="680" t="s">
        <v>835</v>
      </c>
      <c r="E479" s="681" t="s">
        <v>831</v>
      </c>
      <c r="F479" s="682"/>
      <c r="G479" s="680">
        <v>20</v>
      </c>
      <c r="H479" s="679" t="s">
        <v>807</v>
      </c>
      <c r="I479" s="683" t="s">
        <v>838</v>
      </c>
      <c r="J479" s="684" t="s">
        <v>804</v>
      </c>
      <c r="K479" s="679">
        <v>6</v>
      </c>
      <c r="L479" s="679">
        <f t="shared" si="11"/>
        <v>18.8</v>
      </c>
      <c r="M479" s="668">
        <f t="shared" si="10"/>
        <v>112.80000000000001</v>
      </c>
    </row>
    <row r="480" spans="2:13" s="645" customFormat="1" ht="21.75" customHeight="1">
      <c r="B480" s="678">
        <v>44373</v>
      </c>
      <c r="C480" s="679" t="s">
        <v>837</v>
      </c>
      <c r="D480" s="680" t="s">
        <v>841</v>
      </c>
      <c r="E480" s="681" t="s">
        <v>831</v>
      </c>
      <c r="F480" s="682"/>
      <c r="G480" s="680">
        <v>20</v>
      </c>
      <c r="H480" s="679" t="s">
        <v>807</v>
      </c>
      <c r="I480" s="683" t="s">
        <v>838</v>
      </c>
      <c r="J480" s="684" t="s">
        <v>804</v>
      </c>
      <c r="K480" s="679">
        <v>6</v>
      </c>
      <c r="L480" s="679">
        <f t="shared" si="11"/>
        <v>18.8</v>
      </c>
      <c r="M480" s="668">
        <f t="shared" si="10"/>
        <v>112.80000000000001</v>
      </c>
    </row>
    <row r="481" spans="2:13" s="645" customFormat="1" ht="21.75" customHeight="1">
      <c r="B481" s="678">
        <v>44373</v>
      </c>
      <c r="C481" s="679" t="s">
        <v>837</v>
      </c>
      <c r="D481" s="680" t="s">
        <v>834</v>
      </c>
      <c r="E481" s="681" t="s">
        <v>831</v>
      </c>
      <c r="F481" s="682"/>
      <c r="G481" s="680">
        <v>20</v>
      </c>
      <c r="H481" s="679" t="s">
        <v>807</v>
      </c>
      <c r="I481" s="683" t="s">
        <v>838</v>
      </c>
      <c r="J481" s="684" t="s">
        <v>804</v>
      </c>
      <c r="K481" s="679">
        <v>6</v>
      </c>
      <c r="L481" s="679">
        <f t="shared" si="11"/>
        <v>18.8</v>
      </c>
      <c r="M481" s="668">
        <f t="shared" si="10"/>
        <v>112.80000000000001</v>
      </c>
    </row>
    <row r="482" spans="2:13" s="645" customFormat="1" ht="21.75" customHeight="1">
      <c r="B482" s="678">
        <v>44373</v>
      </c>
      <c r="C482" s="679" t="s">
        <v>837</v>
      </c>
      <c r="D482" s="680" t="s">
        <v>848</v>
      </c>
      <c r="E482" s="681" t="s">
        <v>831</v>
      </c>
      <c r="F482" s="682"/>
      <c r="G482" s="680">
        <v>20</v>
      </c>
      <c r="H482" s="679" t="s">
        <v>807</v>
      </c>
      <c r="I482" s="683" t="s">
        <v>838</v>
      </c>
      <c r="J482" s="684" t="s">
        <v>804</v>
      </c>
      <c r="K482" s="679">
        <v>6</v>
      </c>
      <c r="L482" s="679">
        <f t="shared" si="11"/>
        <v>18.8</v>
      </c>
      <c r="M482" s="668">
        <f t="shared" si="10"/>
        <v>112.80000000000001</v>
      </c>
    </row>
    <row r="483" spans="2:13" s="645" customFormat="1" ht="21.75" customHeight="1">
      <c r="B483" s="678">
        <v>44373</v>
      </c>
      <c r="C483" s="679" t="s">
        <v>837</v>
      </c>
      <c r="D483" s="680" t="s">
        <v>839</v>
      </c>
      <c r="E483" s="681" t="s">
        <v>831</v>
      </c>
      <c r="F483" s="682"/>
      <c r="G483" s="680">
        <v>15</v>
      </c>
      <c r="H483" s="679" t="s">
        <v>807</v>
      </c>
      <c r="I483" s="683" t="s">
        <v>838</v>
      </c>
      <c r="J483" s="684" t="s">
        <v>804</v>
      </c>
      <c r="K483" s="679">
        <v>5</v>
      </c>
      <c r="L483" s="679">
        <f t="shared" si="11"/>
        <v>14.1</v>
      </c>
      <c r="M483" s="668">
        <f t="shared" si="10"/>
        <v>70.5</v>
      </c>
    </row>
    <row r="484" spans="2:13" s="645" customFormat="1" ht="21.75" customHeight="1">
      <c r="B484" s="670">
        <v>44374</v>
      </c>
      <c r="C484" s="671" t="s">
        <v>819</v>
      </c>
      <c r="D484" s="672" t="s">
        <v>849</v>
      </c>
      <c r="E484" s="673" t="s">
        <v>831</v>
      </c>
      <c r="F484" s="670"/>
      <c r="G484" s="672">
        <v>20</v>
      </c>
      <c r="H484" s="671" t="s">
        <v>807</v>
      </c>
      <c r="I484" s="675" t="s">
        <v>838</v>
      </c>
      <c r="J484" s="677" t="s">
        <v>804</v>
      </c>
      <c r="K484" s="671">
        <v>7</v>
      </c>
      <c r="L484" s="671">
        <f t="shared" si="11"/>
        <v>18.8</v>
      </c>
      <c r="M484" s="676">
        <f t="shared" si="10"/>
        <v>131.6</v>
      </c>
    </row>
    <row r="485" spans="2:13" s="645" customFormat="1" ht="21.75" customHeight="1">
      <c r="B485" s="670">
        <v>44374</v>
      </c>
      <c r="C485" s="671" t="s">
        <v>819</v>
      </c>
      <c r="D485" s="672" t="s">
        <v>835</v>
      </c>
      <c r="E485" s="673" t="s">
        <v>831</v>
      </c>
      <c r="F485" s="670"/>
      <c r="G485" s="672">
        <v>20</v>
      </c>
      <c r="H485" s="671" t="s">
        <v>807</v>
      </c>
      <c r="I485" s="675" t="s">
        <v>838</v>
      </c>
      <c r="J485" s="677" t="s">
        <v>804</v>
      </c>
      <c r="K485" s="671">
        <v>8</v>
      </c>
      <c r="L485" s="671">
        <f t="shared" si="11"/>
        <v>18.8</v>
      </c>
      <c r="M485" s="676">
        <f t="shared" si="10"/>
        <v>150.4</v>
      </c>
    </row>
    <row r="486" spans="2:13" s="645" customFormat="1" ht="21.75" customHeight="1">
      <c r="B486" s="670">
        <v>44374</v>
      </c>
      <c r="C486" s="671" t="s">
        <v>819</v>
      </c>
      <c r="D486" s="672" t="s">
        <v>841</v>
      </c>
      <c r="E486" s="673" t="s">
        <v>831</v>
      </c>
      <c r="F486" s="670"/>
      <c r="G486" s="672">
        <v>20</v>
      </c>
      <c r="H486" s="671" t="s">
        <v>807</v>
      </c>
      <c r="I486" s="675" t="s">
        <v>838</v>
      </c>
      <c r="J486" s="677" t="s">
        <v>804</v>
      </c>
      <c r="K486" s="671">
        <v>8</v>
      </c>
      <c r="L486" s="671">
        <f t="shared" si="11"/>
        <v>18.8</v>
      </c>
      <c r="M486" s="676">
        <f t="shared" si="10"/>
        <v>150.4</v>
      </c>
    </row>
    <row r="487" spans="2:13" s="645" customFormat="1" ht="21.75" customHeight="1">
      <c r="B487" s="670">
        <v>44374</v>
      </c>
      <c r="C487" s="671" t="s">
        <v>819</v>
      </c>
      <c r="D487" s="672" t="s">
        <v>834</v>
      </c>
      <c r="E487" s="673" t="s">
        <v>831</v>
      </c>
      <c r="F487" s="670"/>
      <c r="G487" s="672">
        <v>20</v>
      </c>
      <c r="H487" s="671" t="s">
        <v>807</v>
      </c>
      <c r="I487" s="675" t="s">
        <v>838</v>
      </c>
      <c r="J487" s="677" t="s">
        <v>804</v>
      </c>
      <c r="K487" s="671">
        <v>8</v>
      </c>
      <c r="L487" s="671">
        <f t="shared" si="11"/>
        <v>18.8</v>
      </c>
      <c r="M487" s="676">
        <f t="shared" ref="M487:M550" si="12">L487*K487</f>
        <v>150.4</v>
      </c>
    </row>
    <row r="488" spans="2:13" s="645" customFormat="1" ht="21.75" customHeight="1">
      <c r="B488" s="670">
        <v>44374</v>
      </c>
      <c r="C488" s="671" t="s">
        <v>819</v>
      </c>
      <c r="D488" s="672" t="s">
        <v>848</v>
      </c>
      <c r="E488" s="673" t="s">
        <v>831</v>
      </c>
      <c r="F488" s="670"/>
      <c r="G488" s="672">
        <v>20</v>
      </c>
      <c r="H488" s="671" t="s">
        <v>807</v>
      </c>
      <c r="I488" s="675" t="s">
        <v>838</v>
      </c>
      <c r="J488" s="677" t="s">
        <v>804</v>
      </c>
      <c r="K488" s="671">
        <v>8</v>
      </c>
      <c r="L488" s="671">
        <f t="shared" si="11"/>
        <v>18.8</v>
      </c>
      <c r="M488" s="676">
        <f t="shared" si="12"/>
        <v>150.4</v>
      </c>
    </row>
    <row r="489" spans="2:13" s="645" customFormat="1" ht="21.75" customHeight="1">
      <c r="B489" s="670">
        <v>44374</v>
      </c>
      <c r="C489" s="671" t="s">
        <v>819</v>
      </c>
      <c r="D489" s="672" t="s">
        <v>836</v>
      </c>
      <c r="E489" s="673" t="s">
        <v>831</v>
      </c>
      <c r="F489" s="670"/>
      <c r="G489" s="672">
        <v>20</v>
      </c>
      <c r="H489" s="671" t="s">
        <v>807</v>
      </c>
      <c r="I489" s="675" t="s">
        <v>838</v>
      </c>
      <c r="J489" s="677" t="s">
        <v>804</v>
      </c>
      <c r="K489" s="671">
        <v>6</v>
      </c>
      <c r="L489" s="671">
        <f t="shared" si="11"/>
        <v>18.8</v>
      </c>
      <c r="M489" s="676">
        <f t="shared" si="12"/>
        <v>112.80000000000001</v>
      </c>
    </row>
    <row r="490" spans="2:13" s="645" customFormat="1" ht="21.75" customHeight="1">
      <c r="B490" s="670">
        <v>44374</v>
      </c>
      <c r="C490" s="671" t="s">
        <v>819</v>
      </c>
      <c r="D490" s="672" t="s">
        <v>830</v>
      </c>
      <c r="E490" s="673" t="s">
        <v>831</v>
      </c>
      <c r="F490" s="670"/>
      <c r="G490" s="672">
        <v>15</v>
      </c>
      <c r="H490" s="671" t="s">
        <v>807</v>
      </c>
      <c r="I490" s="675" t="s">
        <v>838</v>
      </c>
      <c r="J490" s="677" t="s">
        <v>804</v>
      </c>
      <c r="K490" s="671">
        <v>7</v>
      </c>
      <c r="L490" s="671">
        <f t="shared" si="11"/>
        <v>14.1</v>
      </c>
      <c r="M490" s="676">
        <f t="shared" si="12"/>
        <v>98.7</v>
      </c>
    </row>
    <row r="491" spans="2:13" s="645" customFormat="1" ht="21.75" customHeight="1">
      <c r="B491" s="670">
        <v>44374</v>
      </c>
      <c r="C491" s="671" t="s">
        <v>819</v>
      </c>
      <c r="D491" s="672" t="s">
        <v>839</v>
      </c>
      <c r="E491" s="673" t="s">
        <v>831</v>
      </c>
      <c r="F491" s="670"/>
      <c r="G491" s="672">
        <v>15</v>
      </c>
      <c r="H491" s="671" t="s">
        <v>807</v>
      </c>
      <c r="I491" s="675" t="s">
        <v>838</v>
      </c>
      <c r="J491" s="677" t="s">
        <v>804</v>
      </c>
      <c r="K491" s="671">
        <v>10</v>
      </c>
      <c r="L491" s="671">
        <f t="shared" si="11"/>
        <v>14.1</v>
      </c>
      <c r="M491" s="676">
        <f t="shared" si="12"/>
        <v>141</v>
      </c>
    </row>
    <row r="492" spans="2:13" s="645" customFormat="1" ht="21.75" customHeight="1">
      <c r="B492" s="670">
        <v>44374</v>
      </c>
      <c r="C492" s="671" t="s">
        <v>819</v>
      </c>
      <c r="D492" s="672" t="s">
        <v>833</v>
      </c>
      <c r="E492" s="673" t="s">
        <v>831</v>
      </c>
      <c r="F492" s="670"/>
      <c r="G492" s="672">
        <v>15</v>
      </c>
      <c r="H492" s="671" t="s">
        <v>807</v>
      </c>
      <c r="I492" s="675" t="s">
        <v>838</v>
      </c>
      <c r="J492" s="677" t="s">
        <v>804</v>
      </c>
      <c r="K492" s="671">
        <v>6</v>
      </c>
      <c r="L492" s="671">
        <f t="shared" si="11"/>
        <v>14.1</v>
      </c>
      <c r="M492" s="676">
        <f t="shared" si="12"/>
        <v>84.6</v>
      </c>
    </row>
    <row r="493" spans="2:13" s="645" customFormat="1" ht="21.75" customHeight="1">
      <c r="B493" s="670">
        <v>44374</v>
      </c>
      <c r="C493" s="671" t="s">
        <v>819</v>
      </c>
      <c r="D493" s="672" t="s">
        <v>845</v>
      </c>
      <c r="E493" s="673" t="s">
        <v>831</v>
      </c>
      <c r="F493" s="670"/>
      <c r="G493" s="672">
        <v>17</v>
      </c>
      <c r="H493" s="671" t="s">
        <v>807</v>
      </c>
      <c r="I493" s="675" t="s">
        <v>838</v>
      </c>
      <c r="J493" s="677" t="s">
        <v>804</v>
      </c>
      <c r="K493" s="671">
        <v>8</v>
      </c>
      <c r="L493" s="671">
        <f t="shared" si="11"/>
        <v>15.98</v>
      </c>
      <c r="M493" s="676">
        <f t="shared" si="12"/>
        <v>127.84</v>
      </c>
    </row>
    <row r="494" spans="2:13" s="645" customFormat="1" ht="21.75" customHeight="1">
      <c r="B494" s="670">
        <v>44374</v>
      </c>
      <c r="C494" s="671" t="s">
        <v>819</v>
      </c>
      <c r="D494" s="672" t="s">
        <v>850</v>
      </c>
      <c r="E494" s="673" t="s">
        <v>831</v>
      </c>
      <c r="F494" s="670"/>
      <c r="G494" s="672">
        <v>15</v>
      </c>
      <c r="H494" s="671" t="s">
        <v>807</v>
      </c>
      <c r="I494" s="675" t="s">
        <v>838</v>
      </c>
      <c r="J494" s="677" t="s">
        <v>804</v>
      </c>
      <c r="K494" s="671">
        <v>7</v>
      </c>
      <c r="L494" s="671">
        <f t="shared" si="11"/>
        <v>14.1</v>
      </c>
      <c r="M494" s="676">
        <f t="shared" si="12"/>
        <v>98.7</v>
      </c>
    </row>
    <row r="495" spans="2:13" s="645" customFormat="1" ht="21.75" customHeight="1">
      <c r="B495" s="670">
        <v>44375</v>
      </c>
      <c r="C495" s="671" t="s">
        <v>819</v>
      </c>
      <c r="D495" s="672" t="s">
        <v>849</v>
      </c>
      <c r="E495" s="673" t="s">
        <v>831</v>
      </c>
      <c r="F495" s="670"/>
      <c r="G495" s="672">
        <v>20</v>
      </c>
      <c r="H495" s="671" t="s">
        <v>807</v>
      </c>
      <c r="I495" s="675" t="s">
        <v>853</v>
      </c>
      <c r="J495" s="677" t="s">
        <v>804</v>
      </c>
      <c r="K495" s="671">
        <v>11</v>
      </c>
      <c r="L495" s="671">
        <f t="shared" si="11"/>
        <v>18.8</v>
      </c>
      <c r="M495" s="676">
        <f t="shared" si="12"/>
        <v>206.8</v>
      </c>
    </row>
    <row r="496" spans="2:13" s="645" customFormat="1" ht="21.75" customHeight="1">
      <c r="B496" s="670">
        <v>44375</v>
      </c>
      <c r="C496" s="671" t="s">
        <v>819</v>
      </c>
      <c r="D496" s="672" t="s">
        <v>835</v>
      </c>
      <c r="E496" s="673" t="s">
        <v>831</v>
      </c>
      <c r="F496" s="670"/>
      <c r="G496" s="672">
        <v>20</v>
      </c>
      <c r="H496" s="671" t="s">
        <v>807</v>
      </c>
      <c r="I496" s="675" t="s">
        <v>853</v>
      </c>
      <c r="J496" s="677" t="s">
        <v>804</v>
      </c>
      <c r="K496" s="671">
        <v>11</v>
      </c>
      <c r="L496" s="671">
        <f t="shared" si="11"/>
        <v>18.8</v>
      </c>
      <c r="M496" s="676">
        <f t="shared" si="12"/>
        <v>206.8</v>
      </c>
    </row>
    <row r="497" spans="2:13" s="645" customFormat="1" ht="21.75" customHeight="1">
      <c r="B497" s="670">
        <v>44375</v>
      </c>
      <c r="C497" s="671" t="s">
        <v>819</v>
      </c>
      <c r="D497" s="672" t="s">
        <v>841</v>
      </c>
      <c r="E497" s="673" t="s">
        <v>831</v>
      </c>
      <c r="F497" s="670"/>
      <c r="G497" s="672">
        <v>20</v>
      </c>
      <c r="H497" s="671" t="s">
        <v>807</v>
      </c>
      <c r="I497" s="675" t="s">
        <v>853</v>
      </c>
      <c r="J497" s="677" t="s">
        <v>804</v>
      </c>
      <c r="K497" s="671">
        <v>9</v>
      </c>
      <c r="L497" s="671">
        <f t="shared" si="11"/>
        <v>18.8</v>
      </c>
      <c r="M497" s="676">
        <f t="shared" si="12"/>
        <v>169.20000000000002</v>
      </c>
    </row>
    <row r="498" spans="2:13" s="645" customFormat="1" ht="21.75" customHeight="1">
      <c r="B498" s="670">
        <v>44375</v>
      </c>
      <c r="C498" s="671" t="s">
        <v>819</v>
      </c>
      <c r="D498" s="672" t="s">
        <v>834</v>
      </c>
      <c r="E498" s="673" t="s">
        <v>831</v>
      </c>
      <c r="F498" s="670"/>
      <c r="G498" s="672">
        <v>20</v>
      </c>
      <c r="H498" s="671" t="s">
        <v>807</v>
      </c>
      <c r="I498" s="675" t="s">
        <v>853</v>
      </c>
      <c r="J498" s="677" t="s">
        <v>804</v>
      </c>
      <c r="K498" s="671">
        <v>9</v>
      </c>
      <c r="L498" s="671">
        <f t="shared" si="11"/>
        <v>18.8</v>
      </c>
      <c r="M498" s="676">
        <f t="shared" si="12"/>
        <v>169.20000000000002</v>
      </c>
    </row>
    <row r="499" spans="2:13" s="645" customFormat="1" ht="21.75" customHeight="1">
      <c r="B499" s="670">
        <v>44375</v>
      </c>
      <c r="C499" s="671" t="s">
        <v>819</v>
      </c>
      <c r="D499" s="672" t="s">
        <v>848</v>
      </c>
      <c r="E499" s="673" t="s">
        <v>831</v>
      </c>
      <c r="F499" s="670"/>
      <c r="G499" s="672">
        <v>20</v>
      </c>
      <c r="H499" s="671" t="s">
        <v>807</v>
      </c>
      <c r="I499" s="675" t="s">
        <v>853</v>
      </c>
      <c r="J499" s="677" t="s">
        <v>804</v>
      </c>
      <c r="K499" s="671">
        <v>11</v>
      </c>
      <c r="L499" s="671">
        <f t="shared" si="11"/>
        <v>18.8</v>
      </c>
      <c r="M499" s="676">
        <f t="shared" si="12"/>
        <v>206.8</v>
      </c>
    </row>
    <row r="500" spans="2:13" s="645" customFormat="1" ht="21.75" customHeight="1">
      <c r="B500" s="670">
        <v>44375</v>
      </c>
      <c r="C500" s="671" t="s">
        <v>819</v>
      </c>
      <c r="D500" s="672" t="s">
        <v>830</v>
      </c>
      <c r="E500" s="673" t="s">
        <v>831</v>
      </c>
      <c r="F500" s="670"/>
      <c r="G500" s="672">
        <v>15</v>
      </c>
      <c r="H500" s="671" t="s">
        <v>807</v>
      </c>
      <c r="I500" s="675" t="s">
        <v>853</v>
      </c>
      <c r="J500" s="677" t="s">
        <v>804</v>
      </c>
      <c r="K500" s="671">
        <v>8</v>
      </c>
      <c r="L500" s="671">
        <f t="shared" si="11"/>
        <v>14.1</v>
      </c>
      <c r="M500" s="676">
        <f t="shared" si="12"/>
        <v>112.8</v>
      </c>
    </row>
    <row r="501" spans="2:13" s="645" customFormat="1" ht="21.75" customHeight="1">
      <c r="B501" s="670">
        <v>44375</v>
      </c>
      <c r="C501" s="671" t="s">
        <v>819</v>
      </c>
      <c r="D501" s="672" t="s">
        <v>839</v>
      </c>
      <c r="E501" s="673" t="s">
        <v>831</v>
      </c>
      <c r="F501" s="670"/>
      <c r="G501" s="672">
        <v>15</v>
      </c>
      <c r="H501" s="671" t="s">
        <v>807</v>
      </c>
      <c r="I501" s="675" t="s">
        <v>853</v>
      </c>
      <c r="J501" s="677" t="s">
        <v>804</v>
      </c>
      <c r="K501" s="671">
        <v>10</v>
      </c>
      <c r="L501" s="671">
        <f t="shared" si="11"/>
        <v>14.1</v>
      </c>
      <c r="M501" s="676">
        <f t="shared" si="12"/>
        <v>141</v>
      </c>
    </row>
    <row r="502" spans="2:13" s="645" customFormat="1" ht="21.75" customHeight="1">
      <c r="B502" s="670">
        <v>44375</v>
      </c>
      <c r="C502" s="671" t="s">
        <v>819</v>
      </c>
      <c r="D502" s="672" t="s">
        <v>845</v>
      </c>
      <c r="E502" s="673" t="s">
        <v>831</v>
      </c>
      <c r="F502" s="670"/>
      <c r="G502" s="672">
        <v>17</v>
      </c>
      <c r="H502" s="671" t="s">
        <v>807</v>
      </c>
      <c r="I502" s="675" t="s">
        <v>853</v>
      </c>
      <c r="J502" s="677" t="s">
        <v>804</v>
      </c>
      <c r="K502" s="671">
        <v>9</v>
      </c>
      <c r="L502" s="671">
        <f t="shared" si="11"/>
        <v>15.98</v>
      </c>
      <c r="M502" s="676">
        <f t="shared" si="12"/>
        <v>143.82</v>
      </c>
    </row>
    <row r="503" spans="2:13" s="645" customFormat="1" ht="21.75" customHeight="1">
      <c r="B503" s="670">
        <v>44375</v>
      </c>
      <c r="C503" s="671" t="s">
        <v>819</v>
      </c>
      <c r="D503" s="672" t="s">
        <v>847</v>
      </c>
      <c r="E503" s="673" t="s">
        <v>831</v>
      </c>
      <c r="F503" s="670"/>
      <c r="G503" s="672">
        <v>17</v>
      </c>
      <c r="H503" s="671" t="s">
        <v>807</v>
      </c>
      <c r="I503" s="675" t="s">
        <v>853</v>
      </c>
      <c r="J503" s="677" t="s">
        <v>804</v>
      </c>
      <c r="K503" s="671">
        <v>9</v>
      </c>
      <c r="L503" s="671">
        <f t="shared" si="11"/>
        <v>15.98</v>
      </c>
      <c r="M503" s="676">
        <f t="shared" si="12"/>
        <v>143.82</v>
      </c>
    </row>
    <row r="504" spans="2:13" s="645" customFormat="1" ht="21.75" customHeight="1">
      <c r="B504" s="670">
        <v>44375</v>
      </c>
      <c r="C504" s="671" t="s">
        <v>819</v>
      </c>
      <c r="D504" s="672" t="s">
        <v>850</v>
      </c>
      <c r="E504" s="673" t="s">
        <v>831</v>
      </c>
      <c r="F504" s="670"/>
      <c r="G504" s="672">
        <v>15</v>
      </c>
      <c r="H504" s="671" t="s">
        <v>807</v>
      </c>
      <c r="I504" s="675" t="s">
        <v>853</v>
      </c>
      <c r="J504" s="677" t="s">
        <v>804</v>
      </c>
      <c r="K504" s="671">
        <v>9</v>
      </c>
      <c r="L504" s="671">
        <f t="shared" si="11"/>
        <v>14.1</v>
      </c>
      <c r="M504" s="676">
        <f t="shared" si="12"/>
        <v>126.89999999999999</v>
      </c>
    </row>
    <row r="505" spans="2:13" s="645" customFormat="1" ht="21.75" customHeight="1">
      <c r="B505" s="678">
        <v>44375</v>
      </c>
      <c r="C505" s="679" t="s">
        <v>837</v>
      </c>
      <c r="D505" s="680" t="s">
        <v>849</v>
      </c>
      <c r="E505" s="681" t="s">
        <v>831</v>
      </c>
      <c r="F505" s="678"/>
      <c r="G505" s="680">
        <v>20</v>
      </c>
      <c r="H505" s="679" t="s">
        <v>807</v>
      </c>
      <c r="I505" s="683" t="s">
        <v>853</v>
      </c>
      <c r="J505" s="684" t="s">
        <v>804</v>
      </c>
      <c r="K505" s="679">
        <v>6</v>
      </c>
      <c r="L505" s="679">
        <f t="shared" si="11"/>
        <v>18.8</v>
      </c>
      <c r="M505" s="668">
        <f t="shared" si="12"/>
        <v>112.80000000000001</v>
      </c>
    </row>
    <row r="506" spans="2:13" s="645" customFormat="1" ht="21.75" customHeight="1">
      <c r="B506" s="678">
        <v>44375</v>
      </c>
      <c r="C506" s="679" t="s">
        <v>837</v>
      </c>
      <c r="D506" s="680" t="s">
        <v>835</v>
      </c>
      <c r="E506" s="681" t="s">
        <v>831</v>
      </c>
      <c r="F506" s="678"/>
      <c r="G506" s="680">
        <v>20</v>
      </c>
      <c r="H506" s="679" t="s">
        <v>807</v>
      </c>
      <c r="I506" s="683" t="s">
        <v>853</v>
      </c>
      <c r="J506" s="684" t="s">
        <v>804</v>
      </c>
      <c r="K506" s="679">
        <v>5</v>
      </c>
      <c r="L506" s="679">
        <f t="shared" si="11"/>
        <v>18.8</v>
      </c>
      <c r="M506" s="668">
        <f t="shared" si="12"/>
        <v>94</v>
      </c>
    </row>
    <row r="507" spans="2:13" s="645" customFormat="1" ht="21.75" customHeight="1">
      <c r="B507" s="678">
        <v>44375</v>
      </c>
      <c r="C507" s="679" t="s">
        <v>837</v>
      </c>
      <c r="D507" s="680" t="s">
        <v>841</v>
      </c>
      <c r="E507" s="681" t="s">
        <v>831</v>
      </c>
      <c r="F507" s="678"/>
      <c r="G507" s="680">
        <v>20</v>
      </c>
      <c r="H507" s="679" t="s">
        <v>807</v>
      </c>
      <c r="I507" s="683" t="s">
        <v>853</v>
      </c>
      <c r="J507" s="684" t="s">
        <v>804</v>
      </c>
      <c r="K507" s="679">
        <v>6</v>
      </c>
      <c r="L507" s="679">
        <f t="shared" si="11"/>
        <v>18.8</v>
      </c>
      <c r="M507" s="668">
        <f t="shared" si="12"/>
        <v>112.80000000000001</v>
      </c>
    </row>
    <row r="508" spans="2:13" s="645" customFormat="1" ht="21.75" customHeight="1">
      <c r="B508" s="678">
        <v>44375</v>
      </c>
      <c r="C508" s="679" t="s">
        <v>837</v>
      </c>
      <c r="D508" s="680" t="s">
        <v>834</v>
      </c>
      <c r="E508" s="681" t="s">
        <v>831</v>
      </c>
      <c r="F508" s="678"/>
      <c r="G508" s="680">
        <v>20</v>
      </c>
      <c r="H508" s="679" t="s">
        <v>807</v>
      </c>
      <c r="I508" s="683" t="s">
        <v>853</v>
      </c>
      <c r="J508" s="684" t="s">
        <v>804</v>
      </c>
      <c r="K508" s="679">
        <v>6</v>
      </c>
      <c r="L508" s="679">
        <f t="shared" si="11"/>
        <v>18.8</v>
      </c>
      <c r="M508" s="668">
        <f t="shared" si="12"/>
        <v>112.80000000000001</v>
      </c>
    </row>
    <row r="509" spans="2:13" s="645" customFormat="1" ht="21.75" customHeight="1">
      <c r="B509" s="678">
        <v>44375</v>
      </c>
      <c r="C509" s="679" t="s">
        <v>837</v>
      </c>
      <c r="D509" s="680" t="s">
        <v>848</v>
      </c>
      <c r="E509" s="681" t="s">
        <v>831</v>
      </c>
      <c r="F509" s="678"/>
      <c r="G509" s="680">
        <v>20</v>
      </c>
      <c r="H509" s="679" t="s">
        <v>807</v>
      </c>
      <c r="I509" s="683" t="s">
        <v>853</v>
      </c>
      <c r="J509" s="684" t="s">
        <v>804</v>
      </c>
      <c r="K509" s="679">
        <v>3</v>
      </c>
      <c r="L509" s="679">
        <f t="shared" si="11"/>
        <v>18.8</v>
      </c>
      <c r="M509" s="668">
        <f t="shared" si="12"/>
        <v>56.400000000000006</v>
      </c>
    </row>
    <row r="510" spans="2:13" s="645" customFormat="1" ht="21.75" customHeight="1">
      <c r="B510" s="678">
        <v>44375</v>
      </c>
      <c r="C510" s="679" t="s">
        <v>837</v>
      </c>
      <c r="D510" s="680" t="s">
        <v>830</v>
      </c>
      <c r="E510" s="681" t="s">
        <v>831</v>
      </c>
      <c r="F510" s="678"/>
      <c r="G510" s="680">
        <v>15</v>
      </c>
      <c r="H510" s="679" t="s">
        <v>807</v>
      </c>
      <c r="I510" s="683" t="s">
        <v>853</v>
      </c>
      <c r="J510" s="684" t="s">
        <v>804</v>
      </c>
      <c r="K510" s="679">
        <v>5</v>
      </c>
      <c r="L510" s="679">
        <f t="shared" si="11"/>
        <v>14.1</v>
      </c>
      <c r="M510" s="668">
        <f t="shared" si="12"/>
        <v>70.5</v>
      </c>
    </row>
    <row r="511" spans="2:13" s="645" customFormat="1" ht="21.75" customHeight="1">
      <c r="B511" s="678">
        <v>44375</v>
      </c>
      <c r="C511" s="679" t="s">
        <v>837</v>
      </c>
      <c r="D511" s="680" t="s">
        <v>833</v>
      </c>
      <c r="E511" s="681" t="s">
        <v>831</v>
      </c>
      <c r="F511" s="678"/>
      <c r="G511" s="680">
        <v>15</v>
      </c>
      <c r="H511" s="679" t="s">
        <v>807</v>
      </c>
      <c r="I511" s="683" t="s">
        <v>853</v>
      </c>
      <c r="J511" s="684" t="s">
        <v>804</v>
      </c>
      <c r="K511" s="679">
        <v>5</v>
      </c>
      <c r="L511" s="679">
        <f t="shared" si="11"/>
        <v>14.1</v>
      </c>
      <c r="M511" s="668">
        <f t="shared" si="12"/>
        <v>70.5</v>
      </c>
    </row>
    <row r="512" spans="2:13" s="645" customFormat="1" ht="21.75" customHeight="1">
      <c r="B512" s="678">
        <v>44375</v>
      </c>
      <c r="C512" s="679" t="s">
        <v>837</v>
      </c>
      <c r="D512" s="680" t="s">
        <v>845</v>
      </c>
      <c r="E512" s="681" t="s">
        <v>831</v>
      </c>
      <c r="F512" s="678"/>
      <c r="G512" s="680">
        <v>17</v>
      </c>
      <c r="H512" s="679" t="s">
        <v>807</v>
      </c>
      <c r="I512" s="683" t="s">
        <v>853</v>
      </c>
      <c r="J512" s="684" t="s">
        <v>804</v>
      </c>
      <c r="K512" s="679">
        <v>6</v>
      </c>
      <c r="L512" s="679">
        <f t="shared" si="11"/>
        <v>15.98</v>
      </c>
      <c r="M512" s="668">
        <f t="shared" si="12"/>
        <v>95.88</v>
      </c>
    </row>
    <row r="513" spans="2:13" s="645" customFormat="1" ht="21.75" customHeight="1">
      <c r="B513" s="678">
        <v>44375</v>
      </c>
      <c r="C513" s="679" t="s">
        <v>837</v>
      </c>
      <c r="D513" s="680" t="s">
        <v>847</v>
      </c>
      <c r="E513" s="681" t="s">
        <v>831</v>
      </c>
      <c r="F513" s="678"/>
      <c r="G513" s="680">
        <v>17</v>
      </c>
      <c r="H513" s="679" t="s">
        <v>807</v>
      </c>
      <c r="I513" s="683" t="s">
        <v>853</v>
      </c>
      <c r="J513" s="684" t="s">
        <v>804</v>
      </c>
      <c r="K513" s="679">
        <v>6</v>
      </c>
      <c r="L513" s="679">
        <f t="shared" si="11"/>
        <v>15.98</v>
      </c>
      <c r="M513" s="668">
        <f t="shared" si="12"/>
        <v>95.88</v>
      </c>
    </row>
    <row r="514" spans="2:13" s="645" customFormat="1" ht="21.75" customHeight="1">
      <c r="B514" s="678">
        <v>44375</v>
      </c>
      <c r="C514" s="679" t="s">
        <v>837</v>
      </c>
      <c r="D514" s="680" t="s">
        <v>850</v>
      </c>
      <c r="E514" s="681" t="s">
        <v>831</v>
      </c>
      <c r="F514" s="678"/>
      <c r="G514" s="680">
        <v>15</v>
      </c>
      <c r="H514" s="679" t="s">
        <v>807</v>
      </c>
      <c r="I514" s="683" t="s">
        <v>853</v>
      </c>
      <c r="J514" s="684" t="s">
        <v>804</v>
      </c>
      <c r="K514" s="679">
        <v>1</v>
      </c>
      <c r="L514" s="679">
        <f t="shared" si="11"/>
        <v>14.1</v>
      </c>
      <c r="M514" s="668">
        <f t="shared" si="12"/>
        <v>14.1</v>
      </c>
    </row>
    <row r="515" spans="2:13" s="645" customFormat="1" ht="21.75" customHeight="1">
      <c r="B515" s="661">
        <v>44375</v>
      </c>
      <c r="C515" s="662" t="s">
        <v>819</v>
      </c>
      <c r="D515" s="663" t="s">
        <v>841</v>
      </c>
      <c r="E515" s="664" t="s">
        <v>831</v>
      </c>
      <c r="F515" s="665"/>
      <c r="G515" s="663">
        <v>20</v>
      </c>
      <c r="H515" s="662" t="s">
        <v>807</v>
      </c>
      <c r="I515" s="666" t="s">
        <v>851</v>
      </c>
      <c r="J515" s="667" t="s">
        <v>852</v>
      </c>
      <c r="K515" s="662">
        <v>1</v>
      </c>
      <c r="L515" s="685">
        <f t="shared" si="11"/>
        <v>18.8</v>
      </c>
      <c r="M515" s="686">
        <f t="shared" si="12"/>
        <v>18.8</v>
      </c>
    </row>
    <row r="516" spans="2:13" s="645" customFormat="1" ht="21.75" customHeight="1">
      <c r="B516" s="661">
        <v>44375</v>
      </c>
      <c r="C516" s="662" t="s">
        <v>819</v>
      </c>
      <c r="D516" s="663" t="s">
        <v>834</v>
      </c>
      <c r="E516" s="664" t="s">
        <v>831</v>
      </c>
      <c r="F516" s="665"/>
      <c r="G516" s="663">
        <v>20</v>
      </c>
      <c r="H516" s="662" t="s">
        <v>807</v>
      </c>
      <c r="I516" s="666" t="s">
        <v>851</v>
      </c>
      <c r="J516" s="667" t="s">
        <v>852</v>
      </c>
      <c r="K516" s="662">
        <v>1</v>
      </c>
      <c r="L516" s="685">
        <f t="shared" si="11"/>
        <v>18.8</v>
      </c>
      <c r="M516" s="686">
        <f t="shared" si="12"/>
        <v>18.8</v>
      </c>
    </row>
    <row r="517" spans="2:13" s="645" customFormat="1" ht="21.75" customHeight="1">
      <c r="B517" s="670">
        <v>44376</v>
      </c>
      <c r="C517" s="671" t="s">
        <v>819</v>
      </c>
      <c r="D517" s="672" t="s">
        <v>849</v>
      </c>
      <c r="E517" s="673" t="s">
        <v>831</v>
      </c>
      <c r="F517" s="670"/>
      <c r="G517" s="672">
        <v>20</v>
      </c>
      <c r="H517" s="671" t="s">
        <v>807</v>
      </c>
      <c r="I517" s="675" t="s">
        <v>838</v>
      </c>
      <c r="J517" s="677" t="s">
        <v>804</v>
      </c>
      <c r="K517" s="671">
        <v>8</v>
      </c>
      <c r="L517" s="671">
        <f t="shared" si="11"/>
        <v>18.8</v>
      </c>
      <c r="M517" s="676">
        <f t="shared" si="12"/>
        <v>150.4</v>
      </c>
    </row>
    <row r="518" spans="2:13" s="645" customFormat="1" ht="21.75" customHeight="1">
      <c r="B518" s="670">
        <v>44376</v>
      </c>
      <c r="C518" s="671" t="s">
        <v>819</v>
      </c>
      <c r="D518" s="672" t="s">
        <v>840</v>
      </c>
      <c r="E518" s="673" t="s">
        <v>831</v>
      </c>
      <c r="F518" s="670"/>
      <c r="G518" s="672">
        <v>20</v>
      </c>
      <c r="H518" s="671" t="s">
        <v>807</v>
      </c>
      <c r="I518" s="675" t="s">
        <v>838</v>
      </c>
      <c r="J518" s="677" t="s">
        <v>804</v>
      </c>
      <c r="K518" s="671">
        <v>2</v>
      </c>
      <c r="L518" s="671">
        <f t="shared" si="11"/>
        <v>18.8</v>
      </c>
      <c r="M518" s="676">
        <f t="shared" si="12"/>
        <v>37.6</v>
      </c>
    </row>
    <row r="519" spans="2:13" s="645" customFormat="1" ht="21.75" customHeight="1">
      <c r="B519" s="670">
        <v>44376</v>
      </c>
      <c r="C519" s="671" t="s">
        <v>819</v>
      </c>
      <c r="D519" s="672" t="s">
        <v>835</v>
      </c>
      <c r="E519" s="673" t="s">
        <v>831</v>
      </c>
      <c r="F519" s="670"/>
      <c r="G519" s="672">
        <v>20</v>
      </c>
      <c r="H519" s="671" t="s">
        <v>807</v>
      </c>
      <c r="I519" s="675" t="s">
        <v>838</v>
      </c>
      <c r="J519" s="677" t="s">
        <v>804</v>
      </c>
      <c r="K519" s="671">
        <v>10</v>
      </c>
      <c r="L519" s="671">
        <f t="shared" si="11"/>
        <v>18.8</v>
      </c>
      <c r="M519" s="676">
        <f t="shared" si="12"/>
        <v>188</v>
      </c>
    </row>
    <row r="520" spans="2:13" s="645" customFormat="1" ht="21.75" customHeight="1">
      <c r="B520" s="670">
        <v>44376</v>
      </c>
      <c r="C520" s="671" t="s">
        <v>819</v>
      </c>
      <c r="D520" s="672" t="s">
        <v>841</v>
      </c>
      <c r="E520" s="673" t="s">
        <v>831</v>
      </c>
      <c r="F520" s="670"/>
      <c r="G520" s="672">
        <v>20</v>
      </c>
      <c r="H520" s="671" t="s">
        <v>807</v>
      </c>
      <c r="I520" s="675" t="s">
        <v>838</v>
      </c>
      <c r="J520" s="677" t="s">
        <v>804</v>
      </c>
      <c r="K520" s="671">
        <v>8</v>
      </c>
      <c r="L520" s="671">
        <f t="shared" si="11"/>
        <v>18.8</v>
      </c>
      <c r="M520" s="676">
        <f t="shared" si="12"/>
        <v>150.4</v>
      </c>
    </row>
    <row r="521" spans="2:13" s="645" customFormat="1" ht="21.75" customHeight="1">
      <c r="B521" s="670">
        <v>44376</v>
      </c>
      <c r="C521" s="671" t="s">
        <v>819</v>
      </c>
      <c r="D521" s="672" t="s">
        <v>834</v>
      </c>
      <c r="E521" s="673" t="s">
        <v>831</v>
      </c>
      <c r="F521" s="670"/>
      <c r="G521" s="672">
        <v>20</v>
      </c>
      <c r="H521" s="671" t="s">
        <v>807</v>
      </c>
      <c r="I521" s="675" t="s">
        <v>838</v>
      </c>
      <c r="J521" s="677" t="s">
        <v>804</v>
      </c>
      <c r="K521" s="671">
        <v>9</v>
      </c>
      <c r="L521" s="671">
        <f t="shared" ref="L521:L584" si="13">VLOOKUP(G521,$Q$4:$V$7,6,FALSE)</f>
        <v>18.8</v>
      </c>
      <c r="M521" s="676">
        <f t="shared" si="12"/>
        <v>169.20000000000002</v>
      </c>
    </row>
    <row r="522" spans="2:13" s="645" customFormat="1" ht="21.75" customHeight="1">
      <c r="B522" s="670">
        <v>44376</v>
      </c>
      <c r="C522" s="671" t="s">
        <v>819</v>
      </c>
      <c r="D522" s="672" t="s">
        <v>848</v>
      </c>
      <c r="E522" s="673" t="s">
        <v>831</v>
      </c>
      <c r="F522" s="670"/>
      <c r="G522" s="672">
        <v>20</v>
      </c>
      <c r="H522" s="671" t="s">
        <v>807</v>
      </c>
      <c r="I522" s="675" t="s">
        <v>838</v>
      </c>
      <c r="J522" s="677" t="s">
        <v>804</v>
      </c>
      <c r="K522" s="671">
        <v>11</v>
      </c>
      <c r="L522" s="671">
        <f t="shared" si="13"/>
        <v>18.8</v>
      </c>
      <c r="M522" s="676">
        <f t="shared" si="12"/>
        <v>206.8</v>
      </c>
    </row>
    <row r="523" spans="2:13" s="645" customFormat="1" ht="21.75" customHeight="1">
      <c r="B523" s="670">
        <v>44376</v>
      </c>
      <c r="C523" s="671" t="s">
        <v>819</v>
      </c>
      <c r="D523" s="672" t="s">
        <v>830</v>
      </c>
      <c r="E523" s="673" t="s">
        <v>831</v>
      </c>
      <c r="F523" s="670"/>
      <c r="G523" s="672">
        <v>15</v>
      </c>
      <c r="H523" s="671" t="s">
        <v>807</v>
      </c>
      <c r="I523" s="675" t="s">
        <v>838</v>
      </c>
      <c r="J523" s="677" t="s">
        <v>804</v>
      </c>
      <c r="K523" s="671">
        <v>6</v>
      </c>
      <c r="L523" s="671">
        <f t="shared" si="13"/>
        <v>14.1</v>
      </c>
      <c r="M523" s="676">
        <f t="shared" si="12"/>
        <v>84.6</v>
      </c>
    </row>
    <row r="524" spans="2:13" s="645" customFormat="1" ht="21.75" customHeight="1">
      <c r="B524" s="670">
        <v>44376</v>
      </c>
      <c r="C524" s="671" t="s">
        <v>819</v>
      </c>
      <c r="D524" s="672" t="s">
        <v>839</v>
      </c>
      <c r="E524" s="673" t="s">
        <v>831</v>
      </c>
      <c r="F524" s="670"/>
      <c r="G524" s="672">
        <v>15</v>
      </c>
      <c r="H524" s="671" t="s">
        <v>807</v>
      </c>
      <c r="I524" s="675" t="s">
        <v>838</v>
      </c>
      <c r="J524" s="677" t="s">
        <v>804</v>
      </c>
      <c r="K524" s="671">
        <v>10</v>
      </c>
      <c r="L524" s="671">
        <f t="shared" si="13"/>
        <v>14.1</v>
      </c>
      <c r="M524" s="676">
        <f t="shared" si="12"/>
        <v>141</v>
      </c>
    </row>
    <row r="525" spans="2:13" s="645" customFormat="1" ht="21.75" customHeight="1">
      <c r="B525" s="670">
        <v>44376</v>
      </c>
      <c r="C525" s="671" t="s">
        <v>819</v>
      </c>
      <c r="D525" s="672" t="s">
        <v>833</v>
      </c>
      <c r="E525" s="673" t="s">
        <v>831</v>
      </c>
      <c r="F525" s="670"/>
      <c r="G525" s="672">
        <v>15</v>
      </c>
      <c r="H525" s="671" t="s">
        <v>807</v>
      </c>
      <c r="I525" s="675" t="s">
        <v>838</v>
      </c>
      <c r="J525" s="677" t="s">
        <v>804</v>
      </c>
      <c r="K525" s="671">
        <v>11</v>
      </c>
      <c r="L525" s="671">
        <f t="shared" si="13"/>
        <v>14.1</v>
      </c>
      <c r="M525" s="676">
        <f t="shared" si="12"/>
        <v>155.1</v>
      </c>
    </row>
    <row r="526" spans="2:13" s="645" customFormat="1" ht="21.75" customHeight="1">
      <c r="B526" s="670">
        <v>44376</v>
      </c>
      <c r="C526" s="671" t="s">
        <v>819</v>
      </c>
      <c r="D526" s="672" t="s">
        <v>845</v>
      </c>
      <c r="E526" s="673" t="s">
        <v>831</v>
      </c>
      <c r="F526" s="670"/>
      <c r="G526" s="672">
        <v>17</v>
      </c>
      <c r="H526" s="671" t="s">
        <v>807</v>
      </c>
      <c r="I526" s="675" t="s">
        <v>838</v>
      </c>
      <c r="J526" s="677" t="s">
        <v>804</v>
      </c>
      <c r="K526" s="671">
        <v>9</v>
      </c>
      <c r="L526" s="671">
        <f t="shared" si="13"/>
        <v>15.98</v>
      </c>
      <c r="M526" s="676">
        <f t="shared" si="12"/>
        <v>143.82</v>
      </c>
    </row>
    <row r="527" spans="2:13" s="645" customFormat="1" ht="21.75" customHeight="1">
      <c r="B527" s="670">
        <v>44376</v>
      </c>
      <c r="C527" s="671" t="s">
        <v>819</v>
      </c>
      <c r="D527" s="672" t="s">
        <v>847</v>
      </c>
      <c r="E527" s="673" t="s">
        <v>831</v>
      </c>
      <c r="F527" s="670"/>
      <c r="G527" s="672">
        <v>17</v>
      </c>
      <c r="H527" s="671" t="s">
        <v>807</v>
      </c>
      <c r="I527" s="675" t="s">
        <v>838</v>
      </c>
      <c r="J527" s="677" t="s">
        <v>804</v>
      </c>
      <c r="K527" s="671">
        <v>10</v>
      </c>
      <c r="L527" s="671">
        <f t="shared" si="13"/>
        <v>15.98</v>
      </c>
      <c r="M527" s="676">
        <f t="shared" si="12"/>
        <v>159.80000000000001</v>
      </c>
    </row>
    <row r="528" spans="2:13" s="645" customFormat="1" ht="21.75" customHeight="1">
      <c r="B528" s="678">
        <v>44376</v>
      </c>
      <c r="C528" s="679" t="s">
        <v>837</v>
      </c>
      <c r="D528" s="680" t="s">
        <v>849</v>
      </c>
      <c r="E528" s="681" t="s">
        <v>831</v>
      </c>
      <c r="F528" s="678"/>
      <c r="G528" s="680">
        <v>20</v>
      </c>
      <c r="H528" s="679" t="s">
        <v>807</v>
      </c>
      <c r="I528" s="683" t="s">
        <v>838</v>
      </c>
      <c r="J528" s="684" t="s">
        <v>804</v>
      </c>
      <c r="K528" s="679">
        <v>10</v>
      </c>
      <c r="L528" s="679">
        <f t="shared" si="13"/>
        <v>18.8</v>
      </c>
      <c r="M528" s="668">
        <f t="shared" si="12"/>
        <v>188</v>
      </c>
    </row>
    <row r="529" spans="2:13" s="645" customFormat="1" ht="21.75" customHeight="1">
      <c r="B529" s="678">
        <v>44376</v>
      </c>
      <c r="C529" s="679" t="s">
        <v>837</v>
      </c>
      <c r="D529" s="680" t="s">
        <v>840</v>
      </c>
      <c r="E529" s="681" t="s">
        <v>831</v>
      </c>
      <c r="F529" s="678"/>
      <c r="G529" s="680">
        <v>20</v>
      </c>
      <c r="H529" s="679" t="s">
        <v>807</v>
      </c>
      <c r="I529" s="683" t="s">
        <v>838</v>
      </c>
      <c r="J529" s="684" t="s">
        <v>804</v>
      </c>
      <c r="K529" s="679">
        <v>8</v>
      </c>
      <c r="L529" s="679">
        <f t="shared" si="13"/>
        <v>18.8</v>
      </c>
      <c r="M529" s="668">
        <f t="shared" si="12"/>
        <v>150.4</v>
      </c>
    </row>
    <row r="530" spans="2:13" s="645" customFormat="1" ht="21.75" customHeight="1">
      <c r="B530" s="678">
        <v>44376</v>
      </c>
      <c r="C530" s="679" t="s">
        <v>837</v>
      </c>
      <c r="D530" s="680" t="s">
        <v>835</v>
      </c>
      <c r="E530" s="681" t="s">
        <v>831</v>
      </c>
      <c r="F530" s="678"/>
      <c r="G530" s="680">
        <v>20</v>
      </c>
      <c r="H530" s="679" t="s">
        <v>807</v>
      </c>
      <c r="I530" s="683" t="s">
        <v>838</v>
      </c>
      <c r="J530" s="684" t="s">
        <v>804</v>
      </c>
      <c r="K530" s="679">
        <v>9</v>
      </c>
      <c r="L530" s="679">
        <f t="shared" si="13"/>
        <v>18.8</v>
      </c>
      <c r="M530" s="668">
        <f t="shared" si="12"/>
        <v>169.20000000000002</v>
      </c>
    </row>
    <row r="531" spans="2:13" s="645" customFormat="1" ht="21.75" customHeight="1">
      <c r="B531" s="678">
        <v>44376</v>
      </c>
      <c r="C531" s="679" t="s">
        <v>837</v>
      </c>
      <c r="D531" s="680" t="s">
        <v>841</v>
      </c>
      <c r="E531" s="681" t="s">
        <v>831</v>
      </c>
      <c r="F531" s="678"/>
      <c r="G531" s="680">
        <v>20</v>
      </c>
      <c r="H531" s="679" t="s">
        <v>807</v>
      </c>
      <c r="I531" s="683" t="s">
        <v>838</v>
      </c>
      <c r="J531" s="684" t="s">
        <v>804</v>
      </c>
      <c r="K531" s="679">
        <v>10</v>
      </c>
      <c r="L531" s="679">
        <f t="shared" si="13"/>
        <v>18.8</v>
      </c>
      <c r="M531" s="668">
        <f t="shared" si="12"/>
        <v>188</v>
      </c>
    </row>
    <row r="532" spans="2:13" s="645" customFormat="1" ht="21.75" customHeight="1">
      <c r="B532" s="678">
        <v>44376</v>
      </c>
      <c r="C532" s="679" t="s">
        <v>837</v>
      </c>
      <c r="D532" s="680" t="s">
        <v>834</v>
      </c>
      <c r="E532" s="681" t="s">
        <v>831</v>
      </c>
      <c r="F532" s="678"/>
      <c r="G532" s="680">
        <v>20</v>
      </c>
      <c r="H532" s="679" t="s">
        <v>807</v>
      </c>
      <c r="I532" s="683" t="s">
        <v>838</v>
      </c>
      <c r="J532" s="684" t="s">
        <v>804</v>
      </c>
      <c r="K532" s="679">
        <v>9</v>
      </c>
      <c r="L532" s="679">
        <f t="shared" si="13"/>
        <v>18.8</v>
      </c>
      <c r="M532" s="668">
        <f t="shared" si="12"/>
        <v>169.20000000000002</v>
      </c>
    </row>
    <row r="533" spans="2:13" s="645" customFormat="1" ht="21.75" customHeight="1">
      <c r="B533" s="678">
        <v>44376</v>
      </c>
      <c r="C533" s="679" t="s">
        <v>837</v>
      </c>
      <c r="D533" s="680" t="s">
        <v>848</v>
      </c>
      <c r="E533" s="681" t="s">
        <v>831</v>
      </c>
      <c r="F533" s="678"/>
      <c r="G533" s="680">
        <v>20</v>
      </c>
      <c r="H533" s="679" t="s">
        <v>807</v>
      </c>
      <c r="I533" s="683" t="s">
        <v>838</v>
      </c>
      <c r="J533" s="684" t="s">
        <v>804</v>
      </c>
      <c r="K533" s="679">
        <v>9</v>
      </c>
      <c r="L533" s="679">
        <f t="shared" si="13"/>
        <v>18.8</v>
      </c>
      <c r="M533" s="668">
        <f t="shared" si="12"/>
        <v>169.20000000000002</v>
      </c>
    </row>
    <row r="534" spans="2:13" s="645" customFormat="1" ht="21.75" customHeight="1">
      <c r="B534" s="678">
        <v>44376</v>
      </c>
      <c r="C534" s="679" t="s">
        <v>837</v>
      </c>
      <c r="D534" s="680" t="s">
        <v>833</v>
      </c>
      <c r="E534" s="681" t="s">
        <v>831</v>
      </c>
      <c r="F534" s="678"/>
      <c r="G534" s="680">
        <v>15</v>
      </c>
      <c r="H534" s="679" t="s">
        <v>807</v>
      </c>
      <c r="I534" s="683" t="s">
        <v>838</v>
      </c>
      <c r="J534" s="684" t="s">
        <v>804</v>
      </c>
      <c r="K534" s="679">
        <v>11</v>
      </c>
      <c r="L534" s="679">
        <f t="shared" si="13"/>
        <v>14.1</v>
      </c>
      <c r="M534" s="668">
        <f t="shared" si="12"/>
        <v>155.1</v>
      </c>
    </row>
    <row r="535" spans="2:13" s="645" customFormat="1" ht="21.75" customHeight="1">
      <c r="B535" s="678">
        <v>44376</v>
      </c>
      <c r="C535" s="679" t="s">
        <v>837</v>
      </c>
      <c r="D535" s="680" t="s">
        <v>845</v>
      </c>
      <c r="E535" s="681" t="s">
        <v>831</v>
      </c>
      <c r="F535" s="678"/>
      <c r="G535" s="680">
        <v>17</v>
      </c>
      <c r="H535" s="679" t="s">
        <v>807</v>
      </c>
      <c r="I535" s="683" t="s">
        <v>838</v>
      </c>
      <c r="J535" s="684" t="s">
        <v>804</v>
      </c>
      <c r="K535" s="679">
        <v>10</v>
      </c>
      <c r="L535" s="679">
        <f t="shared" si="13"/>
        <v>15.98</v>
      </c>
      <c r="M535" s="668">
        <f t="shared" si="12"/>
        <v>159.80000000000001</v>
      </c>
    </row>
    <row r="536" spans="2:13" s="645" customFormat="1" ht="21.75" customHeight="1">
      <c r="B536" s="678">
        <v>44376</v>
      </c>
      <c r="C536" s="679" t="s">
        <v>837</v>
      </c>
      <c r="D536" s="680" t="s">
        <v>847</v>
      </c>
      <c r="E536" s="681" t="s">
        <v>831</v>
      </c>
      <c r="F536" s="678"/>
      <c r="G536" s="680">
        <v>17</v>
      </c>
      <c r="H536" s="679" t="s">
        <v>807</v>
      </c>
      <c r="I536" s="683" t="s">
        <v>838</v>
      </c>
      <c r="J536" s="684" t="s">
        <v>804</v>
      </c>
      <c r="K536" s="679">
        <v>10</v>
      </c>
      <c r="L536" s="679">
        <f t="shared" si="13"/>
        <v>15.98</v>
      </c>
      <c r="M536" s="668">
        <f t="shared" si="12"/>
        <v>159.80000000000001</v>
      </c>
    </row>
    <row r="537" spans="2:13" s="645" customFormat="1" ht="21.75" customHeight="1">
      <c r="B537" s="670">
        <v>44377</v>
      </c>
      <c r="C537" s="671" t="s">
        <v>819</v>
      </c>
      <c r="D537" s="672" t="s">
        <v>849</v>
      </c>
      <c r="E537" s="673" t="s">
        <v>831</v>
      </c>
      <c r="F537" s="670"/>
      <c r="G537" s="672">
        <v>20</v>
      </c>
      <c r="H537" s="671" t="s">
        <v>807</v>
      </c>
      <c r="I537" s="675" t="s">
        <v>838</v>
      </c>
      <c r="J537" s="677" t="s">
        <v>804</v>
      </c>
      <c r="K537" s="671">
        <v>9</v>
      </c>
      <c r="L537" s="671">
        <f t="shared" si="13"/>
        <v>18.8</v>
      </c>
      <c r="M537" s="676">
        <f t="shared" si="12"/>
        <v>169.20000000000002</v>
      </c>
    </row>
    <row r="538" spans="2:13" s="645" customFormat="1" ht="21.75" customHeight="1">
      <c r="B538" s="670">
        <v>44377</v>
      </c>
      <c r="C538" s="671" t="s">
        <v>819</v>
      </c>
      <c r="D538" s="672" t="s">
        <v>840</v>
      </c>
      <c r="E538" s="673" t="s">
        <v>831</v>
      </c>
      <c r="F538" s="670"/>
      <c r="G538" s="672">
        <v>20</v>
      </c>
      <c r="H538" s="671" t="s">
        <v>807</v>
      </c>
      <c r="I538" s="675" t="s">
        <v>838</v>
      </c>
      <c r="J538" s="677" t="s">
        <v>804</v>
      </c>
      <c r="K538" s="671">
        <v>10</v>
      </c>
      <c r="L538" s="671">
        <f t="shared" si="13"/>
        <v>18.8</v>
      </c>
      <c r="M538" s="676">
        <f t="shared" si="12"/>
        <v>188</v>
      </c>
    </row>
    <row r="539" spans="2:13" s="645" customFormat="1" ht="21.75" customHeight="1">
      <c r="B539" s="670">
        <v>44377</v>
      </c>
      <c r="C539" s="671" t="s">
        <v>819</v>
      </c>
      <c r="D539" s="672" t="s">
        <v>835</v>
      </c>
      <c r="E539" s="673" t="s">
        <v>831</v>
      </c>
      <c r="F539" s="670"/>
      <c r="G539" s="672">
        <v>20</v>
      </c>
      <c r="H539" s="671" t="s">
        <v>807</v>
      </c>
      <c r="I539" s="675" t="s">
        <v>838</v>
      </c>
      <c r="J539" s="677" t="s">
        <v>804</v>
      </c>
      <c r="K539" s="671">
        <v>7</v>
      </c>
      <c r="L539" s="671">
        <f t="shared" si="13"/>
        <v>18.8</v>
      </c>
      <c r="M539" s="676">
        <f t="shared" si="12"/>
        <v>131.6</v>
      </c>
    </row>
    <row r="540" spans="2:13" s="645" customFormat="1" ht="21.75" customHeight="1">
      <c r="B540" s="670">
        <v>44377</v>
      </c>
      <c r="C540" s="671" t="s">
        <v>819</v>
      </c>
      <c r="D540" s="672" t="s">
        <v>841</v>
      </c>
      <c r="E540" s="673" t="s">
        <v>831</v>
      </c>
      <c r="F540" s="670"/>
      <c r="G540" s="672">
        <v>20</v>
      </c>
      <c r="H540" s="671" t="s">
        <v>807</v>
      </c>
      <c r="I540" s="675" t="s">
        <v>838</v>
      </c>
      <c r="J540" s="677" t="s">
        <v>804</v>
      </c>
      <c r="K540" s="671">
        <v>10</v>
      </c>
      <c r="L540" s="671">
        <f t="shared" si="13"/>
        <v>18.8</v>
      </c>
      <c r="M540" s="676">
        <f t="shared" si="12"/>
        <v>188</v>
      </c>
    </row>
    <row r="541" spans="2:13" s="645" customFormat="1" ht="21.75" customHeight="1">
      <c r="B541" s="670">
        <v>44377</v>
      </c>
      <c r="C541" s="671" t="s">
        <v>819</v>
      </c>
      <c r="D541" s="672" t="s">
        <v>834</v>
      </c>
      <c r="E541" s="673" t="s">
        <v>831</v>
      </c>
      <c r="F541" s="670"/>
      <c r="G541" s="672">
        <v>20</v>
      </c>
      <c r="H541" s="671" t="s">
        <v>807</v>
      </c>
      <c r="I541" s="675" t="s">
        <v>838</v>
      </c>
      <c r="J541" s="677" t="s">
        <v>804</v>
      </c>
      <c r="K541" s="671">
        <v>11</v>
      </c>
      <c r="L541" s="671">
        <f t="shared" si="13"/>
        <v>18.8</v>
      </c>
      <c r="M541" s="676">
        <f t="shared" si="12"/>
        <v>206.8</v>
      </c>
    </row>
    <row r="542" spans="2:13" s="645" customFormat="1" ht="21.75" customHeight="1">
      <c r="B542" s="670">
        <v>44377</v>
      </c>
      <c r="C542" s="671" t="s">
        <v>819</v>
      </c>
      <c r="D542" s="672" t="s">
        <v>848</v>
      </c>
      <c r="E542" s="673" t="s">
        <v>831</v>
      </c>
      <c r="F542" s="670"/>
      <c r="G542" s="672">
        <v>20</v>
      </c>
      <c r="H542" s="671" t="s">
        <v>807</v>
      </c>
      <c r="I542" s="675" t="s">
        <v>838</v>
      </c>
      <c r="J542" s="677" t="s">
        <v>804</v>
      </c>
      <c r="K542" s="671">
        <v>11</v>
      </c>
      <c r="L542" s="671">
        <f t="shared" si="13"/>
        <v>18.8</v>
      </c>
      <c r="M542" s="676">
        <f t="shared" si="12"/>
        <v>206.8</v>
      </c>
    </row>
    <row r="543" spans="2:13" s="645" customFormat="1" ht="21.75" customHeight="1">
      <c r="B543" s="670">
        <v>44377</v>
      </c>
      <c r="C543" s="671" t="s">
        <v>819</v>
      </c>
      <c r="D543" s="672" t="s">
        <v>839</v>
      </c>
      <c r="E543" s="673" t="s">
        <v>831</v>
      </c>
      <c r="F543" s="670"/>
      <c r="G543" s="672">
        <v>15</v>
      </c>
      <c r="H543" s="671" t="s">
        <v>807</v>
      </c>
      <c r="I543" s="675" t="s">
        <v>838</v>
      </c>
      <c r="J543" s="677" t="s">
        <v>804</v>
      </c>
      <c r="K543" s="671">
        <v>7</v>
      </c>
      <c r="L543" s="671">
        <f t="shared" si="13"/>
        <v>14.1</v>
      </c>
      <c r="M543" s="676">
        <f t="shared" si="12"/>
        <v>98.7</v>
      </c>
    </row>
    <row r="544" spans="2:13" s="645" customFormat="1" ht="21.75" customHeight="1">
      <c r="B544" s="670">
        <v>44377</v>
      </c>
      <c r="C544" s="671" t="s">
        <v>819</v>
      </c>
      <c r="D544" s="672" t="s">
        <v>833</v>
      </c>
      <c r="E544" s="673" t="s">
        <v>831</v>
      </c>
      <c r="F544" s="670"/>
      <c r="G544" s="672">
        <v>15</v>
      </c>
      <c r="H544" s="671" t="s">
        <v>807</v>
      </c>
      <c r="I544" s="675" t="s">
        <v>838</v>
      </c>
      <c r="J544" s="677" t="s">
        <v>804</v>
      </c>
      <c r="K544" s="671">
        <v>10</v>
      </c>
      <c r="L544" s="671">
        <f t="shared" si="13"/>
        <v>14.1</v>
      </c>
      <c r="M544" s="676">
        <f t="shared" si="12"/>
        <v>141</v>
      </c>
    </row>
    <row r="545" spans="2:13" s="645" customFormat="1" ht="21.75" customHeight="1">
      <c r="B545" s="670">
        <v>44377</v>
      </c>
      <c r="C545" s="671" t="s">
        <v>819</v>
      </c>
      <c r="D545" s="672" t="s">
        <v>845</v>
      </c>
      <c r="E545" s="673" t="s">
        <v>831</v>
      </c>
      <c r="F545" s="670"/>
      <c r="G545" s="672">
        <v>17</v>
      </c>
      <c r="H545" s="671" t="s">
        <v>807</v>
      </c>
      <c r="I545" s="675" t="s">
        <v>838</v>
      </c>
      <c r="J545" s="677" t="s">
        <v>804</v>
      </c>
      <c r="K545" s="671">
        <v>10</v>
      </c>
      <c r="L545" s="671">
        <f t="shared" si="13"/>
        <v>15.98</v>
      </c>
      <c r="M545" s="676">
        <f t="shared" si="12"/>
        <v>159.80000000000001</v>
      </c>
    </row>
    <row r="546" spans="2:13" s="645" customFormat="1" ht="21.75" customHeight="1">
      <c r="B546" s="670">
        <v>44377</v>
      </c>
      <c r="C546" s="671" t="s">
        <v>819</v>
      </c>
      <c r="D546" s="672" t="s">
        <v>847</v>
      </c>
      <c r="E546" s="673" t="s">
        <v>831</v>
      </c>
      <c r="F546" s="670"/>
      <c r="G546" s="672">
        <v>17</v>
      </c>
      <c r="H546" s="671" t="s">
        <v>807</v>
      </c>
      <c r="I546" s="675" t="s">
        <v>838</v>
      </c>
      <c r="J546" s="677" t="s">
        <v>804</v>
      </c>
      <c r="K546" s="671">
        <v>11</v>
      </c>
      <c r="L546" s="671">
        <f t="shared" si="13"/>
        <v>15.98</v>
      </c>
      <c r="M546" s="676">
        <f t="shared" si="12"/>
        <v>175.78</v>
      </c>
    </row>
    <row r="547" spans="2:13" s="645" customFormat="1" ht="21.75" customHeight="1">
      <c r="B547" s="678">
        <v>44377</v>
      </c>
      <c r="C547" s="679" t="s">
        <v>837</v>
      </c>
      <c r="D547" s="680" t="s">
        <v>849</v>
      </c>
      <c r="E547" s="681" t="s">
        <v>831</v>
      </c>
      <c r="F547" s="678"/>
      <c r="G547" s="680">
        <v>20</v>
      </c>
      <c r="H547" s="679" t="s">
        <v>807</v>
      </c>
      <c r="I547" s="683" t="s">
        <v>838</v>
      </c>
      <c r="J547" s="684" t="s">
        <v>804</v>
      </c>
      <c r="K547" s="679">
        <v>3</v>
      </c>
      <c r="L547" s="679">
        <f t="shared" si="13"/>
        <v>18.8</v>
      </c>
      <c r="M547" s="668">
        <f t="shared" si="12"/>
        <v>56.400000000000006</v>
      </c>
    </row>
    <row r="548" spans="2:13" s="645" customFormat="1" ht="21.75" customHeight="1">
      <c r="B548" s="678">
        <v>44377</v>
      </c>
      <c r="C548" s="679" t="s">
        <v>837</v>
      </c>
      <c r="D548" s="680" t="s">
        <v>835</v>
      </c>
      <c r="E548" s="681" t="s">
        <v>831</v>
      </c>
      <c r="F548" s="678"/>
      <c r="G548" s="680">
        <v>20</v>
      </c>
      <c r="H548" s="679" t="s">
        <v>807</v>
      </c>
      <c r="I548" s="683" t="s">
        <v>838</v>
      </c>
      <c r="J548" s="684" t="s">
        <v>804</v>
      </c>
      <c r="K548" s="679">
        <v>10</v>
      </c>
      <c r="L548" s="679">
        <f t="shared" si="13"/>
        <v>18.8</v>
      </c>
      <c r="M548" s="668">
        <f t="shared" si="12"/>
        <v>188</v>
      </c>
    </row>
    <row r="549" spans="2:13" s="645" customFormat="1" ht="21.75" customHeight="1">
      <c r="B549" s="678">
        <v>44377</v>
      </c>
      <c r="C549" s="679" t="s">
        <v>837</v>
      </c>
      <c r="D549" s="680" t="s">
        <v>841</v>
      </c>
      <c r="E549" s="681" t="s">
        <v>831</v>
      </c>
      <c r="F549" s="678"/>
      <c r="G549" s="680">
        <v>20</v>
      </c>
      <c r="H549" s="679" t="s">
        <v>807</v>
      </c>
      <c r="I549" s="683" t="s">
        <v>838</v>
      </c>
      <c r="J549" s="684" t="s">
        <v>804</v>
      </c>
      <c r="K549" s="679">
        <v>10</v>
      </c>
      <c r="L549" s="679">
        <f t="shared" si="13"/>
        <v>18.8</v>
      </c>
      <c r="M549" s="668">
        <f t="shared" si="12"/>
        <v>188</v>
      </c>
    </row>
    <row r="550" spans="2:13" s="645" customFormat="1" ht="21.75" customHeight="1">
      <c r="B550" s="678">
        <v>44377</v>
      </c>
      <c r="C550" s="679" t="s">
        <v>837</v>
      </c>
      <c r="D550" s="680" t="s">
        <v>834</v>
      </c>
      <c r="E550" s="681" t="s">
        <v>831</v>
      </c>
      <c r="F550" s="678"/>
      <c r="G550" s="680">
        <v>20</v>
      </c>
      <c r="H550" s="679" t="s">
        <v>807</v>
      </c>
      <c r="I550" s="683" t="s">
        <v>838</v>
      </c>
      <c r="J550" s="684" t="s">
        <v>804</v>
      </c>
      <c r="K550" s="679">
        <v>6</v>
      </c>
      <c r="L550" s="679">
        <f t="shared" si="13"/>
        <v>18.8</v>
      </c>
      <c r="M550" s="668">
        <f t="shared" si="12"/>
        <v>112.80000000000001</v>
      </c>
    </row>
    <row r="551" spans="2:13" s="645" customFormat="1" ht="21.75" customHeight="1">
      <c r="B551" s="678">
        <v>44377</v>
      </c>
      <c r="C551" s="679" t="s">
        <v>837</v>
      </c>
      <c r="D551" s="680" t="s">
        <v>848</v>
      </c>
      <c r="E551" s="681" t="s">
        <v>831</v>
      </c>
      <c r="F551" s="678"/>
      <c r="G551" s="680">
        <v>20</v>
      </c>
      <c r="H551" s="679" t="s">
        <v>807</v>
      </c>
      <c r="I551" s="683" t="s">
        <v>838</v>
      </c>
      <c r="J551" s="684" t="s">
        <v>804</v>
      </c>
      <c r="K551" s="679">
        <v>10</v>
      </c>
      <c r="L551" s="679">
        <f t="shared" si="13"/>
        <v>18.8</v>
      </c>
      <c r="M551" s="668">
        <f t="shared" ref="M551:M614" si="14">L551*K551</f>
        <v>188</v>
      </c>
    </row>
    <row r="552" spans="2:13" s="645" customFormat="1" ht="21.75" customHeight="1">
      <c r="B552" s="678">
        <v>44377</v>
      </c>
      <c r="C552" s="679" t="s">
        <v>837</v>
      </c>
      <c r="D552" s="680" t="s">
        <v>830</v>
      </c>
      <c r="E552" s="681" t="s">
        <v>831</v>
      </c>
      <c r="F552" s="678"/>
      <c r="G552" s="680">
        <v>15</v>
      </c>
      <c r="H552" s="679" t="s">
        <v>807</v>
      </c>
      <c r="I552" s="683" t="s">
        <v>838</v>
      </c>
      <c r="J552" s="684" t="s">
        <v>804</v>
      </c>
      <c r="K552" s="679">
        <v>9</v>
      </c>
      <c r="L552" s="679">
        <f t="shared" si="13"/>
        <v>14.1</v>
      </c>
      <c r="M552" s="668">
        <f t="shared" si="14"/>
        <v>126.89999999999999</v>
      </c>
    </row>
    <row r="553" spans="2:13" s="645" customFormat="1" ht="21.75" customHeight="1">
      <c r="B553" s="678">
        <v>44377</v>
      </c>
      <c r="C553" s="679" t="s">
        <v>837</v>
      </c>
      <c r="D553" s="680" t="s">
        <v>839</v>
      </c>
      <c r="E553" s="681" t="s">
        <v>831</v>
      </c>
      <c r="F553" s="678"/>
      <c r="G553" s="680">
        <v>15</v>
      </c>
      <c r="H553" s="679" t="s">
        <v>807</v>
      </c>
      <c r="I553" s="683" t="s">
        <v>838</v>
      </c>
      <c r="J553" s="684" t="s">
        <v>804</v>
      </c>
      <c r="K553" s="679">
        <v>9</v>
      </c>
      <c r="L553" s="679">
        <f t="shared" si="13"/>
        <v>14.1</v>
      </c>
      <c r="M553" s="668">
        <f t="shared" si="14"/>
        <v>126.89999999999999</v>
      </c>
    </row>
    <row r="554" spans="2:13" s="645" customFormat="1" ht="21.75" customHeight="1">
      <c r="B554" s="678">
        <v>44377</v>
      </c>
      <c r="C554" s="679" t="s">
        <v>837</v>
      </c>
      <c r="D554" s="680" t="s">
        <v>833</v>
      </c>
      <c r="E554" s="681" t="s">
        <v>831</v>
      </c>
      <c r="F554" s="678"/>
      <c r="G554" s="680">
        <v>15</v>
      </c>
      <c r="H554" s="679" t="s">
        <v>807</v>
      </c>
      <c r="I554" s="683" t="s">
        <v>838</v>
      </c>
      <c r="J554" s="684" t="s">
        <v>804</v>
      </c>
      <c r="K554" s="679">
        <v>10</v>
      </c>
      <c r="L554" s="679">
        <f t="shared" si="13"/>
        <v>14.1</v>
      </c>
      <c r="M554" s="668">
        <f t="shared" si="14"/>
        <v>141</v>
      </c>
    </row>
    <row r="555" spans="2:13" s="645" customFormat="1" ht="21.75" customHeight="1">
      <c r="B555" s="678">
        <v>44377</v>
      </c>
      <c r="C555" s="679" t="s">
        <v>837</v>
      </c>
      <c r="D555" s="680" t="s">
        <v>845</v>
      </c>
      <c r="E555" s="681" t="s">
        <v>831</v>
      </c>
      <c r="F555" s="678"/>
      <c r="G555" s="680">
        <v>17</v>
      </c>
      <c r="H555" s="679" t="s">
        <v>807</v>
      </c>
      <c r="I555" s="683" t="s">
        <v>838</v>
      </c>
      <c r="J555" s="684" t="s">
        <v>804</v>
      </c>
      <c r="K555" s="679">
        <v>10</v>
      </c>
      <c r="L555" s="679">
        <f t="shared" si="13"/>
        <v>15.98</v>
      </c>
      <c r="M555" s="668">
        <f t="shared" si="14"/>
        <v>159.80000000000001</v>
      </c>
    </row>
    <row r="556" spans="2:13" s="645" customFormat="1" ht="21.75" customHeight="1">
      <c r="B556" s="678">
        <v>44377</v>
      </c>
      <c r="C556" s="679" t="s">
        <v>837</v>
      </c>
      <c r="D556" s="680" t="s">
        <v>847</v>
      </c>
      <c r="E556" s="681" t="s">
        <v>831</v>
      </c>
      <c r="F556" s="678"/>
      <c r="G556" s="680">
        <v>17</v>
      </c>
      <c r="H556" s="679" t="s">
        <v>807</v>
      </c>
      <c r="I556" s="683" t="s">
        <v>838</v>
      </c>
      <c r="J556" s="684" t="s">
        <v>804</v>
      </c>
      <c r="K556" s="679">
        <v>10</v>
      </c>
      <c r="L556" s="679">
        <f t="shared" si="13"/>
        <v>15.98</v>
      </c>
      <c r="M556" s="668">
        <f t="shared" si="14"/>
        <v>159.80000000000001</v>
      </c>
    </row>
    <row r="557" spans="2:13" s="645" customFormat="1" ht="21.75" customHeight="1">
      <c r="B557" s="670">
        <v>44378</v>
      </c>
      <c r="C557" s="671" t="s">
        <v>819</v>
      </c>
      <c r="D557" s="672" t="s">
        <v>849</v>
      </c>
      <c r="E557" s="673" t="s">
        <v>831</v>
      </c>
      <c r="F557" s="670"/>
      <c r="G557" s="672">
        <v>20</v>
      </c>
      <c r="H557" s="671" t="s">
        <v>807</v>
      </c>
      <c r="I557" s="675" t="s">
        <v>854</v>
      </c>
      <c r="J557" s="677" t="s">
        <v>804</v>
      </c>
      <c r="K557" s="671">
        <v>10</v>
      </c>
      <c r="L557" s="671">
        <f t="shared" si="13"/>
        <v>18.8</v>
      </c>
      <c r="M557" s="676">
        <f t="shared" si="14"/>
        <v>188</v>
      </c>
    </row>
    <row r="558" spans="2:13" s="645" customFormat="1" ht="21.75" customHeight="1">
      <c r="B558" s="670">
        <v>44378</v>
      </c>
      <c r="C558" s="671" t="s">
        <v>819</v>
      </c>
      <c r="D558" s="672" t="s">
        <v>840</v>
      </c>
      <c r="E558" s="673" t="s">
        <v>831</v>
      </c>
      <c r="F558" s="670"/>
      <c r="G558" s="672">
        <v>20</v>
      </c>
      <c r="H558" s="671" t="s">
        <v>807</v>
      </c>
      <c r="I558" s="675" t="s">
        <v>854</v>
      </c>
      <c r="J558" s="677" t="s">
        <v>804</v>
      </c>
      <c r="K558" s="671">
        <v>11</v>
      </c>
      <c r="L558" s="671">
        <f t="shared" si="13"/>
        <v>18.8</v>
      </c>
      <c r="M558" s="676">
        <f t="shared" si="14"/>
        <v>206.8</v>
      </c>
    </row>
    <row r="559" spans="2:13" s="645" customFormat="1" ht="21.75" customHeight="1">
      <c r="B559" s="670">
        <v>44378</v>
      </c>
      <c r="C559" s="671" t="s">
        <v>819</v>
      </c>
      <c r="D559" s="672" t="s">
        <v>835</v>
      </c>
      <c r="E559" s="673" t="s">
        <v>831</v>
      </c>
      <c r="F559" s="670"/>
      <c r="G559" s="672">
        <v>20</v>
      </c>
      <c r="H559" s="671" t="s">
        <v>807</v>
      </c>
      <c r="I559" s="675" t="s">
        <v>854</v>
      </c>
      <c r="J559" s="677" t="s">
        <v>804</v>
      </c>
      <c r="K559" s="671">
        <v>12</v>
      </c>
      <c r="L559" s="671">
        <f t="shared" si="13"/>
        <v>18.8</v>
      </c>
      <c r="M559" s="676">
        <f t="shared" si="14"/>
        <v>225.60000000000002</v>
      </c>
    </row>
    <row r="560" spans="2:13" s="645" customFormat="1" ht="21.75" customHeight="1">
      <c r="B560" s="670">
        <v>44378</v>
      </c>
      <c r="C560" s="671" t="s">
        <v>819</v>
      </c>
      <c r="D560" s="672" t="s">
        <v>841</v>
      </c>
      <c r="E560" s="673" t="s">
        <v>831</v>
      </c>
      <c r="F560" s="670"/>
      <c r="G560" s="672">
        <v>20</v>
      </c>
      <c r="H560" s="671" t="s">
        <v>807</v>
      </c>
      <c r="I560" s="675" t="s">
        <v>854</v>
      </c>
      <c r="J560" s="677" t="s">
        <v>804</v>
      </c>
      <c r="K560" s="671">
        <v>10</v>
      </c>
      <c r="L560" s="671">
        <f t="shared" si="13"/>
        <v>18.8</v>
      </c>
      <c r="M560" s="676">
        <f t="shared" si="14"/>
        <v>188</v>
      </c>
    </row>
    <row r="561" spans="2:13" s="645" customFormat="1" ht="21.75" customHeight="1">
      <c r="B561" s="670">
        <v>44378</v>
      </c>
      <c r="C561" s="671" t="s">
        <v>819</v>
      </c>
      <c r="D561" s="672" t="s">
        <v>834</v>
      </c>
      <c r="E561" s="673" t="s">
        <v>831</v>
      </c>
      <c r="F561" s="670"/>
      <c r="G561" s="672">
        <v>20</v>
      </c>
      <c r="H561" s="671" t="s">
        <v>807</v>
      </c>
      <c r="I561" s="675" t="s">
        <v>854</v>
      </c>
      <c r="J561" s="677" t="s">
        <v>804</v>
      </c>
      <c r="K561" s="671">
        <v>9</v>
      </c>
      <c r="L561" s="671">
        <f t="shared" si="13"/>
        <v>18.8</v>
      </c>
      <c r="M561" s="676">
        <f t="shared" si="14"/>
        <v>169.20000000000002</v>
      </c>
    </row>
    <row r="562" spans="2:13" s="645" customFormat="1" ht="21.75" customHeight="1">
      <c r="B562" s="670">
        <v>44378</v>
      </c>
      <c r="C562" s="671" t="s">
        <v>819</v>
      </c>
      <c r="D562" s="672" t="s">
        <v>848</v>
      </c>
      <c r="E562" s="673" t="s">
        <v>831</v>
      </c>
      <c r="F562" s="670"/>
      <c r="G562" s="672">
        <v>20</v>
      </c>
      <c r="H562" s="671" t="s">
        <v>807</v>
      </c>
      <c r="I562" s="675" t="s">
        <v>854</v>
      </c>
      <c r="J562" s="677" t="s">
        <v>804</v>
      </c>
      <c r="K562" s="671">
        <v>12</v>
      </c>
      <c r="L562" s="671">
        <f t="shared" si="13"/>
        <v>18.8</v>
      </c>
      <c r="M562" s="676">
        <f t="shared" si="14"/>
        <v>225.60000000000002</v>
      </c>
    </row>
    <row r="563" spans="2:13" s="645" customFormat="1" ht="21.75" customHeight="1">
      <c r="B563" s="670">
        <v>44378</v>
      </c>
      <c r="C563" s="671" t="s">
        <v>819</v>
      </c>
      <c r="D563" s="672" t="s">
        <v>839</v>
      </c>
      <c r="E563" s="673" t="s">
        <v>831</v>
      </c>
      <c r="F563" s="670"/>
      <c r="G563" s="672">
        <v>15</v>
      </c>
      <c r="H563" s="671" t="s">
        <v>807</v>
      </c>
      <c r="I563" s="675" t="s">
        <v>854</v>
      </c>
      <c r="J563" s="677" t="s">
        <v>804</v>
      </c>
      <c r="K563" s="671">
        <v>10</v>
      </c>
      <c r="L563" s="671">
        <f t="shared" si="13"/>
        <v>14.1</v>
      </c>
      <c r="M563" s="676">
        <f t="shared" si="14"/>
        <v>141</v>
      </c>
    </row>
    <row r="564" spans="2:13" s="645" customFormat="1" ht="21.75" customHeight="1">
      <c r="B564" s="670">
        <v>44378</v>
      </c>
      <c r="C564" s="671" t="s">
        <v>819</v>
      </c>
      <c r="D564" s="672" t="s">
        <v>833</v>
      </c>
      <c r="E564" s="673" t="s">
        <v>831</v>
      </c>
      <c r="F564" s="670"/>
      <c r="G564" s="672">
        <v>15</v>
      </c>
      <c r="H564" s="671" t="s">
        <v>807</v>
      </c>
      <c r="I564" s="675" t="s">
        <v>854</v>
      </c>
      <c r="J564" s="677" t="s">
        <v>804</v>
      </c>
      <c r="K564" s="671">
        <v>11</v>
      </c>
      <c r="L564" s="671">
        <f t="shared" si="13"/>
        <v>14.1</v>
      </c>
      <c r="M564" s="676">
        <f t="shared" si="14"/>
        <v>155.1</v>
      </c>
    </row>
    <row r="565" spans="2:13" s="645" customFormat="1" ht="21.75" customHeight="1">
      <c r="B565" s="670">
        <v>44378</v>
      </c>
      <c r="C565" s="671" t="s">
        <v>819</v>
      </c>
      <c r="D565" s="672" t="s">
        <v>845</v>
      </c>
      <c r="E565" s="673" t="s">
        <v>831</v>
      </c>
      <c r="F565" s="670"/>
      <c r="G565" s="672">
        <v>17</v>
      </c>
      <c r="H565" s="671" t="s">
        <v>807</v>
      </c>
      <c r="I565" s="675" t="s">
        <v>854</v>
      </c>
      <c r="J565" s="677" t="s">
        <v>804</v>
      </c>
      <c r="K565" s="671">
        <v>12</v>
      </c>
      <c r="L565" s="671">
        <f t="shared" si="13"/>
        <v>15.98</v>
      </c>
      <c r="M565" s="676">
        <f t="shared" si="14"/>
        <v>191.76</v>
      </c>
    </row>
    <row r="566" spans="2:13" s="645" customFormat="1" ht="21.75" customHeight="1">
      <c r="B566" s="670">
        <v>44378</v>
      </c>
      <c r="C566" s="671" t="s">
        <v>819</v>
      </c>
      <c r="D566" s="672" t="s">
        <v>847</v>
      </c>
      <c r="E566" s="673" t="s">
        <v>831</v>
      </c>
      <c r="F566" s="670"/>
      <c r="G566" s="672">
        <v>17</v>
      </c>
      <c r="H566" s="671" t="s">
        <v>807</v>
      </c>
      <c r="I566" s="675" t="s">
        <v>854</v>
      </c>
      <c r="J566" s="677" t="s">
        <v>804</v>
      </c>
      <c r="K566" s="671">
        <v>9</v>
      </c>
      <c r="L566" s="671">
        <f t="shared" si="13"/>
        <v>15.98</v>
      </c>
      <c r="M566" s="676">
        <f t="shared" si="14"/>
        <v>143.82</v>
      </c>
    </row>
    <row r="567" spans="2:13" s="645" customFormat="1" ht="21.75" customHeight="1">
      <c r="B567" s="678">
        <v>44378</v>
      </c>
      <c r="C567" s="679" t="s">
        <v>837</v>
      </c>
      <c r="D567" s="680" t="s">
        <v>835</v>
      </c>
      <c r="E567" s="681" t="s">
        <v>831</v>
      </c>
      <c r="F567" s="678"/>
      <c r="G567" s="680">
        <v>20</v>
      </c>
      <c r="H567" s="679" t="s">
        <v>807</v>
      </c>
      <c r="I567" s="683" t="s">
        <v>854</v>
      </c>
      <c r="J567" s="684" t="s">
        <v>804</v>
      </c>
      <c r="K567" s="679">
        <v>10</v>
      </c>
      <c r="L567" s="679">
        <f t="shared" si="13"/>
        <v>18.8</v>
      </c>
      <c r="M567" s="668">
        <f t="shared" si="14"/>
        <v>188</v>
      </c>
    </row>
    <row r="568" spans="2:13" s="645" customFormat="1" ht="21.75" customHeight="1">
      <c r="B568" s="678">
        <v>44378</v>
      </c>
      <c r="C568" s="679" t="s">
        <v>837</v>
      </c>
      <c r="D568" s="680" t="s">
        <v>841</v>
      </c>
      <c r="E568" s="681" t="s">
        <v>831</v>
      </c>
      <c r="F568" s="678"/>
      <c r="G568" s="680">
        <v>20</v>
      </c>
      <c r="H568" s="679" t="s">
        <v>807</v>
      </c>
      <c r="I568" s="683" t="s">
        <v>854</v>
      </c>
      <c r="J568" s="684" t="s">
        <v>804</v>
      </c>
      <c r="K568" s="679">
        <v>10</v>
      </c>
      <c r="L568" s="679">
        <f t="shared" si="13"/>
        <v>18.8</v>
      </c>
      <c r="M568" s="668">
        <f t="shared" si="14"/>
        <v>188</v>
      </c>
    </row>
    <row r="569" spans="2:13" s="645" customFormat="1" ht="21.75" customHeight="1">
      <c r="B569" s="678">
        <v>44378</v>
      </c>
      <c r="C569" s="679" t="s">
        <v>837</v>
      </c>
      <c r="D569" s="680" t="s">
        <v>834</v>
      </c>
      <c r="E569" s="681" t="s">
        <v>831</v>
      </c>
      <c r="F569" s="678"/>
      <c r="G569" s="680">
        <v>20</v>
      </c>
      <c r="H569" s="679" t="s">
        <v>807</v>
      </c>
      <c r="I569" s="683" t="s">
        <v>854</v>
      </c>
      <c r="J569" s="684" t="s">
        <v>804</v>
      </c>
      <c r="K569" s="679">
        <v>9</v>
      </c>
      <c r="L569" s="679">
        <f t="shared" si="13"/>
        <v>18.8</v>
      </c>
      <c r="M569" s="668">
        <f t="shared" si="14"/>
        <v>169.20000000000002</v>
      </c>
    </row>
    <row r="570" spans="2:13" s="645" customFormat="1" ht="21.75" customHeight="1">
      <c r="B570" s="678">
        <v>44378</v>
      </c>
      <c r="C570" s="679" t="s">
        <v>837</v>
      </c>
      <c r="D570" s="680" t="s">
        <v>848</v>
      </c>
      <c r="E570" s="681" t="s">
        <v>831</v>
      </c>
      <c r="F570" s="678"/>
      <c r="G570" s="680">
        <v>20</v>
      </c>
      <c r="H570" s="679" t="s">
        <v>807</v>
      </c>
      <c r="I570" s="683" t="s">
        <v>854</v>
      </c>
      <c r="J570" s="684" t="s">
        <v>804</v>
      </c>
      <c r="K570" s="679">
        <v>10</v>
      </c>
      <c r="L570" s="679">
        <f t="shared" si="13"/>
        <v>18.8</v>
      </c>
      <c r="M570" s="668">
        <f t="shared" si="14"/>
        <v>188</v>
      </c>
    </row>
    <row r="571" spans="2:13" s="645" customFormat="1" ht="21.75" customHeight="1">
      <c r="B571" s="678">
        <v>44378</v>
      </c>
      <c r="C571" s="679" t="s">
        <v>837</v>
      </c>
      <c r="D571" s="680" t="s">
        <v>839</v>
      </c>
      <c r="E571" s="681" t="s">
        <v>831</v>
      </c>
      <c r="F571" s="678"/>
      <c r="G571" s="680">
        <v>15</v>
      </c>
      <c r="H571" s="679" t="s">
        <v>807</v>
      </c>
      <c r="I571" s="683" t="s">
        <v>854</v>
      </c>
      <c r="J571" s="684" t="s">
        <v>804</v>
      </c>
      <c r="K571" s="679">
        <v>8</v>
      </c>
      <c r="L571" s="679">
        <f t="shared" si="13"/>
        <v>14.1</v>
      </c>
      <c r="M571" s="668">
        <f t="shared" si="14"/>
        <v>112.8</v>
      </c>
    </row>
    <row r="572" spans="2:13" s="645" customFormat="1" ht="21.75" customHeight="1">
      <c r="B572" s="678">
        <v>44378</v>
      </c>
      <c r="C572" s="679" t="s">
        <v>837</v>
      </c>
      <c r="D572" s="680" t="s">
        <v>833</v>
      </c>
      <c r="E572" s="681" t="s">
        <v>831</v>
      </c>
      <c r="F572" s="678"/>
      <c r="G572" s="680">
        <v>15</v>
      </c>
      <c r="H572" s="679" t="s">
        <v>807</v>
      </c>
      <c r="I572" s="683" t="s">
        <v>854</v>
      </c>
      <c r="J572" s="684" t="s">
        <v>804</v>
      </c>
      <c r="K572" s="679">
        <v>9</v>
      </c>
      <c r="L572" s="679">
        <f t="shared" si="13"/>
        <v>14.1</v>
      </c>
      <c r="M572" s="668">
        <f t="shared" si="14"/>
        <v>126.89999999999999</v>
      </c>
    </row>
    <row r="573" spans="2:13" s="645" customFormat="1" ht="21.75" customHeight="1">
      <c r="B573" s="678">
        <v>44378</v>
      </c>
      <c r="C573" s="679" t="s">
        <v>837</v>
      </c>
      <c r="D573" s="680" t="s">
        <v>845</v>
      </c>
      <c r="E573" s="681" t="s">
        <v>831</v>
      </c>
      <c r="F573" s="678"/>
      <c r="G573" s="680">
        <v>17</v>
      </c>
      <c r="H573" s="679" t="s">
        <v>807</v>
      </c>
      <c r="I573" s="683" t="s">
        <v>854</v>
      </c>
      <c r="J573" s="684" t="s">
        <v>804</v>
      </c>
      <c r="K573" s="679">
        <v>10</v>
      </c>
      <c r="L573" s="679">
        <f t="shared" si="13"/>
        <v>15.98</v>
      </c>
      <c r="M573" s="668">
        <f t="shared" si="14"/>
        <v>159.80000000000001</v>
      </c>
    </row>
    <row r="574" spans="2:13" s="645" customFormat="1" ht="21.75" customHeight="1">
      <c r="B574" s="678">
        <v>44378</v>
      </c>
      <c r="C574" s="679" t="s">
        <v>837</v>
      </c>
      <c r="D574" s="680" t="s">
        <v>847</v>
      </c>
      <c r="E574" s="681" t="s">
        <v>831</v>
      </c>
      <c r="F574" s="678"/>
      <c r="G574" s="680">
        <v>17</v>
      </c>
      <c r="H574" s="679" t="s">
        <v>807</v>
      </c>
      <c r="I574" s="683" t="s">
        <v>854</v>
      </c>
      <c r="J574" s="684" t="s">
        <v>804</v>
      </c>
      <c r="K574" s="679">
        <v>10</v>
      </c>
      <c r="L574" s="679">
        <f t="shared" si="13"/>
        <v>15.98</v>
      </c>
      <c r="M574" s="668">
        <f t="shared" si="14"/>
        <v>159.80000000000001</v>
      </c>
    </row>
    <row r="575" spans="2:13" s="645" customFormat="1" ht="21.75" customHeight="1">
      <c r="B575" s="661">
        <v>44378</v>
      </c>
      <c r="C575" s="662" t="s">
        <v>819</v>
      </c>
      <c r="D575" s="663" t="s">
        <v>834</v>
      </c>
      <c r="E575" s="664" t="s">
        <v>831</v>
      </c>
      <c r="F575" s="665"/>
      <c r="G575" s="663">
        <v>20</v>
      </c>
      <c r="H575" s="662" t="s">
        <v>807</v>
      </c>
      <c r="I575" s="666" t="s">
        <v>851</v>
      </c>
      <c r="J575" s="667" t="s">
        <v>852</v>
      </c>
      <c r="K575" s="662">
        <v>1</v>
      </c>
      <c r="L575" s="685">
        <f t="shared" si="13"/>
        <v>18.8</v>
      </c>
      <c r="M575" s="686">
        <f t="shared" si="14"/>
        <v>18.8</v>
      </c>
    </row>
    <row r="576" spans="2:13" s="645" customFormat="1" ht="21.75" customHeight="1">
      <c r="B576" s="670">
        <v>44379</v>
      </c>
      <c r="C576" s="671" t="s">
        <v>819</v>
      </c>
      <c r="D576" s="672" t="s">
        <v>840</v>
      </c>
      <c r="E576" s="673" t="s">
        <v>831</v>
      </c>
      <c r="F576" s="670"/>
      <c r="G576" s="672">
        <v>20</v>
      </c>
      <c r="H576" s="671" t="s">
        <v>807</v>
      </c>
      <c r="I576" s="675" t="s">
        <v>853</v>
      </c>
      <c r="J576" s="677" t="s">
        <v>804</v>
      </c>
      <c r="K576" s="671">
        <v>11</v>
      </c>
      <c r="L576" s="676">
        <f t="shared" si="13"/>
        <v>18.8</v>
      </c>
      <c r="M576" s="676">
        <f t="shared" si="14"/>
        <v>206.8</v>
      </c>
    </row>
    <row r="577" spans="2:13" s="645" customFormat="1" ht="21.75" customHeight="1">
      <c r="B577" s="670">
        <v>44379</v>
      </c>
      <c r="C577" s="671" t="s">
        <v>819</v>
      </c>
      <c r="D577" s="672" t="s">
        <v>835</v>
      </c>
      <c r="E577" s="673" t="s">
        <v>831</v>
      </c>
      <c r="F577" s="670"/>
      <c r="G577" s="672">
        <v>20</v>
      </c>
      <c r="H577" s="671" t="s">
        <v>807</v>
      </c>
      <c r="I577" s="675" t="s">
        <v>853</v>
      </c>
      <c r="J577" s="677" t="s">
        <v>804</v>
      </c>
      <c r="K577" s="671">
        <v>10</v>
      </c>
      <c r="L577" s="676">
        <f t="shared" si="13"/>
        <v>18.8</v>
      </c>
      <c r="M577" s="676">
        <f t="shared" si="14"/>
        <v>188</v>
      </c>
    </row>
    <row r="578" spans="2:13" s="645" customFormat="1" ht="21.75" customHeight="1">
      <c r="B578" s="670">
        <v>44379</v>
      </c>
      <c r="C578" s="671" t="s">
        <v>819</v>
      </c>
      <c r="D578" s="672" t="s">
        <v>841</v>
      </c>
      <c r="E578" s="673" t="s">
        <v>831</v>
      </c>
      <c r="F578" s="670"/>
      <c r="G578" s="672">
        <v>20</v>
      </c>
      <c r="H578" s="671" t="s">
        <v>807</v>
      </c>
      <c r="I578" s="675" t="s">
        <v>853</v>
      </c>
      <c r="J578" s="677" t="s">
        <v>804</v>
      </c>
      <c r="K578" s="671">
        <v>11</v>
      </c>
      <c r="L578" s="671">
        <f t="shared" si="13"/>
        <v>18.8</v>
      </c>
      <c r="M578" s="676">
        <f t="shared" si="14"/>
        <v>206.8</v>
      </c>
    </row>
    <row r="579" spans="2:13" s="645" customFormat="1" ht="21.75" customHeight="1">
      <c r="B579" s="670">
        <v>44379</v>
      </c>
      <c r="C579" s="671" t="s">
        <v>819</v>
      </c>
      <c r="D579" s="672" t="s">
        <v>834</v>
      </c>
      <c r="E579" s="673" t="s">
        <v>831</v>
      </c>
      <c r="F579" s="670"/>
      <c r="G579" s="672">
        <v>20</v>
      </c>
      <c r="H579" s="671" t="s">
        <v>807</v>
      </c>
      <c r="I579" s="675" t="s">
        <v>853</v>
      </c>
      <c r="J579" s="677" t="s">
        <v>804</v>
      </c>
      <c r="K579" s="671">
        <v>10</v>
      </c>
      <c r="L579" s="671">
        <f t="shared" si="13"/>
        <v>18.8</v>
      </c>
      <c r="M579" s="676">
        <f t="shared" si="14"/>
        <v>188</v>
      </c>
    </row>
    <row r="580" spans="2:13" s="645" customFormat="1" ht="21.75" customHeight="1">
      <c r="B580" s="670">
        <v>44379</v>
      </c>
      <c r="C580" s="671" t="s">
        <v>819</v>
      </c>
      <c r="D580" s="672" t="s">
        <v>848</v>
      </c>
      <c r="E580" s="673" t="s">
        <v>831</v>
      </c>
      <c r="F580" s="670"/>
      <c r="G580" s="672">
        <v>20</v>
      </c>
      <c r="H580" s="671" t="s">
        <v>807</v>
      </c>
      <c r="I580" s="675" t="s">
        <v>853</v>
      </c>
      <c r="J580" s="677" t="s">
        <v>804</v>
      </c>
      <c r="K580" s="671">
        <v>10</v>
      </c>
      <c r="L580" s="671">
        <f t="shared" si="13"/>
        <v>18.8</v>
      </c>
      <c r="M580" s="676">
        <f t="shared" si="14"/>
        <v>188</v>
      </c>
    </row>
    <row r="581" spans="2:13" s="645" customFormat="1" ht="21.75" customHeight="1">
      <c r="B581" s="670">
        <v>44379</v>
      </c>
      <c r="C581" s="671" t="s">
        <v>819</v>
      </c>
      <c r="D581" s="672" t="s">
        <v>836</v>
      </c>
      <c r="E581" s="673" t="s">
        <v>831</v>
      </c>
      <c r="F581" s="670"/>
      <c r="G581" s="672">
        <v>20</v>
      </c>
      <c r="H581" s="671" t="s">
        <v>807</v>
      </c>
      <c r="I581" s="675" t="s">
        <v>853</v>
      </c>
      <c r="J581" s="677" t="s">
        <v>804</v>
      </c>
      <c r="K581" s="671">
        <v>8</v>
      </c>
      <c r="L581" s="671">
        <f t="shared" si="13"/>
        <v>18.8</v>
      </c>
      <c r="M581" s="676">
        <f t="shared" si="14"/>
        <v>150.4</v>
      </c>
    </row>
    <row r="582" spans="2:13" s="645" customFormat="1" ht="21.75" customHeight="1">
      <c r="B582" s="670">
        <v>44379</v>
      </c>
      <c r="C582" s="671" t="s">
        <v>819</v>
      </c>
      <c r="D582" s="672" t="s">
        <v>833</v>
      </c>
      <c r="E582" s="673" t="s">
        <v>831</v>
      </c>
      <c r="F582" s="670"/>
      <c r="G582" s="672">
        <v>15</v>
      </c>
      <c r="H582" s="671" t="s">
        <v>807</v>
      </c>
      <c r="I582" s="675" t="s">
        <v>853</v>
      </c>
      <c r="J582" s="677" t="s">
        <v>804</v>
      </c>
      <c r="K582" s="671">
        <v>11</v>
      </c>
      <c r="L582" s="671">
        <f t="shared" si="13"/>
        <v>14.1</v>
      </c>
      <c r="M582" s="676">
        <f t="shared" si="14"/>
        <v>155.1</v>
      </c>
    </row>
    <row r="583" spans="2:13" s="645" customFormat="1" ht="21.75" customHeight="1">
      <c r="B583" s="670">
        <v>44379</v>
      </c>
      <c r="C583" s="671" t="s">
        <v>819</v>
      </c>
      <c r="D583" s="672" t="s">
        <v>845</v>
      </c>
      <c r="E583" s="673" t="s">
        <v>831</v>
      </c>
      <c r="F583" s="670"/>
      <c r="G583" s="672">
        <v>17</v>
      </c>
      <c r="H583" s="671" t="s">
        <v>807</v>
      </c>
      <c r="I583" s="675" t="s">
        <v>853</v>
      </c>
      <c r="J583" s="677" t="s">
        <v>804</v>
      </c>
      <c r="K583" s="671">
        <v>11</v>
      </c>
      <c r="L583" s="671">
        <f t="shared" si="13"/>
        <v>15.98</v>
      </c>
      <c r="M583" s="676">
        <f t="shared" si="14"/>
        <v>175.78</v>
      </c>
    </row>
    <row r="584" spans="2:13" s="645" customFormat="1" ht="21.75" customHeight="1">
      <c r="B584" s="670">
        <v>44379</v>
      </c>
      <c r="C584" s="671" t="s">
        <v>819</v>
      </c>
      <c r="D584" s="672" t="s">
        <v>847</v>
      </c>
      <c r="E584" s="673" t="s">
        <v>831</v>
      </c>
      <c r="F584" s="670"/>
      <c r="G584" s="672">
        <v>17</v>
      </c>
      <c r="H584" s="671" t="s">
        <v>807</v>
      </c>
      <c r="I584" s="675" t="s">
        <v>853</v>
      </c>
      <c r="J584" s="677" t="s">
        <v>804</v>
      </c>
      <c r="K584" s="671">
        <v>12</v>
      </c>
      <c r="L584" s="671">
        <f t="shared" si="13"/>
        <v>15.98</v>
      </c>
      <c r="M584" s="676">
        <f t="shared" si="14"/>
        <v>191.76</v>
      </c>
    </row>
    <row r="585" spans="2:13" s="645" customFormat="1" ht="21.75" customHeight="1">
      <c r="B585" s="670">
        <v>44379</v>
      </c>
      <c r="C585" s="671" t="s">
        <v>819</v>
      </c>
      <c r="D585" s="672" t="s">
        <v>855</v>
      </c>
      <c r="E585" s="673" t="s">
        <v>831</v>
      </c>
      <c r="F585" s="670"/>
      <c r="G585" s="672">
        <v>20</v>
      </c>
      <c r="H585" s="671" t="s">
        <v>807</v>
      </c>
      <c r="I585" s="675" t="s">
        <v>853</v>
      </c>
      <c r="J585" s="677" t="s">
        <v>804</v>
      </c>
      <c r="K585" s="671">
        <v>4</v>
      </c>
      <c r="L585" s="671">
        <f t="shared" ref="L585:L648" si="15">VLOOKUP(G585,$Q$4:$V$7,6,FALSE)</f>
        <v>18.8</v>
      </c>
      <c r="M585" s="676">
        <f t="shared" si="14"/>
        <v>75.2</v>
      </c>
    </row>
    <row r="586" spans="2:13" s="645" customFormat="1" ht="21.75" customHeight="1">
      <c r="B586" s="678">
        <v>44379</v>
      </c>
      <c r="C586" s="679" t="s">
        <v>837</v>
      </c>
      <c r="D586" s="680" t="s">
        <v>849</v>
      </c>
      <c r="E586" s="681" t="s">
        <v>831</v>
      </c>
      <c r="F586" s="678"/>
      <c r="G586" s="680">
        <v>20</v>
      </c>
      <c r="H586" s="679" t="s">
        <v>807</v>
      </c>
      <c r="I586" s="683" t="s">
        <v>853</v>
      </c>
      <c r="J586" s="684" t="s">
        <v>804</v>
      </c>
      <c r="K586" s="679">
        <v>3</v>
      </c>
      <c r="L586" s="679">
        <f t="shared" si="15"/>
        <v>18.8</v>
      </c>
      <c r="M586" s="668">
        <f t="shared" si="14"/>
        <v>56.400000000000006</v>
      </c>
    </row>
    <row r="587" spans="2:13" s="645" customFormat="1" ht="21.75" customHeight="1">
      <c r="B587" s="678">
        <v>44379</v>
      </c>
      <c r="C587" s="679" t="s">
        <v>837</v>
      </c>
      <c r="D587" s="680" t="s">
        <v>835</v>
      </c>
      <c r="E587" s="681" t="s">
        <v>831</v>
      </c>
      <c r="F587" s="678"/>
      <c r="G587" s="680">
        <v>20</v>
      </c>
      <c r="H587" s="679" t="s">
        <v>807</v>
      </c>
      <c r="I587" s="683" t="s">
        <v>853</v>
      </c>
      <c r="J587" s="684" t="s">
        <v>804</v>
      </c>
      <c r="K587" s="679">
        <v>4</v>
      </c>
      <c r="L587" s="679">
        <f t="shared" si="15"/>
        <v>18.8</v>
      </c>
      <c r="M587" s="668">
        <f t="shared" si="14"/>
        <v>75.2</v>
      </c>
    </row>
    <row r="588" spans="2:13" s="645" customFormat="1" ht="21.75" customHeight="1">
      <c r="B588" s="678">
        <v>44379</v>
      </c>
      <c r="C588" s="679" t="s">
        <v>837</v>
      </c>
      <c r="D588" s="680" t="s">
        <v>834</v>
      </c>
      <c r="E588" s="681" t="s">
        <v>831</v>
      </c>
      <c r="F588" s="678"/>
      <c r="G588" s="680">
        <v>20</v>
      </c>
      <c r="H588" s="679" t="s">
        <v>807</v>
      </c>
      <c r="I588" s="683" t="s">
        <v>853</v>
      </c>
      <c r="J588" s="684" t="s">
        <v>804</v>
      </c>
      <c r="K588" s="679">
        <v>4</v>
      </c>
      <c r="L588" s="679">
        <f t="shared" si="15"/>
        <v>18.8</v>
      </c>
      <c r="M588" s="668">
        <f t="shared" si="14"/>
        <v>75.2</v>
      </c>
    </row>
    <row r="589" spans="2:13" s="645" customFormat="1" ht="21.75" customHeight="1">
      <c r="B589" s="678">
        <v>44379</v>
      </c>
      <c r="C589" s="679" t="s">
        <v>837</v>
      </c>
      <c r="D589" s="680" t="s">
        <v>848</v>
      </c>
      <c r="E589" s="681" t="s">
        <v>831</v>
      </c>
      <c r="F589" s="678"/>
      <c r="G589" s="680">
        <v>20</v>
      </c>
      <c r="H589" s="679" t="s">
        <v>807</v>
      </c>
      <c r="I589" s="683" t="s">
        <v>853</v>
      </c>
      <c r="J589" s="684" t="s">
        <v>804</v>
      </c>
      <c r="K589" s="679">
        <v>4</v>
      </c>
      <c r="L589" s="679">
        <f t="shared" si="15"/>
        <v>18.8</v>
      </c>
      <c r="M589" s="668">
        <f t="shared" si="14"/>
        <v>75.2</v>
      </c>
    </row>
    <row r="590" spans="2:13" s="645" customFormat="1" ht="21.75" customHeight="1">
      <c r="B590" s="678">
        <v>44379</v>
      </c>
      <c r="C590" s="679" t="s">
        <v>837</v>
      </c>
      <c r="D590" s="680" t="s">
        <v>830</v>
      </c>
      <c r="E590" s="681" t="s">
        <v>831</v>
      </c>
      <c r="F590" s="678"/>
      <c r="G590" s="680">
        <v>15</v>
      </c>
      <c r="H590" s="679" t="s">
        <v>807</v>
      </c>
      <c r="I590" s="683" t="s">
        <v>853</v>
      </c>
      <c r="J590" s="684" t="s">
        <v>804</v>
      </c>
      <c r="K590" s="679">
        <v>3</v>
      </c>
      <c r="L590" s="679">
        <f t="shared" si="15"/>
        <v>14.1</v>
      </c>
      <c r="M590" s="668">
        <f t="shared" si="14"/>
        <v>42.3</v>
      </c>
    </row>
    <row r="591" spans="2:13" s="645" customFormat="1" ht="21.75" customHeight="1">
      <c r="B591" s="678">
        <v>44379</v>
      </c>
      <c r="C591" s="679" t="s">
        <v>837</v>
      </c>
      <c r="D591" s="680" t="s">
        <v>833</v>
      </c>
      <c r="E591" s="681" t="s">
        <v>831</v>
      </c>
      <c r="F591" s="678"/>
      <c r="G591" s="680">
        <v>15</v>
      </c>
      <c r="H591" s="679" t="s">
        <v>807</v>
      </c>
      <c r="I591" s="683" t="s">
        <v>853</v>
      </c>
      <c r="J591" s="684" t="s">
        <v>804</v>
      </c>
      <c r="K591" s="679">
        <v>5</v>
      </c>
      <c r="L591" s="679">
        <f t="shared" si="15"/>
        <v>14.1</v>
      </c>
      <c r="M591" s="668">
        <f t="shared" si="14"/>
        <v>70.5</v>
      </c>
    </row>
    <row r="592" spans="2:13" s="645" customFormat="1" ht="21.75" customHeight="1">
      <c r="B592" s="678">
        <v>44379</v>
      </c>
      <c r="C592" s="679" t="s">
        <v>837</v>
      </c>
      <c r="D592" s="680" t="s">
        <v>845</v>
      </c>
      <c r="E592" s="681" t="s">
        <v>831</v>
      </c>
      <c r="F592" s="678"/>
      <c r="G592" s="680">
        <v>17</v>
      </c>
      <c r="H592" s="679" t="s">
        <v>807</v>
      </c>
      <c r="I592" s="683" t="s">
        <v>853</v>
      </c>
      <c r="J592" s="684" t="s">
        <v>804</v>
      </c>
      <c r="K592" s="679">
        <v>2</v>
      </c>
      <c r="L592" s="679">
        <f t="shared" si="15"/>
        <v>15.98</v>
      </c>
      <c r="M592" s="668">
        <f t="shared" si="14"/>
        <v>31.96</v>
      </c>
    </row>
    <row r="593" spans="2:13" s="645" customFormat="1" ht="21.75" customHeight="1">
      <c r="B593" s="678">
        <v>44379</v>
      </c>
      <c r="C593" s="679" t="s">
        <v>837</v>
      </c>
      <c r="D593" s="680" t="s">
        <v>847</v>
      </c>
      <c r="E593" s="681" t="s">
        <v>831</v>
      </c>
      <c r="F593" s="678"/>
      <c r="G593" s="680">
        <v>17</v>
      </c>
      <c r="H593" s="679" t="s">
        <v>807</v>
      </c>
      <c r="I593" s="683" t="s">
        <v>853</v>
      </c>
      <c r="J593" s="684" t="s">
        <v>804</v>
      </c>
      <c r="K593" s="679">
        <v>6</v>
      </c>
      <c r="L593" s="679">
        <f t="shared" si="15"/>
        <v>15.98</v>
      </c>
      <c r="M593" s="668">
        <f t="shared" si="14"/>
        <v>95.88</v>
      </c>
    </row>
    <row r="594" spans="2:13" s="645" customFormat="1" ht="21.75" customHeight="1">
      <c r="B594" s="678">
        <v>44379</v>
      </c>
      <c r="C594" s="679" t="s">
        <v>837</v>
      </c>
      <c r="D594" s="680" t="s">
        <v>856</v>
      </c>
      <c r="E594" s="681" t="s">
        <v>831</v>
      </c>
      <c r="F594" s="678"/>
      <c r="G594" s="680">
        <v>20</v>
      </c>
      <c r="H594" s="679" t="s">
        <v>807</v>
      </c>
      <c r="I594" s="683" t="s">
        <v>853</v>
      </c>
      <c r="J594" s="684" t="s">
        <v>804</v>
      </c>
      <c r="K594" s="679">
        <v>1</v>
      </c>
      <c r="L594" s="679">
        <f t="shared" si="15"/>
        <v>18.8</v>
      </c>
      <c r="M594" s="668">
        <f t="shared" si="14"/>
        <v>18.8</v>
      </c>
    </row>
    <row r="595" spans="2:13" s="645" customFormat="1" ht="21.75" customHeight="1">
      <c r="B595" s="678">
        <v>44379</v>
      </c>
      <c r="C595" s="679" t="s">
        <v>837</v>
      </c>
      <c r="D595" s="680" t="s">
        <v>855</v>
      </c>
      <c r="E595" s="681" t="s">
        <v>831</v>
      </c>
      <c r="F595" s="678"/>
      <c r="G595" s="680">
        <v>20</v>
      </c>
      <c r="H595" s="679" t="s">
        <v>807</v>
      </c>
      <c r="I595" s="683" t="s">
        <v>853</v>
      </c>
      <c r="J595" s="684" t="s">
        <v>804</v>
      </c>
      <c r="K595" s="679">
        <v>6</v>
      </c>
      <c r="L595" s="679">
        <f t="shared" si="15"/>
        <v>18.8</v>
      </c>
      <c r="M595" s="668">
        <f t="shared" si="14"/>
        <v>112.80000000000001</v>
      </c>
    </row>
    <row r="596" spans="2:13" s="645" customFormat="1" ht="21.75" customHeight="1">
      <c r="B596" s="661">
        <v>44379</v>
      </c>
      <c r="C596" s="662" t="s">
        <v>819</v>
      </c>
      <c r="D596" s="663" t="s">
        <v>834</v>
      </c>
      <c r="E596" s="664" t="s">
        <v>831</v>
      </c>
      <c r="F596" s="665"/>
      <c r="G596" s="663">
        <v>20</v>
      </c>
      <c r="H596" s="662" t="s">
        <v>807</v>
      </c>
      <c r="I596" s="666" t="s">
        <v>851</v>
      </c>
      <c r="J596" s="667" t="s">
        <v>852</v>
      </c>
      <c r="K596" s="662">
        <v>1</v>
      </c>
      <c r="L596" s="685">
        <f t="shared" si="15"/>
        <v>18.8</v>
      </c>
      <c r="M596" s="686">
        <f t="shared" si="14"/>
        <v>18.8</v>
      </c>
    </row>
    <row r="597" spans="2:13" s="645" customFormat="1" ht="21.75" customHeight="1">
      <c r="B597" s="661">
        <v>44379</v>
      </c>
      <c r="C597" s="662" t="s">
        <v>819</v>
      </c>
      <c r="D597" s="663" t="s">
        <v>855</v>
      </c>
      <c r="E597" s="664" t="s">
        <v>831</v>
      </c>
      <c r="F597" s="665"/>
      <c r="G597" s="663">
        <v>20</v>
      </c>
      <c r="H597" s="662" t="s">
        <v>807</v>
      </c>
      <c r="I597" s="666" t="s">
        <v>803</v>
      </c>
      <c r="J597" s="667" t="s">
        <v>852</v>
      </c>
      <c r="K597" s="662">
        <v>1</v>
      </c>
      <c r="L597" s="685">
        <f t="shared" si="15"/>
        <v>18.8</v>
      </c>
      <c r="M597" s="686">
        <f t="shared" si="14"/>
        <v>18.8</v>
      </c>
    </row>
    <row r="598" spans="2:13" s="645" customFormat="1" ht="21.75" customHeight="1">
      <c r="B598" s="670">
        <v>44380</v>
      </c>
      <c r="C598" s="671" t="s">
        <v>819</v>
      </c>
      <c r="D598" s="672" t="s">
        <v>849</v>
      </c>
      <c r="E598" s="673" t="s">
        <v>831</v>
      </c>
      <c r="F598" s="670"/>
      <c r="G598" s="672">
        <v>20</v>
      </c>
      <c r="H598" s="671" t="s">
        <v>807</v>
      </c>
      <c r="I598" s="675" t="s">
        <v>853</v>
      </c>
      <c r="J598" s="677" t="s">
        <v>804</v>
      </c>
      <c r="K598" s="671">
        <v>10</v>
      </c>
      <c r="L598" s="676">
        <f t="shared" si="15"/>
        <v>18.8</v>
      </c>
      <c r="M598" s="676">
        <f t="shared" si="14"/>
        <v>188</v>
      </c>
    </row>
    <row r="599" spans="2:13" s="645" customFormat="1" ht="21.75" customHeight="1">
      <c r="B599" s="670">
        <v>44380</v>
      </c>
      <c r="C599" s="671" t="s">
        <v>819</v>
      </c>
      <c r="D599" s="672" t="s">
        <v>835</v>
      </c>
      <c r="E599" s="673" t="s">
        <v>831</v>
      </c>
      <c r="F599" s="670"/>
      <c r="G599" s="672">
        <v>20</v>
      </c>
      <c r="H599" s="671" t="s">
        <v>807</v>
      </c>
      <c r="I599" s="675" t="s">
        <v>853</v>
      </c>
      <c r="J599" s="677" t="s">
        <v>804</v>
      </c>
      <c r="K599" s="671">
        <v>13</v>
      </c>
      <c r="L599" s="676">
        <f t="shared" si="15"/>
        <v>18.8</v>
      </c>
      <c r="M599" s="676">
        <f t="shared" si="14"/>
        <v>244.4</v>
      </c>
    </row>
    <row r="600" spans="2:13" s="645" customFormat="1" ht="21.75" customHeight="1">
      <c r="B600" s="670">
        <v>44380</v>
      </c>
      <c r="C600" s="671" t="s">
        <v>819</v>
      </c>
      <c r="D600" s="672" t="s">
        <v>841</v>
      </c>
      <c r="E600" s="673" t="s">
        <v>831</v>
      </c>
      <c r="F600" s="670"/>
      <c r="G600" s="672">
        <v>20</v>
      </c>
      <c r="H600" s="671" t="s">
        <v>807</v>
      </c>
      <c r="I600" s="675" t="s">
        <v>853</v>
      </c>
      <c r="J600" s="677" t="s">
        <v>804</v>
      </c>
      <c r="K600" s="671">
        <v>10</v>
      </c>
      <c r="L600" s="676">
        <f t="shared" si="15"/>
        <v>18.8</v>
      </c>
      <c r="M600" s="676">
        <f t="shared" si="14"/>
        <v>188</v>
      </c>
    </row>
    <row r="601" spans="2:13" s="645" customFormat="1" ht="21.75" customHeight="1">
      <c r="B601" s="670">
        <v>44380</v>
      </c>
      <c r="C601" s="671" t="s">
        <v>819</v>
      </c>
      <c r="D601" s="672" t="s">
        <v>834</v>
      </c>
      <c r="E601" s="673" t="s">
        <v>831</v>
      </c>
      <c r="F601" s="670"/>
      <c r="G601" s="672">
        <v>20</v>
      </c>
      <c r="H601" s="671" t="s">
        <v>807</v>
      </c>
      <c r="I601" s="675" t="s">
        <v>853</v>
      </c>
      <c r="J601" s="677" t="s">
        <v>804</v>
      </c>
      <c r="K601" s="671">
        <v>8</v>
      </c>
      <c r="L601" s="671">
        <f t="shared" si="15"/>
        <v>18.8</v>
      </c>
      <c r="M601" s="676">
        <f t="shared" si="14"/>
        <v>150.4</v>
      </c>
    </row>
    <row r="602" spans="2:13" s="645" customFormat="1" ht="21.75" customHeight="1">
      <c r="B602" s="670">
        <v>44380</v>
      </c>
      <c r="C602" s="671" t="s">
        <v>819</v>
      </c>
      <c r="D602" s="672" t="s">
        <v>848</v>
      </c>
      <c r="E602" s="673" t="s">
        <v>831</v>
      </c>
      <c r="F602" s="670"/>
      <c r="G602" s="672">
        <v>20</v>
      </c>
      <c r="H602" s="671" t="s">
        <v>807</v>
      </c>
      <c r="I602" s="675" t="s">
        <v>853</v>
      </c>
      <c r="J602" s="677" t="s">
        <v>804</v>
      </c>
      <c r="K602" s="671">
        <v>13</v>
      </c>
      <c r="L602" s="671">
        <f t="shared" si="15"/>
        <v>18.8</v>
      </c>
      <c r="M602" s="676">
        <f t="shared" si="14"/>
        <v>244.4</v>
      </c>
    </row>
    <row r="603" spans="2:13" s="645" customFormat="1" ht="21.75" customHeight="1">
      <c r="B603" s="670">
        <v>44380</v>
      </c>
      <c r="C603" s="671" t="s">
        <v>819</v>
      </c>
      <c r="D603" s="672" t="s">
        <v>830</v>
      </c>
      <c r="E603" s="673" t="s">
        <v>831</v>
      </c>
      <c r="F603" s="670"/>
      <c r="G603" s="672">
        <v>15</v>
      </c>
      <c r="H603" s="671" t="s">
        <v>807</v>
      </c>
      <c r="I603" s="675" t="s">
        <v>853</v>
      </c>
      <c r="J603" s="677" t="s">
        <v>804</v>
      </c>
      <c r="K603" s="671">
        <v>11</v>
      </c>
      <c r="L603" s="671">
        <f t="shared" si="15"/>
        <v>14.1</v>
      </c>
      <c r="M603" s="676">
        <f t="shared" si="14"/>
        <v>155.1</v>
      </c>
    </row>
    <row r="604" spans="2:13" s="645" customFormat="1" ht="21.75" customHeight="1">
      <c r="B604" s="670">
        <v>44380</v>
      </c>
      <c r="C604" s="671" t="s">
        <v>819</v>
      </c>
      <c r="D604" s="672" t="s">
        <v>833</v>
      </c>
      <c r="E604" s="673" t="s">
        <v>831</v>
      </c>
      <c r="F604" s="670"/>
      <c r="G604" s="672">
        <v>15</v>
      </c>
      <c r="H604" s="671" t="s">
        <v>807</v>
      </c>
      <c r="I604" s="675" t="s">
        <v>853</v>
      </c>
      <c r="J604" s="677" t="s">
        <v>804</v>
      </c>
      <c r="K604" s="671">
        <v>9</v>
      </c>
      <c r="L604" s="671">
        <f t="shared" si="15"/>
        <v>14.1</v>
      </c>
      <c r="M604" s="676">
        <f t="shared" si="14"/>
        <v>126.89999999999999</v>
      </c>
    </row>
    <row r="605" spans="2:13" s="645" customFormat="1" ht="21.75" customHeight="1">
      <c r="B605" s="670">
        <v>44380</v>
      </c>
      <c r="C605" s="671" t="s">
        <v>819</v>
      </c>
      <c r="D605" s="672" t="s">
        <v>845</v>
      </c>
      <c r="E605" s="673" t="s">
        <v>831</v>
      </c>
      <c r="F605" s="670"/>
      <c r="G605" s="672">
        <v>17</v>
      </c>
      <c r="H605" s="671" t="s">
        <v>807</v>
      </c>
      <c r="I605" s="675" t="s">
        <v>853</v>
      </c>
      <c r="J605" s="677" t="s">
        <v>804</v>
      </c>
      <c r="K605" s="671">
        <v>11</v>
      </c>
      <c r="L605" s="671">
        <f t="shared" si="15"/>
        <v>15.98</v>
      </c>
      <c r="M605" s="676">
        <f t="shared" si="14"/>
        <v>175.78</v>
      </c>
    </row>
    <row r="606" spans="2:13" s="645" customFormat="1" ht="21.75" customHeight="1">
      <c r="B606" s="670">
        <v>44380</v>
      </c>
      <c r="C606" s="671" t="s">
        <v>819</v>
      </c>
      <c r="D606" s="672" t="s">
        <v>847</v>
      </c>
      <c r="E606" s="673" t="s">
        <v>831</v>
      </c>
      <c r="F606" s="670"/>
      <c r="G606" s="672">
        <v>17</v>
      </c>
      <c r="H606" s="671" t="s">
        <v>807</v>
      </c>
      <c r="I606" s="675" t="s">
        <v>853</v>
      </c>
      <c r="J606" s="677" t="s">
        <v>804</v>
      </c>
      <c r="K606" s="671">
        <v>10</v>
      </c>
      <c r="L606" s="671">
        <f t="shared" si="15"/>
        <v>15.98</v>
      </c>
      <c r="M606" s="676">
        <f t="shared" si="14"/>
        <v>159.80000000000001</v>
      </c>
    </row>
    <row r="607" spans="2:13" s="645" customFormat="1" ht="21.75" customHeight="1">
      <c r="B607" s="670">
        <v>44380</v>
      </c>
      <c r="C607" s="671" t="s">
        <v>819</v>
      </c>
      <c r="D607" s="672" t="s">
        <v>856</v>
      </c>
      <c r="E607" s="673" t="s">
        <v>831</v>
      </c>
      <c r="F607" s="670"/>
      <c r="G607" s="672">
        <v>20</v>
      </c>
      <c r="H607" s="671" t="s">
        <v>807</v>
      </c>
      <c r="I607" s="675" t="s">
        <v>853</v>
      </c>
      <c r="J607" s="677" t="s">
        <v>804</v>
      </c>
      <c r="K607" s="671">
        <v>9</v>
      </c>
      <c r="L607" s="671">
        <f t="shared" si="15"/>
        <v>18.8</v>
      </c>
      <c r="M607" s="676">
        <f t="shared" si="14"/>
        <v>169.20000000000002</v>
      </c>
    </row>
    <row r="608" spans="2:13" s="645" customFormat="1" ht="21.75" customHeight="1">
      <c r="B608" s="678">
        <v>44380</v>
      </c>
      <c r="C608" s="679" t="s">
        <v>837</v>
      </c>
      <c r="D608" s="680" t="s">
        <v>849</v>
      </c>
      <c r="E608" s="681" t="s">
        <v>831</v>
      </c>
      <c r="F608" s="678"/>
      <c r="G608" s="680">
        <v>20</v>
      </c>
      <c r="H608" s="679" t="s">
        <v>807</v>
      </c>
      <c r="I608" s="683" t="s">
        <v>853</v>
      </c>
      <c r="J608" s="684" t="s">
        <v>804</v>
      </c>
      <c r="K608" s="679">
        <v>6</v>
      </c>
      <c r="L608" s="679">
        <f t="shared" si="15"/>
        <v>18.8</v>
      </c>
      <c r="M608" s="668">
        <f t="shared" si="14"/>
        <v>112.80000000000001</v>
      </c>
    </row>
    <row r="609" spans="2:13" s="645" customFormat="1" ht="21.75" customHeight="1">
      <c r="B609" s="678">
        <v>44380</v>
      </c>
      <c r="C609" s="679" t="s">
        <v>837</v>
      </c>
      <c r="D609" s="680" t="s">
        <v>835</v>
      </c>
      <c r="E609" s="681" t="s">
        <v>831</v>
      </c>
      <c r="F609" s="678"/>
      <c r="G609" s="680">
        <v>20</v>
      </c>
      <c r="H609" s="679" t="s">
        <v>807</v>
      </c>
      <c r="I609" s="683" t="s">
        <v>853</v>
      </c>
      <c r="J609" s="684" t="s">
        <v>804</v>
      </c>
      <c r="K609" s="679">
        <v>7</v>
      </c>
      <c r="L609" s="679">
        <f t="shared" si="15"/>
        <v>18.8</v>
      </c>
      <c r="M609" s="668">
        <f t="shared" si="14"/>
        <v>131.6</v>
      </c>
    </row>
    <row r="610" spans="2:13" s="645" customFormat="1" ht="21.75" customHeight="1">
      <c r="B610" s="678">
        <v>44380</v>
      </c>
      <c r="C610" s="679" t="s">
        <v>837</v>
      </c>
      <c r="D610" s="680" t="s">
        <v>834</v>
      </c>
      <c r="E610" s="681" t="s">
        <v>831</v>
      </c>
      <c r="F610" s="678"/>
      <c r="G610" s="680">
        <v>20</v>
      </c>
      <c r="H610" s="679" t="s">
        <v>807</v>
      </c>
      <c r="I610" s="683" t="s">
        <v>853</v>
      </c>
      <c r="J610" s="684" t="s">
        <v>804</v>
      </c>
      <c r="K610" s="679">
        <v>7</v>
      </c>
      <c r="L610" s="679">
        <f t="shared" si="15"/>
        <v>18.8</v>
      </c>
      <c r="M610" s="668">
        <f t="shared" si="14"/>
        <v>131.6</v>
      </c>
    </row>
    <row r="611" spans="2:13" s="645" customFormat="1" ht="21.75" customHeight="1">
      <c r="B611" s="678">
        <v>44380</v>
      </c>
      <c r="C611" s="679" t="s">
        <v>837</v>
      </c>
      <c r="D611" s="680" t="s">
        <v>848</v>
      </c>
      <c r="E611" s="681" t="s">
        <v>831</v>
      </c>
      <c r="F611" s="678"/>
      <c r="G611" s="680">
        <v>20</v>
      </c>
      <c r="H611" s="679" t="s">
        <v>807</v>
      </c>
      <c r="I611" s="683" t="s">
        <v>853</v>
      </c>
      <c r="J611" s="684" t="s">
        <v>804</v>
      </c>
      <c r="K611" s="679">
        <v>7</v>
      </c>
      <c r="L611" s="679">
        <f t="shared" si="15"/>
        <v>18.8</v>
      </c>
      <c r="M611" s="668">
        <f t="shared" si="14"/>
        <v>131.6</v>
      </c>
    </row>
    <row r="612" spans="2:13" s="645" customFormat="1" ht="21.75" customHeight="1">
      <c r="B612" s="678">
        <v>44380</v>
      </c>
      <c r="C612" s="679" t="s">
        <v>837</v>
      </c>
      <c r="D612" s="680" t="s">
        <v>830</v>
      </c>
      <c r="E612" s="681" t="s">
        <v>831</v>
      </c>
      <c r="F612" s="678"/>
      <c r="G612" s="680">
        <v>15</v>
      </c>
      <c r="H612" s="679" t="s">
        <v>807</v>
      </c>
      <c r="I612" s="683" t="s">
        <v>853</v>
      </c>
      <c r="J612" s="684" t="s">
        <v>804</v>
      </c>
      <c r="K612" s="679">
        <v>8</v>
      </c>
      <c r="L612" s="679">
        <f t="shared" si="15"/>
        <v>14.1</v>
      </c>
      <c r="M612" s="668">
        <f t="shared" si="14"/>
        <v>112.8</v>
      </c>
    </row>
    <row r="613" spans="2:13" s="645" customFormat="1" ht="21.75" customHeight="1">
      <c r="B613" s="678">
        <v>44380</v>
      </c>
      <c r="C613" s="679" t="s">
        <v>837</v>
      </c>
      <c r="D613" s="680" t="s">
        <v>833</v>
      </c>
      <c r="E613" s="681" t="s">
        <v>831</v>
      </c>
      <c r="F613" s="678"/>
      <c r="G613" s="680">
        <v>15</v>
      </c>
      <c r="H613" s="679" t="s">
        <v>807</v>
      </c>
      <c r="I613" s="683" t="s">
        <v>853</v>
      </c>
      <c r="J613" s="684" t="s">
        <v>804</v>
      </c>
      <c r="K613" s="679">
        <v>7</v>
      </c>
      <c r="L613" s="679">
        <f t="shared" si="15"/>
        <v>14.1</v>
      </c>
      <c r="M613" s="668">
        <f t="shared" si="14"/>
        <v>98.7</v>
      </c>
    </row>
    <row r="614" spans="2:13" s="645" customFormat="1" ht="21.75" customHeight="1">
      <c r="B614" s="678">
        <v>44380</v>
      </c>
      <c r="C614" s="679" t="s">
        <v>837</v>
      </c>
      <c r="D614" s="680" t="s">
        <v>845</v>
      </c>
      <c r="E614" s="681" t="s">
        <v>831</v>
      </c>
      <c r="F614" s="678"/>
      <c r="G614" s="680">
        <v>17</v>
      </c>
      <c r="H614" s="679" t="s">
        <v>807</v>
      </c>
      <c r="I614" s="683" t="s">
        <v>853</v>
      </c>
      <c r="J614" s="684" t="s">
        <v>804</v>
      </c>
      <c r="K614" s="679">
        <v>6</v>
      </c>
      <c r="L614" s="679">
        <f t="shared" si="15"/>
        <v>15.98</v>
      </c>
      <c r="M614" s="668">
        <f t="shared" si="14"/>
        <v>95.88</v>
      </c>
    </row>
    <row r="615" spans="2:13" s="645" customFormat="1" ht="21.75" customHeight="1">
      <c r="B615" s="678">
        <v>44380</v>
      </c>
      <c r="C615" s="679" t="s">
        <v>837</v>
      </c>
      <c r="D615" s="680" t="s">
        <v>847</v>
      </c>
      <c r="E615" s="681" t="s">
        <v>831</v>
      </c>
      <c r="F615" s="678"/>
      <c r="G615" s="680">
        <v>17</v>
      </c>
      <c r="H615" s="679" t="s">
        <v>807</v>
      </c>
      <c r="I615" s="683" t="s">
        <v>853</v>
      </c>
      <c r="J615" s="684" t="s">
        <v>804</v>
      </c>
      <c r="K615" s="679">
        <v>8</v>
      </c>
      <c r="L615" s="679">
        <f t="shared" si="15"/>
        <v>15.98</v>
      </c>
      <c r="M615" s="668">
        <f t="shared" ref="M615:M678" si="16">L615*K615</f>
        <v>127.84</v>
      </c>
    </row>
    <row r="616" spans="2:13" s="645" customFormat="1" ht="21.75" customHeight="1">
      <c r="B616" s="678">
        <v>44380</v>
      </c>
      <c r="C616" s="679" t="s">
        <v>837</v>
      </c>
      <c r="D616" s="680" t="s">
        <v>856</v>
      </c>
      <c r="E616" s="681" t="s">
        <v>831</v>
      </c>
      <c r="F616" s="678"/>
      <c r="G616" s="680">
        <v>20</v>
      </c>
      <c r="H616" s="679" t="s">
        <v>807</v>
      </c>
      <c r="I616" s="683" t="s">
        <v>853</v>
      </c>
      <c r="J616" s="684" t="s">
        <v>804</v>
      </c>
      <c r="K616" s="679">
        <v>7</v>
      </c>
      <c r="L616" s="679">
        <f t="shared" si="15"/>
        <v>18.8</v>
      </c>
      <c r="M616" s="668">
        <f t="shared" si="16"/>
        <v>131.6</v>
      </c>
    </row>
    <row r="617" spans="2:13" s="645" customFormat="1" ht="21.75" customHeight="1">
      <c r="B617" s="678">
        <v>44380</v>
      </c>
      <c r="C617" s="679" t="s">
        <v>837</v>
      </c>
      <c r="D617" s="680" t="s">
        <v>855</v>
      </c>
      <c r="E617" s="681" t="s">
        <v>831</v>
      </c>
      <c r="F617" s="678"/>
      <c r="G617" s="680">
        <v>20</v>
      </c>
      <c r="H617" s="679" t="s">
        <v>807</v>
      </c>
      <c r="I617" s="683" t="s">
        <v>853</v>
      </c>
      <c r="J617" s="684" t="s">
        <v>804</v>
      </c>
      <c r="K617" s="679">
        <v>8</v>
      </c>
      <c r="L617" s="679">
        <f t="shared" si="15"/>
        <v>18.8</v>
      </c>
      <c r="M617" s="668">
        <f t="shared" si="16"/>
        <v>150.4</v>
      </c>
    </row>
    <row r="618" spans="2:13" s="645" customFormat="1" ht="21.75" customHeight="1">
      <c r="B618" s="661">
        <v>44380</v>
      </c>
      <c r="C618" s="662" t="s">
        <v>819</v>
      </c>
      <c r="D618" s="663" t="s">
        <v>834</v>
      </c>
      <c r="E618" s="664" t="s">
        <v>831</v>
      </c>
      <c r="F618" s="665"/>
      <c r="G618" s="663">
        <v>20</v>
      </c>
      <c r="H618" s="662" t="s">
        <v>807</v>
      </c>
      <c r="I618" s="666" t="s">
        <v>857</v>
      </c>
      <c r="J618" s="667" t="s">
        <v>852</v>
      </c>
      <c r="K618" s="662">
        <v>3</v>
      </c>
      <c r="L618" s="685">
        <f t="shared" si="15"/>
        <v>18.8</v>
      </c>
      <c r="M618" s="686">
        <f t="shared" si="16"/>
        <v>56.400000000000006</v>
      </c>
    </row>
    <row r="619" spans="2:13" s="645" customFormat="1" ht="21.75" customHeight="1">
      <c r="B619" s="661">
        <v>44380</v>
      </c>
      <c r="C619" s="662" t="s">
        <v>819</v>
      </c>
      <c r="D619" s="663" t="s">
        <v>833</v>
      </c>
      <c r="E619" s="664" t="s">
        <v>831</v>
      </c>
      <c r="F619" s="665"/>
      <c r="G619" s="663">
        <v>15</v>
      </c>
      <c r="H619" s="662" t="s">
        <v>807</v>
      </c>
      <c r="I619" s="666" t="s">
        <v>857</v>
      </c>
      <c r="J619" s="667" t="s">
        <v>852</v>
      </c>
      <c r="K619" s="662">
        <v>2</v>
      </c>
      <c r="L619" s="685">
        <f t="shared" si="15"/>
        <v>14.1</v>
      </c>
      <c r="M619" s="686">
        <f t="shared" si="16"/>
        <v>28.2</v>
      </c>
    </row>
    <row r="620" spans="2:13" s="645" customFormat="1" ht="21.75" customHeight="1">
      <c r="B620" s="670">
        <v>44381</v>
      </c>
      <c r="C620" s="671" t="s">
        <v>819</v>
      </c>
      <c r="D620" s="672" t="s">
        <v>849</v>
      </c>
      <c r="E620" s="673" t="s">
        <v>831</v>
      </c>
      <c r="F620" s="670"/>
      <c r="G620" s="672">
        <v>20</v>
      </c>
      <c r="H620" s="671" t="s">
        <v>807</v>
      </c>
      <c r="I620" s="675" t="s">
        <v>853</v>
      </c>
      <c r="J620" s="677" t="s">
        <v>804</v>
      </c>
      <c r="K620" s="671">
        <v>11</v>
      </c>
      <c r="L620" s="676">
        <f t="shared" si="15"/>
        <v>18.8</v>
      </c>
      <c r="M620" s="676">
        <f t="shared" si="16"/>
        <v>206.8</v>
      </c>
    </row>
    <row r="621" spans="2:13" s="645" customFormat="1" ht="21.75" customHeight="1">
      <c r="B621" s="670">
        <v>44381</v>
      </c>
      <c r="C621" s="671" t="s">
        <v>819</v>
      </c>
      <c r="D621" s="672" t="s">
        <v>835</v>
      </c>
      <c r="E621" s="673" t="s">
        <v>831</v>
      </c>
      <c r="F621" s="670"/>
      <c r="G621" s="672">
        <v>20</v>
      </c>
      <c r="H621" s="671" t="s">
        <v>807</v>
      </c>
      <c r="I621" s="675" t="s">
        <v>853</v>
      </c>
      <c r="J621" s="677" t="s">
        <v>804</v>
      </c>
      <c r="K621" s="671">
        <v>11</v>
      </c>
      <c r="L621" s="676">
        <f t="shared" si="15"/>
        <v>18.8</v>
      </c>
      <c r="M621" s="676">
        <f t="shared" si="16"/>
        <v>206.8</v>
      </c>
    </row>
    <row r="622" spans="2:13" s="645" customFormat="1" ht="21.75" customHeight="1">
      <c r="B622" s="670">
        <v>44381</v>
      </c>
      <c r="C622" s="671" t="s">
        <v>819</v>
      </c>
      <c r="D622" s="672" t="s">
        <v>841</v>
      </c>
      <c r="E622" s="673" t="s">
        <v>831</v>
      </c>
      <c r="F622" s="670"/>
      <c r="G622" s="672">
        <v>20</v>
      </c>
      <c r="H622" s="671" t="s">
        <v>807</v>
      </c>
      <c r="I622" s="675" t="s">
        <v>853</v>
      </c>
      <c r="J622" s="677" t="s">
        <v>804</v>
      </c>
      <c r="K622" s="671">
        <v>10</v>
      </c>
      <c r="L622" s="676">
        <f t="shared" si="15"/>
        <v>18.8</v>
      </c>
      <c r="M622" s="676">
        <f t="shared" si="16"/>
        <v>188</v>
      </c>
    </row>
    <row r="623" spans="2:13" s="645" customFormat="1" ht="21.75" customHeight="1">
      <c r="B623" s="670">
        <v>44381</v>
      </c>
      <c r="C623" s="671" t="s">
        <v>819</v>
      </c>
      <c r="D623" s="672" t="s">
        <v>834</v>
      </c>
      <c r="E623" s="673" t="s">
        <v>831</v>
      </c>
      <c r="F623" s="670"/>
      <c r="G623" s="672">
        <v>20</v>
      </c>
      <c r="H623" s="671" t="s">
        <v>807</v>
      </c>
      <c r="I623" s="675" t="s">
        <v>853</v>
      </c>
      <c r="J623" s="677" t="s">
        <v>804</v>
      </c>
      <c r="K623" s="671">
        <v>11</v>
      </c>
      <c r="L623" s="676">
        <f t="shared" si="15"/>
        <v>18.8</v>
      </c>
      <c r="M623" s="676">
        <f t="shared" si="16"/>
        <v>206.8</v>
      </c>
    </row>
    <row r="624" spans="2:13" s="645" customFormat="1" ht="21.75" customHeight="1">
      <c r="B624" s="670">
        <v>44381</v>
      </c>
      <c r="C624" s="671" t="s">
        <v>819</v>
      </c>
      <c r="D624" s="672" t="s">
        <v>848</v>
      </c>
      <c r="E624" s="673" t="s">
        <v>831</v>
      </c>
      <c r="F624" s="670"/>
      <c r="G624" s="672">
        <v>20</v>
      </c>
      <c r="H624" s="671" t="s">
        <v>807</v>
      </c>
      <c r="I624" s="675" t="s">
        <v>853</v>
      </c>
      <c r="J624" s="677" t="s">
        <v>804</v>
      </c>
      <c r="K624" s="671">
        <v>11</v>
      </c>
      <c r="L624" s="676">
        <f t="shared" si="15"/>
        <v>18.8</v>
      </c>
      <c r="M624" s="676">
        <f t="shared" si="16"/>
        <v>206.8</v>
      </c>
    </row>
    <row r="625" spans="2:13" s="645" customFormat="1" ht="21.75" customHeight="1">
      <c r="B625" s="670">
        <v>44381</v>
      </c>
      <c r="C625" s="671" t="s">
        <v>819</v>
      </c>
      <c r="D625" s="672" t="s">
        <v>830</v>
      </c>
      <c r="E625" s="673" t="s">
        <v>831</v>
      </c>
      <c r="F625" s="670"/>
      <c r="G625" s="672">
        <v>15</v>
      </c>
      <c r="H625" s="671" t="s">
        <v>807</v>
      </c>
      <c r="I625" s="675" t="s">
        <v>853</v>
      </c>
      <c r="J625" s="677" t="s">
        <v>804</v>
      </c>
      <c r="K625" s="671">
        <v>10</v>
      </c>
      <c r="L625" s="676">
        <f t="shared" si="15"/>
        <v>14.1</v>
      </c>
      <c r="M625" s="676">
        <f t="shared" si="16"/>
        <v>141</v>
      </c>
    </row>
    <row r="626" spans="2:13" s="645" customFormat="1" ht="21.75" customHeight="1">
      <c r="B626" s="670">
        <v>44381</v>
      </c>
      <c r="C626" s="671" t="s">
        <v>819</v>
      </c>
      <c r="D626" s="672" t="s">
        <v>833</v>
      </c>
      <c r="E626" s="673" t="s">
        <v>831</v>
      </c>
      <c r="F626" s="670"/>
      <c r="G626" s="672">
        <v>15</v>
      </c>
      <c r="H626" s="671" t="s">
        <v>807</v>
      </c>
      <c r="I626" s="675" t="s">
        <v>853</v>
      </c>
      <c r="J626" s="677" t="s">
        <v>804</v>
      </c>
      <c r="K626" s="671">
        <v>5</v>
      </c>
      <c r="L626" s="676">
        <f t="shared" si="15"/>
        <v>14.1</v>
      </c>
      <c r="M626" s="676">
        <f t="shared" si="16"/>
        <v>70.5</v>
      </c>
    </row>
    <row r="627" spans="2:13" s="645" customFormat="1" ht="21.75" customHeight="1">
      <c r="B627" s="670">
        <v>44381</v>
      </c>
      <c r="C627" s="671" t="s">
        <v>819</v>
      </c>
      <c r="D627" s="672" t="s">
        <v>845</v>
      </c>
      <c r="E627" s="673" t="s">
        <v>831</v>
      </c>
      <c r="F627" s="670"/>
      <c r="G627" s="672">
        <v>17</v>
      </c>
      <c r="H627" s="671" t="s">
        <v>807</v>
      </c>
      <c r="I627" s="675" t="s">
        <v>853</v>
      </c>
      <c r="J627" s="677" t="s">
        <v>804</v>
      </c>
      <c r="K627" s="671">
        <v>11</v>
      </c>
      <c r="L627" s="676">
        <f t="shared" si="15"/>
        <v>15.98</v>
      </c>
      <c r="M627" s="676">
        <f t="shared" si="16"/>
        <v>175.78</v>
      </c>
    </row>
    <row r="628" spans="2:13" s="645" customFormat="1" ht="21.75" customHeight="1">
      <c r="B628" s="670">
        <v>44381</v>
      </c>
      <c r="C628" s="671" t="s">
        <v>819</v>
      </c>
      <c r="D628" s="672" t="s">
        <v>847</v>
      </c>
      <c r="E628" s="673" t="s">
        <v>831</v>
      </c>
      <c r="F628" s="670"/>
      <c r="G628" s="672">
        <v>17</v>
      </c>
      <c r="H628" s="671" t="s">
        <v>807</v>
      </c>
      <c r="I628" s="675" t="s">
        <v>853</v>
      </c>
      <c r="J628" s="677" t="s">
        <v>804</v>
      </c>
      <c r="K628" s="671">
        <v>8</v>
      </c>
      <c r="L628" s="676">
        <f t="shared" si="15"/>
        <v>15.98</v>
      </c>
      <c r="M628" s="676">
        <f t="shared" si="16"/>
        <v>127.84</v>
      </c>
    </row>
    <row r="629" spans="2:13" s="645" customFormat="1" ht="21.75" customHeight="1">
      <c r="B629" s="670">
        <v>44381</v>
      </c>
      <c r="C629" s="671" t="s">
        <v>819</v>
      </c>
      <c r="D629" s="672" t="s">
        <v>856</v>
      </c>
      <c r="E629" s="673" t="s">
        <v>831</v>
      </c>
      <c r="F629" s="670"/>
      <c r="G629" s="672">
        <v>20</v>
      </c>
      <c r="H629" s="671" t="s">
        <v>807</v>
      </c>
      <c r="I629" s="675" t="s">
        <v>853</v>
      </c>
      <c r="J629" s="677" t="s">
        <v>804</v>
      </c>
      <c r="K629" s="671">
        <v>6</v>
      </c>
      <c r="L629" s="676">
        <f t="shared" si="15"/>
        <v>18.8</v>
      </c>
      <c r="M629" s="676">
        <f t="shared" si="16"/>
        <v>112.80000000000001</v>
      </c>
    </row>
    <row r="630" spans="2:13" s="645" customFormat="1" ht="21.75" customHeight="1">
      <c r="B630" s="678">
        <v>44381</v>
      </c>
      <c r="C630" s="679" t="s">
        <v>837</v>
      </c>
      <c r="D630" s="680" t="s">
        <v>849</v>
      </c>
      <c r="E630" s="681" t="s">
        <v>831</v>
      </c>
      <c r="F630" s="678"/>
      <c r="G630" s="680">
        <v>20</v>
      </c>
      <c r="H630" s="679" t="s">
        <v>807</v>
      </c>
      <c r="I630" s="683" t="s">
        <v>853</v>
      </c>
      <c r="J630" s="684" t="s">
        <v>804</v>
      </c>
      <c r="K630" s="679">
        <v>9</v>
      </c>
      <c r="L630" s="679">
        <f t="shared" si="15"/>
        <v>18.8</v>
      </c>
      <c r="M630" s="668">
        <f t="shared" si="16"/>
        <v>169.20000000000002</v>
      </c>
    </row>
    <row r="631" spans="2:13" s="645" customFormat="1" ht="21.75" customHeight="1">
      <c r="B631" s="678">
        <v>44381</v>
      </c>
      <c r="C631" s="679" t="s">
        <v>837</v>
      </c>
      <c r="D631" s="680" t="s">
        <v>835</v>
      </c>
      <c r="E631" s="681" t="s">
        <v>831</v>
      </c>
      <c r="F631" s="678"/>
      <c r="G631" s="680">
        <v>20</v>
      </c>
      <c r="H631" s="679" t="s">
        <v>807</v>
      </c>
      <c r="I631" s="683" t="s">
        <v>853</v>
      </c>
      <c r="J631" s="684" t="s">
        <v>804</v>
      </c>
      <c r="K631" s="679">
        <v>9</v>
      </c>
      <c r="L631" s="679">
        <f t="shared" si="15"/>
        <v>18.8</v>
      </c>
      <c r="M631" s="668">
        <f t="shared" si="16"/>
        <v>169.20000000000002</v>
      </c>
    </row>
    <row r="632" spans="2:13" s="645" customFormat="1" ht="21.75" customHeight="1">
      <c r="B632" s="678">
        <v>44381</v>
      </c>
      <c r="C632" s="679" t="s">
        <v>837</v>
      </c>
      <c r="D632" s="680" t="s">
        <v>834</v>
      </c>
      <c r="E632" s="681" t="s">
        <v>831</v>
      </c>
      <c r="F632" s="678"/>
      <c r="G632" s="680">
        <v>20</v>
      </c>
      <c r="H632" s="679" t="s">
        <v>807</v>
      </c>
      <c r="I632" s="683" t="s">
        <v>853</v>
      </c>
      <c r="J632" s="684" t="s">
        <v>804</v>
      </c>
      <c r="K632" s="679">
        <v>10</v>
      </c>
      <c r="L632" s="679">
        <f t="shared" si="15"/>
        <v>18.8</v>
      </c>
      <c r="M632" s="668">
        <f t="shared" si="16"/>
        <v>188</v>
      </c>
    </row>
    <row r="633" spans="2:13" s="645" customFormat="1" ht="21.75" customHeight="1">
      <c r="B633" s="678">
        <v>44381</v>
      </c>
      <c r="C633" s="679" t="s">
        <v>837</v>
      </c>
      <c r="D633" s="680" t="s">
        <v>848</v>
      </c>
      <c r="E633" s="681" t="s">
        <v>831</v>
      </c>
      <c r="F633" s="678"/>
      <c r="G633" s="680">
        <v>20</v>
      </c>
      <c r="H633" s="679" t="s">
        <v>807</v>
      </c>
      <c r="I633" s="683" t="s">
        <v>853</v>
      </c>
      <c r="J633" s="684" t="s">
        <v>804</v>
      </c>
      <c r="K633" s="679">
        <v>10</v>
      </c>
      <c r="L633" s="679">
        <f t="shared" si="15"/>
        <v>18.8</v>
      </c>
      <c r="M633" s="668">
        <f t="shared" si="16"/>
        <v>188</v>
      </c>
    </row>
    <row r="634" spans="2:13" s="645" customFormat="1" ht="21.75" customHeight="1">
      <c r="B634" s="678">
        <v>44381</v>
      </c>
      <c r="C634" s="679" t="s">
        <v>837</v>
      </c>
      <c r="D634" s="680" t="s">
        <v>830</v>
      </c>
      <c r="E634" s="681" t="s">
        <v>831</v>
      </c>
      <c r="F634" s="678"/>
      <c r="G634" s="680">
        <v>15</v>
      </c>
      <c r="H634" s="679" t="s">
        <v>807</v>
      </c>
      <c r="I634" s="683" t="s">
        <v>853</v>
      </c>
      <c r="J634" s="684" t="s">
        <v>804</v>
      </c>
      <c r="K634" s="679">
        <v>10</v>
      </c>
      <c r="L634" s="679">
        <f t="shared" si="15"/>
        <v>14.1</v>
      </c>
      <c r="M634" s="668">
        <f t="shared" si="16"/>
        <v>141</v>
      </c>
    </row>
    <row r="635" spans="2:13" s="645" customFormat="1" ht="21.75" customHeight="1">
      <c r="B635" s="678">
        <v>44381</v>
      </c>
      <c r="C635" s="679" t="s">
        <v>837</v>
      </c>
      <c r="D635" s="680" t="s">
        <v>833</v>
      </c>
      <c r="E635" s="681" t="s">
        <v>831</v>
      </c>
      <c r="F635" s="678"/>
      <c r="G635" s="680">
        <v>15</v>
      </c>
      <c r="H635" s="679" t="s">
        <v>807</v>
      </c>
      <c r="I635" s="683" t="s">
        <v>853</v>
      </c>
      <c r="J635" s="684" t="s">
        <v>804</v>
      </c>
      <c r="K635" s="679">
        <v>9</v>
      </c>
      <c r="L635" s="679">
        <f t="shared" si="15"/>
        <v>14.1</v>
      </c>
      <c r="M635" s="668">
        <f t="shared" si="16"/>
        <v>126.89999999999999</v>
      </c>
    </row>
    <row r="636" spans="2:13" s="645" customFormat="1" ht="21.75" customHeight="1">
      <c r="B636" s="678">
        <v>44381</v>
      </c>
      <c r="C636" s="679" t="s">
        <v>837</v>
      </c>
      <c r="D636" s="680" t="s">
        <v>845</v>
      </c>
      <c r="E636" s="681" t="s">
        <v>831</v>
      </c>
      <c r="F636" s="678"/>
      <c r="G636" s="680">
        <v>17</v>
      </c>
      <c r="H636" s="679" t="s">
        <v>807</v>
      </c>
      <c r="I636" s="683" t="s">
        <v>853</v>
      </c>
      <c r="J636" s="684" t="s">
        <v>804</v>
      </c>
      <c r="K636" s="679">
        <v>10</v>
      </c>
      <c r="L636" s="679">
        <f t="shared" si="15"/>
        <v>15.98</v>
      </c>
      <c r="M636" s="668">
        <f t="shared" si="16"/>
        <v>159.80000000000001</v>
      </c>
    </row>
    <row r="637" spans="2:13" s="645" customFormat="1" ht="21.75" customHeight="1">
      <c r="B637" s="678">
        <v>44381</v>
      </c>
      <c r="C637" s="679" t="s">
        <v>837</v>
      </c>
      <c r="D637" s="680" t="s">
        <v>847</v>
      </c>
      <c r="E637" s="681" t="s">
        <v>831</v>
      </c>
      <c r="F637" s="678"/>
      <c r="G637" s="680">
        <v>17</v>
      </c>
      <c r="H637" s="679" t="s">
        <v>807</v>
      </c>
      <c r="I637" s="683" t="s">
        <v>853</v>
      </c>
      <c r="J637" s="684" t="s">
        <v>804</v>
      </c>
      <c r="K637" s="679">
        <v>11</v>
      </c>
      <c r="L637" s="679">
        <f t="shared" si="15"/>
        <v>15.98</v>
      </c>
      <c r="M637" s="668">
        <f t="shared" si="16"/>
        <v>175.78</v>
      </c>
    </row>
    <row r="638" spans="2:13" s="645" customFormat="1" ht="21.75" customHeight="1">
      <c r="B638" s="678">
        <v>44381</v>
      </c>
      <c r="C638" s="679" t="s">
        <v>837</v>
      </c>
      <c r="D638" s="680" t="s">
        <v>856</v>
      </c>
      <c r="E638" s="681" t="s">
        <v>831</v>
      </c>
      <c r="F638" s="678"/>
      <c r="G638" s="680">
        <v>20</v>
      </c>
      <c r="H638" s="679" t="s">
        <v>807</v>
      </c>
      <c r="I638" s="683" t="s">
        <v>853</v>
      </c>
      <c r="J638" s="684" t="s">
        <v>804</v>
      </c>
      <c r="K638" s="679">
        <v>10</v>
      </c>
      <c r="L638" s="679">
        <f t="shared" si="15"/>
        <v>18.8</v>
      </c>
      <c r="M638" s="668">
        <f t="shared" si="16"/>
        <v>188</v>
      </c>
    </row>
    <row r="639" spans="2:13" s="645" customFormat="1" ht="21.75" customHeight="1">
      <c r="B639" s="678">
        <v>44381</v>
      </c>
      <c r="C639" s="679" t="s">
        <v>837</v>
      </c>
      <c r="D639" s="680" t="s">
        <v>855</v>
      </c>
      <c r="E639" s="681" t="s">
        <v>831</v>
      </c>
      <c r="F639" s="678"/>
      <c r="G639" s="680">
        <v>20</v>
      </c>
      <c r="H639" s="679" t="s">
        <v>807</v>
      </c>
      <c r="I639" s="683" t="s">
        <v>853</v>
      </c>
      <c r="J639" s="684" t="s">
        <v>804</v>
      </c>
      <c r="K639" s="679">
        <v>10</v>
      </c>
      <c r="L639" s="679">
        <f t="shared" si="15"/>
        <v>18.8</v>
      </c>
      <c r="M639" s="668">
        <f t="shared" si="16"/>
        <v>188</v>
      </c>
    </row>
    <row r="640" spans="2:13" s="645" customFormat="1" ht="21.75" customHeight="1">
      <c r="B640" s="661">
        <v>44381</v>
      </c>
      <c r="C640" s="662" t="s">
        <v>819</v>
      </c>
      <c r="D640" s="663" t="s">
        <v>833</v>
      </c>
      <c r="E640" s="664" t="s">
        <v>831</v>
      </c>
      <c r="F640" s="665"/>
      <c r="G640" s="663">
        <v>15</v>
      </c>
      <c r="H640" s="662" t="s">
        <v>807</v>
      </c>
      <c r="I640" s="666" t="s">
        <v>857</v>
      </c>
      <c r="J640" s="667" t="s">
        <v>852</v>
      </c>
      <c r="K640" s="662">
        <v>6</v>
      </c>
      <c r="L640" s="685">
        <f t="shared" si="15"/>
        <v>14.1</v>
      </c>
      <c r="M640" s="686">
        <f t="shared" si="16"/>
        <v>84.6</v>
      </c>
    </row>
    <row r="641" spans="2:13" s="645" customFormat="1" ht="21.75" customHeight="1">
      <c r="B641" s="661">
        <v>44381</v>
      </c>
      <c r="C641" s="662" t="s">
        <v>819</v>
      </c>
      <c r="D641" s="663" t="s">
        <v>847</v>
      </c>
      <c r="E641" s="664" t="s">
        <v>831</v>
      </c>
      <c r="F641" s="665"/>
      <c r="G641" s="663">
        <v>17</v>
      </c>
      <c r="H641" s="662" t="s">
        <v>807</v>
      </c>
      <c r="I641" s="666" t="s">
        <v>857</v>
      </c>
      <c r="J641" s="667" t="s">
        <v>852</v>
      </c>
      <c r="K641" s="662">
        <v>3</v>
      </c>
      <c r="L641" s="685">
        <f t="shared" si="15"/>
        <v>15.98</v>
      </c>
      <c r="M641" s="686">
        <f t="shared" si="16"/>
        <v>47.94</v>
      </c>
    </row>
    <row r="642" spans="2:13" s="645" customFormat="1" ht="21.75" customHeight="1">
      <c r="B642" s="670">
        <v>44382</v>
      </c>
      <c r="C642" s="671" t="s">
        <v>819</v>
      </c>
      <c r="D642" s="672" t="s">
        <v>849</v>
      </c>
      <c r="E642" s="673" t="s">
        <v>831</v>
      </c>
      <c r="F642" s="670"/>
      <c r="G642" s="672">
        <v>20</v>
      </c>
      <c r="H642" s="671" t="s">
        <v>807</v>
      </c>
      <c r="I642" s="675" t="s">
        <v>854</v>
      </c>
      <c r="J642" s="677" t="s">
        <v>804</v>
      </c>
      <c r="K642" s="671">
        <v>9</v>
      </c>
      <c r="L642" s="676">
        <f t="shared" si="15"/>
        <v>18.8</v>
      </c>
      <c r="M642" s="676">
        <f t="shared" si="16"/>
        <v>169.20000000000002</v>
      </c>
    </row>
    <row r="643" spans="2:13" s="645" customFormat="1" ht="21.75" customHeight="1">
      <c r="B643" s="670">
        <v>44382</v>
      </c>
      <c r="C643" s="671" t="s">
        <v>819</v>
      </c>
      <c r="D643" s="672" t="s">
        <v>840</v>
      </c>
      <c r="E643" s="673" t="s">
        <v>831</v>
      </c>
      <c r="F643" s="670"/>
      <c r="G643" s="672">
        <v>20</v>
      </c>
      <c r="H643" s="671" t="s">
        <v>807</v>
      </c>
      <c r="I643" s="675" t="s">
        <v>854</v>
      </c>
      <c r="J643" s="677" t="s">
        <v>804</v>
      </c>
      <c r="K643" s="671">
        <v>10</v>
      </c>
      <c r="L643" s="676">
        <f t="shared" si="15"/>
        <v>18.8</v>
      </c>
      <c r="M643" s="676">
        <f t="shared" si="16"/>
        <v>188</v>
      </c>
    </row>
    <row r="644" spans="2:13" s="645" customFormat="1" ht="21.75" customHeight="1">
      <c r="B644" s="670">
        <v>44382</v>
      </c>
      <c r="C644" s="671" t="s">
        <v>819</v>
      </c>
      <c r="D644" s="672" t="s">
        <v>835</v>
      </c>
      <c r="E644" s="673" t="s">
        <v>831</v>
      </c>
      <c r="F644" s="670"/>
      <c r="G644" s="672">
        <v>20</v>
      </c>
      <c r="H644" s="671" t="s">
        <v>807</v>
      </c>
      <c r="I644" s="675" t="s">
        <v>854</v>
      </c>
      <c r="J644" s="677" t="s">
        <v>804</v>
      </c>
      <c r="K644" s="671">
        <v>11</v>
      </c>
      <c r="L644" s="676">
        <f t="shared" si="15"/>
        <v>18.8</v>
      </c>
      <c r="M644" s="676">
        <f t="shared" si="16"/>
        <v>206.8</v>
      </c>
    </row>
    <row r="645" spans="2:13" s="645" customFormat="1" ht="21.75" customHeight="1">
      <c r="B645" s="670">
        <v>44382</v>
      </c>
      <c r="C645" s="671" t="s">
        <v>819</v>
      </c>
      <c r="D645" s="672" t="s">
        <v>841</v>
      </c>
      <c r="E645" s="673" t="s">
        <v>831</v>
      </c>
      <c r="F645" s="670"/>
      <c r="G645" s="672">
        <v>20</v>
      </c>
      <c r="H645" s="671" t="s">
        <v>807</v>
      </c>
      <c r="I645" s="675" t="s">
        <v>854</v>
      </c>
      <c r="J645" s="677" t="s">
        <v>804</v>
      </c>
      <c r="K645" s="671">
        <v>10</v>
      </c>
      <c r="L645" s="676">
        <f t="shared" si="15"/>
        <v>18.8</v>
      </c>
      <c r="M645" s="676">
        <f t="shared" si="16"/>
        <v>188</v>
      </c>
    </row>
    <row r="646" spans="2:13" s="645" customFormat="1" ht="21.75" customHeight="1">
      <c r="B646" s="670">
        <v>44382</v>
      </c>
      <c r="C646" s="671" t="s">
        <v>819</v>
      </c>
      <c r="D646" s="672" t="s">
        <v>834</v>
      </c>
      <c r="E646" s="673" t="s">
        <v>831</v>
      </c>
      <c r="F646" s="670"/>
      <c r="G646" s="672">
        <v>20</v>
      </c>
      <c r="H646" s="671" t="s">
        <v>807</v>
      </c>
      <c r="I646" s="675" t="s">
        <v>854</v>
      </c>
      <c r="J646" s="677" t="s">
        <v>804</v>
      </c>
      <c r="K646" s="671">
        <v>10</v>
      </c>
      <c r="L646" s="676">
        <f t="shared" si="15"/>
        <v>18.8</v>
      </c>
      <c r="M646" s="676">
        <f t="shared" si="16"/>
        <v>188</v>
      </c>
    </row>
    <row r="647" spans="2:13" s="645" customFormat="1" ht="21.75" customHeight="1">
      <c r="B647" s="670">
        <v>44382</v>
      </c>
      <c r="C647" s="671" t="s">
        <v>819</v>
      </c>
      <c r="D647" s="672" t="s">
        <v>848</v>
      </c>
      <c r="E647" s="673" t="s">
        <v>831</v>
      </c>
      <c r="F647" s="670"/>
      <c r="G647" s="672">
        <v>20</v>
      </c>
      <c r="H647" s="671" t="s">
        <v>807</v>
      </c>
      <c r="I647" s="675" t="s">
        <v>854</v>
      </c>
      <c r="J647" s="677" t="s">
        <v>804</v>
      </c>
      <c r="K647" s="671">
        <v>10</v>
      </c>
      <c r="L647" s="676">
        <f t="shared" si="15"/>
        <v>18.8</v>
      </c>
      <c r="M647" s="676">
        <f t="shared" si="16"/>
        <v>188</v>
      </c>
    </row>
    <row r="648" spans="2:13" s="645" customFormat="1" ht="21.75" customHeight="1">
      <c r="B648" s="670">
        <v>44382</v>
      </c>
      <c r="C648" s="671" t="s">
        <v>819</v>
      </c>
      <c r="D648" s="672" t="s">
        <v>845</v>
      </c>
      <c r="E648" s="673" t="s">
        <v>831</v>
      </c>
      <c r="F648" s="670"/>
      <c r="G648" s="672">
        <v>17</v>
      </c>
      <c r="H648" s="671" t="s">
        <v>807</v>
      </c>
      <c r="I648" s="675" t="s">
        <v>854</v>
      </c>
      <c r="J648" s="677" t="s">
        <v>804</v>
      </c>
      <c r="K648" s="671">
        <v>10</v>
      </c>
      <c r="L648" s="676">
        <f t="shared" si="15"/>
        <v>15.98</v>
      </c>
      <c r="M648" s="676">
        <f t="shared" si="16"/>
        <v>159.80000000000001</v>
      </c>
    </row>
    <row r="649" spans="2:13" s="645" customFormat="1" ht="21.75" customHeight="1">
      <c r="B649" s="670">
        <v>44382</v>
      </c>
      <c r="C649" s="671" t="s">
        <v>819</v>
      </c>
      <c r="D649" s="672" t="s">
        <v>847</v>
      </c>
      <c r="E649" s="673" t="s">
        <v>831</v>
      </c>
      <c r="F649" s="670"/>
      <c r="G649" s="672">
        <v>17</v>
      </c>
      <c r="H649" s="671" t="s">
        <v>807</v>
      </c>
      <c r="I649" s="675" t="s">
        <v>854</v>
      </c>
      <c r="J649" s="677" t="s">
        <v>804</v>
      </c>
      <c r="K649" s="671">
        <v>9</v>
      </c>
      <c r="L649" s="676">
        <f t="shared" ref="L649:L712" si="17">VLOOKUP(G649,$Q$4:$V$7,6,FALSE)</f>
        <v>15.98</v>
      </c>
      <c r="M649" s="676">
        <f t="shared" si="16"/>
        <v>143.82</v>
      </c>
    </row>
    <row r="650" spans="2:13" s="645" customFormat="1" ht="21.75" customHeight="1">
      <c r="B650" s="670">
        <v>44382</v>
      </c>
      <c r="C650" s="671" t="s">
        <v>819</v>
      </c>
      <c r="D650" s="672" t="s">
        <v>856</v>
      </c>
      <c r="E650" s="673" t="s">
        <v>831</v>
      </c>
      <c r="F650" s="670"/>
      <c r="G650" s="672">
        <v>20</v>
      </c>
      <c r="H650" s="671" t="s">
        <v>807</v>
      </c>
      <c r="I650" s="675" t="s">
        <v>854</v>
      </c>
      <c r="J650" s="677" t="s">
        <v>804</v>
      </c>
      <c r="K650" s="671">
        <v>10</v>
      </c>
      <c r="L650" s="676">
        <f t="shared" si="17"/>
        <v>18.8</v>
      </c>
      <c r="M650" s="676">
        <f t="shared" si="16"/>
        <v>188</v>
      </c>
    </row>
    <row r="651" spans="2:13" s="645" customFormat="1" ht="21.75" customHeight="1">
      <c r="B651" s="670">
        <v>44382</v>
      </c>
      <c r="C651" s="671" t="s">
        <v>819</v>
      </c>
      <c r="D651" s="672" t="s">
        <v>855</v>
      </c>
      <c r="E651" s="673" t="s">
        <v>831</v>
      </c>
      <c r="F651" s="670"/>
      <c r="G651" s="672">
        <v>20</v>
      </c>
      <c r="H651" s="671" t="s">
        <v>807</v>
      </c>
      <c r="I651" s="675" t="s">
        <v>854</v>
      </c>
      <c r="J651" s="677" t="s">
        <v>804</v>
      </c>
      <c r="K651" s="671">
        <v>9</v>
      </c>
      <c r="L651" s="676">
        <f t="shared" si="17"/>
        <v>18.8</v>
      </c>
      <c r="M651" s="676">
        <f t="shared" si="16"/>
        <v>169.20000000000002</v>
      </c>
    </row>
    <row r="652" spans="2:13" s="645" customFormat="1" ht="21.75" customHeight="1">
      <c r="B652" s="678">
        <v>44382</v>
      </c>
      <c r="C652" s="679" t="s">
        <v>837</v>
      </c>
      <c r="D652" s="680" t="s">
        <v>849</v>
      </c>
      <c r="E652" s="681" t="s">
        <v>831</v>
      </c>
      <c r="F652" s="678"/>
      <c r="G652" s="680">
        <v>20</v>
      </c>
      <c r="H652" s="679" t="s">
        <v>807</v>
      </c>
      <c r="I652" s="683" t="s">
        <v>854</v>
      </c>
      <c r="J652" s="684" t="s">
        <v>804</v>
      </c>
      <c r="K652" s="679">
        <v>7</v>
      </c>
      <c r="L652" s="679">
        <f t="shared" si="17"/>
        <v>18.8</v>
      </c>
      <c r="M652" s="668">
        <f t="shared" si="16"/>
        <v>131.6</v>
      </c>
    </row>
    <row r="653" spans="2:13" s="645" customFormat="1" ht="21.75" customHeight="1">
      <c r="B653" s="678">
        <v>44382</v>
      </c>
      <c r="C653" s="679" t="s">
        <v>837</v>
      </c>
      <c r="D653" s="680" t="s">
        <v>835</v>
      </c>
      <c r="E653" s="681" t="s">
        <v>831</v>
      </c>
      <c r="F653" s="678"/>
      <c r="G653" s="680">
        <v>20</v>
      </c>
      <c r="H653" s="679" t="s">
        <v>807</v>
      </c>
      <c r="I653" s="683" t="s">
        <v>854</v>
      </c>
      <c r="J653" s="684" t="s">
        <v>804</v>
      </c>
      <c r="K653" s="679">
        <v>9</v>
      </c>
      <c r="L653" s="679">
        <f t="shared" si="17"/>
        <v>18.8</v>
      </c>
      <c r="M653" s="668">
        <f t="shared" si="16"/>
        <v>169.20000000000002</v>
      </c>
    </row>
    <row r="654" spans="2:13" s="645" customFormat="1" ht="21.75" customHeight="1">
      <c r="B654" s="678">
        <v>44382</v>
      </c>
      <c r="C654" s="679" t="s">
        <v>837</v>
      </c>
      <c r="D654" s="680" t="s">
        <v>834</v>
      </c>
      <c r="E654" s="681" t="s">
        <v>831</v>
      </c>
      <c r="F654" s="678"/>
      <c r="G654" s="680">
        <v>20</v>
      </c>
      <c r="H654" s="679" t="s">
        <v>807</v>
      </c>
      <c r="I654" s="683" t="s">
        <v>854</v>
      </c>
      <c r="J654" s="684" t="s">
        <v>804</v>
      </c>
      <c r="K654" s="679">
        <v>8</v>
      </c>
      <c r="L654" s="679">
        <f t="shared" si="17"/>
        <v>18.8</v>
      </c>
      <c r="M654" s="668">
        <f t="shared" si="16"/>
        <v>150.4</v>
      </c>
    </row>
    <row r="655" spans="2:13" s="645" customFormat="1" ht="21.75" customHeight="1">
      <c r="B655" s="678">
        <v>44382</v>
      </c>
      <c r="C655" s="679" t="s">
        <v>837</v>
      </c>
      <c r="D655" s="680" t="s">
        <v>848</v>
      </c>
      <c r="E655" s="681" t="s">
        <v>831</v>
      </c>
      <c r="F655" s="678"/>
      <c r="G655" s="680">
        <v>20</v>
      </c>
      <c r="H655" s="679" t="s">
        <v>807</v>
      </c>
      <c r="I655" s="683" t="s">
        <v>854</v>
      </c>
      <c r="J655" s="684" t="s">
        <v>804</v>
      </c>
      <c r="K655" s="679">
        <v>9</v>
      </c>
      <c r="L655" s="679">
        <f t="shared" si="17"/>
        <v>18.8</v>
      </c>
      <c r="M655" s="668">
        <f t="shared" si="16"/>
        <v>169.20000000000002</v>
      </c>
    </row>
    <row r="656" spans="2:13" s="645" customFormat="1" ht="21.75" customHeight="1">
      <c r="B656" s="678">
        <v>44382</v>
      </c>
      <c r="C656" s="679" t="s">
        <v>837</v>
      </c>
      <c r="D656" s="680" t="s">
        <v>836</v>
      </c>
      <c r="E656" s="681" t="s">
        <v>831</v>
      </c>
      <c r="F656" s="678"/>
      <c r="G656" s="680">
        <v>20</v>
      </c>
      <c r="H656" s="679" t="s">
        <v>807</v>
      </c>
      <c r="I656" s="683" t="s">
        <v>854</v>
      </c>
      <c r="J656" s="684" t="s">
        <v>804</v>
      </c>
      <c r="K656" s="679">
        <v>5</v>
      </c>
      <c r="L656" s="679">
        <f t="shared" si="17"/>
        <v>18.8</v>
      </c>
      <c r="M656" s="668">
        <f t="shared" si="16"/>
        <v>94</v>
      </c>
    </row>
    <row r="657" spans="2:13" s="645" customFormat="1" ht="21.75" customHeight="1">
      <c r="B657" s="678">
        <v>44382</v>
      </c>
      <c r="C657" s="679" t="s">
        <v>837</v>
      </c>
      <c r="D657" s="680" t="s">
        <v>830</v>
      </c>
      <c r="E657" s="681" t="s">
        <v>831</v>
      </c>
      <c r="F657" s="678"/>
      <c r="G657" s="680">
        <v>15</v>
      </c>
      <c r="H657" s="679" t="s">
        <v>807</v>
      </c>
      <c r="I657" s="683" t="s">
        <v>854</v>
      </c>
      <c r="J657" s="684" t="s">
        <v>804</v>
      </c>
      <c r="K657" s="679">
        <v>9</v>
      </c>
      <c r="L657" s="679">
        <f t="shared" si="17"/>
        <v>14.1</v>
      </c>
      <c r="M657" s="668">
        <f t="shared" si="16"/>
        <v>126.89999999999999</v>
      </c>
    </row>
    <row r="658" spans="2:13" s="645" customFormat="1" ht="21.75" customHeight="1">
      <c r="B658" s="678">
        <v>44382</v>
      </c>
      <c r="C658" s="679" t="s">
        <v>837</v>
      </c>
      <c r="D658" s="680" t="s">
        <v>833</v>
      </c>
      <c r="E658" s="681" t="s">
        <v>831</v>
      </c>
      <c r="F658" s="678"/>
      <c r="G658" s="680">
        <v>15</v>
      </c>
      <c r="H658" s="679" t="s">
        <v>807</v>
      </c>
      <c r="I658" s="683" t="s">
        <v>854</v>
      </c>
      <c r="J658" s="684" t="s">
        <v>804</v>
      </c>
      <c r="K658" s="679">
        <v>1</v>
      </c>
      <c r="L658" s="679">
        <f t="shared" si="17"/>
        <v>14.1</v>
      </c>
      <c r="M658" s="668">
        <f t="shared" si="16"/>
        <v>14.1</v>
      </c>
    </row>
    <row r="659" spans="2:13" s="645" customFormat="1" ht="21.75" customHeight="1">
      <c r="B659" s="678">
        <v>44382</v>
      </c>
      <c r="C659" s="679" t="s">
        <v>837</v>
      </c>
      <c r="D659" s="680" t="s">
        <v>845</v>
      </c>
      <c r="E659" s="681" t="s">
        <v>831</v>
      </c>
      <c r="F659" s="678"/>
      <c r="G659" s="680">
        <v>17</v>
      </c>
      <c r="H659" s="679" t="s">
        <v>807</v>
      </c>
      <c r="I659" s="683" t="s">
        <v>854</v>
      </c>
      <c r="J659" s="684" t="s">
        <v>804</v>
      </c>
      <c r="K659" s="679">
        <v>9</v>
      </c>
      <c r="L659" s="679">
        <f t="shared" si="17"/>
        <v>15.98</v>
      </c>
      <c r="M659" s="668">
        <f t="shared" si="16"/>
        <v>143.82</v>
      </c>
    </row>
    <row r="660" spans="2:13" s="645" customFormat="1" ht="21.75" customHeight="1">
      <c r="B660" s="678">
        <v>44382</v>
      </c>
      <c r="C660" s="679" t="s">
        <v>837</v>
      </c>
      <c r="D660" s="680" t="s">
        <v>847</v>
      </c>
      <c r="E660" s="681" t="s">
        <v>831</v>
      </c>
      <c r="F660" s="678"/>
      <c r="G660" s="680">
        <v>17</v>
      </c>
      <c r="H660" s="679" t="s">
        <v>807</v>
      </c>
      <c r="I660" s="683" t="s">
        <v>854</v>
      </c>
      <c r="J660" s="684" t="s">
        <v>804</v>
      </c>
      <c r="K660" s="679">
        <v>9</v>
      </c>
      <c r="L660" s="679">
        <f t="shared" si="17"/>
        <v>15.98</v>
      </c>
      <c r="M660" s="668">
        <f t="shared" si="16"/>
        <v>143.82</v>
      </c>
    </row>
    <row r="661" spans="2:13" s="645" customFormat="1" ht="21.75" customHeight="1">
      <c r="B661" s="678">
        <v>44382</v>
      </c>
      <c r="C661" s="679" t="s">
        <v>837</v>
      </c>
      <c r="D661" s="680" t="s">
        <v>856</v>
      </c>
      <c r="E661" s="681" t="s">
        <v>831</v>
      </c>
      <c r="F661" s="678"/>
      <c r="G661" s="680">
        <v>20</v>
      </c>
      <c r="H661" s="679" t="s">
        <v>807</v>
      </c>
      <c r="I661" s="683" t="s">
        <v>854</v>
      </c>
      <c r="J661" s="684" t="s">
        <v>804</v>
      </c>
      <c r="K661" s="679">
        <v>9</v>
      </c>
      <c r="L661" s="679">
        <f t="shared" si="17"/>
        <v>18.8</v>
      </c>
      <c r="M661" s="668">
        <f t="shared" si="16"/>
        <v>169.20000000000002</v>
      </c>
    </row>
    <row r="662" spans="2:13" s="645" customFormat="1" ht="21.75" customHeight="1">
      <c r="B662" s="678">
        <v>44382</v>
      </c>
      <c r="C662" s="679" t="s">
        <v>837</v>
      </c>
      <c r="D662" s="680" t="s">
        <v>855</v>
      </c>
      <c r="E662" s="681" t="s">
        <v>831</v>
      </c>
      <c r="F662" s="678"/>
      <c r="G662" s="680">
        <v>20</v>
      </c>
      <c r="H662" s="679" t="s">
        <v>807</v>
      </c>
      <c r="I662" s="683" t="s">
        <v>854</v>
      </c>
      <c r="J662" s="684" t="s">
        <v>804</v>
      </c>
      <c r="K662" s="679">
        <v>9</v>
      </c>
      <c r="L662" s="679">
        <f t="shared" si="17"/>
        <v>18.8</v>
      </c>
      <c r="M662" s="668">
        <f t="shared" si="16"/>
        <v>169.20000000000002</v>
      </c>
    </row>
    <row r="663" spans="2:13" s="645" customFormat="1" ht="21.75" customHeight="1">
      <c r="B663" s="670">
        <v>44383</v>
      </c>
      <c r="C663" s="671" t="s">
        <v>819</v>
      </c>
      <c r="D663" s="672" t="s">
        <v>849</v>
      </c>
      <c r="E663" s="673" t="s">
        <v>831</v>
      </c>
      <c r="F663" s="670"/>
      <c r="G663" s="672">
        <v>20</v>
      </c>
      <c r="H663" s="671" t="s">
        <v>807</v>
      </c>
      <c r="I663" s="675" t="s">
        <v>854</v>
      </c>
      <c r="J663" s="677" t="s">
        <v>804</v>
      </c>
      <c r="K663" s="671">
        <v>10</v>
      </c>
      <c r="L663" s="676">
        <f t="shared" si="17"/>
        <v>18.8</v>
      </c>
      <c r="M663" s="676">
        <f t="shared" si="16"/>
        <v>188</v>
      </c>
    </row>
    <row r="664" spans="2:13" s="645" customFormat="1" ht="21.75" customHeight="1">
      <c r="B664" s="670">
        <v>44383</v>
      </c>
      <c r="C664" s="671" t="s">
        <v>819</v>
      </c>
      <c r="D664" s="672" t="s">
        <v>840</v>
      </c>
      <c r="E664" s="673" t="s">
        <v>831</v>
      </c>
      <c r="F664" s="670"/>
      <c r="G664" s="672">
        <v>20</v>
      </c>
      <c r="H664" s="671" t="s">
        <v>807</v>
      </c>
      <c r="I664" s="675" t="s">
        <v>854</v>
      </c>
      <c r="J664" s="677" t="s">
        <v>804</v>
      </c>
      <c r="K664" s="671">
        <v>9</v>
      </c>
      <c r="L664" s="676">
        <f t="shared" si="17"/>
        <v>18.8</v>
      </c>
      <c r="M664" s="676">
        <f t="shared" si="16"/>
        <v>169.20000000000002</v>
      </c>
    </row>
    <row r="665" spans="2:13" s="645" customFormat="1" ht="21.75" customHeight="1">
      <c r="B665" s="670">
        <v>44383</v>
      </c>
      <c r="C665" s="671" t="s">
        <v>819</v>
      </c>
      <c r="D665" s="672" t="s">
        <v>835</v>
      </c>
      <c r="E665" s="673" t="s">
        <v>831</v>
      </c>
      <c r="F665" s="670"/>
      <c r="G665" s="672">
        <v>20</v>
      </c>
      <c r="H665" s="671" t="s">
        <v>807</v>
      </c>
      <c r="I665" s="675" t="s">
        <v>854</v>
      </c>
      <c r="J665" s="677" t="s">
        <v>804</v>
      </c>
      <c r="K665" s="671">
        <v>9</v>
      </c>
      <c r="L665" s="676">
        <f t="shared" si="17"/>
        <v>18.8</v>
      </c>
      <c r="M665" s="676">
        <f t="shared" si="16"/>
        <v>169.20000000000002</v>
      </c>
    </row>
    <row r="666" spans="2:13" s="645" customFormat="1" ht="21.75" customHeight="1">
      <c r="B666" s="670">
        <v>44383</v>
      </c>
      <c r="C666" s="671" t="s">
        <v>819</v>
      </c>
      <c r="D666" s="672" t="s">
        <v>841</v>
      </c>
      <c r="E666" s="673" t="s">
        <v>831</v>
      </c>
      <c r="F666" s="670"/>
      <c r="G666" s="672">
        <v>20</v>
      </c>
      <c r="H666" s="671" t="s">
        <v>807</v>
      </c>
      <c r="I666" s="675" t="s">
        <v>854</v>
      </c>
      <c r="J666" s="677" t="s">
        <v>804</v>
      </c>
      <c r="K666" s="671">
        <v>9</v>
      </c>
      <c r="L666" s="676">
        <f t="shared" si="17"/>
        <v>18.8</v>
      </c>
      <c r="M666" s="676">
        <f t="shared" si="16"/>
        <v>169.20000000000002</v>
      </c>
    </row>
    <row r="667" spans="2:13" s="645" customFormat="1" ht="21.75" customHeight="1">
      <c r="B667" s="670">
        <v>44383</v>
      </c>
      <c r="C667" s="671" t="s">
        <v>819</v>
      </c>
      <c r="D667" s="672" t="s">
        <v>834</v>
      </c>
      <c r="E667" s="673" t="s">
        <v>831</v>
      </c>
      <c r="F667" s="670"/>
      <c r="G667" s="672">
        <v>20</v>
      </c>
      <c r="H667" s="671" t="s">
        <v>807</v>
      </c>
      <c r="I667" s="675" t="s">
        <v>854</v>
      </c>
      <c r="J667" s="677" t="s">
        <v>804</v>
      </c>
      <c r="K667" s="671">
        <v>9</v>
      </c>
      <c r="L667" s="676">
        <f t="shared" si="17"/>
        <v>18.8</v>
      </c>
      <c r="M667" s="676">
        <f t="shared" si="16"/>
        <v>169.20000000000002</v>
      </c>
    </row>
    <row r="668" spans="2:13" s="645" customFormat="1" ht="21.75" customHeight="1">
      <c r="B668" s="670">
        <v>44383</v>
      </c>
      <c r="C668" s="671" t="s">
        <v>819</v>
      </c>
      <c r="D668" s="672" t="s">
        <v>848</v>
      </c>
      <c r="E668" s="673" t="s">
        <v>831</v>
      </c>
      <c r="F668" s="670"/>
      <c r="G668" s="672">
        <v>20</v>
      </c>
      <c r="H668" s="671" t="s">
        <v>807</v>
      </c>
      <c r="I668" s="675" t="s">
        <v>854</v>
      </c>
      <c r="J668" s="677" t="s">
        <v>804</v>
      </c>
      <c r="K668" s="671">
        <v>10</v>
      </c>
      <c r="L668" s="676">
        <f t="shared" si="17"/>
        <v>18.8</v>
      </c>
      <c r="M668" s="676">
        <f t="shared" si="16"/>
        <v>188</v>
      </c>
    </row>
    <row r="669" spans="2:13" s="645" customFormat="1" ht="21.75" customHeight="1">
      <c r="B669" s="670">
        <v>44383</v>
      </c>
      <c r="C669" s="671" t="s">
        <v>819</v>
      </c>
      <c r="D669" s="672" t="s">
        <v>845</v>
      </c>
      <c r="E669" s="673" t="s">
        <v>831</v>
      </c>
      <c r="F669" s="670"/>
      <c r="G669" s="672">
        <v>17</v>
      </c>
      <c r="H669" s="671" t="s">
        <v>807</v>
      </c>
      <c r="I669" s="675" t="s">
        <v>854</v>
      </c>
      <c r="J669" s="677" t="s">
        <v>804</v>
      </c>
      <c r="K669" s="671">
        <v>9</v>
      </c>
      <c r="L669" s="676">
        <f t="shared" si="17"/>
        <v>15.98</v>
      </c>
      <c r="M669" s="676">
        <f t="shared" si="16"/>
        <v>143.82</v>
      </c>
    </row>
    <row r="670" spans="2:13" s="645" customFormat="1" ht="21.75" customHeight="1">
      <c r="B670" s="670">
        <v>44383</v>
      </c>
      <c r="C670" s="671" t="s">
        <v>819</v>
      </c>
      <c r="D670" s="672" t="s">
        <v>847</v>
      </c>
      <c r="E670" s="673" t="s">
        <v>831</v>
      </c>
      <c r="F670" s="670"/>
      <c r="G670" s="672">
        <v>17</v>
      </c>
      <c r="H670" s="671" t="s">
        <v>807</v>
      </c>
      <c r="I670" s="675" t="s">
        <v>854</v>
      </c>
      <c r="J670" s="677" t="s">
        <v>804</v>
      </c>
      <c r="K670" s="671">
        <v>10</v>
      </c>
      <c r="L670" s="676">
        <f t="shared" si="17"/>
        <v>15.98</v>
      </c>
      <c r="M670" s="676">
        <f t="shared" si="16"/>
        <v>159.80000000000001</v>
      </c>
    </row>
    <row r="671" spans="2:13" s="645" customFormat="1" ht="21.75" customHeight="1">
      <c r="B671" s="670">
        <v>44383</v>
      </c>
      <c r="C671" s="671" t="s">
        <v>819</v>
      </c>
      <c r="D671" s="672" t="s">
        <v>856</v>
      </c>
      <c r="E671" s="673" t="s">
        <v>831</v>
      </c>
      <c r="F671" s="670"/>
      <c r="G671" s="672">
        <v>20</v>
      </c>
      <c r="H671" s="671" t="s">
        <v>807</v>
      </c>
      <c r="I671" s="675" t="s">
        <v>854</v>
      </c>
      <c r="J671" s="677" t="s">
        <v>804</v>
      </c>
      <c r="K671" s="671">
        <v>4</v>
      </c>
      <c r="L671" s="676">
        <f t="shared" si="17"/>
        <v>18.8</v>
      </c>
      <c r="M671" s="676">
        <f t="shared" si="16"/>
        <v>75.2</v>
      </c>
    </row>
    <row r="672" spans="2:13" s="645" customFormat="1" ht="21.75" customHeight="1">
      <c r="B672" s="670">
        <v>44383</v>
      </c>
      <c r="C672" s="671" t="s">
        <v>819</v>
      </c>
      <c r="D672" s="672" t="s">
        <v>855</v>
      </c>
      <c r="E672" s="673" t="s">
        <v>831</v>
      </c>
      <c r="F672" s="670"/>
      <c r="G672" s="672">
        <v>20</v>
      </c>
      <c r="H672" s="671" t="s">
        <v>807</v>
      </c>
      <c r="I672" s="675" t="s">
        <v>854</v>
      </c>
      <c r="J672" s="677" t="s">
        <v>804</v>
      </c>
      <c r="K672" s="671">
        <v>8</v>
      </c>
      <c r="L672" s="676">
        <f t="shared" si="17"/>
        <v>18.8</v>
      </c>
      <c r="M672" s="676">
        <f t="shared" si="16"/>
        <v>150.4</v>
      </c>
    </row>
    <row r="673" spans="2:13" s="645" customFormat="1" ht="21.75" customHeight="1">
      <c r="B673" s="678">
        <v>44383</v>
      </c>
      <c r="C673" s="679" t="s">
        <v>837</v>
      </c>
      <c r="D673" s="680" t="s">
        <v>849</v>
      </c>
      <c r="E673" s="681" t="s">
        <v>831</v>
      </c>
      <c r="F673" s="678"/>
      <c r="G673" s="680">
        <v>20</v>
      </c>
      <c r="H673" s="679" t="s">
        <v>807</v>
      </c>
      <c r="I673" s="683" t="s">
        <v>854</v>
      </c>
      <c r="J673" s="684" t="s">
        <v>804</v>
      </c>
      <c r="K673" s="679">
        <v>6</v>
      </c>
      <c r="L673" s="679">
        <f t="shared" si="17"/>
        <v>18.8</v>
      </c>
      <c r="M673" s="668">
        <f t="shared" si="16"/>
        <v>112.80000000000001</v>
      </c>
    </row>
    <row r="674" spans="2:13" s="645" customFormat="1" ht="21.75" customHeight="1">
      <c r="B674" s="678">
        <v>44383</v>
      </c>
      <c r="C674" s="679" t="s">
        <v>837</v>
      </c>
      <c r="D674" s="680" t="s">
        <v>835</v>
      </c>
      <c r="E674" s="681" t="s">
        <v>831</v>
      </c>
      <c r="F674" s="678"/>
      <c r="G674" s="680">
        <v>20</v>
      </c>
      <c r="H674" s="679" t="s">
        <v>807</v>
      </c>
      <c r="I674" s="683" t="s">
        <v>854</v>
      </c>
      <c r="J674" s="684" t="s">
        <v>804</v>
      </c>
      <c r="K674" s="679">
        <v>7</v>
      </c>
      <c r="L674" s="679">
        <f t="shared" si="17"/>
        <v>18.8</v>
      </c>
      <c r="M674" s="668">
        <f t="shared" si="16"/>
        <v>131.6</v>
      </c>
    </row>
    <row r="675" spans="2:13" s="645" customFormat="1" ht="21.75" customHeight="1">
      <c r="B675" s="678">
        <v>44383</v>
      </c>
      <c r="C675" s="679" t="s">
        <v>837</v>
      </c>
      <c r="D675" s="680" t="s">
        <v>841</v>
      </c>
      <c r="E675" s="681" t="s">
        <v>831</v>
      </c>
      <c r="F675" s="678"/>
      <c r="G675" s="680">
        <v>20</v>
      </c>
      <c r="H675" s="679" t="s">
        <v>807</v>
      </c>
      <c r="I675" s="683" t="s">
        <v>854</v>
      </c>
      <c r="J675" s="684" t="s">
        <v>804</v>
      </c>
      <c r="K675" s="679">
        <v>7</v>
      </c>
      <c r="L675" s="679">
        <f t="shared" si="17"/>
        <v>18.8</v>
      </c>
      <c r="M675" s="668">
        <f t="shared" si="16"/>
        <v>131.6</v>
      </c>
    </row>
    <row r="676" spans="2:13" s="645" customFormat="1" ht="21.75" customHeight="1">
      <c r="B676" s="678">
        <v>44383</v>
      </c>
      <c r="C676" s="679" t="s">
        <v>837</v>
      </c>
      <c r="D676" s="680" t="s">
        <v>834</v>
      </c>
      <c r="E676" s="681" t="s">
        <v>831</v>
      </c>
      <c r="F676" s="678"/>
      <c r="G676" s="680">
        <v>20</v>
      </c>
      <c r="H676" s="679" t="s">
        <v>807</v>
      </c>
      <c r="I676" s="683" t="s">
        <v>854</v>
      </c>
      <c r="J676" s="684" t="s">
        <v>804</v>
      </c>
      <c r="K676" s="679">
        <v>7</v>
      </c>
      <c r="L676" s="679">
        <f t="shared" si="17"/>
        <v>18.8</v>
      </c>
      <c r="M676" s="668">
        <f t="shared" si="16"/>
        <v>131.6</v>
      </c>
    </row>
    <row r="677" spans="2:13" s="645" customFormat="1" ht="21.75" customHeight="1">
      <c r="B677" s="678">
        <v>44383</v>
      </c>
      <c r="C677" s="679" t="s">
        <v>837</v>
      </c>
      <c r="D677" s="680" t="s">
        <v>848</v>
      </c>
      <c r="E677" s="681" t="s">
        <v>831</v>
      </c>
      <c r="F677" s="678"/>
      <c r="G677" s="680">
        <v>20</v>
      </c>
      <c r="H677" s="679" t="s">
        <v>807</v>
      </c>
      <c r="I677" s="683" t="s">
        <v>854</v>
      </c>
      <c r="J677" s="684" t="s">
        <v>804</v>
      </c>
      <c r="K677" s="679">
        <v>7</v>
      </c>
      <c r="L677" s="679">
        <f t="shared" si="17"/>
        <v>18.8</v>
      </c>
      <c r="M677" s="668">
        <f t="shared" si="16"/>
        <v>131.6</v>
      </c>
    </row>
    <row r="678" spans="2:13" s="645" customFormat="1" ht="21.75" customHeight="1">
      <c r="B678" s="678">
        <v>44383</v>
      </c>
      <c r="C678" s="679" t="s">
        <v>837</v>
      </c>
      <c r="D678" s="680" t="s">
        <v>833</v>
      </c>
      <c r="E678" s="681" t="s">
        <v>831</v>
      </c>
      <c r="F678" s="678"/>
      <c r="G678" s="680">
        <v>15</v>
      </c>
      <c r="H678" s="679" t="s">
        <v>807</v>
      </c>
      <c r="I678" s="683" t="s">
        <v>854</v>
      </c>
      <c r="J678" s="684" t="s">
        <v>804</v>
      </c>
      <c r="K678" s="679">
        <v>7</v>
      </c>
      <c r="L678" s="679">
        <f t="shared" si="17"/>
        <v>14.1</v>
      </c>
      <c r="M678" s="668">
        <f t="shared" si="16"/>
        <v>98.7</v>
      </c>
    </row>
    <row r="679" spans="2:13" s="645" customFormat="1" ht="21.75" customHeight="1">
      <c r="B679" s="678">
        <v>44383</v>
      </c>
      <c r="C679" s="679" t="s">
        <v>837</v>
      </c>
      <c r="D679" s="680" t="s">
        <v>845</v>
      </c>
      <c r="E679" s="681" t="s">
        <v>831</v>
      </c>
      <c r="F679" s="678"/>
      <c r="G679" s="680">
        <v>17</v>
      </c>
      <c r="H679" s="679" t="s">
        <v>807</v>
      </c>
      <c r="I679" s="683" t="s">
        <v>854</v>
      </c>
      <c r="J679" s="684" t="s">
        <v>804</v>
      </c>
      <c r="K679" s="679">
        <v>7</v>
      </c>
      <c r="L679" s="679">
        <f t="shared" si="17"/>
        <v>15.98</v>
      </c>
      <c r="M679" s="668">
        <f t="shared" ref="M679:M742" si="18">L679*K679</f>
        <v>111.86</v>
      </c>
    </row>
    <row r="680" spans="2:13" s="645" customFormat="1" ht="21.75" customHeight="1">
      <c r="B680" s="678">
        <v>44383</v>
      </c>
      <c r="C680" s="679" t="s">
        <v>837</v>
      </c>
      <c r="D680" s="680" t="s">
        <v>847</v>
      </c>
      <c r="E680" s="681" t="s">
        <v>831</v>
      </c>
      <c r="F680" s="678"/>
      <c r="G680" s="680">
        <v>17</v>
      </c>
      <c r="H680" s="679" t="s">
        <v>807</v>
      </c>
      <c r="I680" s="683" t="s">
        <v>854</v>
      </c>
      <c r="J680" s="684" t="s">
        <v>804</v>
      </c>
      <c r="K680" s="679">
        <v>8</v>
      </c>
      <c r="L680" s="679">
        <f t="shared" si="17"/>
        <v>15.98</v>
      </c>
      <c r="M680" s="668">
        <f t="shared" si="18"/>
        <v>127.84</v>
      </c>
    </row>
    <row r="681" spans="2:13" s="645" customFormat="1" ht="21.75" customHeight="1">
      <c r="B681" s="678">
        <v>44383</v>
      </c>
      <c r="C681" s="679" t="s">
        <v>837</v>
      </c>
      <c r="D681" s="680" t="s">
        <v>856</v>
      </c>
      <c r="E681" s="681" t="s">
        <v>831</v>
      </c>
      <c r="F681" s="678"/>
      <c r="G681" s="680">
        <v>20</v>
      </c>
      <c r="H681" s="679" t="s">
        <v>807</v>
      </c>
      <c r="I681" s="683" t="s">
        <v>854</v>
      </c>
      <c r="J681" s="684" t="s">
        <v>804</v>
      </c>
      <c r="K681" s="679">
        <v>7</v>
      </c>
      <c r="L681" s="679">
        <f t="shared" si="17"/>
        <v>18.8</v>
      </c>
      <c r="M681" s="668">
        <f t="shared" si="18"/>
        <v>131.6</v>
      </c>
    </row>
    <row r="682" spans="2:13" s="645" customFormat="1" ht="21.75" customHeight="1">
      <c r="B682" s="678">
        <v>44383</v>
      </c>
      <c r="C682" s="679" t="s">
        <v>837</v>
      </c>
      <c r="D682" s="680" t="s">
        <v>855</v>
      </c>
      <c r="E682" s="681" t="s">
        <v>831</v>
      </c>
      <c r="F682" s="678"/>
      <c r="G682" s="680">
        <v>20</v>
      </c>
      <c r="H682" s="679" t="s">
        <v>807</v>
      </c>
      <c r="I682" s="683" t="s">
        <v>854</v>
      </c>
      <c r="J682" s="684" t="s">
        <v>804</v>
      </c>
      <c r="K682" s="679">
        <v>7</v>
      </c>
      <c r="L682" s="679">
        <f t="shared" si="17"/>
        <v>18.8</v>
      </c>
      <c r="M682" s="668">
        <f t="shared" si="18"/>
        <v>131.6</v>
      </c>
    </row>
    <row r="683" spans="2:13" s="645" customFormat="1" ht="21.75" customHeight="1">
      <c r="B683" s="670">
        <v>44384</v>
      </c>
      <c r="C683" s="671" t="s">
        <v>819</v>
      </c>
      <c r="D683" s="672" t="s">
        <v>835</v>
      </c>
      <c r="E683" s="673" t="s">
        <v>831</v>
      </c>
      <c r="F683" s="670"/>
      <c r="G683" s="672">
        <v>20</v>
      </c>
      <c r="H683" s="671" t="s">
        <v>807</v>
      </c>
      <c r="I683" s="675" t="s">
        <v>854</v>
      </c>
      <c r="J683" s="677" t="s">
        <v>804</v>
      </c>
      <c r="K683" s="671">
        <v>1</v>
      </c>
      <c r="L683" s="676">
        <f t="shared" si="17"/>
        <v>18.8</v>
      </c>
      <c r="M683" s="676">
        <f t="shared" si="18"/>
        <v>18.8</v>
      </c>
    </row>
    <row r="684" spans="2:13" s="645" customFormat="1" ht="21.75" customHeight="1">
      <c r="B684" s="670">
        <v>44384</v>
      </c>
      <c r="C684" s="671" t="s">
        <v>819</v>
      </c>
      <c r="D684" s="672" t="s">
        <v>834</v>
      </c>
      <c r="E684" s="673" t="s">
        <v>831</v>
      </c>
      <c r="F684" s="670"/>
      <c r="G684" s="672">
        <v>20</v>
      </c>
      <c r="H684" s="671" t="s">
        <v>807</v>
      </c>
      <c r="I684" s="675" t="s">
        <v>854</v>
      </c>
      <c r="J684" s="677" t="s">
        <v>804</v>
      </c>
      <c r="K684" s="671">
        <v>1</v>
      </c>
      <c r="L684" s="676">
        <f t="shared" si="17"/>
        <v>18.8</v>
      </c>
      <c r="M684" s="676">
        <f t="shared" si="18"/>
        <v>18.8</v>
      </c>
    </row>
    <row r="685" spans="2:13" s="645" customFormat="1" ht="21.75" customHeight="1">
      <c r="B685" s="670">
        <v>44385</v>
      </c>
      <c r="C685" s="671" t="s">
        <v>819</v>
      </c>
      <c r="D685" s="672" t="s">
        <v>833</v>
      </c>
      <c r="E685" s="673" t="s">
        <v>831</v>
      </c>
      <c r="F685" s="670"/>
      <c r="G685" s="672">
        <v>15</v>
      </c>
      <c r="H685" s="671" t="s">
        <v>807</v>
      </c>
      <c r="I685" s="675" t="s">
        <v>854</v>
      </c>
      <c r="J685" s="677" t="s">
        <v>804</v>
      </c>
      <c r="K685" s="671">
        <v>1</v>
      </c>
      <c r="L685" s="676">
        <f t="shared" si="17"/>
        <v>14.1</v>
      </c>
      <c r="M685" s="676">
        <f t="shared" si="18"/>
        <v>14.1</v>
      </c>
    </row>
    <row r="686" spans="2:13" s="645" customFormat="1" ht="21.75" customHeight="1">
      <c r="B686" s="661">
        <v>44385</v>
      </c>
      <c r="C686" s="662" t="s">
        <v>837</v>
      </c>
      <c r="D686" s="663" t="s">
        <v>835</v>
      </c>
      <c r="E686" s="664" t="s">
        <v>831</v>
      </c>
      <c r="F686" s="661"/>
      <c r="G686" s="663">
        <v>20</v>
      </c>
      <c r="H686" s="662" t="s">
        <v>807</v>
      </c>
      <c r="I686" s="666" t="s">
        <v>854</v>
      </c>
      <c r="J686" s="667" t="s">
        <v>804</v>
      </c>
      <c r="K686" s="662">
        <v>7</v>
      </c>
      <c r="L686" s="679">
        <f t="shared" si="17"/>
        <v>18.8</v>
      </c>
      <c r="M686" s="668">
        <f t="shared" si="18"/>
        <v>131.6</v>
      </c>
    </row>
    <row r="687" spans="2:13" s="645" customFormat="1" ht="21.75" customHeight="1">
      <c r="B687" s="661">
        <v>44385</v>
      </c>
      <c r="C687" s="662" t="s">
        <v>837</v>
      </c>
      <c r="D687" s="663" t="s">
        <v>835</v>
      </c>
      <c r="E687" s="664" t="s">
        <v>831</v>
      </c>
      <c r="F687" s="661"/>
      <c r="G687" s="663">
        <v>20</v>
      </c>
      <c r="H687" s="662" t="s">
        <v>807</v>
      </c>
      <c r="I687" s="666" t="s">
        <v>854</v>
      </c>
      <c r="J687" s="667" t="s">
        <v>804</v>
      </c>
      <c r="K687" s="662">
        <v>2</v>
      </c>
      <c r="L687" s="679">
        <f t="shared" si="17"/>
        <v>18.8</v>
      </c>
      <c r="M687" s="668">
        <f t="shared" si="18"/>
        <v>37.6</v>
      </c>
    </row>
    <row r="688" spans="2:13" s="645" customFormat="1" ht="21.75" customHeight="1">
      <c r="B688" s="661">
        <v>44385</v>
      </c>
      <c r="C688" s="662" t="s">
        <v>837</v>
      </c>
      <c r="D688" s="663" t="s">
        <v>841</v>
      </c>
      <c r="E688" s="664" t="s">
        <v>831</v>
      </c>
      <c r="F688" s="661"/>
      <c r="G688" s="663">
        <v>20</v>
      </c>
      <c r="H688" s="662" t="s">
        <v>807</v>
      </c>
      <c r="I688" s="666" t="s">
        <v>854</v>
      </c>
      <c r="J688" s="667" t="s">
        <v>804</v>
      </c>
      <c r="K688" s="662">
        <v>9</v>
      </c>
      <c r="L688" s="679">
        <f t="shared" si="17"/>
        <v>18.8</v>
      </c>
      <c r="M688" s="668">
        <f t="shared" si="18"/>
        <v>169.20000000000002</v>
      </c>
    </row>
    <row r="689" spans="2:13" s="645" customFormat="1" ht="21.75" customHeight="1">
      <c r="B689" s="661">
        <v>44385</v>
      </c>
      <c r="C689" s="662" t="s">
        <v>837</v>
      </c>
      <c r="D689" s="663" t="s">
        <v>836</v>
      </c>
      <c r="E689" s="664" t="s">
        <v>831</v>
      </c>
      <c r="F689" s="661"/>
      <c r="G689" s="663">
        <v>15</v>
      </c>
      <c r="H689" s="662" t="s">
        <v>807</v>
      </c>
      <c r="I689" s="666" t="s">
        <v>854</v>
      </c>
      <c r="J689" s="667" t="s">
        <v>804</v>
      </c>
      <c r="K689" s="662">
        <v>9</v>
      </c>
      <c r="L689" s="679">
        <f t="shared" si="17"/>
        <v>14.1</v>
      </c>
      <c r="M689" s="668">
        <f t="shared" si="18"/>
        <v>126.89999999999999</v>
      </c>
    </row>
    <row r="690" spans="2:13" s="645" customFormat="1" ht="21.75" customHeight="1">
      <c r="B690" s="661">
        <v>44385</v>
      </c>
      <c r="C690" s="662" t="s">
        <v>837</v>
      </c>
      <c r="D690" s="663" t="s">
        <v>845</v>
      </c>
      <c r="E690" s="664" t="s">
        <v>831</v>
      </c>
      <c r="F690" s="661"/>
      <c r="G690" s="663">
        <v>17</v>
      </c>
      <c r="H690" s="662" t="s">
        <v>807</v>
      </c>
      <c r="I690" s="666" t="s">
        <v>854</v>
      </c>
      <c r="J690" s="667" t="s">
        <v>804</v>
      </c>
      <c r="K690" s="662">
        <v>9</v>
      </c>
      <c r="L690" s="679">
        <f t="shared" si="17"/>
        <v>15.98</v>
      </c>
      <c r="M690" s="668">
        <f t="shared" si="18"/>
        <v>143.82</v>
      </c>
    </row>
    <row r="691" spans="2:13" s="645" customFormat="1" ht="21.75" customHeight="1">
      <c r="B691" s="661">
        <v>44385</v>
      </c>
      <c r="C691" s="662" t="s">
        <v>837</v>
      </c>
      <c r="D691" s="663" t="s">
        <v>847</v>
      </c>
      <c r="E691" s="664" t="s">
        <v>831</v>
      </c>
      <c r="F691" s="661"/>
      <c r="G691" s="663">
        <v>17</v>
      </c>
      <c r="H691" s="662" t="s">
        <v>807</v>
      </c>
      <c r="I691" s="666" t="s">
        <v>854</v>
      </c>
      <c r="J691" s="667" t="s">
        <v>804</v>
      </c>
      <c r="K691" s="662">
        <v>9</v>
      </c>
      <c r="L691" s="679">
        <f t="shared" si="17"/>
        <v>15.98</v>
      </c>
      <c r="M691" s="668">
        <f t="shared" si="18"/>
        <v>143.82</v>
      </c>
    </row>
    <row r="692" spans="2:13" s="645" customFormat="1" ht="21.75" customHeight="1">
      <c r="B692" s="661">
        <v>44385</v>
      </c>
      <c r="C692" s="662" t="s">
        <v>837</v>
      </c>
      <c r="D692" s="663" t="s">
        <v>856</v>
      </c>
      <c r="E692" s="664" t="s">
        <v>831</v>
      </c>
      <c r="F692" s="661"/>
      <c r="G692" s="663">
        <v>20</v>
      </c>
      <c r="H692" s="662" t="s">
        <v>807</v>
      </c>
      <c r="I692" s="666" t="s">
        <v>854</v>
      </c>
      <c r="J692" s="667" t="s">
        <v>804</v>
      </c>
      <c r="K692" s="662">
        <v>9</v>
      </c>
      <c r="L692" s="679">
        <f t="shared" si="17"/>
        <v>18.8</v>
      </c>
      <c r="M692" s="668">
        <f t="shared" si="18"/>
        <v>169.20000000000002</v>
      </c>
    </row>
    <row r="693" spans="2:13" s="645" customFormat="1" ht="21.75" customHeight="1">
      <c r="B693" s="661">
        <v>44385</v>
      </c>
      <c r="C693" s="662" t="s">
        <v>837</v>
      </c>
      <c r="D693" s="663" t="s">
        <v>855</v>
      </c>
      <c r="E693" s="664" t="s">
        <v>831</v>
      </c>
      <c r="F693" s="661"/>
      <c r="G693" s="663">
        <v>20</v>
      </c>
      <c r="H693" s="662" t="s">
        <v>807</v>
      </c>
      <c r="I693" s="666" t="s">
        <v>854</v>
      </c>
      <c r="J693" s="667" t="s">
        <v>804</v>
      </c>
      <c r="K693" s="662">
        <v>9</v>
      </c>
      <c r="L693" s="679">
        <f t="shared" si="17"/>
        <v>18.8</v>
      </c>
      <c r="M693" s="668">
        <f t="shared" si="18"/>
        <v>169.20000000000002</v>
      </c>
    </row>
    <row r="694" spans="2:13" s="645" customFormat="1" ht="21.75" customHeight="1">
      <c r="B694" s="661">
        <v>44386</v>
      </c>
      <c r="C694" s="662" t="s">
        <v>837</v>
      </c>
      <c r="D694" s="663" t="s">
        <v>835</v>
      </c>
      <c r="E694" s="664" t="s">
        <v>831</v>
      </c>
      <c r="F694" s="661"/>
      <c r="G694" s="663">
        <v>20</v>
      </c>
      <c r="H694" s="662" t="s">
        <v>807</v>
      </c>
      <c r="I694" s="666" t="s">
        <v>854</v>
      </c>
      <c r="J694" s="667" t="s">
        <v>804</v>
      </c>
      <c r="K694" s="662">
        <v>11</v>
      </c>
      <c r="L694" s="679">
        <f t="shared" si="17"/>
        <v>18.8</v>
      </c>
      <c r="M694" s="668">
        <f t="shared" si="18"/>
        <v>206.8</v>
      </c>
    </row>
    <row r="695" spans="2:13" s="645" customFormat="1" ht="21.75" customHeight="1">
      <c r="B695" s="661">
        <v>44386</v>
      </c>
      <c r="C695" s="662" t="s">
        <v>837</v>
      </c>
      <c r="D695" s="663" t="s">
        <v>834</v>
      </c>
      <c r="E695" s="664" t="s">
        <v>831</v>
      </c>
      <c r="F695" s="661"/>
      <c r="G695" s="663">
        <v>20</v>
      </c>
      <c r="H695" s="662" t="s">
        <v>807</v>
      </c>
      <c r="I695" s="666" t="s">
        <v>854</v>
      </c>
      <c r="J695" s="667" t="s">
        <v>804</v>
      </c>
      <c r="K695" s="662">
        <v>9</v>
      </c>
      <c r="L695" s="679">
        <f t="shared" si="17"/>
        <v>18.8</v>
      </c>
      <c r="M695" s="668">
        <f t="shared" si="18"/>
        <v>169.20000000000002</v>
      </c>
    </row>
    <row r="696" spans="2:13" s="645" customFormat="1" ht="21.75" customHeight="1">
      <c r="B696" s="661">
        <v>44386</v>
      </c>
      <c r="C696" s="662" t="s">
        <v>837</v>
      </c>
      <c r="D696" s="663" t="s">
        <v>836</v>
      </c>
      <c r="E696" s="664" t="s">
        <v>831</v>
      </c>
      <c r="F696" s="661"/>
      <c r="G696" s="663">
        <v>15</v>
      </c>
      <c r="H696" s="662" t="s">
        <v>807</v>
      </c>
      <c r="I696" s="666" t="s">
        <v>854</v>
      </c>
      <c r="J696" s="667" t="s">
        <v>804</v>
      </c>
      <c r="K696" s="662">
        <v>10</v>
      </c>
      <c r="L696" s="679">
        <f t="shared" si="17"/>
        <v>14.1</v>
      </c>
      <c r="M696" s="668">
        <f t="shared" si="18"/>
        <v>141</v>
      </c>
    </row>
    <row r="697" spans="2:13" s="645" customFormat="1" ht="21.75" customHeight="1">
      <c r="B697" s="661">
        <v>44386</v>
      </c>
      <c r="C697" s="662" t="s">
        <v>837</v>
      </c>
      <c r="D697" s="663" t="s">
        <v>845</v>
      </c>
      <c r="E697" s="664" t="s">
        <v>831</v>
      </c>
      <c r="F697" s="661"/>
      <c r="G697" s="663">
        <v>17</v>
      </c>
      <c r="H697" s="662" t="s">
        <v>807</v>
      </c>
      <c r="I697" s="666" t="s">
        <v>854</v>
      </c>
      <c r="J697" s="667" t="s">
        <v>804</v>
      </c>
      <c r="K697" s="662">
        <v>10</v>
      </c>
      <c r="L697" s="679">
        <f t="shared" si="17"/>
        <v>15.98</v>
      </c>
      <c r="M697" s="668">
        <f t="shared" si="18"/>
        <v>159.80000000000001</v>
      </c>
    </row>
    <row r="698" spans="2:13" s="645" customFormat="1" ht="21.75" customHeight="1">
      <c r="B698" s="661">
        <v>44386</v>
      </c>
      <c r="C698" s="662" t="s">
        <v>837</v>
      </c>
      <c r="D698" s="663" t="s">
        <v>847</v>
      </c>
      <c r="E698" s="664" t="s">
        <v>831</v>
      </c>
      <c r="F698" s="661"/>
      <c r="G698" s="663">
        <v>17</v>
      </c>
      <c r="H698" s="662" t="s">
        <v>807</v>
      </c>
      <c r="I698" s="666" t="s">
        <v>854</v>
      </c>
      <c r="J698" s="667" t="s">
        <v>804</v>
      </c>
      <c r="K698" s="662">
        <v>10</v>
      </c>
      <c r="L698" s="679">
        <f t="shared" si="17"/>
        <v>15.98</v>
      </c>
      <c r="M698" s="668">
        <f t="shared" si="18"/>
        <v>159.80000000000001</v>
      </c>
    </row>
    <row r="699" spans="2:13" s="645" customFormat="1" ht="21.75" customHeight="1">
      <c r="B699" s="661">
        <v>44386</v>
      </c>
      <c r="C699" s="662" t="s">
        <v>837</v>
      </c>
      <c r="D699" s="663" t="s">
        <v>856</v>
      </c>
      <c r="E699" s="664" t="s">
        <v>831</v>
      </c>
      <c r="F699" s="661"/>
      <c r="G699" s="663">
        <v>20</v>
      </c>
      <c r="H699" s="662" t="s">
        <v>807</v>
      </c>
      <c r="I699" s="666" t="s">
        <v>854</v>
      </c>
      <c r="J699" s="667" t="s">
        <v>804</v>
      </c>
      <c r="K699" s="662">
        <v>10</v>
      </c>
      <c r="L699" s="679">
        <f t="shared" si="17"/>
        <v>18.8</v>
      </c>
      <c r="M699" s="668">
        <f t="shared" si="18"/>
        <v>188</v>
      </c>
    </row>
    <row r="700" spans="2:13" s="645" customFormat="1" ht="21.75" customHeight="1">
      <c r="B700" s="661">
        <v>44386</v>
      </c>
      <c r="C700" s="662" t="s">
        <v>837</v>
      </c>
      <c r="D700" s="663" t="s">
        <v>855</v>
      </c>
      <c r="E700" s="664" t="s">
        <v>831</v>
      </c>
      <c r="F700" s="661"/>
      <c r="G700" s="663">
        <v>20</v>
      </c>
      <c r="H700" s="662" t="s">
        <v>807</v>
      </c>
      <c r="I700" s="666" t="s">
        <v>854</v>
      </c>
      <c r="J700" s="667" t="s">
        <v>804</v>
      </c>
      <c r="K700" s="662">
        <v>8</v>
      </c>
      <c r="L700" s="679">
        <f t="shared" si="17"/>
        <v>18.8</v>
      </c>
      <c r="M700" s="668">
        <f t="shared" si="18"/>
        <v>150.4</v>
      </c>
    </row>
    <row r="701" spans="2:13" s="645" customFormat="1" ht="21.75" customHeight="1">
      <c r="B701" s="670">
        <v>44387</v>
      </c>
      <c r="C701" s="671" t="s">
        <v>837</v>
      </c>
      <c r="D701" s="672" t="s">
        <v>835</v>
      </c>
      <c r="E701" s="673" t="s">
        <v>831</v>
      </c>
      <c r="F701" s="670"/>
      <c r="G701" s="672">
        <v>20</v>
      </c>
      <c r="H701" s="671" t="s">
        <v>807</v>
      </c>
      <c r="I701" s="675" t="s">
        <v>858</v>
      </c>
      <c r="J701" s="677" t="s">
        <v>804</v>
      </c>
      <c r="K701" s="671">
        <v>10</v>
      </c>
      <c r="L701" s="676">
        <f t="shared" si="17"/>
        <v>18.8</v>
      </c>
      <c r="M701" s="676">
        <f t="shared" si="18"/>
        <v>188</v>
      </c>
    </row>
    <row r="702" spans="2:13" s="645" customFormat="1" ht="21.75" customHeight="1">
      <c r="B702" s="670">
        <v>44387</v>
      </c>
      <c r="C702" s="671" t="s">
        <v>837</v>
      </c>
      <c r="D702" s="672" t="s">
        <v>841</v>
      </c>
      <c r="E702" s="673" t="s">
        <v>831</v>
      </c>
      <c r="F702" s="670"/>
      <c r="G702" s="672">
        <v>20</v>
      </c>
      <c r="H702" s="671" t="s">
        <v>807</v>
      </c>
      <c r="I702" s="675" t="s">
        <v>858</v>
      </c>
      <c r="J702" s="677" t="s">
        <v>804</v>
      </c>
      <c r="K702" s="671">
        <v>10</v>
      </c>
      <c r="L702" s="676">
        <f t="shared" si="17"/>
        <v>18.8</v>
      </c>
      <c r="M702" s="676">
        <f t="shared" si="18"/>
        <v>188</v>
      </c>
    </row>
    <row r="703" spans="2:13" s="645" customFormat="1" ht="21.75" customHeight="1">
      <c r="B703" s="670">
        <v>44387</v>
      </c>
      <c r="C703" s="671" t="s">
        <v>837</v>
      </c>
      <c r="D703" s="672" t="s">
        <v>834</v>
      </c>
      <c r="E703" s="673" t="s">
        <v>831</v>
      </c>
      <c r="F703" s="670"/>
      <c r="G703" s="672">
        <v>20</v>
      </c>
      <c r="H703" s="671" t="s">
        <v>807</v>
      </c>
      <c r="I703" s="675" t="s">
        <v>858</v>
      </c>
      <c r="J703" s="677" t="s">
        <v>804</v>
      </c>
      <c r="K703" s="671">
        <v>10</v>
      </c>
      <c r="L703" s="676">
        <f t="shared" si="17"/>
        <v>18.8</v>
      </c>
      <c r="M703" s="676">
        <f t="shared" si="18"/>
        <v>188</v>
      </c>
    </row>
    <row r="704" spans="2:13" s="645" customFormat="1" ht="21.75" customHeight="1">
      <c r="B704" s="670">
        <v>44387</v>
      </c>
      <c r="C704" s="671" t="s">
        <v>837</v>
      </c>
      <c r="D704" s="672" t="s">
        <v>830</v>
      </c>
      <c r="E704" s="673" t="s">
        <v>831</v>
      </c>
      <c r="F704" s="670"/>
      <c r="G704" s="672">
        <v>15</v>
      </c>
      <c r="H704" s="671" t="s">
        <v>807</v>
      </c>
      <c r="I704" s="675" t="s">
        <v>858</v>
      </c>
      <c r="J704" s="677" t="s">
        <v>804</v>
      </c>
      <c r="K704" s="671">
        <v>11</v>
      </c>
      <c r="L704" s="676">
        <f t="shared" si="17"/>
        <v>14.1</v>
      </c>
      <c r="M704" s="676">
        <f t="shared" si="18"/>
        <v>155.1</v>
      </c>
    </row>
    <row r="705" spans="2:13" s="645" customFormat="1" ht="21.75" customHeight="1">
      <c r="B705" s="670">
        <v>44387</v>
      </c>
      <c r="C705" s="671" t="s">
        <v>837</v>
      </c>
      <c r="D705" s="672" t="s">
        <v>833</v>
      </c>
      <c r="E705" s="688" t="s">
        <v>831</v>
      </c>
      <c r="F705" s="689"/>
      <c r="G705" s="672">
        <v>15</v>
      </c>
      <c r="H705" s="671" t="s">
        <v>807</v>
      </c>
      <c r="I705" s="675" t="s">
        <v>858</v>
      </c>
      <c r="J705" s="677" t="s">
        <v>804</v>
      </c>
      <c r="K705" s="671">
        <v>6</v>
      </c>
      <c r="L705" s="676">
        <f t="shared" si="17"/>
        <v>14.1</v>
      </c>
      <c r="M705" s="676">
        <f t="shared" si="18"/>
        <v>84.6</v>
      </c>
    </row>
    <row r="706" spans="2:13" s="645" customFormat="1" ht="21.75" customHeight="1">
      <c r="B706" s="670">
        <v>44387</v>
      </c>
      <c r="C706" s="671" t="s">
        <v>837</v>
      </c>
      <c r="D706" s="672" t="s">
        <v>847</v>
      </c>
      <c r="E706" s="673" t="s">
        <v>831</v>
      </c>
      <c r="F706" s="670"/>
      <c r="G706" s="672">
        <v>17</v>
      </c>
      <c r="H706" s="671" t="s">
        <v>807</v>
      </c>
      <c r="I706" s="675" t="s">
        <v>858</v>
      </c>
      <c r="J706" s="677" t="s">
        <v>804</v>
      </c>
      <c r="K706" s="671">
        <v>11</v>
      </c>
      <c r="L706" s="676">
        <f t="shared" si="17"/>
        <v>15.98</v>
      </c>
      <c r="M706" s="676">
        <f t="shared" si="18"/>
        <v>175.78</v>
      </c>
    </row>
    <row r="707" spans="2:13" s="645" customFormat="1" ht="21.75" customHeight="1">
      <c r="B707" s="670">
        <v>44387</v>
      </c>
      <c r="C707" s="671" t="s">
        <v>837</v>
      </c>
      <c r="D707" s="672" t="s">
        <v>856</v>
      </c>
      <c r="E707" s="673" t="s">
        <v>831</v>
      </c>
      <c r="F707" s="670"/>
      <c r="G707" s="672">
        <v>20</v>
      </c>
      <c r="H707" s="671" t="s">
        <v>807</v>
      </c>
      <c r="I707" s="675" t="s">
        <v>858</v>
      </c>
      <c r="J707" s="677" t="s">
        <v>804</v>
      </c>
      <c r="K707" s="671">
        <v>3</v>
      </c>
      <c r="L707" s="676">
        <f t="shared" si="17"/>
        <v>18.8</v>
      </c>
      <c r="M707" s="676">
        <f t="shared" si="18"/>
        <v>56.400000000000006</v>
      </c>
    </row>
    <row r="708" spans="2:13" s="645" customFormat="1" ht="21.75" customHeight="1">
      <c r="B708" s="670">
        <v>44387</v>
      </c>
      <c r="C708" s="671" t="s">
        <v>837</v>
      </c>
      <c r="D708" s="672" t="s">
        <v>855</v>
      </c>
      <c r="E708" s="673" t="s">
        <v>831</v>
      </c>
      <c r="F708" s="670"/>
      <c r="G708" s="672">
        <v>20</v>
      </c>
      <c r="H708" s="671" t="s">
        <v>807</v>
      </c>
      <c r="I708" s="675" t="s">
        <v>858</v>
      </c>
      <c r="J708" s="677" t="s">
        <v>804</v>
      </c>
      <c r="K708" s="671">
        <v>10</v>
      </c>
      <c r="L708" s="676">
        <f t="shared" si="17"/>
        <v>18.8</v>
      </c>
      <c r="M708" s="676">
        <f t="shared" si="18"/>
        <v>188</v>
      </c>
    </row>
    <row r="709" spans="2:13" s="645" customFormat="1" ht="21.75" customHeight="1">
      <c r="B709" s="661">
        <v>44388</v>
      </c>
      <c r="C709" s="662" t="s">
        <v>837</v>
      </c>
      <c r="D709" s="663" t="s">
        <v>835</v>
      </c>
      <c r="E709" s="664" t="s">
        <v>831</v>
      </c>
      <c r="F709" s="661"/>
      <c r="G709" s="663">
        <v>20</v>
      </c>
      <c r="H709" s="662" t="s">
        <v>807</v>
      </c>
      <c r="I709" s="666" t="s">
        <v>858</v>
      </c>
      <c r="J709" s="667" t="s">
        <v>804</v>
      </c>
      <c r="K709" s="662">
        <v>11</v>
      </c>
      <c r="L709" s="679">
        <f t="shared" si="17"/>
        <v>18.8</v>
      </c>
      <c r="M709" s="668">
        <f t="shared" si="18"/>
        <v>206.8</v>
      </c>
    </row>
    <row r="710" spans="2:13" s="645" customFormat="1" ht="21.75" customHeight="1">
      <c r="B710" s="661">
        <v>44388</v>
      </c>
      <c r="C710" s="662" t="s">
        <v>837</v>
      </c>
      <c r="D710" s="663" t="s">
        <v>841</v>
      </c>
      <c r="E710" s="664" t="s">
        <v>831</v>
      </c>
      <c r="F710" s="661"/>
      <c r="G710" s="663">
        <v>20</v>
      </c>
      <c r="H710" s="662" t="s">
        <v>807</v>
      </c>
      <c r="I710" s="666" t="s">
        <v>858</v>
      </c>
      <c r="J710" s="667" t="s">
        <v>804</v>
      </c>
      <c r="K710" s="662">
        <v>10</v>
      </c>
      <c r="L710" s="679">
        <f t="shared" si="17"/>
        <v>18.8</v>
      </c>
      <c r="M710" s="668">
        <f t="shared" si="18"/>
        <v>188</v>
      </c>
    </row>
    <row r="711" spans="2:13" s="645" customFormat="1" ht="21.75" customHeight="1">
      <c r="B711" s="661">
        <v>44388</v>
      </c>
      <c r="C711" s="662" t="s">
        <v>837</v>
      </c>
      <c r="D711" s="663" t="s">
        <v>834</v>
      </c>
      <c r="E711" s="690" t="s">
        <v>831</v>
      </c>
      <c r="F711" s="691"/>
      <c r="G711" s="663">
        <v>20</v>
      </c>
      <c r="H711" s="662" t="s">
        <v>807</v>
      </c>
      <c r="I711" s="666" t="s">
        <v>858</v>
      </c>
      <c r="J711" s="667" t="s">
        <v>804</v>
      </c>
      <c r="K711" s="662">
        <v>5</v>
      </c>
      <c r="L711" s="679">
        <f t="shared" si="17"/>
        <v>18.8</v>
      </c>
      <c r="M711" s="668">
        <f t="shared" si="18"/>
        <v>94</v>
      </c>
    </row>
    <row r="712" spans="2:13" s="645" customFormat="1" ht="21.75" customHeight="1">
      <c r="B712" s="661">
        <v>44388</v>
      </c>
      <c r="C712" s="662" t="s">
        <v>837</v>
      </c>
      <c r="D712" s="663" t="s">
        <v>836</v>
      </c>
      <c r="E712" s="664" t="s">
        <v>831</v>
      </c>
      <c r="F712" s="661"/>
      <c r="G712" s="663">
        <v>20</v>
      </c>
      <c r="H712" s="662" t="s">
        <v>807</v>
      </c>
      <c r="I712" s="666" t="s">
        <v>858</v>
      </c>
      <c r="J712" s="667" t="s">
        <v>804</v>
      </c>
      <c r="K712" s="662">
        <v>5</v>
      </c>
      <c r="L712" s="679">
        <f t="shared" si="17"/>
        <v>18.8</v>
      </c>
      <c r="M712" s="668">
        <f t="shared" si="18"/>
        <v>94</v>
      </c>
    </row>
    <row r="713" spans="2:13" s="645" customFormat="1" ht="21.75" customHeight="1">
      <c r="B713" s="661">
        <v>44388</v>
      </c>
      <c r="C713" s="662" t="s">
        <v>837</v>
      </c>
      <c r="D713" s="663" t="s">
        <v>833</v>
      </c>
      <c r="E713" s="664" t="s">
        <v>831</v>
      </c>
      <c r="F713" s="661"/>
      <c r="G713" s="663">
        <v>15</v>
      </c>
      <c r="H713" s="662" t="s">
        <v>807</v>
      </c>
      <c r="I713" s="666" t="s">
        <v>858</v>
      </c>
      <c r="J713" s="667" t="s">
        <v>804</v>
      </c>
      <c r="K713" s="662">
        <v>11</v>
      </c>
      <c r="L713" s="679">
        <f t="shared" ref="L713:L776" si="19">VLOOKUP(G713,$Q$4:$V$7,6,FALSE)</f>
        <v>14.1</v>
      </c>
      <c r="M713" s="668">
        <f t="shared" si="18"/>
        <v>155.1</v>
      </c>
    </row>
    <row r="714" spans="2:13" s="645" customFormat="1" ht="21.75" customHeight="1">
      <c r="B714" s="661">
        <v>44388</v>
      </c>
      <c r="C714" s="662" t="s">
        <v>837</v>
      </c>
      <c r="D714" s="663" t="s">
        <v>845</v>
      </c>
      <c r="E714" s="664" t="s">
        <v>831</v>
      </c>
      <c r="F714" s="661"/>
      <c r="G714" s="663">
        <v>17</v>
      </c>
      <c r="H714" s="662" t="s">
        <v>807</v>
      </c>
      <c r="I714" s="666" t="s">
        <v>858</v>
      </c>
      <c r="J714" s="667" t="s">
        <v>804</v>
      </c>
      <c r="K714" s="662">
        <v>11</v>
      </c>
      <c r="L714" s="679">
        <f t="shared" si="19"/>
        <v>15.98</v>
      </c>
      <c r="M714" s="668">
        <f t="shared" si="18"/>
        <v>175.78</v>
      </c>
    </row>
    <row r="715" spans="2:13" s="645" customFormat="1" ht="21.75" customHeight="1">
      <c r="B715" s="661">
        <v>44388</v>
      </c>
      <c r="C715" s="662" t="s">
        <v>837</v>
      </c>
      <c r="D715" s="663" t="s">
        <v>847</v>
      </c>
      <c r="E715" s="664" t="s">
        <v>831</v>
      </c>
      <c r="F715" s="661"/>
      <c r="G715" s="663">
        <v>17</v>
      </c>
      <c r="H715" s="662" t="s">
        <v>807</v>
      </c>
      <c r="I715" s="666" t="s">
        <v>858</v>
      </c>
      <c r="J715" s="667" t="s">
        <v>804</v>
      </c>
      <c r="K715" s="662">
        <v>12</v>
      </c>
      <c r="L715" s="679">
        <f t="shared" si="19"/>
        <v>15.98</v>
      </c>
      <c r="M715" s="668">
        <f t="shared" si="18"/>
        <v>191.76</v>
      </c>
    </row>
    <row r="716" spans="2:13" s="645" customFormat="1" ht="21.75" customHeight="1">
      <c r="B716" s="661">
        <v>44388</v>
      </c>
      <c r="C716" s="662" t="s">
        <v>837</v>
      </c>
      <c r="D716" s="663" t="s">
        <v>855</v>
      </c>
      <c r="E716" s="664" t="s">
        <v>831</v>
      </c>
      <c r="F716" s="661"/>
      <c r="G716" s="663">
        <v>20</v>
      </c>
      <c r="H716" s="662" t="s">
        <v>807</v>
      </c>
      <c r="I716" s="666" t="s">
        <v>858</v>
      </c>
      <c r="J716" s="667" t="s">
        <v>804</v>
      </c>
      <c r="K716" s="662">
        <v>10</v>
      </c>
      <c r="L716" s="679">
        <f t="shared" si="19"/>
        <v>18.8</v>
      </c>
      <c r="M716" s="668">
        <f t="shared" si="18"/>
        <v>188</v>
      </c>
    </row>
    <row r="717" spans="2:13" s="645" customFormat="1" ht="21.75" customHeight="1">
      <c r="B717" s="670">
        <v>44389</v>
      </c>
      <c r="C717" s="671" t="s">
        <v>837</v>
      </c>
      <c r="D717" s="672" t="s">
        <v>841</v>
      </c>
      <c r="E717" s="673" t="s">
        <v>831</v>
      </c>
      <c r="F717" s="670"/>
      <c r="G717" s="672">
        <v>20</v>
      </c>
      <c r="H717" s="671" t="s">
        <v>807</v>
      </c>
      <c r="I717" s="675" t="s">
        <v>854</v>
      </c>
      <c r="J717" s="677" t="s">
        <v>804</v>
      </c>
      <c r="K717" s="671">
        <v>8</v>
      </c>
      <c r="L717" s="676">
        <f t="shared" si="19"/>
        <v>18.8</v>
      </c>
      <c r="M717" s="676">
        <f t="shared" si="18"/>
        <v>150.4</v>
      </c>
    </row>
    <row r="718" spans="2:13" s="645" customFormat="1" ht="21.75" customHeight="1">
      <c r="B718" s="670">
        <v>44389</v>
      </c>
      <c r="C718" s="671" t="s">
        <v>837</v>
      </c>
      <c r="D718" s="672" t="s">
        <v>836</v>
      </c>
      <c r="E718" s="673" t="s">
        <v>831</v>
      </c>
      <c r="F718" s="670"/>
      <c r="G718" s="672">
        <v>20</v>
      </c>
      <c r="H718" s="671" t="s">
        <v>807</v>
      </c>
      <c r="I718" s="675" t="s">
        <v>854</v>
      </c>
      <c r="J718" s="677" t="s">
        <v>804</v>
      </c>
      <c r="K718" s="671">
        <v>10</v>
      </c>
      <c r="L718" s="676">
        <f t="shared" si="19"/>
        <v>18.8</v>
      </c>
      <c r="M718" s="676">
        <f t="shared" si="18"/>
        <v>188</v>
      </c>
    </row>
    <row r="719" spans="2:13" s="645" customFormat="1" ht="21.75" customHeight="1">
      <c r="B719" s="670">
        <v>44389</v>
      </c>
      <c r="C719" s="671" t="s">
        <v>837</v>
      </c>
      <c r="D719" s="672" t="s">
        <v>844</v>
      </c>
      <c r="E719" s="688" t="s">
        <v>831</v>
      </c>
      <c r="F719" s="689"/>
      <c r="G719" s="672">
        <v>15</v>
      </c>
      <c r="H719" s="671" t="s">
        <v>807</v>
      </c>
      <c r="I719" s="675" t="s">
        <v>854</v>
      </c>
      <c r="J719" s="677" t="s">
        <v>804</v>
      </c>
      <c r="K719" s="671">
        <v>9</v>
      </c>
      <c r="L719" s="676">
        <f t="shared" si="19"/>
        <v>14.1</v>
      </c>
      <c r="M719" s="676">
        <f t="shared" si="18"/>
        <v>126.89999999999999</v>
      </c>
    </row>
    <row r="720" spans="2:13" s="645" customFormat="1" ht="21.75" customHeight="1">
      <c r="B720" s="670">
        <v>44389</v>
      </c>
      <c r="C720" s="671" t="s">
        <v>837</v>
      </c>
      <c r="D720" s="672" t="s">
        <v>833</v>
      </c>
      <c r="E720" s="673" t="s">
        <v>831</v>
      </c>
      <c r="F720" s="670"/>
      <c r="G720" s="672">
        <v>15</v>
      </c>
      <c r="H720" s="671" t="s">
        <v>807</v>
      </c>
      <c r="I720" s="675" t="s">
        <v>854</v>
      </c>
      <c r="J720" s="677" t="s">
        <v>804</v>
      </c>
      <c r="K720" s="671">
        <v>9</v>
      </c>
      <c r="L720" s="676">
        <f t="shared" si="19"/>
        <v>14.1</v>
      </c>
      <c r="M720" s="676">
        <f t="shared" si="18"/>
        <v>126.89999999999999</v>
      </c>
    </row>
    <row r="721" spans="2:13" s="645" customFormat="1" ht="21.75" customHeight="1">
      <c r="B721" s="670">
        <v>44389</v>
      </c>
      <c r="C721" s="671" t="s">
        <v>837</v>
      </c>
      <c r="D721" s="672" t="s">
        <v>845</v>
      </c>
      <c r="E721" s="673" t="s">
        <v>831</v>
      </c>
      <c r="F721" s="670"/>
      <c r="G721" s="672">
        <v>17</v>
      </c>
      <c r="H721" s="671" t="s">
        <v>807</v>
      </c>
      <c r="I721" s="675" t="s">
        <v>854</v>
      </c>
      <c r="J721" s="677" t="s">
        <v>804</v>
      </c>
      <c r="K721" s="671">
        <v>9</v>
      </c>
      <c r="L721" s="676">
        <f t="shared" si="19"/>
        <v>15.98</v>
      </c>
      <c r="M721" s="676">
        <f t="shared" si="18"/>
        <v>143.82</v>
      </c>
    </row>
    <row r="722" spans="2:13" s="645" customFormat="1" ht="21.75" customHeight="1">
      <c r="B722" s="670">
        <v>44389</v>
      </c>
      <c r="C722" s="671" t="s">
        <v>837</v>
      </c>
      <c r="D722" s="672" t="s">
        <v>855</v>
      </c>
      <c r="E722" s="673" t="s">
        <v>831</v>
      </c>
      <c r="F722" s="670"/>
      <c r="G722" s="672">
        <v>20</v>
      </c>
      <c r="H722" s="671" t="s">
        <v>807</v>
      </c>
      <c r="I722" s="675" t="s">
        <v>854</v>
      </c>
      <c r="J722" s="677" t="s">
        <v>804</v>
      </c>
      <c r="K722" s="671">
        <v>7</v>
      </c>
      <c r="L722" s="676">
        <f t="shared" si="19"/>
        <v>18.8</v>
      </c>
      <c r="M722" s="676">
        <f t="shared" si="18"/>
        <v>131.6</v>
      </c>
    </row>
    <row r="723" spans="2:13" s="645" customFormat="1" ht="21.75" customHeight="1">
      <c r="B723" s="661">
        <v>44390</v>
      </c>
      <c r="C723" s="662" t="s">
        <v>837</v>
      </c>
      <c r="D723" s="663" t="s">
        <v>841</v>
      </c>
      <c r="E723" s="664" t="s">
        <v>831</v>
      </c>
      <c r="F723" s="661"/>
      <c r="G723" s="663">
        <v>20</v>
      </c>
      <c r="H723" s="662" t="s">
        <v>807</v>
      </c>
      <c r="I723" s="666" t="s">
        <v>854</v>
      </c>
      <c r="J723" s="667" t="s">
        <v>804</v>
      </c>
      <c r="K723" s="662">
        <v>10</v>
      </c>
      <c r="L723" s="679">
        <f t="shared" si="19"/>
        <v>18.8</v>
      </c>
      <c r="M723" s="668">
        <f t="shared" si="18"/>
        <v>188</v>
      </c>
    </row>
    <row r="724" spans="2:13" s="645" customFormat="1" ht="21.75" customHeight="1">
      <c r="B724" s="661">
        <v>44390</v>
      </c>
      <c r="C724" s="662" t="s">
        <v>837</v>
      </c>
      <c r="D724" s="663" t="s">
        <v>836</v>
      </c>
      <c r="E724" s="664" t="s">
        <v>831</v>
      </c>
      <c r="F724" s="661"/>
      <c r="G724" s="663">
        <v>20</v>
      </c>
      <c r="H724" s="662" t="s">
        <v>807</v>
      </c>
      <c r="I724" s="666" t="s">
        <v>854</v>
      </c>
      <c r="J724" s="667" t="s">
        <v>804</v>
      </c>
      <c r="K724" s="662">
        <v>12</v>
      </c>
      <c r="L724" s="679">
        <f t="shared" si="19"/>
        <v>18.8</v>
      </c>
      <c r="M724" s="668">
        <f t="shared" si="18"/>
        <v>225.60000000000002</v>
      </c>
    </row>
    <row r="725" spans="2:13" s="645" customFormat="1" ht="21.75" customHeight="1">
      <c r="B725" s="661">
        <v>44390</v>
      </c>
      <c r="C725" s="662" t="s">
        <v>837</v>
      </c>
      <c r="D725" s="663" t="s">
        <v>844</v>
      </c>
      <c r="E725" s="664" t="s">
        <v>831</v>
      </c>
      <c r="F725" s="661"/>
      <c r="G725" s="663">
        <v>15</v>
      </c>
      <c r="H725" s="662" t="s">
        <v>807</v>
      </c>
      <c r="I725" s="666" t="s">
        <v>854</v>
      </c>
      <c r="J725" s="667" t="s">
        <v>804</v>
      </c>
      <c r="K725" s="662">
        <v>11</v>
      </c>
      <c r="L725" s="679">
        <f t="shared" si="19"/>
        <v>14.1</v>
      </c>
      <c r="M725" s="668">
        <f t="shared" si="18"/>
        <v>155.1</v>
      </c>
    </row>
    <row r="726" spans="2:13" s="645" customFormat="1" ht="21.75" customHeight="1">
      <c r="B726" s="661">
        <v>44390</v>
      </c>
      <c r="C726" s="662" t="s">
        <v>837</v>
      </c>
      <c r="D726" s="663" t="s">
        <v>833</v>
      </c>
      <c r="E726" s="664" t="s">
        <v>831</v>
      </c>
      <c r="F726" s="661"/>
      <c r="G726" s="663">
        <v>15</v>
      </c>
      <c r="H726" s="662" t="s">
        <v>807</v>
      </c>
      <c r="I726" s="666" t="s">
        <v>854</v>
      </c>
      <c r="J726" s="667" t="s">
        <v>804</v>
      </c>
      <c r="K726" s="662">
        <v>11</v>
      </c>
      <c r="L726" s="679">
        <f t="shared" si="19"/>
        <v>14.1</v>
      </c>
      <c r="M726" s="668">
        <f t="shared" si="18"/>
        <v>155.1</v>
      </c>
    </row>
    <row r="727" spans="2:13" s="645" customFormat="1" ht="21.75" customHeight="1">
      <c r="B727" s="661">
        <v>44390</v>
      </c>
      <c r="C727" s="662" t="s">
        <v>837</v>
      </c>
      <c r="D727" s="663" t="s">
        <v>845</v>
      </c>
      <c r="E727" s="690" t="s">
        <v>831</v>
      </c>
      <c r="F727" s="691"/>
      <c r="G727" s="663">
        <v>17</v>
      </c>
      <c r="H727" s="662" t="s">
        <v>807</v>
      </c>
      <c r="I727" s="666" t="s">
        <v>854</v>
      </c>
      <c r="J727" s="667" t="s">
        <v>804</v>
      </c>
      <c r="K727" s="662">
        <v>11</v>
      </c>
      <c r="L727" s="679">
        <f t="shared" si="19"/>
        <v>15.98</v>
      </c>
      <c r="M727" s="668">
        <f t="shared" si="18"/>
        <v>175.78</v>
      </c>
    </row>
    <row r="728" spans="2:13" s="645" customFormat="1" ht="21.75" customHeight="1">
      <c r="B728" s="661">
        <v>44390</v>
      </c>
      <c r="C728" s="662" t="s">
        <v>837</v>
      </c>
      <c r="D728" s="663" t="s">
        <v>855</v>
      </c>
      <c r="E728" s="664" t="s">
        <v>831</v>
      </c>
      <c r="F728" s="661"/>
      <c r="G728" s="663">
        <v>20</v>
      </c>
      <c r="H728" s="662" t="s">
        <v>807</v>
      </c>
      <c r="I728" s="666" t="s">
        <v>854</v>
      </c>
      <c r="J728" s="667" t="s">
        <v>804</v>
      </c>
      <c r="K728" s="662">
        <v>9</v>
      </c>
      <c r="L728" s="679">
        <f t="shared" si="19"/>
        <v>18.8</v>
      </c>
      <c r="M728" s="668">
        <f t="shared" si="18"/>
        <v>169.20000000000002</v>
      </c>
    </row>
    <row r="729" spans="2:13" s="645" customFormat="1" ht="21.75" customHeight="1">
      <c r="B729" s="670">
        <v>44391</v>
      </c>
      <c r="C729" s="671" t="s">
        <v>837</v>
      </c>
      <c r="D729" s="672" t="s">
        <v>849</v>
      </c>
      <c r="E729" s="673" t="s">
        <v>831</v>
      </c>
      <c r="F729" s="670"/>
      <c r="G729" s="672">
        <v>20</v>
      </c>
      <c r="H729" s="671" t="s">
        <v>807</v>
      </c>
      <c r="I729" s="675" t="s">
        <v>854</v>
      </c>
      <c r="J729" s="677" t="s">
        <v>804</v>
      </c>
      <c r="K729" s="671">
        <v>11</v>
      </c>
      <c r="L729" s="676">
        <f t="shared" si="19"/>
        <v>18.8</v>
      </c>
      <c r="M729" s="676">
        <f t="shared" si="18"/>
        <v>206.8</v>
      </c>
    </row>
    <row r="730" spans="2:13" s="645" customFormat="1" ht="21.75" customHeight="1">
      <c r="B730" s="670">
        <v>44391</v>
      </c>
      <c r="C730" s="671" t="s">
        <v>837</v>
      </c>
      <c r="D730" s="672" t="s">
        <v>841</v>
      </c>
      <c r="E730" s="673" t="s">
        <v>831</v>
      </c>
      <c r="F730" s="670"/>
      <c r="G730" s="672">
        <v>20</v>
      </c>
      <c r="H730" s="671" t="s">
        <v>807</v>
      </c>
      <c r="I730" s="675" t="s">
        <v>854</v>
      </c>
      <c r="J730" s="677" t="s">
        <v>804</v>
      </c>
      <c r="K730" s="671">
        <v>11</v>
      </c>
      <c r="L730" s="676">
        <f t="shared" si="19"/>
        <v>18.8</v>
      </c>
      <c r="M730" s="676">
        <f t="shared" si="18"/>
        <v>206.8</v>
      </c>
    </row>
    <row r="731" spans="2:13" s="645" customFormat="1" ht="21.75" customHeight="1">
      <c r="B731" s="670">
        <v>44391</v>
      </c>
      <c r="C731" s="671" t="s">
        <v>837</v>
      </c>
      <c r="D731" s="672" t="s">
        <v>836</v>
      </c>
      <c r="E731" s="673" t="s">
        <v>831</v>
      </c>
      <c r="F731" s="670"/>
      <c r="G731" s="672">
        <v>20</v>
      </c>
      <c r="H731" s="671" t="s">
        <v>807</v>
      </c>
      <c r="I731" s="675" t="s">
        <v>854</v>
      </c>
      <c r="J731" s="677" t="s">
        <v>804</v>
      </c>
      <c r="K731" s="671">
        <v>11</v>
      </c>
      <c r="L731" s="676">
        <f t="shared" si="19"/>
        <v>18.8</v>
      </c>
      <c r="M731" s="676">
        <f t="shared" si="18"/>
        <v>206.8</v>
      </c>
    </row>
    <row r="732" spans="2:13" s="645" customFormat="1" ht="21.75" customHeight="1">
      <c r="B732" s="670">
        <v>44391</v>
      </c>
      <c r="C732" s="671" t="s">
        <v>837</v>
      </c>
      <c r="D732" s="672" t="s">
        <v>844</v>
      </c>
      <c r="E732" s="673" t="s">
        <v>831</v>
      </c>
      <c r="F732" s="670"/>
      <c r="G732" s="672">
        <v>15</v>
      </c>
      <c r="H732" s="671" t="s">
        <v>807</v>
      </c>
      <c r="I732" s="675" t="s">
        <v>854</v>
      </c>
      <c r="J732" s="677" t="s">
        <v>804</v>
      </c>
      <c r="K732" s="671">
        <v>11</v>
      </c>
      <c r="L732" s="676">
        <f t="shared" si="19"/>
        <v>14.1</v>
      </c>
      <c r="M732" s="676">
        <f t="shared" si="18"/>
        <v>155.1</v>
      </c>
    </row>
    <row r="733" spans="2:13" s="645" customFormat="1" ht="21.75" customHeight="1">
      <c r="B733" s="670">
        <v>44391</v>
      </c>
      <c r="C733" s="671" t="s">
        <v>837</v>
      </c>
      <c r="D733" s="672" t="s">
        <v>845</v>
      </c>
      <c r="E733" s="673" t="s">
        <v>831</v>
      </c>
      <c r="F733" s="670"/>
      <c r="G733" s="672">
        <v>17</v>
      </c>
      <c r="H733" s="671" t="s">
        <v>807</v>
      </c>
      <c r="I733" s="675" t="s">
        <v>854</v>
      </c>
      <c r="J733" s="677" t="s">
        <v>804</v>
      </c>
      <c r="K733" s="671">
        <v>12</v>
      </c>
      <c r="L733" s="676">
        <f t="shared" si="19"/>
        <v>15.98</v>
      </c>
      <c r="M733" s="676">
        <f t="shared" si="18"/>
        <v>191.76</v>
      </c>
    </row>
    <row r="734" spans="2:13" s="645" customFormat="1" ht="21.75" customHeight="1">
      <c r="B734" s="670">
        <v>44391</v>
      </c>
      <c r="C734" s="671" t="s">
        <v>837</v>
      </c>
      <c r="D734" s="672" t="s">
        <v>855</v>
      </c>
      <c r="E734" s="688" t="s">
        <v>831</v>
      </c>
      <c r="F734" s="689"/>
      <c r="G734" s="672">
        <v>20</v>
      </c>
      <c r="H734" s="671" t="s">
        <v>807</v>
      </c>
      <c r="I734" s="675" t="s">
        <v>854</v>
      </c>
      <c r="J734" s="677" t="s">
        <v>804</v>
      </c>
      <c r="K734" s="671">
        <v>11</v>
      </c>
      <c r="L734" s="676">
        <f t="shared" si="19"/>
        <v>18.8</v>
      </c>
      <c r="M734" s="676">
        <f t="shared" si="18"/>
        <v>206.8</v>
      </c>
    </row>
    <row r="735" spans="2:13" s="645" customFormat="1" ht="21.75" customHeight="1">
      <c r="B735" s="661">
        <v>44392</v>
      </c>
      <c r="C735" s="662" t="s">
        <v>837</v>
      </c>
      <c r="D735" s="663" t="s">
        <v>835</v>
      </c>
      <c r="E735" s="664" t="s">
        <v>831</v>
      </c>
      <c r="F735" s="661"/>
      <c r="G735" s="663">
        <v>20</v>
      </c>
      <c r="H735" s="662" t="s">
        <v>807</v>
      </c>
      <c r="I735" s="666" t="s">
        <v>854</v>
      </c>
      <c r="J735" s="667" t="s">
        <v>804</v>
      </c>
      <c r="K735" s="662">
        <v>11</v>
      </c>
      <c r="L735" s="679">
        <f t="shared" si="19"/>
        <v>18.8</v>
      </c>
      <c r="M735" s="668">
        <f t="shared" si="18"/>
        <v>206.8</v>
      </c>
    </row>
    <row r="736" spans="2:13" s="645" customFormat="1" ht="21.75" customHeight="1">
      <c r="B736" s="661">
        <v>44392</v>
      </c>
      <c r="C736" s="662" t="s">
        <v>837</v>
      </c>
      <c r="D736" s="663" t="s">
        <v>841</v>
      </c>
      <c r="E736" s="664" t="s">
        <v>831</v>
      </c>
      <c r="F736" s="661"/>
      <c r="G736" s="663">
        <v>20</v>
      </c>
      <c r="H736" s="662" t="s">
        <v>807</v>
      </c>
      <c r="I736" s="666" t="s">
        <v>854</v>
      </c>
      <c r="J736" s="667" t="s">
        <v>804</v>
      </c>
      <c r="K736" s="662">
        <v>4</v>
      </c>
      <c r="L736" s="679">
        <f t="shared" si="19"/>
        <v>18.8</v>
      </c>
      <c r="M736" s="668">
        <f t="shared" si="18"/>
        <v>75.2</v>
      </c>
    </row>
    <row r="737" spans="2:13" s="645" customFormat="1" ht="21.75" customHeight="1">
      <c r="B737" s="661">
        <v>44392</v>
      </c>
      <c r="C737" s="662" t="s">
        <v>837</v>
      </c>
      <c r="D737" s="663" t="s">
        <v>834</v>
      </c>
      <c r="E737" s="664" t="s">
        <v>831</v>
      </c>
      <c r="F737" s="661"/>
      <c r="G737" s="663">
        <v>20</v>
      </c>
      <c r="H737" s="662" t="s">
        <v>807</v>
      </c>
      <c r="I737" s="666" t="s">
        <v>854</v>
      </c>
      <c r="J737" s="667" t="s">
        <v>804</v>
      </c>
      <c r="K737" s="662">
        <v>5</v>
      </c>
      <c r="L737" s="679">
        <f t="shared" si="19"/>
        <v>18.8</v>
      </c>
      <c r="M737" s="668">
        <f t="shared" si="18"/>
        <v>94</v>
      </c>
    </row>
    <row r="738" spans="2:13" s="645" customFormat="1" ht="21.75" customHeight="1">
      <c r="B738" s="661">
        <v>44392</v>
      </c>
      <c r="C738" s="662" t="s">
        <v>837</v>
      </c>
      <c r="D738" s="663" t="s">
        <v>836</v>
      </c>
      <c r="E738" s="664" t="s">
        <v>831</v>
      </c>
      <c r="F738" s="661"/>
      <c r="G738" s="663">
        <v>20</v>
      </c>
      <c r="H738" s="662" t="s">
        <v>807</v>
      </c>
      <c r="I738" s="666" t="s">
        <v>854</v>
      </c>
      <c r="J738" s="667" t="s">
        <v>804</v>
      </c>
      <c r="K738" s="662">
        <v>12</v>
      </c>
      <c r="L738" s="679">
        <f t="shared" si="19"/>
        <v>18.8</v>
      </c>
      <c r="M738" s="668">
        <f t="shared" si="18"/>
        <v>225.60000000000002</v>
      </c>
    </row>
    <row r="739" spans="2:13" s="645" customFormat="1" ht="21.75" customHeight="1">
      <c r="B739" s="661">
        <v>44392</v>
      </c>
      <c r="C739" s="662" t="s">
        <v>837</v>
      </c>
      <c r="D739" s="663" t="s">
        <v>844</v>
      </c>
      <c r="E739" s="664" t="s">
        <v>831</v>
      </c>
      <c r="F739" s="661"/>
      <c r="G739" s="663">
        <v>15</v>
      </c>
      <c r="H739" s="662" t="s">
        <v>807</v>
      </c>
      <c r="I739" s="666" t="s">
        <v>854</v>
      </c>
      <c r="J739" s="667" t="s">
        <v>804</v>
      </c>
      <c r="K739" s="662">
        <v>12</v>
      </c>
      <c r="L739" s="679">
        <f t="shared" si="19"/>
        <v>14.1</v>
      </c>
      <c r="M739" s="668">
        <f t="shared" si="18"/>
        <v>169.2</v>
      </c>
    </row>
    <row r="740" spans="2:13" s="645" customFormat="1" ht="21.75" customHeight="1">
      <c r="B740" s="661">
        <v>44392</v>
      </c>
      <c r="C740" s="662" t="s">
        <v>837</v>
      </c>
      <c r="D740" s="663" t="s">
        <v>839</v>
      </c>
      <c r="E740" s="664" t="s">
        <v>831</v>
      </c>
      <c r="F740" s="661"/>
      <c r="G740" s="663">
        <v>15</v>
      </c>
      <c r="H740" s="662" t="s">
        <v>807</v>
      </c>
      <c r="I740" s="666" t="s">
        <v>854</v>
      </c>
      <c r="J740" s="667" t="s">
        <v>804</v>
      </c>
      <c r="K740" s="662">
        <v>12</v>
      </c>
      <c r="L740" s="679">
        <f t="shared" si="19"/>
        <v>14.1</v>
      </c>
      <c r="M740" s="668">
        <f t="shared" si="18"/>
        <v>169.2</v>
      </c>
    </row>
    <row r="741" spans="2:13" s="645" customFormat="1" ht="21.75" customHeight="1">
      <c r="B741" s="661">
        <v>44392</v>
      </c>
      <c r="C741" s="662" t="s">
        <v>837</v>
      </c>
      <c r="D741" s="663" t="s">
        <v>845</v>
      </c>
      <c r="E741" s="690" t="s">
        <v>831</v>
      </c>
      <c r="F741" s="691"/>
      <c r="G741" s="663">
        <v>17</v>
      </c>
      <c r="H741" s="662" t="s">
        <v>807</v>
      </c>
      <c r="I741" s="666" t="s">
        <v>854</v>
      </c>
      <c r="J741" s="667" t="s">
        <v>804</v>
      </c>
      <c r="K741" s="662">
        <v>12</v>
      </c>
      <c r="L741" s="679">
        <f t="shared" si="19"/>
        <v>15.98</v>
      </c>
      <c r="M741" s="668">
        <f t="shared" si="18"/>
        <v>191.76</v>
      </c>
    </row>
    <row r="742" spans="2:13" s="645" customFormat="1" ht="21.75" customHeight="1">
      <c r="B742" s="661">
        <v>44392</v>
      </c>
      <c r="C742" s="662" t="s">
        <v>837</v>
      </c>
      <c r="D742" s="663" t="s">
        <v>855</v>
      </c>
      <c r="E742" s="664" t="s">
        <v>831</v>
      </c>
      <c r="F742" s="661"/>
      <c r="G742" s="663">
        <v>20</v>
      </c>
      <c r="H742" s="662" t="s">
        <v>807</v>
      </c>
      <c r="I742" s="666" t="s">
        <v>854</v>
      </c>
      <c r="J742" s="667" t="s">
        <v>804</v>
      </c>
      <c r="K742" s="662">
        <v>11</v>
      </c>
      <c r="L742" s="679">
        <f t="shared" si="19"/>
        <v>18.8</v>
      </c>
      <c r="M742" s="668">
        <f t="shared" si="18"/>
        <v>206.8</v>
      </c>
    </row>
    <row r="743" spans="2:13" s="645" customFormat="1" ht="21.75" customHeight="1">
      <c r="B743" s="661">
        <v>44392</v>
      </c>
      <c r="C743" s="662" t="s">
        <v>837</v>
      </c>
      <c r="D743" s="663" t="s">
        <v>855</v>
      </c>
      <c r="E743" s="664" t="s">
        <v>831</v>
      </c>
      <c r="F743" s="661"/>
      <c r="G743" s="663">
        <v>20</v>
      </c>
      <c r="H743" s="662" t="s">
        <v>807</v>
      </c>
      <c r="I743" s="666" t="s">
        <v>854</v>
      </c>
      <c r="J743" s="667" t="s">
        <v>804</v>
      </c>
      <c r="K743" s="662">
        <v>11</v>
      </c>
      <c r="L743" s="679">
        <f t="shared" si="19"/>
        <v>18.8</v>
      </c>
      <c r="M743" s="668">
        <f t="shared" ref="M743:M806" si="20">L743*K743</f>
        <v>206.8</v>
      </c>
    </row>
    <row r="744" spans="2:13" s="645" customFormat="1" ht="21.75" customHeight="1">
      <c r="B744" s="670">
        <v>44393</v>
      </c>
      <c r="C744" s="671" t="s">
        <v>837</v>
      </c>
      <c r="D744" s="672" t="s">
        <v>849</v>
      </c>
      <c r="E744" s="673" t="s">
        <v>831</v>
      </c>
      <c r="F744" s="670"/>
      <c r="G744" s="672">
        <v>20</v>
      </c>
      <c r="H744" s="671" t="s">
        <v>807</v>
      </c>
      <c r="I744" s="675" t="s">
        <v>854</v>
      </c>
      <c r="J744" s="667" t="s">
        <v>804</v>
      </c>
      <c r="K744" s="671">
        <v>11</v>
      </c>
      <c r="L744" s="676">
        <f t="shared" si="19"/>
        <v>18.8</v>
      </c>
      <c r="M744" s="676">
        <f t="shared" si="20"/>
        <v>206.8</v>
      </c>
    </row>
    <row r="745" spans="2:13" s="645" customFormat="1" ht="21.75" customHeight="1">
      <c r="B745" s="670">
        <v>44393</v>
      </c>
      <c r="C745" s="671" t="s">
        <v>837</v>
      </c>
      <c r="D745" s="672" t="s">
        <v>835</v>
      </c>
      <c r="E745" s="673" t="s">
        <v>831</v>
      </c>
      <c r="F745" s="670"/>
      <c r="G745" s="672">
        <v>20</v>
      </c>
      <c r="H745" s="671" t="s">
        <v>807</v>
      </c>
      <c r="I745" s="675" t="s">
        <v>854</v>
      </c>
      <c r="J745" s="667" t="s">
        <v>804</v>
      </c>
      <c r="K745" s="671">
        <v>10</v>
      </c>
      <c r="L745" s="676">
        <f t="shared" si="19"/>
        <v>18.8</v>
      </c>
      <c r="M745" s="676">
        <f t="shared" si="20"/>
        <v>188</v>
      </c>
    </row>
    <row r="746" spans="2:13" s="645" customFormat="1" ht="21.75" customHeight="1">
      <c r="B746" s="670">
        <v>44393</v>
      </c>
      <c r="C746" s="671" t="s">
        <v>837</v>
      </c>
      <c r="D746" s="672" t="s">
        <v>841</v>
      </c>
      <c r="E746" s="673" t="s">
        <v>831</v>
      </c>
      <c r="F746" s="670"/>
      <c r="G746" s="672">
        <v>20</v>
      </c>
      <c r="H746" s="671" t="s">
        <v>807</v>
      </c>
      <c r="I746" s="675" t="s">
        <v>854</v>
      </c>
      <c r="J746" s="667" t="s">
        <v>804</v>
      </c>
      <c r="K746" s="671">
        <v>11</v>
      </c>
      <c r="L746" s="676">
        <f t="shared" si="19"/>
        <v>18.8</v>
      </c>
      <c r="M746" s="676">
        <f t="shared" si="20"/>
        <v>206.8</v>
      </c>
    </row>
    <row r="747" spans="2:13" s="645" customFormat="1" ht="21.75" customHeight="1">
      <c r="B747" s="670">
        <v>44393</v>
      </c>
      <c r="C747" s="671" t="s">
        <v>837</v>
      </c>
      <c r="D747" s="672" t="s">
        <v>834</v>
      </c>
      <c r="E747" s="673" t="s">
        <v>831</v>
      </c>
      <c r="F747" s="670"/>
      <c r="G747" s="672">
        <v>20</v>
      </c>
      <c r="H747" s="671" t="s">
        <v>807</v>
      </c>
      <c r="I747" s="675" t="s">
        <v>854</v>
      </c>
      <c r="J747" s="667" t="s">
        <v>804</v>
      </c>
      <c r="K747" s="671">
        <v>12</v>
      </c>
      <c r="L747" s="676">
        <f t="shared" si="19"/>
        <v>18.8</v>
      </c>
      <c r="M747" s="676">
        <f t="shared" si="20"/>
        <v>225.60000000000002</v>
      </c>
    </row>
    <row r="748" spans="2:13" s="645" customFormat="1" ht="21.75" customHeight="1">
      <c r="B748" s="670">
        <v>44393</v>
      </c>
      <c r="C748" s="671" t="s">
        <v>837</v>
      </c>
      <c r="D748" s="672" t="s">
        <v>836</v>
      </c>
      <c r="E748" s="673" t="s">
        <v>831</v>
      </c>
      <c r="F748" s="670"/>
      <c r="G748" s="672">
        <v>20</v>
      </c>
      <c r="H748" s="671" t="s">
        <v>807</v>
      </c>
      <c r="I748" s="675" t="s">
        <v>854</v>
      </c>
      <c r="J748" s="667" t="s">
        <v>804</v>
      </c>
      <c r="K748" s="671">
        <v>11</v>
      </c>
      <c r="L748" s="676">
        <f t="shared" si="19"/>
        <v>18.8</v>
      </c>
      <c r="M748" s="676">
        <f t="shared" si="20"/>
        <v>206.8</v>
      </c>
    </row>
    <row r="749" spans="2:13" s="645" customFormat="1" ht="21.75" customHeight="1">
      <c r="B749" s="670">
        <v>44393</v>
      </c>
      <c r="C749" s="671" t="s">
        <v>837</v>
      </c>
      <c r="D749" s="672" t="s">
        <v>845</v>
      </c>
      <c r="E749" s="673" t="s">
        <v>831</v>
      </c>
      <c r="F749" s="670"/>
      <c r="G749" s="672">
        <v>17</v>
      </c>
      <c r="H749" s="671" t="s">
        <v>807</v>
      </c>
      <c r="I749" s="675" t="s">
        <v>854</v>
      </c>
      <c r="J749" s="667" t="s">
        <v>804</v>
      </c>
      <c r="K749" s="671">
        <v>12</v>
      </c>
      <c r="L749" s="676">
        <f t="shared" si="19"/>
        <v>15.98</v>
      </c>
      <c r="M749" s="676">
        <f t="shared" si="20"/>
        <v>191.76</v>
      </c>
    </row>
    <row r="750" spans="2:13" s="645" customFormat="1" ht="21.75" customHeight="1">
      <c r="B750" s="670">
        <v>44393</v>
      </c>
      <c r="C750" s="671" t="s">
        <v>837</v>
      </c>
      <c r="D750" s="672" t="s">
        <v>855</v>
      </c>
      <c r="E750" s="673" t="s">
        <v>831</v>
      </c>
      <c r="F750" s="670"/>
      <c r="G750" s="672">
        <v>20</v>
      </c>
      <c r="H750" s="671" t="s">
        <v>807</v>
      </c>
      <c r="I750" s="675" t="s">
        <v>854</v>
      </c>
      <c r="J750" s="667" t="s">
        <v>804</v>
      </c>
      <c r="K750" s="671">
        <v>10</v>
      </c>
      <c r="L750" s="676">
        <f t="shared" si="19"/>
        <v>18.8</v>
      </c>
      <c r="M750" s="676">
        <f t="shared" si="20"/>
        <v>188</v>
      </c>
    </row>
    <row r="751" spans="2:13" s="645" customFormat="1" ht="21.75" customHeight="1">
      <c r="B751" s="661">
        <v>44393</v>
      </c>
      <c r="C751" s="662" t="s">
        <v>819</v>
      </c>
      <c r="D751" s="663" t="s">
        <v>849</v>
      </c>
      <c r="E751" s="664" t="s">
        <v>831</v>
      </c>
      <c r="F751" s="665"/>
      <c r="G751" s="663">
        <v>20</v>
      </c>
      <c r="H751" s="662" t="s">
        <v>807</v>
      </c>
      <c r="I751" s="666" t="s">
        <v>859</v>
      </c>
      <c r="J751" s="667" t="s">
        <v>805</v>
      </c>
      <c r="K751" s="662">
        <v>3</v>
      </c>
      <c r="L751" s="685">
        <f t="shared" si="19"/>
        <v>18.8</v>
      </c>
      <c r="M751" s="686">
        <f t="shared" si="20"/>
        <v>56.400000000000006</v>
      </c>
    </row>
    <row r="752" spans="2:13" s="645" customFormat="1" ht="21.75" customHeight="1">
      <c r="B752" s="661">
        <v>44393</v>
      </c>
      <c r="C752" s="662" t="s">
        <v>819</v>
      </c>
      <c r="D752" s="663" t="s">
        <v>849</v>
      </c>
      <c r="E752" s="664" t="s">
        <v>831</v>
      </c>
      <c r="F752" s="665"/>
      <c r="G752" s="663">
        <v>20</v>
      </c>
      <c r="H752" s="662" t="s">
        <v>807</v>
      </c>
      <c r="I752" s="666" t="s">
        <v>857</v>
      </c>
      <c r="J752" s="667" t="s">
        <v>805</v>
      </c>
      <c r="K752" s="662">
        <v>6</v>
      </c>
      <c r="L752" s="685">
        <f t="shared" si="19"/>
        <v>18.8</v>
      </c>
      <c r="M752" s="686">
        <f t="shared" si="20"/>
        <v>112.80000000000001</v>
      </c>
    </row>
    <row r="753" spans="2:13" s="645" customFormat="1" ht="21.75" customHeight="1">
      <c r="B753" s="661">
        <v>44393</v>
      </c>
      <c r="C753" s="662" t="s">
        <v>819</v>
      </c>
      <c r="D753" s="663" t="s">
        <v>835</v>
      </c>
      <c r="E753" s="690" t="s">
        <v>831</v>
      </c>
      <c r="F753" s="692"/>
      <c r="G753" s="663">
        <v>20</v>
      </c>
      <c r="H753" s="662" t="s">
        <v>807</v>
      </c>
      <c r="I753" s="666" t="s">
        <v>859</v>
      </c>
      <c r="J753" s="667" t="s">
        <v>805</v>
      </c>
      <c r="K753" s="662">
        <v>2</v>
      </c>
      <c r="L753" s="685">
        <f t="shared" si="19"/>
        <v>18.8</v>
      </c>
      <c r="M753" s="686">
        <f t="shared" si="20"/>
        <v>37.6</v>
      </c>
    </row>
    <row r="754" spans="2:13" s="645" customFormat="1" ht="21.75" customHeight="1">
      <c r="B754" s="661">
        <v>44393</v>
      </c>
      <c r="C754" s="662" t="s">
        <v>819</v>
      </c>
      <c r="D754" s="663" t="s">
        <v>835</v>
      </c>
      <c r="E754" s="690" t="s">
        <v>831</v>
      </c>
      <c r="F754" s="692"/>
      <c r="G754" s="663">
        <v>20</v>
      </c>
      <c r="H754" s="662" t="s">
        <v>807</v>
      </c>
      <c r="I754" s="666" t="s">
        <v>857</v>
      </c>
      <c r="J754" s="667" t="s">
        <v>805</v>
      </c>
      <c r="K754" s="662">
        <v>9</v>
      </c>
      <c r="L754" s="685">
        <f t="shared" si="19"/>
        <v>18.8</v>
      </c>
      <c r="M754" s="686">
        <f t="shared" si="20"/>
        <v>169.20000000000002</v>
      </c>
    </row>
    <row r="755" spans="2:13" s="645" customFormat="1" ht="21.75" customHeight="1">
      <c r="B755" s="661">
        <v>44393</v>
      </c>
      <c r="C755" s="662" t="s">
        <v>819</v>
      </c>
      <c r="D755" s="663" t="s">
        <v>841</v>
      </c>
      <c r="E755" s="664" t="s">
        <v>831</v>
      </c>
      <c r="F755" s="665"/>
      <c r="G755" s="663">
        <v>20</v>
      </c>
      <c r="H755" s="662" t="s">
        <v>807</v>
      </c>
      <c r="I755" s="666" t="s">
        <v>859</v>
      </c>
      <c r="J755" s="667" t="s">
        <v>805</v>
      </c>
      <c r="K755" s="662">
        <v>3</v>
      </c>
      <c r="L755" s="685">
        <f t="shared" si="19"/>
        <v>18.8</v>
      </c>
      <c r="M755" s="686">
        <f t="shared" si="20"/>
        <v>56.400000000000006</v>
      </c>
    </row>
    <row r="756" spans="2:13" s="645" customFormat="1" ht="21.75" customHeight="1">
      <c r="B756" s="661">
        <v>44393</v>
      </c>
      <c r="C756" s="662" t="s">
        <v>819</v>
      </c>
      <c r="D756" s="663" t="s">
        <v>841</v>
      </c>
      <c r="E756" s="664" t="s">
        <v>831</v>
      </c>
      <c r="F756" s="665"/>
      <c r="G756" s="663">
        <v>20</v>
      </c>
      <c r="H756" s="662" t="s">
        <v>807</v>
      </c>
      <c r="I756" s="666" t="s">
        <v>857</v>
      </c>
      <c r="J756" s="667" t="s">
        <v>805</v>
      </c>
      <c r="K756" s="662">
        <v>3</v>
      </c>
      <c r="L756" s="685">
        <f t="shared" si="19"/>
        <v>18.8</v>
      </c>
      <c r="M756" s="686">
        <f t="shared" si="20"/>
        <v>56.400000000000006</v>
      </c>
    </row>
    <row r="757" spans="2:13" s="645" customFormat="1" ht="21.75" customHeight="1">
      <c r="B757" s="661">
        <v>44393</v>
      </c>
      <c r="C757" s="662" t="s">
        <v>819</v>
      </c>
      <c r="D757" s="663" t="s">
        <v>834</v>
      </c>
      <c r="E757" s="664" t="s">
        <v>831</v>
      </c>
      <c r="F757" s="665"/>
      <c r="G757" s="663">
        <v>20</v>
      </c>
      <c r="H757" s="662" t="s">
        <v>807</v>
      </c>
      <c r="I757" s="666" t="s">
        <v>859</v>
      </c>
      <c r="J757" s="667" t="s">
        <v>805</v>
      </c>
      <c r="K757" s="662">
        <v>3</v>
      </c>
      <c r="L757" s="685">
        <f t="shared" si="19"/>
        <v>18.8</v>
      </c>
      <c r="M757" s="686">
        <f t="shared" si="20"/>
        <v>56.400000000000006</v>
      </c>
    </row>
    <row r="758" spans="2:13" s="645" customFormat="1" ht="21.75" customHeight="1">
      <c r="B758" s="661">
        <v>44393</v>
      </c>
      <c r="C758" s="662" t="s">
        <v>819</v>
      </c>
      <c r="D758" s="663" t="s">
        <v>834</v>
      </c>
      <c r="E758" s="664" t="s">
        <v>831</v>
      </c>
      <c r="F758" s="665"/>
      <c r="G758" s="663">
        <v>20</v>
      </c>
      <c r="H758" s="662" t="s">
        <v>807</v>
      </c>
      <c r="I758" s="666" t="s">
        <v>857</v>
      </c>
      <c r="J758" s="667" t="s">
        <v>805</v>
      </c>
      <c r="K758" s="662">
        <v>8</v>
      </c>
      <c r="L758" s="685">
        <f t="shared" si="19"/>
        <v>18.8</v>
      </c>
      <c r="M758" s="686">
        <f t="shared" si="20"/>
        <v>150.4</v>
      </c>
    </row>
    <row r="759" spans="2:13" s="645" customFormat="1" ht="21.75" customHeight="1">
      <c r="B759" s="661">
        <v>44393</v>
      </c>
      <c r="C759" s="662" t="s">
        <v>819</v>
      </c>
      <c r="D759" s="663" t="s">
        <v>848</v>
      </c>
      <c r="E759" s="664" t="s">
        <v>831</v>
      </c>
      <c r="F759" s="665"/>
      <c r="G759" s="663">
        <v>20</v>
      </c>
      <c r="H759" s="662" t="s">
        <v>807</v>
      </c>
      <c r="I759" s="666" t="s">
        <v>859</v>
      </c>
      <c r="J759" s="667" t="s">
        <v>805</v>
      </c>
      <c r="K759" s="662">
        <v>11</v>
      </c>
      <c r="L759" s="685">
        <f t="shared" si="19"/>
        <v>18.8</v>
      </c>
      <c r="M759" s="686">
        <f t="shared" si="20"/>
        <v>206.8</v>
      </c>
    </row>
    <row r="760" spans="2:13" s="645" customFormat="1" ht="21.75" customHeight="1">
      <c r="B760" s="661">
        <v>44393</v>
      </c>
      <c r="C760" s="662" t="s">
        <v>819</v>
      </c>
      <c r="D760" s="663" t="s">
        <v>830</v>
      </c>
      <c r="E760" s="664" t="s">
        <v>831</v>
      </c>
      <c r="F760" s="665"/>
      <c r="G760" s="663">
        <v>15</v>
      </c>
      <c r="H760" s="662" t="s">
        <v>807</v>
      </c>
      <c r="I760" s="666" t="s">
        <v>859</v>
      </c>
      <c r="J760" s="667" t="s">
        <v>805</v>
      </c>
      <c r="K760" s="662">
        <v>5</v>
      </c>
      <c r="L760" s="685">
        <f t="shared" si="19"/>
        <v>14.1</v>
      </c>
      <c r="M760" s="686">
        <f t="shared" si="20"/>
        <v>70.5</v>
      </c>
    </row>
    <row r="761" spans="2:13" s="645" customFormat="1" ht="21.75" customHeight="1">
      <c r="B761" s="661">
        <v>44393</v>
      </c>
      <c r="C761" s="662" t="s">
        <v>819</v>
      </c>
      <c r="D761" s="663" t="s">
        <v>830</v>
      </c>
      <c r="E761" s="664" t="s">
        <v>831</v>
      </c>
      <c r="F761" s="665"/>
      <c r="G761" s="663">
        <v>15</v>
      </c>
      <c r="H761" s="662" t="s">
        <v>807</v>
      </c>
      <c r="I761" s="666" t="s">
        <v>857</v>
      </c>
      <c r="J761" s="667" t="s">
        <v>805</v>
      </c>
      <c r="K761" s="662">
        <v>6</v>
      </c>
      <c r="L761" s="685">
        <f t="shared" si="19"/>
        <v>14.1</v>
      </c>
      <c r="M761" s="686">
        <f t="shared" si="20"/>
        <v>84.6</v>
      </c>
    </row>
    <row r="762" spans="2:13" s="645" customFormat="1" ht="21.75" customHeight="1">
      <c r="B762" s="661">
        <v>44393</v>
      </c>
      <c r="C762" s="662" t="s">
        <v>819</v>
      </c>
      <c r="D762" s="663" t="s">
        <v>844</v>
      </c>
      <c r="E762" s="664" t="s">
        <v>831</v>
      </c>
      <c r="F762" s="665"/>
      <c r="G762" s="663">
        <v>15</v>
      </c>
      <c r="H762" s="662" t="s">
        <v>807</v>
      </c>
      <c r="I762" s="666" t="s">
        <v>859</v>
      </c>
      <c r="J762" s="667" t="s">
        <v>805</v>
      </c>
      <c r="K762" s="662">
        <v>3</v>
      </c>
      <c r="L762" s="685">
        <f t="shared" si="19"/>
        <v>14.1</v>
      </c>
      <c r="M762" s="686">
        <f t="shared" si="20"/>
        <v>42.3</v>
      </c>
    </row>
    <row r="763" spans="2:13" s="645" customFormat="1" ht="21.75" customHeight="1">
      <c r="B763" s="661">
        <v>44393</v>
      </c>
      <c r="C763" s="662" t="s">
        <v>819</v>
      </c>
      <c r="D763" s="663" t="s">
        <v>844</v>
      </c>
      <c r="E763" s="664" t="s">
        <v>831</v>
      </c>
      <c r="F763" s="665"/>
      <c r="G763" s="663">
        <v>15</v>
      </c>
      <c r="H763" s="662" t="s">
        <v>807</v>
      </c>
      <c r="I763" s="666" t="s">
        <v>857</v>
      </c>
      <c r="J763" s="667" t="s">
        <v>805</v>
      </c>
      <c r="K763" s="662">
        <v>8</v>
      </c>
      <c r="L763" s="685">
        <f t="shared" si="19"/>
        <v>14.1</v>
      </c>
      <c r="M763" s="686">
        <f t="shared" si="20"/>
        <v>112.8</v>
      </c>
    </row>
    <row r="764" spans="2:13" s="645" customFormat="1" ht="21.75" customHeight="1">
      <c r="B764" s="661">
        <v>44393</v>
      </c>
      <c r="C764" s="662" t="s">
        <v>819</v>
      </c>
      <c r="D764" s="663" t="s">
        <v>833</v>
      </c>
      <c r="E764" s="664" t="s">
        <v>831</v>
      </c>
      <c r="F764" s="665"/>
      <c r="G764" s="663">
        <v>15</v>
      </c>
      <c r="H764" s="662" t="s">
        <v>807</v>
      </c>
      <c r="I764" s="666" t="s">
        <v>859</v>
      </c>
      <c r="J764" s="667" t="s">
        <v>805</v>
      </c>
      <c r="K764" s="662">
        <v>10</v>
      </c>
      <c r="L764" s="685">
        <f t="shared" si="19"/>
        <v>14.1</v>
      </c>
      <c r="M764" s="686">
        <f t="shared" si="20"/>
        <v>141</v>
      </c>
    </row>
    <row r="765" spans="2:13" s="645" customFormat="1" ht="21.75" customHeight="1">
      <c r="B765" s="661">
        <v>44393</v>
      </c>
      <c r="C765" s="662" t="s">
        <v>819</v>
      </c>
      <c r="D765" s="663" t="s">
        <v>845</v>
      </c>
      <c r="E765" s="664" t="s">
        <v>831</v>
      </c>
      <c r="F765" s="665"/>
      <c r="G765" s="663">
        <v>17</v>
      </c>
      <c r="H765" s="662" t="s">
        <v>807</v>
      </c>
      <c r="I765" s="666" t="s">
        <v>859</v>
      </c>
      <c r="J765" s="667" t="s">
        <v>805</v>
      </c>
      <c r="K765" s="662">
        <v>6</v>
      </c>
      <c r="L765" s="685">
        <f t="shared" si="19"/>
        <v>15.98</v>
      </c>
      <c r="M765" s="686">
        <f t="shared" si="20"/>
        <v>95.88</v>
      </c>
    </row>
    <row r="766" spans="2:13" s="645" customFormat="1" ht="21.75" customHeight="1">
      <c r="B766" s="661">
        <v>44393</v>
      </c>
      <c r="C766" s="662" t="s">
        <v>819</v>
      </c>
      <c r="D766" s="663" t="s">
        <v>845</v>
      </c>
      <c r="E766" s="664" t="s">
        <v>831</v>
      </c>
      <c r="F766" s="665"/>
      <c r="G766" s="663">
        <v>17</v>
      </c>
      <c r="H766" s="662" t="s">
        <v>807</v>
      </c>
      <c r="I766" s="666" t="s">
        <v>857</v>
      </c>
      <c r="J766" s="667" t="s">
        <v>805</v>
      </c>
      <c r="K766" s="662">
        <v>5</v>
      </c>
      <c r="L766" s="685">
        <f t="shared" si="19"/>
        <v>15.98</v>
      </c>
      <c r="M766" s="686">
        <f t="shared" si="20"/>
        <v>79.900000000000006</v>
      </c>
    </row>
    <row r="767" spans="2:13" s="645" customFormat="1" ht="21.75" customHeight="1">
      <c r="B767" s="661">
        <v>44393</v>
      </c>
      <c r="C767" s="662" t="s">
        <v>819</v>
      </c>
      <c r="D767" s="663" t="s">
        <v>856</v>
      </c>
      <c r="E767" s="690" t="s">
        <v>831</v>
      </c>
      <c r="F767" s="692"/>
      <c r="G767" s="663">
        <v>20</v>
      </c>
      <c r="H767" s="662" t="s">
        <v>807</v>
      </c>
      <c r="I767" s="666" t="s">
        <v>859</v>
      </c>
      <c r="J767" s="667" t="s">
        <v>805</v>
      </c>
      <c r="K767" s="662">
        <v>5</v>
      </c>
      <c r="L767" s="685">
        <f t="shared" si="19"/>
        <v>18.8</v>
      </c>
      <c r="M767" s="686">
        <f t="shared" si="20"/>
        <v>94</v>
      </c>
    </row>
    <row r="768" spans="2:13" s="645" customFormat="1" ht="21.75" customHeight="1">
      <c r="B768" s="661">
        <v>44393</v>
      </c>
      <c r="C768" s="662" t="s">
        <v>819</v>
      </c>
      <c r="D768" s="663" t="s">
        <v>856</v>
      </c>
      <c r="E768" s="690" t="s">
        <v>831</v>
      </c>
      <c r="F768" s="692"/>
      <c r="G768" s="663">
        <v>20</v>
      </c>
      <c r="H768" s="662" t="s">
        <v>807</v>
      </c>
      <c r="I768" s="666" t="s">
        <v>857</v>
      </c>
      <c r="J768" s="667" t="s">
        <v>805</v>
      </c>
      <c r="K768" s="662">
        <v>6</v>
      </c>
      <c r="L768" s="685">
        <f t="shared" si="19"/>
        <v>18.8</v>
      </c>
      <c r="M768" s="686">
        <f t="shared" si="20"/>
        <v>112.80000000000001</v>
      </c>
    </row>
    <row r="769" spans="2:13" s="645" customFormat="1" ht="21.75" customHeight="1">
      <c r="B769" s="661">
        <v>44393</v>
      </c>
      <c r="C769" s="662" t="s">
        <v>819</v>
      </c>
      <c r="D769" s="663" t="s">
        <v>855</v>
      </c>
      <c r="E769" s="690" t="s">
        <v>831</v>
      </c>
      <c r="F769" s="692"/>
      <c r="G769" s="663">
        <v>20</v>
      </c>
      <c r="H769" s="662" t="s">
        <v>807</v>
      </c>
      <c r="I769" s="666" t="s">
        <v>859</v>
      </c>
      <c r="J769" s="667" t="s">
        <v>805</v>
      </c>
      <c r="K769" s="662">
        <v>1</v>
      </c>
      <c r="L769" s="685">
        <f t="shared" si="19"/>
        <v>18.8</v>
      </c>
      <c r="M769" s="686">
        <f t="shared" si="20"/>
        <v>18.8</v>
      </c>
    </row>
    <row r="770" spans="2:13" s="645" customFormat="1" ht="21.75" customHeight="1">
      <c r="B770" s="661">
        <v>44393</v>
      </c>
      <c r="C770" s="662" t="s">
        <v>819</v>
      </c>
      <c r="D770" s="663" t="s">
        <v>855</v>
      </c>
      <c r="E770" s="664" t="s">
        <v>831</v>
      </c>
      <c r="F770" s="665"/>
      <c r="G770" s="663">
        <v>20</v>
      </c>
      <c r="H770" s="662" t="s">
        <v>807</v>
      </c>
      <c r="I770" s="666" t="s">
        <v>857</v>
      </c>
      <c r="J770" s="667" t="s">
        <v>805</v>
      </c>
      <c r="K770" s="662">
        <v>7</v>
      </c>
      <c r="L770" s="685">
        <f t="shared" si="19"/>
        <v>18.8</v>
      </c>
      <c r="M770" s="686">
        <f t="shared" si="20"/>
        <v>131.6</v>
      </c>
    </row>
    <row r="771" spans="2:13" s="645" customFormat="1" ht="21.75" customHeight="1">
      <c r="B771" s="661">
        <v>44394</v>
      </c>
      <c r="C771" s="662" t="s">
        <v>819</v>
      </c>
      <c r="D771" s="663" t="s">
        <v>849</v>
      </c>
      <c r="E771" s="664" t="s">
        <v>831</v>
      </c>
      <c r="F771" s="665"/>
      <c r="G771" s="663">
        <v>20</v>
      </c>
      <c r="H771" s="662" t="s">
        <v>807</v>
      </c>
      <c r="I771" s="666" t="s">
        <v>859</v>
      </c>
      <c r="J771" s="667" t="s">
        <v>805</v>
      </c>
      <c r="K771" s="662">
        <v>3</v>
      </c>
      <c r="L771" s="685">
        <f t="shared" si="19"/>
        <v>18.8</v>
      </c>
      <c r="M771" s="686">
        <f t="shared" si="20"/>
        <v>56.400000000000006</v>
      </c>
    </row>
    <row r="772" spans="2:13" s="645" customFormat="1" ht="21.75" customHeight="1">
      <c r="B772" s="661">
        <v>44394</v>
      </c>
      <c r="C772" s="662" t="s">
        <v>819</v>
      </c>
      <c r="D772" s="663" t="s">
        <v>849</v>
      </c>
      <c r="E772" s="664" t="s">
        <v>831</v>
      </c>
      <c r="F772" s="665"/>
      <c r="G772" s="663">
        <v>20</v>
      </c>
      <c r="H772" s="662" t="s">
        <v>807</v>
      </c>
      <c r="I772" s="666" t="s">
        <v>857</v>
      </c>
      <c r="J772" s="667" t="s">
        <v>805</v>
      </c>
      <c r="K772" s="662">
        <v>7</v>
      </c>
      <c r="L772" s="685">
        <f t="shared" si="19"/>
        <v>18.8</v>
      </c>
      <c r="M772" s="686">
        <f t="shared" si="20"/>
        <v>131.6</v>
      </c>
    </row>
    <row r="773" spans="2:13" s="645" customFormat="1" ht="21.75" customHeight="1">
      <c r="B773" s="661">
        <v>44394</v>
      </c>
      <c r="C773" s="662" t="s">
        <v>819</v>
      </c>
      <c r="D773" s="663" t="s">
        <v>835</v>
      </c>
      <c r="E773" s="664" t="s">
        <v>831</v>
      </c>
      <c r="F773" s="665"/>
      <c r="G773" s="663">
        <v>20</v>
      </c>
      <c r="H773" s="662" t="s">
        <v>807</v>
      </c>
      <c r="I773" s="666" t="s">
        <v>859</v>
      </c>
      <c r="J773" s="667" t="s">
        <v>805</v>
      </c>
      <c r="K773" s="662">
        <v>8</v>
      </c>
      <c r="L773" s="685">
        <f t="shared" si="19"/>
        <v>18.8</v>
      </c>
      <c r="M773" s="686">
        <f t="shared" si="20"/>
        <v>150.4</v>
      </c>
    </row>
    <row r="774" spans="2:13" s="645" customFormat="1" ht="21.75" customHeight="1">
      <c r="B774" s="661">
        <v>44394</v>
      </c>
      <c r="C774" s="662" t="s">
        <v>819</v>
      </c>
      <c r="D774" s="663" t="s">
        <v>835</v>
      </c>
      <c r="E774" s="664" t="s">
        <v>831</v>
      </c>
      <c r="F774" s="665"/>
      <c r="G774" s="663">
        <v>20</v>
      </c>
      <c r="H774" s="662" t="s">
        <v>807</v>
      </c>
      <c r="I774" s="666" t="s">
        <v>857</v>
      </c>
      <c r="J774" s="667" t="s">
        <v>805</v>
      </c>
      <c r="K774" s="662">
        <v>1</v>
      </c>
      <c r="L774" s="685">
        <f t="shared" si="19"/>
        <v>18.8</v>
      </c>
      <c r="M774" s="686">
        <f t="shared" si="20"/>
        <v>18.8</v>
      </c>
    </row>
    <row r="775" spans="2:13" s="645" customFormat="1" ht="21.75" customHeight="1">
      <c r="B775" s="661">
        <v>44394</v>
      </c>
      <c r="C775" s="662" t="s">
        <v>819</v>
      </c>
      <c r="D775" s="663" t="s">
        <v>841</v>
      </c>
      <c r="E775" s="664" t="s">
        <v>831</v>
      </c>
      <c r="F775" s="665"/>
      <c r="G775" s="663">
        <v>20</v>
      </c>
      <c r="H775" s="662" t="s">
        <v>807</v>
      </c>
      <c r="I775" s="666" t="s">
        <v>859</v>
      </c>
      <c r="J775" s="667" t="s">
        <v>805</v>
      </c>
      <c r="K775" s="662">
        <v>5</v>
      </c>
      <c r="L775" s="685">
        <f t="shared" si="19"/>
        <v>18.8</v>
      </c>
      <c r="M775" s="686">
        <f t="shared" si="20"/>
        <v>94</v>
      </c>
    </row>
    <row r="776" spans="2:13" s="645" customFormat="1" ht="21.75" customHeight="1">
      <c r="B776" s="661">
        <v>44394</v>
      </c>
      <c r="C776" s="662" t="s">
        <v>819</v>
      </c>
      <c r="D776" s="663" t="s">
        <v>841</v>
      </c>
      <c r="E776" s="664" t="s">
        <v>831</v>
      </c>
      <c r="F776" s="665"/>
      <c r="G776" s="663">
        <v>20</v>
      </c>
      <c r="H776" s="662" t="s">
        <v>807</v>
      </c>
      <c r="I776" s="666" t="s">
        <v>857</v>
      </c>
      <c r="J776" s="667" t="s">
        <v>805</v>
      </c>
      <c r="K776" s="662">
        <v>4</v>
      </c>
      <c r="L776" s="685">
        <f t="shared" si="19"/>
        <v>18.8</v>
      </c>
      <c r="M776" s="686">
        <f t="shared" si="20"/>
        <v>75.2</v>
      </c>
    </row>
    <row r="777" spans="2:13" s="645" customFormat="1" ht="21.75" customHeight="1">
      <c r="B777" s="661">
        <v>44394</v>
      </c>
      <c r="C777" s="662" t="s">
        <v>819</v>
      </c>
      <c r="D777" s="663" t="s">
        <v>834</v>
      </c>
      <c r="E777" s="690" t="s">
        <v>831</v>
      </c>
      <c r="F777" s="692"/>
      <c r="G777" s="663">
        <v>20</v>
      </c>
      <c r="H777" s="662" t="s">
        <v>807</v>
      </c>
      <c r="I777" s="666" t="s">
        <v>859</v>
      </c>
      <c r="J777" s="667" t="s">
        <v>805</v>
      </c>
      <c r="K777" s="662">
        <v>10</v>
      </c>
      <c r="L777" s="685">
        <f t="shared" ref="L777:L840" si="21">VLOOKUP(G777,$Q$4:$V$7,6,FALSE)</f>
        <v>18.8</v>
      </c>
      <c r="M777" s="686">
        <f t="shared" si="20"/>
        <v>188</v>
      </c>
    </row>
    <row r="778" spans="2:13" s="645" customFormat="1" ht="21.75" customHeight="1">
      <c r="B778" s="661">
        <v>44394</v>
      </c>
      <c r="C778" s="662" t="s">
        <v>819</v>
      </c>
      <c r="D778" s="663" t="s">
        <v>848</v>
      </c>
      <c r="E778" s="690" t="s">
        <v>831</v>
      </c>
      <c r="F778" s="692"/>
      <c r="G778" s="663">
        <v>20</v>
      </c>
      <c r="H778" s="662" t="s">
        <v>807</v>
      </c>
      <c r="I778" s="666" t="s">
        <v>859</v>
      </c>
      <c r="J778" s="667" t="s">
        <v>805</v>
      </c>
      <c r="K778" s="662">
        <v>3</v>
      </c>
      <c r="L778" s="685">
        <f t="shared" si="21"/>
        <v>18.8</v>
      </c>
      <c r="M778" s="686">
        <f t="shared" si="20"/>
        <v>56.400000000000006</v>
      </c>
    </row>
    <row r="779" spans="2:13" s="645" customFormat="1" ht="21.75" customHeight="1">
      <c r="B779" s="661">
        <v>44394</v>
      </c>
      <c r="C779" s="662" t="s">
        <v>819</v>
      </c>
      <c r="D779" s="663" t="s">
        <v>848</v>
      </c>
      <c r="E779" s="664" t="s">
        <v>831</v>
      </c>
      <c r="F779" s="665"/>
      <c r="G779" s="663">
        <v>20</v>
      </c>
      <c r="H779" s="662" t="s">
        <v>807</v>
      </c>
      <c r="I779" s="666" t="s">
        <v>857</v>
      </c>
      <c r="J779" s="667" t="s">
        <v>805</v>
      </c>
      <c r="K779" s="662">
        <v>6</v>
      </c>
      <c r="L779" s="685">
        <f t="shared" si="21"/>
        <v>18.8</v>
      </c>
      <c r="M779" s="686">
        <f t="shared" si="20"/>
        <v>112.80000000000001</v>
      </c>
    </row>
    <row r="780" spans="2:13" s="645" customFormat="1" ht="21.75" customHeight="1">
      <c r="B780" s="661">
        <v>44394</v>
      </c>
      <c r="C780" s="662" t="s">
        <v>819</v>
      </c>
      <c r="D780" s="663" t="s">
        <v>830</v>
      </c>
      <c r="E780" s="664" t="s">
        <v>831</v>
      </c>
      <c r="F780" s="665"/>
      <c r="G780" s="663">
        <v>15</v>
      </c>
      <c r="H780" s="662" t="s">
        <v>807</v>
      </c>
      <c r="I780" s="666" t="s">
        <v>859</v>
      </c>
      <c r="J780" s="667" t="s">
        <v>805</v>
      </c>
      <c r="K780" s="662">
        <v>2</v>
      </c>
      <c r="L780" s="685">
        <f t="shared" si="21"/>
        <v>14.1</v>
      </c>
      <c r="M780" s="686">
        <f t="shared" si="20"/>
        <v>28.2</v>
      </c>
    </row>
    <row r="781" spans="2:13" s="645" customFormat="1" ht="21.75" customHeight="1">
      <c r="B781" s="661">
        <v>44394</v>
      </c>
      <c r="C781" s="662" t="s">
        <v>819</v>
      </c>
      <c r="D781" s="663" t="s">
        <v>830</v>
      </c>
      <c r="E781" s="664" t="s">
        <v>831</v>
      </c>
      <c r="F781" s="665"/>
      <c r="G781" s="663">
        <v>15</v>
      </c>
      <c r="H781" s="662" t="s">
        <v>807</v>
      </c>
      <c r="I781" s="666" t="s">
        <v>857</v>
      </c>
      <c r="J781" s="667" t="s">
        <v>805</v>
      </c>
      <c r="K781" s="662">
        <v>8</v>
      </c>
      <c r="L781" s="685">
        <f t="shared" si="21"/>
        <v>14.1</v>
      </c>
      <c r="M781" s="686">
        <f t="shared" si="20"/>
        <v>112.8</v>
      </c>
    </row>
    <row r="782" spans="2:13" s="645" customFormat="1" ht="21.75" customHeight="1">
      <c r="B782" s="661">
        <v>44394</v>
      </c>
      <c r="C782" s="662" t="s">
        <v>819</v>
      </c>
      <c r="D782" s="663" t="s">
        <v>844</v>
      </c>
      <c r="E782" s="664" t="s">
        <v>831</v>
      </c>
      <c r="F782" s="665"/>
      <c r="G782" s="663">
        <v>15</v>
      </c>
      <c r="H782" s="662" t="s">
        <v>807</v>
      </c>
      <c r="I782" s="666" t="s">
        <v>859</v>
      </c>
      <c r="J782" s="667" t="s">
        <v>805</v>
      </c>
      <c r="K782" s="662">
        <v>10</v>
      </c>
      <c r="L782" s="685">
        <f t="shared" si="21"/>
        <v>14.1</v>
      </c>
      <c r="M782" s="686">
        <f t="shared" si="20"/>
        <v>141</v>
      </c>
    </row>
    <row r="783" spans="2:13" s="645" customFormat="1" ht="21.75" customHeight="1">
      <c r="B783" s="661">
        <v>44394</v>
      </c>
      <c r="C783" s="662" t="s">
        <v>819</v>
      </c>
      <c r="D783" s="663" t="s">
        <v>833</v>
      </c>
      <c r="E783" s="664" t="s">
        <v>831</v>
      </c>
      <c r="F783" s="665"/>
      <c r="G783" s="663">
        <v>15</v>
      </c>
      <c r="H783" s="662" t="s">
        <v>807</v>
      </c>
      <c r="I783" s="666" t="s">
        <v>859</v>
      </c>
      <c r="J783" s="667" t="s">
        <v>805</v>
      </c>
      <c r="K783" s="662">
        <v>7</v>
      </c>
      <c r="L783" s="685">
        <f t="shared" si="21"/>
        <v>14.1</v>
      </c>
      <c r="M783" s="686">
        <f t="shared" si="20"/>
        <v>98.7</v>
      </c>
    </row>
    <row r="784" spans="2:13" s="645" customFormat="1" ht="21.75" customHeight="1">
      <c r="B784" s="661">
        <v>44394</v>
      </c>
      <c r="C784" s="662" t="s">
        <v>819</v>
      </c>
      <c r="D784" s="663" t="s">
        <v>845</v>
      </c>
      <c r="E784" s="664" t="s">
        <v>831</v>
      </c>
      <c r="F784" s="665"/>
      <c r="G784" s="663">
        <v>17</v>
      </c>
      <c r="H784" s="662" t="s">
        <v>807</v>
      </c>
      <c r="I784" s="666" t="s">
        <v>859</v>
      </c>
      <c r="J784" s="667" t="s">
        <v>805</v>
      </c>
      <c r="K784" s="662">
        <v>6</v>
      </c>
      <c r="L784" s="685">
        <f t="shared" si="21"/>
        <v>15.98</v>
      </c>
      <c r="M784" s="686">
        <f t="shared" si="20"/>
        <v>95.88</v>
      </c>
    </row>
    <row r="785" spans="2:13" s="645" customFormat="1" ht="21.75" customHeight="1">
      <c r="B785" s="661">
        <v>44394</v>
      </c>
      <c r="C785" s="662" t="s">
        <v>819</v>
      </c>
      <c r="D785" s="663" t="s">
        <v>845</v>
      </c>
      <c r="E785" s="690" t="s">
        <v>831</v>
      </c>
      <c r="F785" s="692"/>
      <c r="G785" s="663">
        <v>17</v>
      </c>
      <c r="H785" s="662" t="s">
        <v>807</v>
      </c>
      <c r="I785" s="666" t="s">
        <v>857</v>
      </c>
      <c r="J785" s="667" t="s">
        <v>805</v>
      </c>
      <c r="K785" s="662">
        <v>5</v>
      </c>
      <c r="L785" s="685">
        <f t="shared" si="21"/>
        <v>15.98</v>
      </c>
      <c r="M785" s="686">
        <f t="shared" si="20"/>
        <v>79.900000000000006</v>
      </c>
    </row>
    <row r="786" spans="2:13" s="645" customFormat="1" ht="21.75" customHeight="1">
      <c r="B786" s="661">
        <v>44394</v>
      </c>
      <c r="C786" s="662" t="s">
        <v>819</v>
      </c>
      <c r="D786" s="663" t="s">
        <v>856</v>
      </c>
      <c r="E786" s="690" t="s">
        <v>831</v>
      </c>
      <c r="F786" s="692"/>
      <c r="G786" s="663">
        <v>20</v>
      </c>
      <c r="H786" s="662" t="s">
        <v>807</v>
      </c>
      <c r="I786" s="666" t="s">
        <v>859</v>
      </c>
      <c r="J786" s="667" t="s">
        <v>805</v>
      </c>
      <c r="K786" s="662">
        <v>7</v>
      </c>
      <c r="L786" s="685">
        <f t="shared" si="21"/>
        <v>18.8</v>
      </c>
      <c r="M786" s="686">
        <f t="shared" si="20"/>
        <v>131.6</v>
      </c>
    </row>
    <row r="787" spans="2:13" s="645" customFormat="1" ht="21.75" customHeight="1">
      <c r="B787" s="661">
        <v>44394</v>
      </c>
      <c r="C787" s="662" t="s">
        <v>819</v>
      </c>
      <c r="D787" s="663" t="s">
        <v>856</v>
      </c>
      <c r="E787" s="664" t="s">
        <v>831</v>
      </c>
      <c r="F787" s="665"/>
      <c r="G787" s="663">
        <v>20</v>
      </c>
      <c r="H787" s="662" t="s">
        <v>807</v>
      </c>
      <c r="I787" s="666" t="s">
        <v>857</v>
      </c>
      <c r="J787" s="667" t="s">
        <v>805</v>
      </c>
      <c r="K787" s="662">
        <v>1</v>
      </c>
      <c r="L787" s="685">
        <f t="shared" si="21"/>
        <v>18.8</v>
      </c>
      <c r="M787" s="686">
        <f t="shared" si="20"/>
        <v>18.8</v>
      </c>
    </row>
    <row r="788" spans="2:13" s="645" customFormat="1" ht="21.75" customHeight="1">
      <c r="B788" s="661">
        <v>44394</v>
      </c>
      <c r="C788" s="662" t="s">
        <v>819</v>
      </c>
      <c r="D788" s="663" t="s">
        <v>855</v>
      </c>
      <c r="E788" s="664" t="s">
        <v>831</v>
      </c>
      <c r="F788" s="665"/>
      <c r="G788" s="663">
        <v>20</v>
      </c>
      <c r="H788" s="662" t="s">
        <v>807</v>
      </c>
      <c r="I788" s="666" t="s">
        <v>857</v>
      </c>
      <c r="J788" s="667" t="s">
        <v>805</v>
      </c>
      <c r="K788" s="662">
        <v>1</v>
      </c>
      <c r="L788" s="685">
        <f t="shared" si="21"/>
        <v>18.8</v>
      </c>
      <c r="M788" s="686">
        <f t="shared" si="20"/>
        <v>18.8</v>
      </c>
    </row>
    <row r="789" spans="2:13" s="645" customFormat="1" ht="21.75" customHeight="1">
      <c r="B789" s="661">
        <v>44395</v>
      </c>
      <c r="C789" s="662" t="s">
        <v>837</v>
      </c>
      <c r="D789" s="663" t="s">
        <v>849</v>
      </c>
      <c r="E789" s="664" t="s">
        <v>831</v>
      </c>
      <c r="F789" s="661"/>
      <c r="G789" s="663">
        <v>20</v>
      </c>
      <c r="H789" s="662" t="s">
        <v>807</v>
      </c>
      <c r="I789" s="666" t="s">
        <v>854</v>
      </c>
      <c r="J789" s="667" t="s">
        <v>804</v>
      </c>
      <c r="K789" s="662">
        <v>10</v>
      </c>
      <c r="L789" s="679">
        <f t="shared" si="21"/>
        <v>18.8</v>
      </c>
      <c r="M789" s="668">
        <f t="shared" si="20"/>
        <v>188</v>
      </c>
    </row>
    <row r="790" spans="2:13" s="645" customFormat="1" ht="21.75" customHeight="1">
      <c r="B790" s="661">
        <v>44395</v>
      </c>
      <c r="C790" s="662" t="s">
        <v>837</v>
      </c>
      <c r="D790" s="663" t="s">
        <v>835</v>
      </c>
      <c r="E790" s="664" t="s">
        <v>831</v>
      </c>
      <c r="F790" s="661"/>
      <c r="G790" s="663">
        <v>20</v>
      </c>
      <c r="H790" s="662" t="s">
        <v>807</v>
      </c>
      <c r="I790" s="666" t="s">
        <v>854</v>
      </c>
      <c r="J790" s="667" t="s">
        <v>804</v>
      </c>
      <c r="K790" s="662">
        <v>10</v>
      </c>
      <c r="L790" s="679">
        <f t="shared" si="21"/>
        <v>18.8</v>
      </c>
      <c r="M790" s="668">
        <f t="shared" si="20"/>
        <v>188</v>
      </c>
    </row>
    <row r="791" spans="2:13" s="645" customFormat="1" ht="21.75" customHeight="1">
      <c r="B791" s="661">
        <v>44395</v>
      </c>
      <c r="C791" s="662" t="s">
        <v>837</v>
      </c>
      <c r="D791" s="663" t="s">
        <v>841</v>
      </c>
      <c r="E791" s="664" t="s">
        <v>831</v>
      </c>
      <c r="F791" s="661"/>
      <c r="G791" s="663">
        <v>20</v>
      </c>
      <c r="H791" s="662" t="s">
        <v>807</v>
      </c>
      <c r="I791" s="666" t="s">
        <v>854</v>
      </c>
      <c r="J791" s="667" t="s">
        <v>804</v>
      </c>
      <c r="K791" s="662">
        <v>10</v>
      </c>
      <c r="L791" s="679">
        <f t="shared" si="21"/>
        <v>18.8</v>
      </c>
      <c r="M791" s="668">
        <f t="shared" si="20"/>
        <v>188</v>
      </c>
    </row>
    <row r="792" spans="2:13" s="645" customFormat="1" ht="21.75" customHeight="1">
      <c r="B792" s="661">
        <v>44395</v>
      </c>
      <c r="C792" s="662" t="s">
        <v>837</v>
      </c>
      <c r="D792" s="663" t="s">
        <v>834</v>
      </c>
      <c r="E792" s="664" t="s">
        <v>831</v>
      </c>
      <c r="F792" s="661"/>
      <c r="G792" s="663">
        <v>20</v>
      </c>
      <c r="H792" s="662" t="s">
        <v>807</v>
      </c>
      <c r="I792" s="666" t="s">
        <v>854</v>
      </c>
      <c r="J792" s="667" t="s">
        <v>804</v>
      </c>
      <c r="K792" s="662">
        <v>10</v>
      </c>
      <c r="L792" s="679">
        <f t="shared" si="21"/>
        <v>18.8</v>
      </c>
      <c r="M792" s="668">
        <f t="shared" si="20"/>
        <v>188</v>
      </c>
    </row>
    <row r="793" spans="2:13" s="645" customFormat="1" ht="21.75" customHeight="1">
      <c r="B793" s="661">
        <v>44395</v>
      </c>
      <c r="C793" s="662" t="s">
        <v>837</v>
      </c>
      <c r="D793" s="663" t="s">
        <v>845</v>
      </c>
      <c r="E793" s="664" t="s">
        <v>831</v>
      </c>
      <c r="F793" s="661"/>
      <c r="G793" s="663">
        <v>17</v>
      </c>
      <c r="H793" s="662" t="s">
        <v>807</v>
      </c>
      <c r="I793" s="666" t="s">
        <v>854</v>
      </c>
      <c r="J793" s="667" t="s">
        <v>804</v>
      </c>
      <c r="K793" s="662">
        <v>11</v>
      </c>
      <c r="L793" s="679">
        <f t="shared" si="21"/>
        <v>15.98</v>
      </c>
      <c r="M793" s="668">
        <f t="shared" si="20"/>
        <v>175.78</v>
      </c>
    </row>
    <row r="794" spans="2:13" s="645" customFormat="1" ht="21.75" customHeight="1">
      <c r="B794" s="661">
        <v>44395</v>
      </c>
      <c r="C794" s="662" t="s">
        <v>837</v>
      </c>
      <c r="D794" s="663" t="s">
        <v>856</v>
      </c>
      <c r="E794" s="664" t="s">
        <v>831</v>
      </c>
      <c r="F794" s="661"/>
      <c r="G794" s="663">
        <v>20</v>
      </c>
      <c r="H794" s="662" t="s">
        <v>807</v>
      </c>
      <c r="I794" s="666" t="s">
        <v>854</v>
      </c>
      <c r="J794" s="667" t="s">
        <v>804</v>
      </c>
      <c r="K794" s="662">
        <v>11</v>
      </c>
      <c r="L794" s="679">
        <f t="shared" si="21"/>
        <v>18.8</v>
      </c>
      <c r="M794" s="668">
        <f t="shared" si="20"/>
        <v>206.8</v>
      </c>
    </row>
    <row r="795" spans="2:13" s="645" customFormat="1" ht="21.75" customHeight="1">
      <c r="B795" s="661">
        <v>44395</v>
      </c>
      <c r="C795" s="662" t="s">
        <v>837</v>
      </c>
      <c r="D795" s="663" t="s">
        <v>855</v>
      </c>
      <c r="E795" s="664" t="s">
        <v>831</v>
      </c>
      <c r="F795" s="661"/>
      <c r="G795" s="663">
        <v>20</v>
      </c>
      <c r="H795" s="662" t="s">
        <v>807</v>
      </c>
      <c r="I795" s="666" t="s">
        <v>854</v>
      </c>
      <c r="J795" s="667" t="s">
        <v>804</v>
      </c>
      <c r="K795" s="662">
        <v>10</v>
      </c>
      <c r="L795" s="679">
        <f t="shared" si="21"/>
        <v>18.8</v>
      </c>
      <c r="M795" s="668">
        <f t="shared" si="20"/>
        <v>188</v>
      </c>
    </row>
    <row r="796" spans="2:13" s="645" customFormat="1" ht="21.75" customHeight="1">
      <c r="B796" s="661">
        <v>44395</v>
      </c>
      <c r="C796" s="662" t="s">
        <v>819</v>
      </c>
      <c r="D796" s="663" t="s">
        <v>849</v>
      </c>
      <c r="E796" s="664" t="s">
        <v>831</v>
      </c>
      <c r="F796" s="665"/>
      <c r="G796" s="663">
        <v>20</v>
      </c>
      <c r="H796" s="662" t="s">
        <v>807</v>
      </c>
      <c r="I796" s="666" t="s">
        <v>859</v>
      </c>
      <c r="J796" s="667" t="s">
        <v>805</v>
      </c>
      <c r="K796" s="662">
        <v>2</v>
      </c>
      <c r="L796" s="685">
        <f t="shared" si="21"/>
        <v>18.8</v>
      </c>
      <c r="M796" s="686">
        <f t="shared" si="20"/>
        <v>37.6</v>
      </c>
    </row>
    <row r="797" spans="2:13" s="645" customFormat="1" ht="21.75" customHeight="1">
      <c r="B797" s="661">
        <v>44395</v>
      </c>
      <c r="C797" s="662" t="s">
        <v>819</v>
      </c>
      <c r="D797" s="663" t="s">
        <v>849</v>
      </c>
      <c r="E797" s="664" t="s">
        <v>831</v>
      </c>
      <c r="F797" s="665"/>
      <c r="G797" s="663">
        <v>20</v>
      </c>
      <c r="H797" s="662" t="s">
        <v>807</v>
      </c>
      <c r="I797" s="666" t="s">
        <v>857</v>
      </c>
      <c r="J797" s="667" t="s">
        <v>805</v>
      </c>
      <c r="K797" s="662">
        <v>8</v>
      </c>
      <c r="L797" s="685">
        <f t="shared" si="21"/>
        <v>18.8</v>
      </c>
      <c r="M797" s="686">
        <f t="shared" si="20"/>
        <v>150.4</v>
      </c>
    </row>
    <row r="798" spans="2:13" s="645" customFormat="1" ht="21.75" customHeight="1">
      <c r="B798" s="661">
        <v>44395</v>
      </c>
      <c r="C798" s="662" t="s">
        <v>819</v>
      </c>
      <c r="D798" s="663" t="s">
        <v>835</v>
      </c>
      <c r="E798" s="690" t="s">
        <v>831</v>
      </c>
      <c r="F798" s="692"/>
      <c r="G798" s="663">
        <v>20</v>
      </c>
      <c r="H798" s="662" t="s">
        <v>807</v>
      </c>
      <c r="I798" s="666" t="s">
        <v>859</v>
      </c>
      <c r="J798" s="667" t="s">
        <v>805</v>
      </c>
      <c r="K798" s="662">
        <v>3</v>
      </c>
      <c r="L798" s="685">
        <f t="shared" si="21"/>
        <v>18.8</v>
      </c>
      <c r="M798" s="686">
        <f t="shared" si="20"/>
        <v>56.400000000000006</v>
      </c>
    </row>
    <row r="799" spans="2:13" s="645" customFormat="1" ht="21.75" customHeight="1">
      <c r="B799" s="661">
        <v>44395</v>
      </c>
      <c r="C799" s="662" t="s">
        <v>819</v>
      </c>
      <c r="D799" s="663" t="s">
        <v>835</v>
      </c>
      <c r="E799" s="690" t="s">
        <v>831</v>
      </c>
      <c r="F799" s="692"/>
      <c r="G799" s="663">
        <v>20</v>
      </c>
      <c r="H799" s="662" t="s">
        <v>807</v>
      </c>
      <c r="I799" s="666" t="s">
        <v>857</v>
      </c>
      <c r="J799" s="667" t="s">
        <v>805</v>
      </c>
      <c r="K799" s="662">
        <v>8</v>
      </c>
      <c r="L799" s="685">
        <f t="shared" si="21"/>
        <v>18.8</v>
      </c>
      <c r="M799" s="686">
        <f t="shared" si="20"/>
        <v>150.4</v>
      </c>
    </row>
    <row r="800" spans="2:13" s="645" customFormat="1" ht="21.75" customHeight="1">
      <c r="B800" s="661">
        <v>44395</v>
      </c>
      <c r="C800" s="662" t="s">
        <v>819</v>
      </c>
      <c r="D800" s="663" t="s">
        <v>841</v>
      </c>
      <c r="E800" s="690" t="s">
        <v>831</v>
      </c>
      <c r="F800" s="692"/>
      <c r="G800" s="663">
        <v>20</v>
      </c>
      <c r="H800" s="662" t="s">
        <v>807</v>
      </c>
      <c r="I800" s="666" t="s">
        <v>859</v>
      </c>
      <c r="J800" s="667" t="s">
        <v>805</v>
      </c>
      <c r="K800" s="662">
        <v>3</v>
      </c>
      <c r="L800" s="685">
        <f t="shared" si="21"/>
        <v>18.8</v>
      </c>
      <c r="M800" s="686">
        <f t="shared" si="20"/>
        <v>56.400000000000006</v>
      </c>
    </row>
    <row r="801" spans="2:13" s="645" customFormat="1" ht="21.75" customHeight="1">
      <c r="B801" s="661">
        <v>44395</v>
      </c>
      <c r="C801" s="662" t="s">
        <v>819</v>
      </c>
      <c r="D801" s="663" t="s">
        <v>841</v>
      </c>
      <c r="E801" s="690" t="s">
        <v>831</v>
      </c>
      <c r="F801" s="692"/>
      <c r="G801" s="663">
        <v>20</v>
      </c>
      <c r="H801" s="662" t="s">
        <v>807</v>
      </c>
      <c r="I801" s="666" t="s">
        <v>857</v>
      </c>
      <c r="J801" s="667" t="s">
        <v>805</v>
      </c>
      <c r="K801" s="662">
        <v>4</v>
      </c>
      <c r="L801" s="685">
        <f t="shared" si="21"/>
        <v>18.8</v>
      </c>
      <c r="M801" s="686">
        <f t="shared" si="20"/>
        <v>75.2</v>
      </c>
    </row>
    <row r="802" spans="2:13" s="645" customFormat="1" ht="21.75" customHeight="1">
      <c r="B802" s="661">
        <v>44395</v>
      </c>
      <c r="C802" s="662" t="s">
        <v>819</v>
      </c>
      <c r="D802" s="663" t="s">
        <v>834</v>
      </c>
      <c r="E802" s="664" t="s">
        <v>831</v>
      </c>
      <c r="F802" s="665"/>
      <c r="G802" s="663">
        <v>20</v>
      </c>
      <c r="H802" s="662" t="s">
        <v>807</v>
      </c>
      <c r="I802" s="666" t="s">
        <v>859</v>
      </c>
      <c r="J802" s="667" t="s">
        <v>805</v>
      </c>
      <c r="K802" s="662">
        <v>4</v>
      </c>
      <c r="L802" s="685">
        <f t="shared" si="21"/>
        <v>18.8</v>
      </c>
      <c r="M802" s="686">
        <f t="shared" si="20"/>
        <v>75.2</v>
      </c>
    </row>
    <row r="803" spans="2:13" s="645" customFormat="1" ht="21.75" customHeight="1">
      <c r="B803" s="661">
        <v>44395</v>
      </c>
      <c r="C803" s="662" t="s">
        <v>819</v>
      </c>
      <c r="D803" s="663" t="s">
        <v>834</v>
      </c>
      <c r="E803" s="664" t="s">
        <v>831</v>
      </c>
      <c r="F803" s="665"/>
      <c r="G803" s="663">
        <v>20</v>
      </c>
      <c r="H803" s="662" t="s">
        <v>807</v>
      </c>
      <c r="I803" s="666" t="s">
        <v>857</v>
      </c>
      <c r="J803" s="667" t="s">
        <v>805</v>
      </c>
      <c r="K803" s="662">
        <v>8</v>
      </c>
      <c r="L803" s="685">
        <f t="shared" si="21"/>
        <v>18.8</v>
      </c>
      <c r="M803" s="686">
        <f t="shared" si="20"/>
        <v>150.4</v>
      </c>
    </row>
    <row r="804" spans="2:13" s="645" customFormat="1" ht="21.75" customHeight="1">
      <c r="B804" s="661">
        <v>44395</v>
      </c>
      <c r="C804" s="662" t="s">
        <v>819</v>
      </c>
      <c r="D804" s="663" t="s">
        <v>848</v>
      </c>
      <c r="E804" s="664" t="s">
        <v>831</v>
      </c>
      <c r="F804" s="665"/>
      <c r="G804" s="663">
        <v>20</v>
      </c>
      <c r="H804" s="662" t="s">
        <v>807</v>
      </c>
      <c r="I804" s="666" t="s">
        <v>859</v>
      </c>
      <c r="J804" s="667" t="s">
        <v>805</v>
      </c>
      <c r="K804" s="662">
        <v>7</v>
      </c>
      <c r="L804" s="685">
        <f t="shared" si="21"/>
        <v>18.8</v>
      </c>
      <c r="M804" s="686">
        <f t="shared" si="20"/>
        <v>131.6</v>
      </c>
    </row>
    <row r="805" spans="2:13" s="645" customFormat="1" ht="21.75" customHeight="1">
      <c r="B805" s="661">
        <v>44395</v>
      </c>
      <c r="C805" s="662" t="s">
        <v>819</v>
      </c>
      <c r="D805" s="663" t="s">
        <v>848</v>
      </c>
      <c r="E805" s="664" t="s">
        <v>831</v>
      </c>
      <c r="F805" s="665"/>
      <c r="G805" s="663">
        <v>20</v>
      </c>
      <c r="H805" s="662" t="s">
        <v>807</v>
      </c>
      <c r="I805" s="666" t="s">
        <v>857</v>
      </c>
      <c r="J805" s="667" t="s">
        <v>805</v>
      </c>
      <c r="K805" s="662">
        <v>4</v>
      </c>
      <c r="L805" s="685">
        <f t="shared" si="21"/>
        <v>18.8</v>
      </c>
      <c r="M805" s="686">
        <f t="shared" si="20"/>
        <v>75.2</v>
      </c>
    </row>
    <row r="806" spans="2:13" s="645" customFormat="1" ht="21.75" customHeight="1">
      <c r="B806" s="661">
        <v>44395</v>
      </c>
      <c r="C806" s="662" t="s">
        <v>819</v>
      </c>
      <c r="D806" s="663" t="s">
        <v>836</v>
      </c>
      <c r="E806" s="664" t="s">
        <v>831</v>
      </c>
      <c r="F806" s="665"/>
      <c r="G806" s="663">
        <v>20</v>
      </c>
      <c r="H806" s="662" t="s">
        <v>807</v>
      </c>
      <c r="I806" s="666" t="s">
        <v>859</v>
      </c>
      <c r="J806" s="667" t="s">
        <v>805</v>
      </c>
      <c r="K806" s="662">
        <v>12</v>
      </c>
      <c r="L806" s="685">
        <f t="shared" si="21"/>
        <v>18.8</v>
      </c>
      <c r="M806" s="686">
        <f t="shared" si="20"/>
        <v>225.60000000000002</v>
      </c>
    </row>
    <row r="807" spans="2:13" s="645" customFormat="1" ht="21.75" customHeight="1">
      <c r="B807" s="661">
        <v>44395</v>
      </c>
      <c r="C807" s="662" t="s">
        <v>819</v>
      </c>
      <c r="D807" s="663" t="s">
        <v>830</v>
      </c>
      <c r="E807" s="664" t="s">
        <v>831</v>
      </c>
      <c r="F807" s="665"/>
      <c r="G807" s="663">
        <v>15</v>
      </c>
      <c r="H807" s="662" t="s">
        <v>807</v>
      </c>
      <c r="I807" s="666" t="s">
        <v>857</v>
      </c>
      <c r="J807" s="667" t="s">
        <v>805</v>
      </c>
      <c r="K807" s="662">
        <v>10</v>
      </c>
      <c r="L807" s="685">
        <f t="shared" si="21"/>
        <v>14.1</v>
      </c>
      <c r="M807" s="686">
        <f t="shared" ref="M807:M870" si="22">L807*K807</f>
        <v>141</v>
      </c>
    </row>
    <row r="808" spans="2:13" s="645" customFormat="1" ht="21.75" customHeight="1">
      <c r="B808" s="661">
        <v>44395</v>
      </c>
      <c r="C808" s="662" t="s">
        <v>819</v>
      </c>
      <c r="D808" s="663" t="s">
        <v>844</v>
      </c>
      <c r="E808" s="664" t="s">
        <v>831</v>
      </c>
      <c r="F808" s="665"/>
      <c r="G808" s="663">
        <v>15</v>
      </c>
      <c r="H808" s="662" t="s">
        <v>807</v>
      </c>
      <c r="I808" s="666" t="s">
        <v>859</v>
      </c>
      <c r="J808" s="667" t="s">
        <v>805</v>
      </c>
      <c r="K808" s="662">
        <v>4</v>
      </c>
      <c r="L808" s="685">
        <f t="shared" si="21"/>
        <v>14.1</v>
      </c>
      <c r="M808" s="686">
        <f t="shared" si="22"/>
        <v>56.4</v>
      </c>
    </row>
    <row r="809" spans="2:13" s="645" customFormat="1" ht="21.75" customHeight="1">
      <c r="B809" s="661">
        <v>44395</v>
      </c>
      <c r="C809" s="662" t="s">
        <v>819</v>
      </c>
      <c r="D809" s="663" t="s">
        <v>839</v>
      </c>
      <c r="E809" s="664" t="s">
        <v>831</v>
      </c>
      <c r="F809" s="665"/>
      <c r="G809" s="663">
        <v>15</v>
      </c>
      <c r="H809" s="662" t="s">
        <v>807</v>
      </c>
      <c r="I809" s="666" t="s">
        <v>857</v>
      </c>
      <c r="J809" s="667" t="s">
        <v>805</v>
      </c>
      <c r="K809" s="662">
        <v>3</v>
      </c>
      <c r="L809" s="685">
        <f t="shared" si="21"/>
        <v>14.1</v>
      </c>
      <c r="M809" s="686">
        <f t="shared" si="22"/>
        <v>42.3</v>
      </c>
    </row>
    <row r="810" spans="2:13" s="645" customFormat="1" ht="21.75" customHeight="1">
      <c r="B810" s="661">
        <v>44395</v>
      </c>
      <c r="C810" s="662" t="s">
        <v>819</v>
      </c>
      <c r="D810" s="663" t="s">
        <v>845</v>
      </c>
      <c r="E810" s="664" t="s">
        <v>831</v>
      </c>
      <c r="F810" s="665"/>
      <c r="G810" s="663">
        <v>17</v>
      </c>
      <c r="H810" s="662" t="s">
        <v>807</v>
      </c>
      <c r="I810" s="666" t="s">
        <v>859</v>
      </c>
      <c r="J810" s="667" t="s">
        <v>805</v>
      </c>
      <c r="K810" s="662">
        <v>5</v>
      </c>
      <c r="L810" s="685">
        <f t="shared" si="21"/>
        <v>15.98</v>
      </c>
      <c r="M810" s="686">
        <f t="shared" si="22"/>
        <v>79.900000000000006</v>
      </c>
    </row>
    <row r="811" spans="2:13" s="645" customFormat="1" ht="21.75" customHeight="1">
      <c r="B811" s="661">
        <v>44395</v>
      </c>
      <c r="C811" s="662" t="s">
        <v>819</v>
      </c>
      <c r="D811" s="663" t="s">
        <v>845</v>
      </c>
      <c r="E811" s="664" t="s">
        <v>831</v>
      </c>
      <c r="F811" s="665"/>
      <c r="G811" s="663">
        <v>17</v>
      </c>
      <c r="H811" s="662" t="s">
        <v>807</v>
      </c>
      <c r="I811" s="666" t="s">
        <v>857</v>
      </c>
      <c r="J811" s="667" t="s">
        <v>805</v>
      </c>
      <c r="K811" s="662">
        <v>5</v>
      </c>
      <c r="L811" s="685">
        <f t="shared" si="21"/>
        <v>15.98</v>
      </c>
      <c r="M811" s="686">
        <f t="shared" si="22"/>
        <v>79.900000000000006</v>
      </c>
    </row>
    <row r="812" spans="2:13" s="645" customFormat="1" ht="21.75" customHeight="1">
      <c r="B812" s="661">
        <v>44395</v>
      </c>
      <c r="C812" s="662" t="s">
        <v>819</v>
      </c>
      <c r="D812" s="663" t="s">
        <v>856</v>
      </c>
      <c r="E812" s="664" t="s">
        <v>831</v>
      </c>
      <c r="F812" s="665"/>
      <c r="G812" s="663">
        <v>20</v>
      </c>
      <c r="H812" s="662" t="s">
        <v>807</v>
      </c>
      <c r="I812" s="666" t="s">
        <v>859</v>
      </c>
      <c r="J812" s="667" t="s">
        <v>805</v>
      </c>
      <c r="K812" s="662">
        <v>5</v>
      </c>
      <c r="L812" s="685">
        <f t="shared" si="21"/>
        <v>18.8</v>
      </c>
      <c r="M812" s="686">
        <f t="shared" si="22"/>
        <v>94</v>
      </c>
    </row>
    <row r="813" spans="2:13" s="645" customFormat="1" ht="21.75" customHeight="1">
      <c r="B813" s="661">
        <v>44395</v>
      </c>
      <c r="C813" s="662" t="s">
        <v>819</v>
      </c>
      <c r="D813" s="663" t="s">
        <v>856</v>
      </c>
      <c r="E813" s="664" t="s">
        <v>831</v>
      </c>
      <c r="F813" s="665"/>
      <c r="G813" s="663">
        <v>20</v>
      </c>
      <c r="H813" s="662" t="s">
        <v>807</v>
      </c>
      <c r="I813" s="666" t="s">
        <v>857</v>
      </c>
      <c r="J813" s="667" t="s">
        <v>805</v>
      </c>
      <c r="K813" s="662">
        <v>3</v>
      </c>
      <c r="L813" s="685">
        <f t="shared" si="21"/>
        <v>18.8</v>
      </c>
      <c r="M813" s="686">
        <f t="shared" si="22"/>
        <v>56.400000000000006</v>
      </c>
    </row>
    <row r="814" spans="2:13" s="645" customFormat="1" ht="21.75" customHeight="1">
      <c r="B814" s="661">
        <v>44395</v>
      </c>
      <c r="C814" s="662" t="s">
        <v>819</v>
      </c>
      <c r="D814" s="663" t="s">
        <v>855</v>
      </c>
      <c r="E814" s="664" t="s">
        <v>831</v>
      </c>
      <c r="F814" s="665"/>
      <c r="G814" s="663">
        <v>20</v>
      </c>
      <c r="H814" s="662" t="s">
        <v>807</v>
      </c>
      <c r="I814" s="666" t="s">
        <v>857</v>
      </c>
      <c r="J814" s="667" t="s">
        <v>805</v>
      </c>
      <c r="K814" s="662">
        <v>12</v>
      </c>
      <c r="L814" s="685">
        <f t="shared" si="21"/>
        <v>18.8</v>
      </c>
      <c r="M814" s="686">
        <f t="shared" si="22"/>
        <v>225.60000000000002</v>
      </c>
    </row>
    <row r="815" spans="2:13" s="645" customFormat="1" ht="21.75" customHeight="1">
      <c r="B815" s="670">
        <v>44396</v>
      </c>
      <c r="C815" s="671" t="s">
        <v>837</v>
      </c>
      <c r="D815" s="672" t="s">
        <v>835</v>
      </c>
      <c r="E815" s="673" t="s">
        <v>831</v>
      </c>
      <c r="F815" s="670"/>
      <c r="G815" s="672">
        <v>20</v>
      </c>
      <c r="H815" s="671" t="s">
        <v>807</v>
      </c>
      <c r="I815" s="675" t="s">
        <v>854</v>
      </c>
      <c r="J815" s="667" t="s">
        <v>804</v>
      </c>
      <c r="K815" s="671">
        <v>12</v>
      </c>
      <c r="L815" s="676">
        <f t="shared" si="21"/>
        <v>18.8</v>
      </c>
      <c r="M815" s="676">
        <f t="shared" si="22"/>
        <v>225.60000000000002</v>
      </c>
    </row>
    <row r="816" spans="2:13" s="645" customFormat="1" ht="21.75" customHeight="1">
      <c r="B816" s="670">
        <v>44396</v>
      </c>
      <c r="C816" s="671" t="s">
        <v>837</v>
      </c>
      <c r="D816" s="672" t="s">
        <v>841</v>
      </c>
      <c r="E816" s="673" t="s">
        <v>831</v>
      </c>
      <c r="F816" s="670"/>
      <c r="G816" s="672">
        <v>20</v>
      </c>
      <c r="H816" s="671" t="s">
        <v>807</v>
      </c>
      <c r="I816" s="675" t="s">
        <v>854</v>
      </c>
      <c r="J816" s="667" t="s">
        <v>804</v>
      </c>
      <c r="K816" s="671">
        <v>11</v>
      </c>
      <c r="L816" s="676">
        <f t="shared" si="21"/>
        <v>18.8</v>
      </c>
      <c r="M816" s="676">
        <f t="shared" si="22"/>
        <v>206.8</v>
      </c>
    </row>
    <row r="817" spans="2:13" s="645" customFormat="1" ht="21.75" customHeight="1">
      <c r="B817" s="670">
        <v>44396</v>
      </c>
      <c r="C817" s="671" t="s">
        <v>837</v>
      </c>
      <c r="D817" s="672" t="s">
        <v>834</v>
      </c>
      <c r="E817" s="673" t="s">
        <v>831</v>
      </c>
      <c r="F817" s="670"/>
      <c r="G817" s="672">
        <v>20</v>
      </c>
      <c r="H817" s="671" t="s">
        <v>807</v>
      </c>
      <c r="I817" s="675" t="s">
        <v>854</v>
      </c>
      <c r="J817" s="667" t="s">
        <v>804</v>
      </c>
      <c r="K817" s="671">
        <v>12</v>
      </c>
      <c r="L817" s="676">
        <f t="shared" si="21"/>
        <v>18.8</v>
      </c>
      <c r="M817" s="676">
        <f t="shared" si="22"/>
        <v>225.60000000000002</v>
      </c>
    </row>
    <row r="818" spans="2:13" s="645" customFormat="1" ht="21.75" customHeight="1">
      <c r="B818" s="670">
        <v>44396</v>
      </c>
      <c r="C818" s="671" t="s">
        <v>837</v>
      </c>
      <c r="D818" s="672" t="s">
        <v>848</v>
      </c>
      <c r="E818" s="673" t="s">
        <v>831</v>
      </c>
      <c r="F818" s="670"/>
      <c r="G818" s="672">
        <v>20</v>
      </c>
      <c r="H818" s="671" t="s">
        <v>807</v>
      </c>
      <c r="I818" s="675" t="s">
        <v>854</v>
      </c>
      <c r="J818" s="667" t="s">
        <v>804</v>
      </c>
      <c r="K818" s="671">
        <v>12</v>
      </c>
      <c r="L818" s="676">
        <f t="shared" si="21"/>
        <v>18.8</v>
      </c>
      <c r="M818" s="676">
        <f t="shared" si="22"/>
        <v>225.60000000000002</v>
      </c>
    </row>
    <row r="819" spans="2:13" s="645" customFormat="1" ht="21.75" customHeight="1">
      <c r="B819" s="670">
        <v>44396</v>
      </c>
      <c r="C819" s="671" t="s">
        <v>837</v>
      </c>
      <c r="D819" s="672" t="s">
        <v>845</v>
      </c>
      <c r="E819" s="673" t="s">
        <v>831</v>
      </c>
      <c r="F819" s="670"/>
      <c r="G819" s="672">
        <v>17</v>
      </c>
      <c r="H819" s="671" t="s">
        <v>807</v>
      </c>
      <c r="I819" s="675" t="s">
        <v>854</v>
      </c>
      <c r="J819" s="667" t="s">
        <v>804</v>
      </c>
      <c r="K819" s="671">
        <v>12</v>
      </c>
      <c r="L819" s="676">
        <f t="shared" si="21"/>
        <v>15.98</v>
      </c>
      <c r="M819" s="676">
        <f t="shared" si="22"/>
        <v>191.76</v>
      </c>
    </row>
    <row r="820" spans="2:13" s="645" customFormat="1" ht="21.75" customHeight="1">
      <c r="B820" s="670">
        <v>44396</v>
      </c>
      <c r="C820" s="671" t="s">
        <v>837</v>
      </c>
      <c r="D820" s="672" t="s">
        <v>856</v>
      </c>
      <c r="E820" s="673" t="s">
        <v>831</v>
      </c>
      <c r="F820" s="670"/>
      <c r="G820" s="672">
        <v>20</v>
      </c>
      <c r="H820" s="671" t="s">
        <v>807</v>
      </c>
      <c r="I820" s="675" t="s">
        <v>854</v>
      </c>
      <c r="J820" s="667" t="s">
        <v>804</v>
      </c>
      <c r="K820" s="671">
        <v>12</v>
      </c>
      <c r="L820" s="676">
        <f t="shared" si="21"/>
        <v>18.8</v>
      </c>
      <c r="M820" s="676">
        <f t="shared" si="22"/>
        <v>225.60000000000002</v>
      </c>
    </row>
    <row r="821" spans="2:13" s="645" customFormat="1" ht="21.75" customHeight="1">
      <c r="B821" s="670">
        <v>44396</v>
      </c>
      <c r="C821" s="671" t="s">
        <v>837</v>
      </c>
      <c r="D821" s="672" t="s">
        <v>855</v>
      </c>
      <c r="E821" s="673" t="s">
        <v>831</v>
      </c>
      <c r="F821" s="670"/>
      <c r="G821" s="672">
        <v>20</v>
      </c>
      <c r="H821" s="671" t="s">
        <v>807</v>
      </c>
      <c r="I821" s="675" t="s">
        <v>854</v>
      </c>
      <c r="J821" s="667" t="s">
        <v>804</v>
      </c>
      <c r="K821" s="671">
        <v>12</v>
      </c>
      <c r="L821" s="676">
        <f t="shared" si="21"/>
        <v>18.8</v>
      </c>
      <c r="M821" s="676">
        <f t="shared" si="22"/>
        <v>225.60000000000002</v>
      </c>
    </row>
    <row r="822" spans="2:13" s="645" customFormat="1" ht="21.75" customHeight="1">
      <c r="B822" s="661">
        <v>44396</v>
      </c>
      <c r="C822" s="662" t="s">
        <v>819</v>
      </c>
      <c r="D822" s="663" t="s">
        <v>835</v>
      </c>
      <c r="E822" s="664" t="s">
        <v>831</v>
      </c>
      <c r="F822" s="665"/>
      <c r="G822" s="663">
        <v>20</v>
      </c>
      <c r="H822" s="662" t="s">
        <v>807</v>
      </c>
      <c r="I822" s="666" t="s">
        <v>857</v>
      </c>
      <c r="J822" s="667" t="s">
        <v>805</v>
      </c>
      <c r="K822" s="662">
        <v>10</v>
      </c>
      <c r="L822" s="685">
        <f t="shared" si="21"/>
        <v>18.8</v>
      </c>
      <c r="M822" s="686">
        <f t="shared" si="22"/>
        <v>188</v>
      </c>
    </row>
    <row r="823" spans="2:13" s="645" customFormat="1" ht="21.75" customHeight="1">
      <c r="B823" s="661">
        <v>44396</v>
      </c>
      <c r="C823" s="662" t="s">
        <v>819</v>
      </c>
      <c r="D823" s="663" t="s">
        <v>841</v>
      </c>
      <c r="E823" s="664" t="s">
        <v>831</v>
      </c>
      <c r="F823" s="665"/>
      <c r="G823" s="663">
        <v>20</v>
      </c>
      <c r="H823" s="662" t="s">
        <v>807</v>
      </c>
      <c r="I823" s="666" t="s">
        <v>857</v>
      </c>
      <c r="J823" s="667" t="s">
        <v>805</v>
      </c>
      <c r="K823" s="662">
        <v>11</v>
      </c>
      <c r="L823" s="685">
        <f t="shared" si="21"/>
        <v>18.8</v>
      </c>
      <c r="M823" s="686">
        <f t="shared" si="22"/>
        <v>206.8</v>
      </c>
    </row>
    <row r="824" spans="2:13" s="645" customFormat="1" ht="21.75" customHeight="1">
      <c r="B824" s="661">
        <v>44396</v>
      </c>
      <c r="C824" s="662" t="s">
        <v>819</v>
      </c>
      <c r="D824" s="663" t="s">
        <v>834</v>
      </c>
      <c r="E824" s="664" t="s">
        <v>831</v>
      </c>
      <c r="F824" s="665"/>
      <c r="G824" s="663">
        <v>20</v>
      </c>
      <c r="H824" s="662" t="s">
        <v>807</v>
      </c>
      <c r="I824" s="666" t="s">
        <v>857</v>
      </c>
      <c r="J824" s="667" t="s">
        <v>805</v>
      </c>
      <c r="K824" s="662">
        <v>11</v>
      </c>
      <c r="L824" s="685">
        <f t="shared" si="21"/>
        <v>18.8</v>
      </c>
      <c r="M824" s="686">
        <f t="shared" si="22"/>
        <v>206.8</v>
      </c>
    </row>
    <row r="825" spans="2:13" s="645" customFormat="1" ht="21.75" customHeight="1">
      <c r="B825" s="661">
        <v>44396</v>
      </c>
      <c r="C825" s="662" t="s">
        <v>819</v>
      </c>
      <c r="D825" s="663" t="s">
        <v>848</v>
      </c>
      <c r="E825" s="664" t="s">
        <v>831</v>
      </c>
      <c r="F825" s="665"/>
      <c r="G825" s="663">
        <v>20</v>
      </c>
      <c r="H825" s="662" t="s">
        <v>807</v>
      </c>
      <c r="I825" s="666" t="s">
        <v>857</v>
      </c>
      <c r="J825" s="667" t="s">
        <v>805</v>
      </c>
      <c r="K825" s="662">
        <v>8</v>
      </c>
      <c r="L825" s="685">
        <f t="shared" si="21"/>
        <v>18.8</v>
      </c>
      <c r="M825" s="686">
        <f t="shared" si="22"/>
        <v>150.4</v>
      </c>
    </row>
    <row r="826" spans="2:13" s="645" customFormat="1" ht="21.75" customHeight="1">
      <c r="B826" s="661">
        <v>44396</v>
      </c>
      <c r="C826" s="662" t="s">
        <v>819</v>
      </c>
      <c r="D826" s="663" t="s">
        <v>836</v>
      </c>
      <c r="E826" s="664" t="s">
        <v>831</v>
      </c>
      <c r="F826" s="665"/>
      <c r="G826" s="663">
        <v>20</v>
      </c>
      <c r="H826" s="662" t="s">
        <v>807</v>
      </c>
      <c r="I826" s="666" t="s">
        <v>857</v>
      </c>
      <c r="J826" s="667" t="s">
        <v>805</v>
      </c>
      <c r="K826" s="662">
        <v>12</v>
      </c>
      <c r="L826" s="685">
        <f t="shared" si="21"/>
        <v>18.8</v>
      </c>
      <c r="M826" s="686">
        <f t="shared" si="22"/>
        <v>225.60000000000002</v>
      </c>
    </row>
    <row r="827" spans="2:13" s="645" customFormat="1" ht="21.75" customHeight="1">
      <c r="B827" s="661">
        <v>44396</v>
      </c>
      <c r="C827" s="662" t="s">
        <v>819</v>
      </c>
      <c r="D827" s="663" t="s">
        <v>839</v>
      </c>
      <c r="E827" s="664" t="s">
        <v>831</v>
      </c>
      <c r="F827" s="665"/>
      <c r="G827" s="663">
        <v>15</v>
      </c>
      <c r="H827" s="662" t="s">
        <v>807</v>
      </c>
      <c r="I827" s="666" t="s">
        <v>857</v>
      </c>
      <c r="J827" s="667" t="s">
        <v>805</v>
      </c>
      <c r="K827" s="662">
        <v>11</v>
      </c>
      <c r="L827" s="685">
        <f t="shared" si="21"/>
        <v>14.1</v>
      </c>
      <c r="M827" s="686">
        <f t="shared" si="22"/>
        <v>155.1</v>
      </c>
    </row>
    <row r="828" spans="2:13" s="645" customFormat="1" ht="21.75" customHeight="1">
      <c r="B828" s="661">
        <v>44396</v>
      </c>
      <c r="C828" s="662" t="s">
        <v>819</v>
      </c>
      <c r="D828" s="663" t="s">
        <v>833</v>
      </c>
      <c r="E828" s="664" t="s">
        <v>831</v>
      </c>
      <c r="F828" s="665"/>
      <c r="G828" s="663">
        <v>15</v>
      </c>
      <c r="H828" s="662" t="s">
        <v>807</v>
      </c>
      <c r="I828" s="666" t="s">
        <v>857</v>
      </c>
      <c r="J828" s="667" t="s">
        <v>805</v>
      </c>
      <c r="K828" s="662">
        <v>10</v>
      </c>
      <c r="L828" s="685">
        <f t="shared" si="21"/>
        <v>14.1</v>
      </c>
      <c r="M828" s="686">
        <f t="shared" si="22"/>
        <v>141</v>
      </c>
    </row>
    <row r="829" spans="2:13" s="645" customFormat="1" ht="21.75" customHeight="1">
      <c r="B829" s="661">
        <v>44396</v>
      </c>
      <c r="C829" s="662" t="s">
        <v>819</v>
      </c>
      <c r="D829" s="663" t="s">
        <v>845</v>
      </c>
      <c r="E829" s="664" t="s">
        <v>831</v>
      </c>
      <c r="F829" s="665"/>
      <c r="G829" s="663">
        <v>17</v>
      </c>
      <c r="H829" s="662" t="s">
        <v>807</v>
      </c>
      <c r="I829" s="666" t="s">
        <v>857</v>
      </c>
      <c r="J829" s="667" t="s">
        <v>805</v>
      </c>
      <c r="K829" s="662">
        <v>12</v>
      </c>
      <c r="L829" s="685">
        <f t="shared" si="21"/>
        <v>15.98</v>
      </c>
      <c r="M829" s="686">
        <f t="shared" si="22"/>
        <v>191.76</v>
      </c>
    </row>
    <row r="830" spans="2:13" s="645" customFormat="1" ht="21.75" customHeight="1">
      <c r="B830" s="661">
        <v>44396</v>
      </c>
      <c r="C830" s="662" t="s">
        <v>819</v>
      </c>
      <c r="D830" s="663" t="s">
        <v>847</v>
      </c>
      <c r="E830" s="664" t="s">
        <v>831</v>
      </c>
      <c r="F830" s="665"/>
      <c r="G830" s="663">
        <v>17</v>
      </c>
      <c r="H830" s="662" t="s">
        <v>807</v>
      </c>
      <c r="I830" s="666" t="s">
        <v>857</v>
      </c>
      <c r="J830" s="667" t="s">
        <v>805</v>
      </c>
      <c r="K830" s="662">
        <v>10</v>
      </c>
      <c r="L830" s="685">
        <f t="shared" si="21"/>
        <v>15.98</v>
      </c>
      <c r="M830" s="686">
        <f t="shared" si="22"/>
        <v>159.80000000000001</v>
      </c>
    </row>
    <row r="831" spans="2:13" s="645" customFormat="1" ht="21.75" customHeight="1">
      <c r="B831" s="661">
        <v>44396</v>
      </c>
      <c r="C831" s="662" t="s">
        <v>819</v>
      </c>
      <c r="D831" s="663" t="s">
        <v>856</v>
      </c>
      <c r="E831" s="664" t="s">
        <v>831</v>
      </c>
      <c r="F831" s="665"/>
      <c r="G831" s="663">
        <v>20</v>
      </c>
      <c r="H831" s="662" t="s">
        <v>807</v>
      </c>
      <c r="I831" s="666" t="s">
        <v>857</v>
      </c>
      <c r="J831" s="667" t="s">
        <v>805</v>
      </c>
      <c r="K831" s="662">
        <v>5</v>
      </c>
      <c r="L831" s="685">
        <f t="shared" si="21"/>
        <v>18.8</v>
      </c>
      <c r="M831" s="686">
        <f t="shared" si="22"/>
        <v>94</v>
      </c>
    </row>
    <row r="832" spans="2:13" s="645" customFormat="1" ht="21.75" customHeight="1">
      <c r="B832" s="661">
        <v>44396</v>
      </c>
      <c r="C832" s="662" t="s">
        <v>819</v>
      </c>
      <c r="D832" s="663" t="s">
        <v>855</v>
      </c>
      <c r="E832" s="664" t="s">
        <v>831</v>
      </c>
      <c r="F832" s="665"/>
      <c r="G832" s="663">
        <v>20</v>
      </c>
      <c r="H832" s="662" t="s">
        <v>807</v>
      </c>
      <c r="I832" s="666" t="s">
        <v>857</v>
      </c>
      <c r="J832" s="667" t="s">
        <v>805</v>
      </c>
      <c r="K832" s="662">
        <v>11</v>
      </c>
      <c r="L832" s="685">
        <f t="shared" si="21"/>
        <v>18.8</v>
      </c>
      <c r="M832" s="686">
        <f t="shared" si="22"/>
        <v>206.8</v>
      </c>
    </row>
    <row r="833" spans="2:13" s="645" customFormat="1" ht="21.75" customHeight="1">
      <c r="B833" s="661">
        <v>44397</v>
      </c>
      <c r="C833" s="662" t="s">
        <v>837</v>
      </c>
      <c r="D833" s="663" t="s">
        <v>835</v>
      </c>
      <c r="E833" s="664" t="s">
        <v>831</v>
      </c>
      <c r="F833" s="661"/>
      <c r="G833" s="663">
        <v>20</v>
      </c>
      <c r="H833" s="662" t="s">
        <v>807</v>
      </c>
      <c r="I833" s="666" t="s">
        <v>854</v>
      </c>
      <c r="J833" s="667" t="s">
        <v>804</v>
      </c>
      <c r="K833" s="662">
        <v>7</v>
      </c>
      <c r="L833" s="679">
        <f t="shared" si="21"/>
        <v>18.8</v>
      </c>
      <c r="M833" s="668">
        <f t="shared" si="22"/>
        <v>131.6</v>
      </c>
    </row>
    <row r="834" spans="2:13" s="645" customFormat="1" ht="21.75" customHeight="1">
      <c r="B834" s="661">
        <v>44397</v>
      </c>
      <c r="C834" s="662" t="s">
        <v>837</v>
      </c>
      <c r="D834" s="663" t="s">
        <v>835</v>
      </c>
      <c r="E834" s="664" t="s">
        <v>831</v>
      </c>
      <c r="F834" s="661"/>
      <c r="G834" s="663">
        <v>20</v>
      </c>
      <c r="H834" s="662" t="s">
        <v>807</v>
      </c>
      <c r="I834" s="666" t="s">
        <v>854</v>
      </c>
      <c r="J834" s="667" t="s">
        <v>804</v>
      </c>
      <c r="K834" s="662">
        <v>3</v>
      </c>
      <c r="L834" s="679">
        <f t="shared" si="21"/>
        <v>18.8</v>
      </c>
      <c r="M834" s="668">
        <f t="shared" si="22"/>
        <v>56.400000000000006</v>
      </c>
    </row>
    <row r="835" spans="2:13" s="645" customFormat="1" ht="21.75" customHeight="1">
      <c r="B835" s="661">
        <v>44397</v>
      </c>
      <c r="C835" s="662" t="s">
        <v>837</v>
      </c>
      <c r="D835" s="663" t="s">
        <v>841</v>
      </c>
      <c r="E835" s="664" t="s">
        <v>831</v>
      </c>
      <c r="F835" s="661"/>
      <c r="G835" s="663">
        <v>20</v>
      </c>
      <c r="H835" s="662" t="s">
        <v>807</v>
      </c>
      <c r="I835" s="666" t="s">
        <v>854</v>
      </c>
      <c r="J835" s="667" t="s">
        <v>804</v>
      </c>
      <c r="K835" s="662">
        <v>7</v>
      </c>
      <c r="L835" s="679">
        <f t="shared" si="21"/>
        <v>18.8</v>
      </c>
      <c r="M835" s="668">
        <f t="shared" si="22"/>
        <v>131.6</v>
      </c>
    </row>
    <row r="836" spans="2:13" s="645" customFormat="1" ht="21.75" customHeight="1">
      <c r="B836" s="661">
        <v>44397</v>
      </c>
      <c r="C836" s="662" t="s">
        <v>837</v>
      </c>
      <c r="D836" s="663" t="s">
        <v>841</v>
      </c>
      <c r="E836" s="664" t="s">
        <v>831</v>
      </c>
      <c r="F836" s="661"/>
      <c r="G836" s="663">
        <v>20</v>
      </c>
      <c r="H836" s="662" t="s">
        <v>807</v>
      </c>
      <c r="I836" s="666" t="s">
        <v>854</v>
      </c>
      <c r="J836" s="667" t="s">
        <v>804</v>
      </c>
      <c r="K836" s="662">
        <v>3</v>
      </c>
      <c r="L836" s="679">
        <f t="shared" si="21"/>
        <v>18.8</v>
      </c>
      <c r="M836" s="668">
        <f t="shared" si="22"/>
        <v>56.400000000000006</v>
      </c>
    </row>
    <row r="837" spans="2:13" s="645" customFormat="1" ht="21.75" customHeight="1">
      <c r="B837" s="661">
        <v>44397</v>
      </c>
      <c r="C837" s="662" t="s">
        <v>837</v>
      </c>
      <c r="D837" s="663" t="s">
        <v>834</v>
      </c>
      <c r="E837" s="664" t="s">
        <v>831</v>
      </c>
      <c r="F837" s="661"/>
      <c r="G837" s="663">
        <v>20</v>
      </c>
      <c r="H837" s="662" t="s">
        <v>807</v>
      </c>
      <c r="I837" s="666" t="s">
        <v>854</v>
      </c>
      <c r="J837" s="667" t="s">
        <v>804</v>
      </c>
      <c r="K837" s="662">
        <v>7</v>
      </c>
      <c r="L837" s="679">
        <f t="shared" si="21"/>
        <v>18.8</v>
      </c>
      <c r="M837" s="668">
        <f t="shared" si="22"/>
        <v>131.6</v>
      </c>
    </row>
    <row r="838" spans="2:13" s="645" customFormat="1" ht="21.75" customHeight="1">
      <c r="B838" s="661">
        <v>44397</v>
      </c>
      <c r="C838" s="662" t="s">
        <v>837</v>
      </c>
      <c r="D838" s="663" t="s">
        <v>834</v>
      </c>
      <c r="E838" s="664" t="s">
        <v>831</v>
      </c>
      <c r="F838" s="661"/>
      <c r="G838" s="663">
        <v>20</v>
      </c>
      <c r="H838" s="662" t="s">
        <v>807</v>
      </c>
      <c r="I838" s="666" t="s">
        <v>854</v>
      </c>
      <c r="J838" s="667" t="s">
        <v>804</v>
      </c>
      <c r="K838" s="662">
        <v>4</v>
      </c>
      <c r="L838" s="679">
        <f t="shared" si="21"/>
        <v>18.8</v>
      </c>
      <c r="M838" s="668">
        <f t="shared" si="22"/>
        <v>75.2</v>
      </c>
    </row>
    <row r="839" spans="2:13" s="645" customFormat="1" ht="21.75" customHeight="1">
      <c r="B839" s="661">
        <v>44397</v>
      </c>
      <c r="C839" s="662" t="s">
        <v>837</v>
      </c>
      <c r="D839" s="663" t="s">
        <v>848</v>
      </c>
      <c r="E839" s="664" t="s">
        <v>831</v>
      </c>
      <c r="F839" s="661"/>
      <c r="G839" s="663">
        <v>20</v>
      </c>
      <c r="H839" s="662" t="s">
        <v>807</v>
      </c>
      <c r="I839" s="666" t="s">
        <v>854</v>
      </c>
      <c r="J839" s="667" t="s">
        <v>804</v>
      </c>
      <c r="K839" s="662">
        <v>7</v>
      </c>
      <c r="L839" s="679">
        <f t="shared" si="21"/>
        <v>18.8</v>
      </c>
      <c r="M839" s="668">
        <f t="shared" si="22"/>
        <v>131.6</v>
      </c>
    </row>
    <row r="840" spans="2:13" s="645" customFormat="1" ht="21.75" customHeight="1">
      <c r="B840" s="661">
        <v>44397</v>
      </c>
      <c r="C840" s="662" t="s">
        <v>837</v>
      </c>
      <c r="D840" s="663" t="s">
        <v>848</v>
      </c>
      <c r="E840" s="664" t="s">
        <v>831</v>
      </c>
      <c r="F840" s="661"/>
      <c r="G840" s="663">
        <v>20</v>
      </c>
      <c r="H840" s="662" t="s">
        <v>807</v>
      </c>
      <c r="I840" s="666" t="s">
        <v>854</v>
      </c>
      <c r="J840" s="667" t="s">
        <v>804</v>
      </c>
      <c r="K840" s="662">
        <v>2</v>
      </c>
      <c r="L840" s="679">
        <f t="shared" si="21"/>
        <v>18.8</v>
      </c>
      <c r="M840" s="668">
        <f t="shared" si="22"/>
        <v>37.6</v>
      </c>
    </row>
    <row r="841" spans="2:13" s="645" customFormat="1" ht="21.75" customHeight="1">
      <c r="B841" s="661">
        <v>44397</v>
      </c>
      <c r="C841" s="662" t="s">
        <v>837</v>
      </c>
      <c r="D841" s="663" t="s">
        <v>845</v>
      </c>
      <c r="E841" s="664" t="s">
        <v>831</v>
      </c>
      <c r="F841" s="661"/>
      <c r="G841" s="663">
        <v>17</v>
      </c>
      <c r="H841" s="662" t="s">
        <v>807</v>
      </c>
      <c r="I841" s="666" t="s">
        <v>854</v>
      </c>
      <c r="J841" s="667" t="s">
        <v>804</v>
      </c>
      <c r="K841" s="662">
        <v>7</v>
      </c>
      <c r="L841" s="679">
        <f t="shared" ref="L841:L904" si="23">VLOOKUP(G841,$Q$4:$V$7,6,FALSE)</f>
        <v>15.98</v>
      </c>
      <c r="M841" s="668">
        <f t="shared" si="22"/>
        <v>111.86</v>
      </c>
    </row>
    <row r="842" spans="2:13" s="645" customFormat="1" ht="21.75" customHeight="1">
      <c r="B842" s="661">
        <v>44397</v>
      </c>
      <c r="C842" s="662" t="s">
        <v>837</v>
      </c>
      <c r="D842" s="663" t="s">
        <v>845</v>
      </c>
      <c r="E842" s="664" t="s">
        <v>831</v>
      </c>
      <c r="F842" s="661"/>
      <c r="G842" s="663">
        <v>17</v>
      </c>
      <c r="H842" s="662" t="s">
        <v>807</v>
      </c>
      <c r="I842" s="666" t="s">
        <v>854</v>
      </c>
      <c r="J842" s="667" t="s">
        <v>804</v>
      </c>
      <c r="K842" s="662">
        <v>3</v>
      </c>
      <c r="L842" s="679">
        <f t="shared" si="23"/>
        <v>15.98</v>
      </c>
      <c r="M842" s="668">
        <f t="shared" si="22"/>
        <v>47.94</v>
      </c>
    </row>
    <row r="843" spans="2:13" s="645" customFormat="1" ht="21.75" customHeight="1">
      <c r="B843" s="661">
        <v>44397</v>
      </c>
      <c r="C843" s="662" t="s">
        <v>837</v>
      </c>
      <c r="D843" s="663" t="s">
        <v>856</v>
      </c>
      <c r="E843" s="664" t="s">
        <v>831</v>
      </c>
      <c r="F843" s="661"/>
      <c r="G843" s="663">
        <v>20</v>
      </c>
      <c r="H843" s="662" t="s">
        <v>807</v>
      </c>
      <c r="I843" s="666" t="s">
        <v>854</v>
      </c>
      <c r="J843" s="667" t="s">
        <v>804</v>
      </c>
      <c r="K843" s="662">
        <v>7</v>
      </c>
      <c r="L843" s="679">
        <f t="shared" si="23"/>
        <v>18.8</v>
      </c>
      <c r="M843" s="668">
        <f t="shared" si="22"/>
        <v>131.6</v>
      </c>
    </row>
    <row r="844" spans="2:13" s="645" customFormat="1" ht="21.75" customHeight="1">
      <c r="B844" s="661">
        <v>44397</v>
      </c>
      <c r="C844" s="662" t="s">
        <v>837</v>
      </c>
      <c r="D844" s="663" t="s">
        <v>856</v>
      </c>
      <c r="E844" s="664" t="s">
        <v>831</v>
      </c>
      <c r="F844" s="661"/>
      <c r="G844" s="663">
        <v>20</v>
      </c>
      <c r="H844" s="662" t="s">
        <v>807</v>
      </c>
      <c r="I844" s="666" t="s">
        <v>854</v>
      </c>
      <c r="J844" s="667" t="s">
        <v>804</v>
      </c>
      <c r="K844" s="662">
        <v>4</v>
      </c>
      <c r="L844" s="679">
        <f t="shared" si="23"/>
        <v>18.8</v>
      </c>
      <c r="M844" s="668">
        <f t="shared" si="22"/>
        <v>75.2</v>
      </c>
    </row>
    <row r="845" spans="2:13" s="645" customFormat="1" ht="21.75" customHeight="1">
      <c r="B845" s="661">
        <v>44397</v>
      </c>
      <c r="C845" s="662" t="s">
        <v>837</v>
      </c>
      <c r="D845" s="663" t="s">
        <v>855</v>
      </c>
      <c r="E845" s="664" t="s">
        <v>831</v>
      </c>
      <c r="F845" s="661"/>
      <c r="G845" s="663">
        <v>20</v>
      </c>
      <c r="H845" s="662" t="s">
        <v>807</v>
      </c>
      <c r="I845" s="666" t="s">
        <v>854</v>
      </c>
      <c r="J845" s="667" t="s">
        <v>804</v>
      </c>
      <c r="K845" s="662">
        <v>7</v>
      </c>
      <c r="L845" s="679">
        <f t="shared" si="23"/>
        <v>18.8</v>
      </c>
      <c r="M845" s="668">
        <f t="shared" si="22"/>
        <v>131.6</v>
      </c>
    </row>
    <row r="846" spans="2:13" s="645" customFormat="1" ht="21.75" customHeight="1">
      <c r="B846" s="661">
        <v>44397</v>
      </c>
      <c r="C846" s="662" t="s">
        <v>837</v>
      </c>
      <c r="D846" s="663" t="s">
        <v>855</v>
      </c>
      <c r="E846" s="664" t="s">
        <v>831</v>
      </c>
      <c r="F846" s="661"/>
      <c r="G846" s="663">
        <v>20</v>
      </c>
      <c r="H846" s="662" t="s">
        <v>807</v>
      </c>
      <c r="I846" s="666" t="s">
        <v>854</v>
      </c>
      <c r="J846" s="667" t="s">
        <v>804</v>
      </c>
      <c r="K846" s="662">
        <v>3</v>
      </c>
      <c r="L846" s="679">
        <f t="shared" si="23"/>
        <v>18.8</v>
      </c>
      <c r="M846" s="668">
        <f t="shared" si="22"/>
        <v>56.400000000000006</v>
      </c>
    </row>
    <row r="847" spans="2:13" s="645" customFormat="1" ht="21.75" customHeight="1">
      <c r="B847" s="661">
        <v>44397</v>
      </c>
      <c r="C847" s="662" t="s">
        <v>819</v>
      </c>
      <c r="D847" s="663" t="s">
        <v>835</v>
      </c>
      <c r="E847" s="664" t="s">
        <v>831</v>
      </c>
      <c r="F847" s="665"/>
      <c r="G847" s="663">
        <v>20</v>
      </c>
      <c r="H847" s="662" t="s">
        <v>807</v>
      </c>
      <c r="I847" s="666" t="s">
        <v>857</v>
      </c>
      <c r="J847" s="667" t="s">
        <v>805</v>
      </c>
      <c r="K847" s="662">
        <v>12</v>
      </c>
      <c r="L847" s="685">
        <f t="shared" si="23"/>
        <v>18.8</v>
      </c>
      <c r="M847" s="686">
        <f t="shared" si="22"/>
        <v>225.60000000000002</v>
      </c>
    </row>
    <row r="848" spans="2:13" s="645" customFormat="1" ht="21.75" customHeight="1">
      <c r="B848" s="661">
        <v>44397</v>
      </c>
      <c r="C848" s="662" t="s">
        <v>819</v>
      </c>
      <c r="D848" s="663" t="s">
        <v>841</v>
      </c>
      <c r="E848" s="664" t="s">
        <v>831</v>
      </c>
      <c r="F848" s="665"/>
      <c r="G848" s="663">
        <v>20</v>
      </c>
      <c r="H848" s="662" t="s">
        <v>807</v>
      </c>
      <c r="I848" s="666" t="s">
        <v>857</v>
      </c>
      <c r="J848" s="667" t="s">
        <v>805</v>
      </c>
      <c r="K848" s="662">
        <v>10</v>
      </c>
      <c r="L848" s="685">
        <f t="shared" si="23"/>
        <v>18.8</v>
      </c>
      <c r="M848" s="686">
        <f t="shared" si="22"/>
        <v>188</v>
      </c>
    </row>
    <row r="849" spans="2:13" s="645" customFormat="1" ht="21.75" customHeight="1">
      <c r="B849" s="661">
        <v>44397</v>
      </c>
      <c r="C849" s="662" t="s">
        <v>819</v>
      </c>
      <c r="D849" s="663" t="s">
        <v>834</v>
      </c>
      <c r="E849" s="664" t="s">
        <v>831</v>
      </c>
      <c r="F849" s="665"/>
      <c r="G849" s="663">
        <v>20</v>
      </c>
      <c r="H849" s="662" t="s">
        <v>807</v>
      </c>
      <c r="I849" s="666" t="s">
        <v>857</v>
      </c>
      <c r="J849" s="667" t="s">
        <v>805</v>
      </c>
      <c r="K849" s="662">
        <v>12</v>
      </c>
      <c r="L849" s="685">
        <f t="shared" si="23"/>
        <v>18.8</v>
      </c>
      <c r="M849" s="686">
        <f t="shared" si="22"/>
        <v>225.60000000000002</v>
      </c>
    </row>
    <row r="850" spans="2:13" s="645" customFormat="1" ht="21.75" customHeight="1">
      <c r="B850" s="661">
        <v>44397</v>
      </c>
      <c r="C850" s="662" t="s">
        <v>819</v>
      </c>
      <c r="D850" s="663" t="s">
        <v>848</v>
      </c>
      <c r="E850" s="664" t="s">
        <v>831</v>
      </c>
      <c r="F850" s="665"/>
      <c r="G850" s="663">
        <v>20</v>
      </c>
      <c r="H850" s="662" t="s">
        <v>807</v>
      </c>
      <c r="I850" s="666" t="s">
        <v>857</v>
      </c>
      <c r="J850" s="667" t="s">
        <v>805</v>
      </c>
      <c r="K850" s="662">
        <v>11</v>
      </c>
      <c r="L850" s="685">
        <f t="shared" si="23"/>
        <v>18.8</v>
      </c>
      <c r="M850" s="686">
        <f t="shared" si="22"/>
        <v>206.8</v>
      </c>
    </row>
    <row r="851" spans="2:13" s="645" customFormat="1" ht="21.75" customHeight="1">
      <c r="B851" s="661">
        <v>44397</v>
      </c>
      <c r="C851" s="662" t="s">
        <v>819</v>
      </c>
      <c r="D851" s="663" t="s">
        <v>836</v>
      </c>
      <c r="E851" s="664" t="s">
        <v>831</v>
      </c>
      <c r="F851" s="665"/>
      <c r="G851" s="663">
        <v>20</v>
      </c>
      <c r="H851" s="662" t="s">
        <v>807</v>
      </c>
      <c r="I851" s="666" t="s">
        <v>857</v>
      </c>
      <c r="J851" s="667" t="s">
        <v>805</v>
      </c>
      <c r="K851" s="662">
        <v>13</v>
      </c>
      <c r="L851" s="685">
        <f t="shared" si="23"/>
        <v>18.8</v>
      </c>
      <c r="M851" s="686">
        <f t="shared" si="22"/>
        <v>244.4</v>
      </c>
    </row>
    <row r="852" spans="2:13" s="645" customFormat="1" ht="21.75" customHeight="1">
      <c r="B852" s="661">
        <v>44397</v>
      </c>
      <c r="C852" s="662" t="s">
        <v>819</v>
      </c>
      <c r="D852" s="663" t="s">
        <v>839</v>
      </c>
      <c r="E852" s="664" t="s">
        <v>831</v>
      </c>
      <c r="F852" s="665"/>
      <c r="G852" s="663">
        <v>15</v>
      </c>
      <c r="H852" s="662" t="s">
        <v>807</v>
      </c>
      <c r="I852" s="666" t="s">
        <v>857</v>
      </c>
      <c r="J852" s="667" t="s">
        <v>805</v>
      </c>
      <c r="K852" s="662">
        <v>12</v>
      </c>
      <c r="L852" s="685">
        <f t="shared" si="23"/>
        <v>14.1</v>
      </c>
      <c r="M852" s="686">
        <f t="shared" si="22"/>
        <v>169.2</v>
      </c>
    </row>
    <row r="853" spans="2:13" s="645" customFormat="1" ht="21.75" customHeight="1">
      <c r="B853" s="661">
        <v>44397</v>
      </c>
      <c r="C853" s="662" t="s">
        <v>819</v>
      </c>
      <c r="D853" s="663" t="s">
        <v>833</v>
      </c>
      <c r="E853" s="664" t="s">
        <v>831</v>
      </c>
      <c r="F853" s="665"/>
      <c r="G853" s="663">
        <v>15</v>
      </c>
      <c r="H853" s="662" t="s">
        <v>807</v>
      </c>
      <c r="I853" s="666" t="s">
        <v>857</v>
      </c>
      <c r="J853" s="667" t="s">
        <v>805</v>
      </c>
      <c r="K853" s="662">
        <v>13</v>
      </c>
      <c r="L853" s="685">
        <f t="shared" si="23"/>
        <v>14.1</v>
      </c>
      <c r="M853" s="686">
        <f t="shared" si="22"/>
        <v>183.29999999999998</v>
      </c>
    </row>
    <row r="854" spans="2:13" s="645" customFormat="1" ht="21.75" customHeight="1">
      <c r="B854" s="661">
        <v>44397</v>
      </c>
      <c r="C854" s="662" t="s">
        <v>819</v>
      </c>
      <c r="D854" s="663" t="s">
        <v>845</v>
      </c>
      <c r="E854" s="664" t="s">
        <v>831</v>
      </c>
      <c r="F854" s="665"/>
      <c r="G854" s="663">
        <v>17</v>
      </c>
      <c r="H854" s="662" t="s">
        <v>807</v>
      </c>
      <c r="I854" s="666" t="s">
        <v>857</v>
      </c>
      <c r="J854" s="667" t="s">
        <v>805</v>
      </c>
      <c r="K854" s="662">
        <v>13</v>
      </c>
      <c r="L854" s="685">
        <f t="shared" si="23"/>
        <v>15.98</v>
      </c>
      <c r="M854" s="686">
        <f t="shared" si="22"/>
        <v>207.74</v>
      </c>
    </row>
    <row r="855" spans="2:13" s="645" customFormat="1" ht="21.75" customHeight="1">
      <c r="B855" s="661">
        <v>44397</v>
      </c>
      <c r="C855" s="662" t="s">
        <v>819</v>
      </c>
      <c r="D855" s="663" t="s">
        <v>847</v>
      </c>
      <c r="E855" s="664" t="s">
        <v>831</v>
      </c>
      <c r="F855" s="665"/>
      <c r="G855" s="663">
        <v>17</v>
      </c>
      <c r="H855" s="662" t="s">
        <v>807</v>
      </c>
      <c r="I855" s="666" t="s">
        <v>857</v>
      </c>
      <c r="J855" s="667" t="s">
        <v>805</v>
      </c>
      <c r="K855" s="662">
        <v>12</v>
      </c>
      <c r="L855" s="685">
        <f t="shared" si="23"/>
        <v>15.98</v>
      </c>
      <c r="M855" s="686">
        <f t="shared" si="22"/>
        <v>191.76</v>
      </c>
    </row>
    <row r="856" spans="2:13" s="645" customFormat="1" ht="21.75" customHeight="1">
      <c r="B856" s="661">
        <v>44397</v>
      </c>
      <c r="C856" s="662" t="s">
        <v>819</v>
      </c>
      <c r="D856" s="663" t="s">
        <v>855</v>
      </c>
      <c r="E856" s="690" t="s">
        <v>831</v>
      </c>
      <c r="F856" s="692"/>
      <c r="G856" s="663">
        <v>20</v>
      </c>
      <c r="H856" s="662" t="s">
        <v>807</v>
      </c>
      <c r="I856" s="666" t="s">
        <v>857</v>
      </c>
      <c r="J856" s="667" t="s">
        <v>805</v>
      </c>
      <c r="K856" s="662">
        <v>9</v>
      </c>
      <c r="L856" s="685">
        <f t="shared" si="23"/>
        <v>18.8</v>
      </c>
      <c r="M856" s="686">
        <f t="shared" si="22"/>
        <v>169.20000000000002</v>
      </c>
    </row>
    <row r="857" spans="2:13" s="645" customFormat="1" ht="21.75" customHeight="1">
      <c r="B857" s="670">
        <v>44398</v>
      </c>
      <c r="C857" s="671" t="s">
        <v>837</v>
      </c>
      <c r="D857" s="672" t="s">
        <v>835</v>
      </c>
      <c r="E857" s="688" t="s">
        <v>831</v>
      </c>
      <c r="F857" s="689"/>
      <c r="G857" s="672">
        <v>20</v>
      </c>
      <c r="H857" s="671" t="s">
        <v>807</v>
      </c>
      <c r="I857" s="675" t="s">
        <v>854</v>
      </c>
      <c r="J857" s="667" t="s">
        <v>804</v>
      </c>
      <c r="K857" s="671">
        <v>4</v>
      </c>
      <c r="L857" s="676">
        <f t="shared" si="23"/>
        <v>18.8</v>
      </c>
      <c r="M857" s="676">
        <f t="shared" si="22"/>
        <v>75.2</v>
      </c>
    </row>
    <row r="858" spans="2:13" s="645" customFormat="1" ht="21.75" customHeight="1">
      <c r="B858" s="670">
        <v>44398</v>
      </c>
      <c r="C858" s="671" t="s">
        <v>837</v>
      </c>
      <c r="D858" s="672" t="s">
        <v>835</v>
      </c>
      <c r="E858" s="673" t="s">
        <v>831</v>
      </c>
      <c r="F858" s="670"/>
      <c r="G858" s="672">
        <v>20</v>
      </c>
      <c r="H858" s="671" t="s">
        <v>807</v>
      </c>
      <c r="I858" s="675" t="s">
        <v>854</v>
      </c>
      <c r="J858" s="667" t="s">
        <v>804</v>
      </c>
      <c r="K858" s="671">
        <v>6</v>
      </c>
      <c r="L858" s="676">
        <f t="shared" si="23"/>
        <v>18.8</v>
      </c>
      <c r="M858" s="676">
        <f t="shared" si="22"/>
        <v>112.80000000000001</v>
      </c>
    </row>
    <row r="859" spans="2:13" s="645" customFormat="1" ht="21.75" customHeight="1">
      <c r="B859" s="670">
        <v>44398</v>
      </c>
      <c r="C859" s="671" t="s">
        <v>837</v>
      </c>
      <c r="D859" s="672" t="s">
        <v>841</v>
      </c>
      <c r="E859" s="673" t="s">
        <v>831</v>
      </c>
      <c r="F859" s="670"/>
      <c r="G859" s="672">
        <v>20</v>
      </c>
      <c r="H859" s="671" t="s">
        <v>807</v>
      </c>
      <c r="I859" s="675" t="s">
        <v>854</v>
      </c>
      <c r="J859" s="667" t="s">
        <v>804</v>
      </c>
      <c r="K859" s="671">
        <v>4</v>
      </c>
      <c r="L859" s="676">
        <f t="shared" si="23"/>
        <v>18.8</v>
      </c>
      <c r="M859" s="676">
        <f t="shared" si="22"/>
        <v>75.2</v>
      </c>
    </row>
    <row r="860" spans="2:13" s="645" customFormat="1" ht="21.75" customHeight="1">
      <c r="B860" s="670">
        <v>44398</v>
      </c>
      <c r="C860" s="671" t="s">
        <v>837</v>
      </c>
      <c r="D860" s="672" t="s">
        <v>841</v>
      </c>
      <c r="E860" s="673" t="s">
        <v>831</v>
      </c>
      <c r="F860" s="670"/>
      <c r="G860" s="672">
        <v>20</v>
      </c>
      <c r="H860" s="671" t="s">
        <v>807</v>
      </c>
      <c r="I860" s="675" t="s">
        <v>854</v>
      </c>
      <c r="J860" s="667" t="s">
        <v>804</v>
      </c>
      <c r="K860" s="671">
        <v>6</v>
      </c>
      <c r="L860" s="676">
        <f t="shared" si="23"/>
        <v>18.8</v>
      </c>
      <c r="M860" s="676">
        <f t="shared" si="22"/>
        <v>112.80000000000001</v>
      </c>
    </row>
    <row r="861" spans="2:13" s="645" customFormat="1" ht="21.75" customHeight="1">
      <c r="B861" s="670">
        <v>44398</v>
      </c>
      <c r="C861" s="671" t="s">
        <v>837</v>
      </c>
      <c r="D861" s="672" t="s">
        <v>834</v>
      </c>
      <c r="E861" s="673" t="s">
        <v>831</v>
      </c>
      <c r="F861" s="670"/>
      <c r="G861" s="672">
        <v>20</v>
      </c>
      <c r="H861" s="671" t="s">
        <v>807</v>
      </c>
      <c r="I861" s="675" t="s">
        <v>854</v>
      </c>
      <c r="J861" s="667" t="s">
        <v>804</v>
      </c>
      <c r="K861" s="671">
        <v>4</v>
      </c>
      <c r="L861" s="676">
        <f t="shared" si="23"/>
        <v>18.8</v>
      </c>
      <c r="M861" s="676">
        <f t="shared" si="22"/>
        <v>75.2</v>
      </c>
    </row>
    <row r="862" spans="2:13" s="645" customFormat="1" ht="21.75" customHeight="1">
      <c r="B862" s="670">
        <v>44398</v>
      </c>
      <c r="C862" s="671" t="s">
        <v>837</v>
      </c>
      <c r="D862" s="672" t="s">
        <v>834</v>
      </c>
      <c r="E862" s="673" t="s">
        <v>831</v>
      </c>
      <c r="F862" s="670"/>
      <c r="G862" s="672">
        <v>20</v>
      </c>
      <c r="H862" s="671" t="s">
        <v>807</v>
      </c>
      <c r="I862" s="675" t="s">
        <v>854</v>
      </c>
      <c r="J862" s="667" t="s">
        <v>804</v>
      </c>
      <c r="K862" s="671">
        <v>6</v>
      </c>
      <c r="L862" s="676">
        <f t="shared" si="23"/>
        <v>18.8</v>
      </c>
      <c r="M862" s="676">
        <f t="shared" si="22"/>
        <v>112.80000000000001</v>
      </c>
    </row>
    <row r="863" spans="2:13" s="645" customFormat="1" ht="21.75" customHeight="1">
      <c r="B863" s="670">
        <v>44398</v>
      </c>
      <c r="C863" s="671" t="s">
        <v>837</v>
      </c>
      <c r="D863" s="672" t="s">
        <v>848</v>
      </c>
      <c r="E863" s="673" t="s">
        <v>831</v>
      </c>
      <c r="F863" s="670"/>
      <c r="G863" s="672">
        <v>20</v>
      </c>
      <c r="H863" s="671" t="s">
        <v>807</v>
      </c>
      <c r="I863" s="675" t="s">
        <v>854</v>
      </c>
      <c r="J863" s="667" t="s">
        <v>804</v>
      </c>
      <c r="K863" s="671">
        <v>4</v>
      </c>
      <c r="L863" s="676">
        <f t="shared" si="23"/>
        <v>18.8</v>
      </c>
      <c r="M863" s="676">
        <f t="shared" si="22"/>
        <v>75.2</v>
      </c>
    </row>
    <row r="864" spans="2:13" s="645" customFormat="1" ht="21.75" customHeight="1">
      <c r="B864" s="670">
        <v>44398</v>
      </c>
      <c r="C864" s="671" t="s">
        <v>837</v>
      </c>
      <c r="D864" s="672" t="s">
        <v>848</v>
      </c>
      <c r="E864" s="673" t="s">
        <v>831</v>
      </c>
      <c r="F864" s="670"/>
      <c r="G864" s="672">
        <v>20</v>
      </c>
      <c r="H864" s="671" t="s">
        <v>807</v>
      </c>
      <c r="I864" s="675" t="s">
        <v>854</v>
      </c>
      <c r="J864" s="667" t="s">
        <v>804</v>
      </c>
      <c r="K864" s="671">
        <v>7</v>
      </c>
      <c r="L864" s="676">
        <f t="shared" si="23"/>
        <v>18.8</v>
      </c>
      <c r="M864" s="676">
        <f t="shared" si="22"/>
        <v>131.6</v>
      </c>
    </row>
    <row r="865" spans="2:13" s="645" customFormat="1" ht="21.75" customHeight="1">
      <c r="B865" s="670">
        <v>44398</v>
      </c>
      <c r="C865" s="671" t="s">
        <v>837</v>
      </c>
      <c r="D865" s="672" t="s">
        <v>845</v>
      </c>
      <c r="E865" s="673" t="s">
        <v>831</v>
      </c>
      <c r="F865" s="670"/>
      <c r="G865" s="672">
        <v>17</v>
      </c>
      <c r="H865" s="671" t="s">
        <v>807</v>
      </c>
      <c r="I865" s="675" t="s">
        <v>854</v>
      </c>
      <c r="J865" s="667" t="s">
        <v>804</v>
      </c>
      <c r="K865" s="671">
        <v>3</v>
      </c>
      <c r="L865" s="676">
        <f t="shared" si="23"/>
        <v>15.98</v>
      </c>
      <c r="M865" s="676">
        <f t="shared" si="22"/>
        <v>47.94</v>
      </c>
    </row>
    <row r="866" spans="2:13" s="645" customFormat="1" ht="21.75" customHeight="1">
      <c r="B866" s="670">
        <v>44398</v>
      </c>
      <c r="C866" s="671" t="s">
        <v>837</v>
      </c>
      <c r="D866" s="672" t="s">
        <v>845</v>
      </c>
      <c r="E866" s="673" t="s">
        <v>831</v>
      </c>
      <c r="F866" s="670"/>
      <c r="G866" s="672">
        <v>17</v>
      </c>
      <c r="H866" s="671" t="s">
        <v>807</v>
      </c>
      <c r="I866" s="675" t="s">
        <v>854</v>
      </c>
      <c r="J866" s="667" t="s">
        <v>804</v>
      </c>
      <c r="K866" s="671">
        <v>3</v>
      </c>
      <c r="L866" s="676">
        <f t="shared" si="23"/>
        <v>15.98</v>
      </c>
      <c r="M866" s="676">
        <f t="shared" si="22"/>
        <v>47.94</v>
      </c>
    </row>
    <row r="867" spans="2:13" s="645" customFormat="1" ht="21.75" customHeight="1">
      <c r="B867" s="670">
        <v>44398</v>
      </c>
      <c r="C867" s="671" t="s">
        <v>837</v>
      </c>
      <c r="D867" s="672" t="s">
        <v>847</v>
      </c>
      <c r="E867" s="673" t="s">
        <v>831</v>
      </c>
      <c r="F867" s="670"/>
      <c r="G867" s="672">
        <v>17</v>
      </c>
      <c r="H867" s="671" t="s">
        <v>807</v>
      </c>
      <c r="I867" s="675" t="s">
        <v>854</v>
      </c>
      <c r="J867" s="667" t="s">
        <v>804</v>
      </c>
      <c r="K867" s="671">
        <v>3</v>
      </c>
      <c r="L867" s="676">
        <f t="shared" si="23"/>
        <v>15.98</v>
      </c>
      <c r="M867" s="676">
        <f t="shared" si="22"/>
        <v>47.94</v>
      </c>
    </row>
    <row r="868" spans="2:13" s="645" customFormat="1" ht="21.75" customHeight="1">
      <c r="B868" s="670">
        <v>44398</v>
      </c>
      <c r="C868" s="671" t="s">
        <v>837</v>
      </c>
      <c r="D868" s="672" t="s">
        <v>856</v>
      </c>
      <c r="E868" s="673" t="s">
        <v>831</v>
      </c>
      <c r="F868" s="670"/>
      <c r="G868" s="672">
        <v>20</v>
      </c>
      <c r="H868" s="671" t="s">
        <v>807</v>
      </c>
      <c r="I868" s="675" t="s">
        <v>854</v>
      </c>
      <c r="J868" s="667" t="s">
        <v>804</v>
      </c>
      <c r="K868" s="671">
        <v>4</v>
      </c>
      <c r="L868" s="676">
        <f t="shared" si="23"/>
        <v>18.8</v>
      </c>
      <c r="M868" s="676">
        <f t="shared" si="22"/>
        <v>75.2</v>
      </c>
    </row>
    <row r="869" spans="2:13" s="645" customFormat="1" ht="21.75" customHeight="1">
      <c r="B869" s="670">
        <v>44398</v>
      </c>
      <c r="C869" s="671" t="s">
        <v>837</v>
      </c>
      <c r="D869" s="672" t="s">
        <v>856</v>
      </c>
      <c r="E869" s="673" t="s">
        <v>831</v>
      </c>
      <c r="F869" s="670"/>
      <c r="G869" s="672">
        <v>20</v>
      </c>
      <c r="H869" s="671" t="s">
        <v>807</v>
      </c>
      <c r="I869" s="675" t="s">
        <v>854</v>
      </c>
      <c r="J869" s="667" t="s">
        <v>804</v>
      </c>
      <c r="K869" s="671">
        <v>6</v>
      </c>
      <c r="L869" s="676">
        <f t="shared" si="23"/>
        <v>18.8</v>
      </c>
      <c r="M869" s="676">
        <f t="shared" si="22"/>
        <v>112.80000000000001</v>
      </c>
    </row>
    <row r="870" spans="2:13" s="645" customFormat="1" ht="21.75" customHeight="1">
      <c r="B870" s="670">
        <v>44398</v>
      </c>
      <c r="C870" s="671" t="s">
        <v>837</v>
      </c>
      <c r="D870" s="672" t="s">
        <v>855</v>
      </c>
      <c r="E870" s="673" t="s">
        <v>831</v>
      </c>
      <c r="F870" s="670"/>
      <c r="G870" s="672">
        <v>20</v>
      </c>
      <c r="H870" s="671" t="s">
        <v>807</v>
      </c>
      <c r="I870" s="675" t="s">
        <v>854</v>
      </c>
      <c r="J870" s="667" t="s">
        <v>804</v>
      </c>
      <c r="K870" s="671">
        <v>4</v>
      </c>
      <c r="L870" s="676">
        <f t="shared" si="23"/>
        <v>18.8</v>
      </c>
      <c r="M870" s="676">
        <f t="shared" si="22"/>
        <v>75.2</v>
      </c>
    </row>
    <row r="871" spans="2:13" s="645" customFormat="1" ht="21.75" customHeight="1">
      <c r="B871" s="670">
        <v>44398</v>
      </c>
      <c r="C871" s="671" t="s">
        <v>837</v>
      </c>
      <c r="D871" s="672" t="s">
        <v>855</v>
      </c>
      <c r="E871" s="673" t="s">
        <v>831</v>
      </c>
      <c r="F871" s="670"/>
      <c r="G871" s="672">
        <v>20</v>
      </c>
      <c r="H871" s="671" t="s">
        <v>807</v>
      </c>
      <c r="I871" s="675" t="s">
        <v>854</v>
      </c>
      <c r="J871" s="667" t="s">
        <v>804</v>
      </c>
      <c r="K871" s="671">
        <v>7</v>
      </c>
      <c r="L871" s="676">
        <f t="shared" si="23"/>
        <v>18.8</v>
      </c>
      <c r="M871" s="676">
        <f t="shared" ref="M871:M934" si="24">L871*K871</f>
        <v>131.6</v>
      </c>
    </row>
    <row r="872" spans="2:13" s="645" customFormat="1" ht="21.75" customHeight="1">
      <c r="B872" s="661">
        <v>44398</v>
      </c>
      <c r="C872" s="662" t="s">
        <v>819</v>
      </c>
      <c r="D872" s="663" t="s">
        <v>835</v>
      </c>
      <c r="E872" s="664" t="s">
        <v>831</v>
      </c>
      <c r="F872" s="665"/>
      <c r="G872" s="663">
        <v>20</v>
      </c>
      <c r="H872" s="662" t="s">
        <v>807</v>
      </c>
      <c r="I872" s="666" t="s">
        <v>859</v>
      </c>
      <c r="J872" s="667" t="s">
        <v>805</v>
      </c>
      <c r="K872" s="662">
        <v>6</v>
      </c>
      <c r="L872" s="685">
        <f t="shared" si="23"/>
        <v>18.8</v>
      </c>
      <c r="M872" s="686">
        <f t="shared" si="24"/>
        <v>112.80000000000001</v>
      </c>
    </row>
    <row r="873" spans="2:13" s="645" customFormat="1" ht="21.75" customHeight="1">
      <c r="B873" s="661">
        <v>44398</v>
      </c>
      <c r="C873" s="662" t="s">
        <v>819</v>
      </c>
      <c r="D873" s="663" t="s">
        <v>835</v>
      </c>
      <c r="E873" s="664" t="s">
        <v>831</v>
      </c>
      <c r="F873" s="665"/>
      <c r="G873" s="663">
        <v>20</v>
      </c>
      <c r="H873" s="662" t="s">
        <v>807</v>
      </c>
      <c r="I873" s="666" t="s">
        <v>857</v>
      </c>
      <c r="J873" s="667" t="s">
        <v>805</v>
      </c>
      <c r="K873" s="662">
        <v>6</v>
      </c>
      <c r="L873" s="685">
        <f t="shared" si="23"/>
        <v>18.8</v>
      </c>
      <c r="M873" s="686">
        <f t="shared" si="24"/>
        <v>112.80000000000001</v>
      </c>
    </row>
    <row r="874" spans="2:13" s="645" customFormat="1" ht="21.75" customHeight="1">
      <c r="B874" s="661">
        <v>44398</v>
      </c>
      <c r="C874" s="662" t="s">
        <v>819</v>
      </c>
      <c r="D874" s="663" t="s">
        <v>841</v>
      </c>
      <c r="E874" s="664" t="s">
        <v>831</v>
      </c>
      <c r="F874" s="665"/>
      <c r="G874" s="663">
        <v>20</v>
      </c>
      <c r="H874" s="662" t="s">
        <v>807</v>
      </c>
      <c r="I874" s="666" t="s">
        <v>859</v>
      </c>
      <c r="J874" s="667" t="s">
        <v>805</v>
      </c>
      <c r="K874" s="662">
        <v>6</v>
      </c>
      <c r="L874" s="685">
        <f t="shared" si="23"/>
        <v>18.8</v>
      </c>
      <c r="M874" s="686">
        <f t="shared" si="24"/>
        <v>112.80000000000001</v>
      </c>
    </row>
    <row r="875" spans="2:13" s="645" customFormat="1" ht="21.75" customHeight="1">
      <c r="B875" s="661">
        <v>44398</v>
      </c>
      <c r="C875" s="662" t="s">
        <v>819</v>
      </c>
      <c r="D875" s="663" t="s">
        <v>841</v>
      </c>
      <c r="E875" s="664" t="s">
        <v>831</v>
      </c>
      <c r="F875" s="665"/>
      <c r="G875" s="663">
        <v>20</v>
      </c>
      <c r="H875" s="662" t="s">
        <v>807</v>
      </c>
      <c r="I875" s="666" t="s">
        <v>857</v>
      </c>
      <c r="J875" s="667" t="s">
        <v>805</v>
      </c>
      <c r="K875" s="662">
        <v>6</v>
      </c>
      <c r="L875" s="685">
        <f t="shared" si="23"/>
        <v>18.8</v>
      </c>
      <c r="M875" s="686">
        <f t="shared" si="24"/>
        <v>112.80000000000001</v>
      </c>
    </row>
    <row r="876" spans="2:13" s="645" customFormat="1" ht="21.75" customHeight="1">
      <c r="B876" s="661">
        <v>44398</v>
      </c>
      <c r="C876" s="662" t="s">
        <v>819</v>
      </c>
      <c r="D876" s="663" t="s">
        <v>834</v>
      </c>
      <c r="E876" s="664" t="s">
        <v>831</v>
      </c>
      <c r="F876" s="665"/>
      <c r="G876" s="663">
        <v>20</v>
      </c>
      <c r="H876" s="662" t="s">
        <v>807</v>
      </c>
      <c r="I876" s="666" t="s">
        <v>859</v>
      </c>
      <c r="J876" s="667" t="s">
        <v>805</v>
      </c>
      <c r="K876" s="662">
        <v>6</v>
      </c>
      <c r="L876" s="685">
        <f t="shared" si="23"/>
        <v>18.8</v>
      </c>
      <c r="M876" s="686">
        <f t="shared" si="24"/>
        <v>112.80000000000001</v>
      </c>
    </row>
    <row r="877" spans="2:13" s="645" customFormat="1" ht="21.75" customHeight="1">
      <c r="B877" s="661">
        <v>44398</v>
      </c>
      <c r="C877" s="662" t="s">
        <v>819</v>
      </c>
      <c r="D877" s="663" t="s">
        <v>834</v>
      </c>
      <c r="E877" s="664" t="s">
        <v>831</v>
      </c>
      <c r="F877" s="665"/>
      <c r="G877" s="663">
        <v>20</v>
      </c>
      <c r="H877" s="662" t="s">
        <v>807</v>
      </c>
      <c r="I877" s="666" t="s">
        <v>857</v>
      </c>
      <c r="J877" s="667" t="s">
        <v>805</v>
      </c>
      <c r="K877" s="662">
        <v>6</v>
      </c>
      <c r="L877" s="685">
        <f t="shared" si="23"/>
        <v>18.8</v>
      </c>
      <c r="M877" s="686">
        <f t="shared" si="24"/>
        <v>112.80000000000001</v>
      </c>
    </row>
    <row r="878" spans="2:13" s="645" customFormat="1" ht="21.75" customHeight="1">
      <c r="B878" s="661">
        <v>44398</v>
      </c>
      <c r="C878" s="662" t="s">
        <v>819</v>
      </c>
      <c r="D878" s="663" t="s">
        <v>848</v>
      </c>
      <c r="E878" s="664" t="s">
        <v>831</v>
      </c>
      <c r="F878" s="665"/>
      <c r="G878" s="663">
        <v>20</v>
      </c>
      <c r="H878" s="662" t="s">
        <v>807</v>
      </c>
      <c r="I878" s="666" t="s">
        <v>859</v>
      </c>
      <c r="J878" s="667" t="s">
        <v>805</v>
      </c>
      <c r="K878" s="662">
        <v>6</v>
      </c>
      <c r="L878" s="685">
        <f t="shared" si="23"/>
        <v>18.8</v>
      </c>
      <c r="M878" s="686">
        <f t="shared" si="24"/>
        <v>112.80000000000001</v>
      </c>
    </row>
    <row r="879" spans="2:13" s="645" customFormat="1" ht="21.75" customHeight="1">
      <c r="B879" s="661">
        <v>44398</v>
      </c>
      <c r="C879" s="662" t="s">
        <v>819</v>
      </c>
      <c r="D879" s="663" t="s">
        <v>848</v>
      </c>
      <c r="E879" s="664" t="s">
        <v>831</v>
      </c>
      <c r="F879" s="665"/>
      <c r="G879" s="663">
        <v>20</v>
      </c>
      <c r="H879" s="662" t="s">
        <v>807</v>
      </c>
      <c r="I879" s="666" t="s">
        <v>857</v>
      </c>
      <c r="J879" s="667" t="s">
        <v>805</v>
      </c>
      <c r="K879" s="662">
        <v>6</v>
      </c>
      <c r="L879" s="685">
        <f t="shared" si="23"/>
        <v>18.8</v>
      </c>
      <c r="M879" s="686">
        <f t="shared" si="24"/>
        <v>112.80000000000001</v>
      </c>
    </row>
    <row r="880" spans="2:13" s="645" customFormat="1" ht="21.75" customHeight="1">
      <c r="B880" s="661">
        <v>44398</v>
      </c>
      <c r="C880" s="662" t="s">
        <v>819</v>
      </c>
      <c r="D880" s="663" t="s">
        <v>836</v>
      </c>
      <c r="E880" s="664" t="s">
        <v>831</v>
      </c>
      <c r="F880" s="665"/>
      <c r="G880" s="663">
        <v>20</v>
      </c>
      <c r="H880" s="662" t="s">
        <v>807</v>
      </c>
      <c r="I880" s="666" t="s">
        <v>859</v>
      </c>
      <c r="J880" s="667" t="s">
        <v>805</v>
      </c>
      <c r="K880" s="662">
        <v>6</v>
      </c>
      <c r="L880" s="685">
        <f t="shared" si="23"/>
        <v>18.8</v>
      </c>
      <c r="M880" s="686">
        <f t="shared" si="24"/>
        <v>112.80000000000001</v>
      </c>
    </row>
    <row r="881" spans="2:13" s="645" customFormat="1" ht="21.75" customHeight="1">
      <c r="B881" s="661">
        <v>44398</v>
      </c>
      <c r="C881" s="662" t="s">
        <v>819</v>
      </c>
      <c r="D881" s="663" t="s">
        <v>836</v>
      </c>
      <c r="E881" s="664" t="s">
        <v>831</v>
      </c>
      <c r="F881" s="665"/>
      <c r="G881" s="663">
        <v>20</v>
      </c>
      <c r="H881" s="662" t="s">
        <v>807</v>
      </c>
      <c r="I881" s="666" t="s">
        <v>857</v>
      </c>
      <c r="J881" s="667" t="s">
        <v>805</v>
      </c>
      <c r="K881" s="662">
        <v>8</v>
      </c>
      <c r="L881" s="685">
        <f t="shared" si="23"/>
        <v>18.8</v>
      </c>
      <c r="M881" s="686">
        <f t="shared" si="24"/>
        <v>150.4</v>
      </c>
    </row>
    <row r="882" spans="2:13" s="645" customFormat="1" ht="21.75" customHeight="1">
      <c r="B882" s="661">
        <v>44398</v>
      </c>
      <c r="C882" s="662" t="s">
        <v>819</v>
      </c>
      <c r="D882" s="663" t="s">
        <v>830</v>
      </c>
      <c r="E882" s="664" t="s">
        <v>831</v>
      </c>
      <c r="F882" s="665"/>
      <c r="G882" s="663">
        <v>15</v>
      </c>
      <c r="H882" s="662" t="s">
        <v>807</v>
      </c>
      <c r="I882" s="666" t="s">
        <v>859</v>
      </c>
      <c r="J882" s="667" t="s">
        <v>805</v>
      </c>
      <c r="K882" s="662">
        <v>6</v>
      </c>
      <c r="L882" s="685">
        <f t="shared" si="23"/>
        <v>14.1</v>
      </c>
      <c r="M882" s="686">
        <f t="shared" si="24"/>
        <v>84.6</v>
      </c>
    </row>
    <row r="883" spans="2:13" s="645" customFormat="1" ht="21.75" customHeight="1">
      <c r="B883" s="661">
        <v>44398</v>
      </c>
      <c r="C883" s="662" t="s">
        <v>819</v>
      </c>
      <c r="D883" s="663" t="s">
        <v>830</v>
      </c>
      <c r="E883" s="664" t="s">
        <v>831</v>
      </c>
      <c r="F883" s="665"/>
      <c r="G883" s="663">
        <v>15</v>
      </c>
      <c r="H883" s="662" t="s">
        <v>807</v>
      </c>
      <c r="I883" s="666" t="s">
        <v>857</v>
      </c>
      <c r="J883" s="667" t="s">
        <v>805</v>
      </c>
      <c r="K883" s="662">
        <v>6</v>
      </c>
      <c r="L883" s="685">
        <f t="shared" si="23"/>
        <v>14.1</v>
      </c>
      <c r="M883" s="686">
        <f t="shared" si="24"/>
        <v>84.6</v>
      </c>
    </row>
    <row r="884" spans="2:13" s="645" customFormat="1" ht="21.75" customHeight="1">
      <c r="B884" s="661">
        <v>44398</v>
      </c>
      <c r="C884" s="662" t="s">
        <v>819</v>
      </c>
      <c r="D884" s="663" t="s">
        <v>839</v>
      </c>
      <c r="E884" s="664" t="s">
        <v>831</v>
      </c>
      <c r="F884" s="665"/>
      <c r="G884" s="663">
        <v>15</v>
      </c>
      <c r="H884" s="662" t="s">
        <v>807</v>
      </c>
      <c r="I884" s="666" t="s">
        <v>859</v>
      </c>
      <c r="J884" s="667" t="s">
        <v>805</v>
      </c>
      <c r="K884" s="662">
        <v>6</v>
      </c>
      <c r="L884" s="685">
        <f t="shared" si="23"/>
        <v>14.1</v>
      </c>
      <c r="M884" s="686">
        <f t="shared" si="24"/>
        <v>84.6</v>
      </c>
    </row>
    <row r="885" spans="2:13" s="645" customFormat="1" ht="21.75" customHeight="1">
      <c r="B885" s="661">
        <v>44398</v>
      </c>
      <c r="C885" s="662" t="s">
        <v>819</v>
      </c>
      <c r="D885" s="663" t="s">
        <v>839</v>
      </c>
      <c r="E885" s="664" t="s">
        <v>831</v>
      </c>
      <c r="F885" s="665"/>
      <c r="G885" s="663">
        <v>15</v>
      </c>
      <c r="H885" s="662" t="s">
        <v>807</v>
      </c>
      <c r="I885" s="666" t="s">
        <v>857</v>
      </c>
      <c r="J885" s="667" t="s">
        <v>805</v>
      </c>
      <c r="K885" s="662">
        <v>6</v>
      </c>
      <c r="L885" s="685">
        <f t="shared" si="23"/>
        <v>14.1</v>
      </c>
      <c r="M885" s="686">
        <f t="shared" si="24"/>
        <v>84.6</v>
      </c>
    </row>
    <row r="886" spans="2:13" s="645" customFormat="1" ht="21.75" customHeight="1">
      <c r="B886" s="661">
        <v>44398</v>
      </c>
      <c r="C886" s="662" t="s">
        <v>819</v>
      </c>
      <c r="D886" s="663" t="s">
        <v>845</v>
      </c>
      <c r="E886" s="664" t="s">
        <v>831</v>
      </c>
      <c r="F886" s="665"/>
      <c r="G886" s="663">
        <v>17</v>
      </c>
      <c r="H886" s="662" t="s">
        <v>807</v>
      </c>
      <c r="I886" s="666" t="s">
        <v>859</v>
      </c>
      <c r="J886" s="667" t="s">
        <v>805</v>
      </c>
      <c r="K886" s="662">
        <v>6</v>
      </c>
      <c r="L886" s="685">
        <f t="shared" si="23"/>
        <v>15.98</v>
      </c>
      <c r="M886" s="686">
        <f t="shared" si="24"/>
        <v>95.88</v>
      </c>
    </row>
    <row r="887" spans="2:13" s="645" customFormat="1" ht="21.75" customHeight="1">
      <c r="B887" s="661">
        <v>44398</v>
      </c>
      <c r="C887" s="662" t="s">
        <v>819</v>
      </c>
      <c r="D887" s="663" t="s">
        <v>845</v>
      </c>
      <c r="E887" s="664" t="s">
        <v>831</v>
      </c>
      <c r="F887" s="665"/>
      <c r="G887" s="663">
        <v>17</v>
      </c>
      <c r="H887" s="662" t="s">
        <v>807</v>
      </c>
      <c r="I887" s="666" t="s">
        <v>857</v>
      </c>
      <c r="J887" s="667" t="s">
        <v>805</v>
      </c>
      <c r="K887" s="662">
        <v>7</v>
      </c>
      <c r="L887" s="685">
        <f t="shared" si="23"/>
        <v>15.98</v>
      </c>
      <c r="M887" s="686">
        <f t="shared" si="24"/>
        <v>111.86</v>
      </c>
    </row>
    <row r="888" spans="2:13" s="645" customFormat="1" ht="21.75" customHeight="1">
      <c r="B888" s="661">
        <v>44398</v>
      </c>
      <c r="C888" s="662" t="s">
        <v>819</v>
      </c>
      <c r="D888" s="663" t="s">
        <v>847</v>
      </c>
      <c r="E888" s="664" t="s">
        <v>831</v>
      </c>
      <c r="F888" s="665"/>
      <c r="G888" s="663">
        <v>17</v>
      </c>
      <c r="H888" s="662" t="s">
        <v>807</v>
      </c>
      <c r="I888" s="666" t="s">
        <v>859</v>
      </c>
      <c r="J888" s="667" t="s">
        <v>805</v>
      </c>
      <c r="K888" s="662">
        <v>6</v>
      </c>
      <c r="L888" s="685">
        <f t="shared" si="23"/>
        <v>15.98</v>
      </c>
      <c r="M888" s="686">
        <f t="shared" si="24"/>
        <v>95.88</v>
      </c>
    </row>
    <row r="889" spans="2:13" s="645" customFormat="1" ht="21.75" customHeight="1">
      <c r="B889" s="661">
        <v>44398</v>
      </c>
      <c r="C889" s="662" t="s">
        <v>819</v>
      </c>
      <c r="D889" s="663" t="s">
        <v>847</v>
      </c>
      <c r="E889" s="690" t="s">
        <v>831</v>
      </c>
      <c r="F889" s="692"/>
      <c r="G889" s="663">
        <v>17</v>
      </c>
      <c r="H889" s="662" t="s">
        <v>807</v>
      </c>
      <c r="I889" s="666" t="s">
        <v>857</v>
      </c>
      <c r="J889" s="667" t="s">
        <v>805</v>
      </c>
      <c r="K889" s="662">
        <v>7</v>
      </c>
      <c r="L889" s="685">
        <f t="shared" si="23"/>
        <v>15.98</v>
      </c>
      <c r="M889" s="686">
        <f t="shared" si="24"/>
        <v>111.86</v>
      </c>
    </row>
    <row r="890" spans="2:13" s="645" customFormat="1" ht="21.75" customHeight="1">
      <c r="B890" s="661">
        <v>44398</v>
      </c>
      <c r="C890" s="662" t="s">
        <v>819</v>
      </c>
      <c r="D890" s="663" t="s">
        <v>856</v>
      </c>
      <c r="E890" s="690" t="s">
        <v>831</v>
      </c>
      <c r="F890" s="692"/>
      <c r="G890" s="663">
        <v>20</v>
      </c>
      <c r="H890" s="662" t="s">
        <v>807</v>
      </c>
      <c r="I890" s="666" t="s">
        <v>859</v>
      </c>
      <c r="J890" s="667" t="s">
        <v>805</v>
      </c>
      <c r="K890" s="662">
        <v>8</v>
      </c>
      <c r="L890" s="685">
        <f t="shared" si="23"/>
        <v>18.8</v>
      </c>
      <c r="M890" s="686">
        <f t="shared" si="24"/>
        <v>150.4</v>
      </c>
    </row>
    <row r="891" spans="2:13" s="645" customFormat="1" ht="21.75" customHeight="1">
      <c r="B891" s="661">
        <v>44398</v>
      </c>
      <c r="C891" s="662" t="s">
        <v>819</v>
      </c>
      <c r="D891" s="663" t="s">
        <v>856</v>
      </c>
      <c r="E891" s="664" t="s">
        <v>831</v>
      </c>
      <c r="F891" s="665"/>
      <c r="G891" s="663">
        <v>20</v>
      </c>
      <c r="H891" s="662" t="s">
        <v>807</v>
      </c>
      <c r="I891" s="666" t="s">
        <v>857</v>
      </c>
      <c r="J891" s="667" t="s">
        <v>805</v>
      </c>
      <c r="K891" s="662">
        <v>6</v>
      </c>
      <c r="L891" s="685">
        <f t="shared" si="23"/>
        <v>18.8</v>
      </c>
      <c r="M891" s="686">
        <f t="shared" si="24"/>
        <v>112.80000000000001</v>
      </c>
    </row>
    <row r="892" spans="2:13" s="645" customFormat="1" ht="21.75" customHeight="1">
      <c r="B892" s="661">
        <v>44398</v>
      </c>
      <c r="C892" s="662" t="s">
        <v>819</v>
      </c>
      <c r="D892" s="663" t="s">
        <v>855</v>
      </c>
      <c r="E892" s="664" t="s">
        <v>831</v>
      </c>
      <c r="F892" s="665"/>
      <c r="G892" s="663">
        <v>20</v>
      </c>
      <c r="H892" s="662" t="s">
        <v>807</v>
      </c>
      <c r="I892" s="666" t="s">
        <v>859</v>
      </c>
      <c r="J892" s="667" t="s">
        <v>805</v>
      </c>
      <c r="K892" s="662">
        <v>6</v>
      </c>
      <c r="L892" s="685">
        <f t="shared" si="23"/>
        <v>18.8</v>
      </c>
      <c r="M892" s="686">
        <f t="shared" si="24"/>
        <v>112.80000000000001</v>
      </c>
    </row>
    <row r="893" spans="2:13" s="645" customFormat="1" ht="21.75" customHeight="1">
      <c r="B893" s="661">
        <v>44398</v>
      </c>
      <c r="C893" s="662" t="s">
        <v>819</v>
      </c>
      <c r="D893" s="663" t="s">
        <v>855</v>
      </c>
      <c r="E893" s="664" t="s">
        <v>831</v>
      </c>
      <c r="F893" s="665"/>
      <c r="G893" s="663">
        <v>20</v>
      </c>
      <c r="H893" s="662" t="s">
        <v>807</v>
      </c>
      <c r="I893" s="666" t="s">
        <v>857</v>
      </c>
      <c r="J893" s="667" t="s">
        <v>805</v>
      </c>
      <c r="K893" s="662">
        <v>6</v>
      </c>
      <c r="L893" s="685">
        <f t="shared" si="23"/>
        <v>18.8</v>
      </c>
      <c r="M893" s="686">
        <f t="shared" si="24"/>
        <v>112.80000000000001</v>
      </c>
    </row>
    <row r="894" spans="2:13" s="645" customFormat="1" ht="21.75" customHeight="1">
      <c r="B894" s="661">
        <v>44399</v>
      </c>
      <c r="C894" s="662" t="s">
        <v>837</v>
      </c>
      <c r="D894" s="663" t="s">
        <v>835</v>
      </c>
      <c r="E894" s="664" t="s">
        <v>831</v>
      </c>
      <c r="F894" s="661"/>
      <c r="G894" s="663">
        <v>20</v>
      </c>
      <c r="H894" s="662" t="s">
        <v>807</v>
      </c>
      <c r="I894" s="666" t="s">
        <v>854</v>
      </c>
      <c r="J894" s="667" t="s">
        <v>804</v>
      </c>
      <c r="K894" s="662">
        <v>12</v>
      </c>
      <c r="L894" s="679">
        <f t="shared" si="23"/>
        <v>18.8</v>
      </c>
      <c r="M894" s="668">
        <f t="shared" si="24"/>
        <v>225.60000000000002</v>
      </c>
    </row>
    <row r="895" spans="2:13" s="645" customFormat="1" ht="21.75" customHeight="1">
      <c r="B895" s="661">
        <v>44399</v>
      </c>
      <c r="C895" s="662" t="s">
        <v>837</v>
      </c>
      <c r="D895" s="663" t="s">
        <v>841</v>
      </c>
      <c r="E895" s="664" t="s">
        <v>831</v>
      </c>
      <c r="F895" s="661"/>
      <c r="G895" s="663">
        <v>20</v>
      </c>
      <c r="H895" s="662" t="s">
        <v>807</v>
      </c>
      <c r="I895" s="666" t="s">
        <v>854</v>
      </c>
      <c r="J895" s="667" t="s">
        <v>804</v>
      </c>
      <c r="K895" s="662">
        <v>12</v>
      </c>
      <c r="L895" s="679">
        <f t="shared" si="23"/>
        <v>18.8</v>
      </c>
      <c r="M895" s="668">
        <f t="shared" si="24"/>
        <v>225.60000000000002</v>
      </c>
    </row>
    <row r="896" spans="2:13" s="645" customFormat="1" ht="21.75" customHeight="1">
      <c r="B896" s="661">
        <v>44399</v>
      </c>
      <c r="C896" s="662" t="s">
        <v>837</v>
      </c>
      <c r="D896" s="663" t="s">
        <v>834</v>
      </c>
      <c r="E896" s="664" t="s">
        <v>831</v>
      </c>
      <c r="F896" s="661"/>
      <c r="G896" s="663">
        <v>20</v>
      </c>
      <c r="H896" s="662" t="s">
        <v>807</v>
      </c>
      <c r="I896" s="666" t="s">
        <v>854</v>
      </c>
      <c r="J896" s="667" t="s">
        <v>804</v>
      </c>
      <c r="K896" s="662">
        <v>12</v>
      </c>
      <c r="L896" s="679">
        <f t="shared" si="23"/>
        <v>18.8</v>
      </c>
      <c r="M896" s="668">
        <f t="shared" si="24"/>
        <v>225.60000000000002</v>
      </c>
    </row>
    <row r="897" spans="2:13" s="645" customFormat="1" ht="21.75" customHeight="1">
      <c r="B897" s="661">
        <v>44399</v>
      </c>
      <c r="C897" s="662" t="s">
        <v>837</v>
      </c>
      <c r="D897" s="663" t="s">
        <v>848</v>
      </c>
      <c r="E897" s="664" t="s">
        <v>831</v>
      </c>
      <c r="F897" s="661"/>
      <c r="G897" s="663">
        <v>20</v>
      </c>
      <c r="H897" s="662" t="s">
        <v>807</v>
      </c>
      <c r="I897" s="666" t="s">
        <v>854</v>
      </c>
      <c r="J897" s="667" t="s">
        <v>804</v>
      </c>
      <c r="K897" s="662">
        <v>12</v>
      </c>
      <c r="L897" s="679">
        <f t="shared" si="23"/>
        <v>18.8</v>
      </c>
      <c r="M897" s="668">
        <f t="shared" si="24"/>
        <v>225.60000000000002</v>
      </c>
    </row>
    <row r="898" spans="2:13" s="645" customFormat="1" ht="21.75" customHeight="1">
      <c r="B898" s="661">
        <v>44399</v>
      </c>
      <c r="C898" s="662" t="s">
        <v>837</v>
      </c>
      <c r="D898" s="663" t="s">
        <v>845</v>
      </c>
      <c r="E898" s="690" t="s">
        <v>831</v>
      </c>
      <c r="F898" s="691"/>
      <c r="G898" s="663">
        <v>17</v>
      </c>
      <c r="H898" s="662" t="s">
        <v>807</v>
      </c>
      <c r="I898" s="666" t="s">
        <v>854</v>
      </c>
      <c r="J898" s="667" t="s">
        <v>804</v>
      </c>
      <c r="K898" s="662">
        <v>12</v>
      </c>
      <c r="L898" s="679">
        <f t="shared" si="23"/>
        <v>15.98</v>
      </c>
      <c r="M898" s="668">
        <f t="shared" si="24"/>
        <v>191.76</v>
      </c>
    </row>
    <row r="899" spans="2:13" s="645" customFormat="1" ht="21.75" customHeight="1">
      <c r="B899" s="661">
        <v>44399</v>
      </c>
      <c r="C899" s="662" t="s">
        <v>837</v>
      </c>
      <c r="D899" s="663" t="s">
        <v>847</v>
      </c>
      <c r="E899" s="664" t="s">
        <v>831</v>
      </c>
      <c r="F899" s="661"/>
      <c r="G899" s="663">
        <v>17</v>
      </c>
      <c r="H899" s="662" t="s">
        <v>807</v>
      </c>
      <c r="I899" s="666" t="s">
        <v>854</v>
      </c>
      <c r="J899" s="667" t="s">
        <v>804</v>
      </c>
      <c r="K899" s="662">
        <v>11</v>
      </c>
      <c r="L899" s="679">
        <f t="shared" si="23"/>
        <v>15.98</v>
      </c>
      <c r="M899" s="668">
        <f t="shared" si="24"/>
        <v>175.78</v>
      </c>
    </row>
    <row r="900" spans="2:13" s="645" customFormat="1" ht="21.75" customHeight="1">
      <c r="B900" s="661">
        <v>44399</v>
      </c>
      <c r="C900" s="662" t="s">
        <v>837</v>
      </c>
      <c r="D900" s="663" t="s">
        <v>856</v>
      </c>
      <c r="E900" s="664" t="s">
        <v>831</v>
      </c>
      <c r="F900" s="661"/>
      <c r="G900" s="663">
        <v>20</v>
      </c>
      <c r="H900" s="662" t="s">
        <v>807</v>
      </c>
      <c r="I900" s="666" t="s">
        <v>854</v>
      </c>
      <c r="J900" s="667" t="s">
        <v>804</v>
      </c>
      <c r="K900" s="662">
        <v>12</v>
      </c>
      <c r="L900" s="679">
        <f t="shared" si="23"/>
        <v>18.8</v>
      </c>
      <c r="M900" s="668">
        <f t="shared" si="24"/>
        <v>225.60000000000002</v>
      </c>
    </row>
    <row r="901" spans="2:13" s="645" customFormat="1" ht="21.75" customHeight="1">
      <c r="B901" s="661">
        <v>44399</v>
      </c>
      <c r="C901" s="662" t="s">
        <v>837</v>
      </c>
      <c r="D901" s="663" t="s">
        <v>855</v>
      </c>
      <c r="E901" s="664" t="s">
        <v>831</v>
      </c>
      <c r="F901" s="661"/>
      <c r="G901" s="663">
        <v>20</v>
      </c>
      <c r="H901" s="662" t="s">
        <v>807</v>
      </c>
      <c r="I901" s="666" t="s">
        <v>854</v>
      </c>
      <c r="J901" s="667" t="s">
        <v>804</v>
      </c>
      <c r="K901" s="662">
        <v>11</v>
      </c>
      <c r="L901" s="679">
        <f t="shared" si="23"/>
        <v>18.8</v>
      </c>
      <c r="M901" s="668">
        <f t="shared" si="24"/>
        <v>206.8</v>
      </c>
    </row>
    <row r="902" spans="2:13" s="645" customFormat="1" ht="21.75" customHeight="1">
      <c r="B902" s="661">
        <v>44399</v>
      </c>
      <c r="C902" s="662" t="s">
        <v>819</v>
      </c>
      <c r="D902" s="663" t="s">
        <v>849</v>
      </c>
      <c r="E902" s="664" t="s">
        <v>831</v>
      </c>
      <c r="F902" s="665"/>
      <c r="G902" s="663">
        <v>20</v>
      </c>
      <c r="H902" s="662" t="s">
        <v>807</v>
      </c>
      <c r="I902" s="666" t="s">
        <v>859</v>
      </c>
      <c r="J902" s="667" t="s">
        <v>805</v>
      </c>
      <c r="K902" s="662">
        <v>10</v>
      </c>
      <c r="L902" s="685">
        <f t="shared" si="23"/>
        <v>18.8</v>
      </c>
      <c r="M902" s="686">
        <f t="shared" si="24"/>
        <v>188</v>
      </c>
    </row>
    <row r="903" spans="2:13" s="645" customFormat="1" ht="21.75" customHeight="1">
      <c r="B903" s="661">
        <v>44399</v>
      </c>
      <c r="C903" s="662" t="s">
        <v>819</v>
      </c>
      <c r="D903" s="663" t="s">
        <v>849</v>
      </c>
      <c r="E903" s="664" t="s">
        <v>831</v>
      </c>
      <c r="F903" s="665"/>
      <c r="G903" s="663">
        <v>20</v>
      </c>
      <c r="H903" s="662" t="s">
        <v>807</v>
      </c>
      <c r="I903" s="666" t="s">
        <v>857</v>
      </c>
      <c r="J903" s="667" t="s">
        <v>805</v>
      </c>
      <c r="K903" s="662">
        <v>3</v>
      </c>
      <c r="L903" s="685">
        <f t="shared" si="23"/>
        <v>18.8</v>
      </c>
      <c r="M903" s="686">
        <f t="shared" si="24"/>
        <v>56.400000000000006</v>
      </c>
    </row>
    <row r="904" spans="2:13" s="645" customFormat="1" ht="21.75" customHeight="1">
      <c r="B904" s="661">
        <v>44399</v>
      </c>
      <c r="C904" s="662" t="s">
        <v>819</v>
      </c>
      <c r="D904" s="663" t="s">
        <v>835</v>
      </c>
      <c r="E904" s="664" t="s">
        <v>831</v>
      </c>
      <c r="F904" s="665"/>
      <c r="G904" s="663">
        <v>20</v>
      </c>
      <c r="H904" s="662" t="s">
        <v>807</v>
      </c>
      <c r="I904" s="666" t="s">
        <v>859</v>
      </c>
      <c r="J904" s="667" t="s">
        <v>805</v>
      </c>
      <c r="K904" s="662">
        <v>3</v>
      </c>
      <c r="L904" s="685">
        <f t="shared" si="23"/>
        <v>18.8</v>
      </c>
      <c r="M904" s="686">
        <f t="shared" si="24"/>
        <v>56.400000000000006</v>
      </c>
    </row>
    <row r="905" spans="2:13" s="645" customFormat="1" ht="21.75" customHeight="1">
      <c r="B905" s="661">
        <v>44399</v>
      </c>
      <c r="C905" s="662" t="s">
        <v>819</v>
      </c>
      <c r="D905" s="663" t="s">
        <v>835</v>
      </c>
      <c r="E905" s="664" t="s">
        <v>831</v>
      </c>
      <c r="F905" s="665"/>
      <c r="G905" s="663">
        <v>20</v>
      </c>
      <c r="H905" s="662" t="s">
        <v>807</v>
      </c>
      <c r="I905" s="666" t="s">
        <v>857</v>
      </c>
      <c r="J905" s="667" t="s">
        <v>805</v>
      </c>
      <c r="K905" s="662">
        <v>9</v>
      </c>
      <c r="L905" s="685">
        <f t="shared" ref="L905:L968" si="25">VLOOKUP(G905,$Q$4:$V$7,6,FALSE)</f>
        <v>18.8</v>
      </c>
      <c r="M905" s="686">
        <f t="shared" si="24"/>
        <v>169.20000000000002</v>
      </c>
    </row>
    <row r="906" spans="2:13" s="645" customFormat="1" ht="21.75" customHeight="1">
      <c r="B906" s="661">
        <v>44399</v>
      </c>
      <c r="C906" s="662" t="s">
        <v>819</v>
      </c>
      <c r="D906" s="663" t="s">
        <v>841</v>
      </c>
      <c r="E906" s="664" t="s">
        <v>831</v>
      </c>
      <c r="F906" s="665"/>
      <c r="G906" s="663">
        <v>20</v>
      </c>
      <c r="H906" s="662" t="s">
        <v>807</v>
      </c>
      <c r="I906" s="666" t="s">
        <v>859</v>
      </c>
      <c r="J906" s="667" t="s">
        <v>805</v>
      </c>
      <c r="K906" s="662">
        <v>8</v>
      </c>
      <c r="L906" s="685">
        <f t="shared" si="25"/>
        <v>18.8</v>
      </c>
      <c r="M906" s="686">
        <f t="shared" si="24"/>
        <v>150.4</v>
      </c>
    </row>
    <row r="907" spans="2:13" s="645" customFormat="1" ht="21.75" customHeight="1">
      <c r="B907" s="661">
        <v>44399</v>
      </c>
      <c r="C907" s="662" t="s">
        <v>819</v>
      </c>
      <c r="D907" s="663" t="s">
        <v>841</v>
      </c>
      <c r="E907" s="664" t="s">
        <v>831</v>
      </c>
      <c r="F907" s="665"/>
      <c r="G907" s="663">
        <v>20</v>
      </c>
      <c r="H907" s="662" t="s">
        <v>807</v>
      </c>
      <c r="I907" s="666" t="s">
        <v>857</v>
      </c>
      <c r="J907" s="667" t="s">
        <v>805</v>
      </c>
      <c r="K907" s="662">
        <v>4</v>
      </c>
      <c r="L907" s="685">
        <f t="shared" si="25"/>
        <v>18.8</v>
      </c>
      <c r="M907" s="686">
        <f t="shared" si="24"/>
        <v>75.2</v>
      </c>
    </row>
    <row r="908" spans="2:13" s="645" customFormat="1" ht="21.75" customHeight="1">
      <c r="B908" s="661">
        <v>44399</v>
      </c>
      <c r="C908" s="662" t="s">
        <v>819</v>
      </c>
      <c r="D908" s="663" t="s">
        <v>834</v>
      </c>
      <c r="E908" s="664" t="s">
        <v>831</v>
      </c>
      <c r="F908" s="665"/>
      <c r="G908" s="663">
        <v>20</v>
      </c>
      <c r="H908" s="662" t="s">
        <v>807</v>
      </c>
      <c r="I908" s="666" t="s">
        <v>859</v>
      </c>
      <c r="J908" s="667" t="s">
        <v>805</v>
      </c>
      <c r="K908" s="662">
        <v>3</v>
      </c>
      <c r="L908" s="685">
        <f t="shared" si="25"/>
        <v>18.8</v>
      </c>
      <c r="M908" s="686">
        <f t="shared" si="24"/>
        <v>56.400000000000006</v>
      </c>
    </row>
    <row r="909" spans="2:13" s="645" customFormat="1" ht="21.75" customHeight="1">
      <c r="B909" s="661">
        <v>44399</v>
      </c>
      <c r="C909" s="662" t="s">
        <v>819</v>
      </c>
      <c r="D909" s="663" t="s">
        <v>834</v>
      </c>
      <c r="E909" s="664" t="s">
        <v>831</v>
      </c>
      <c r="F909" s="665"/>
      <c r="G909" s="663">
        <v>20</v>
      </c>
      <c r="H909" s="662" t="s">
        <v>807</v>
      </c>
      <c r="I909" s="666" t="s">
        <v>857</v>
      </c>
      <c r="J909" s="667" t="s">
        <v>805</v>
      </c>
      <c r="K909" s="662">
        <v>5</v>
      </c>
      <c r="L909" s="685">
        <f t="shared" si="25"/>
        <v>18.8</v>
      </c>
      <c r="M909" s="686">
        <f t="shared" si="24"/>
        <v>94</v>
      </c>
    </row>
    <row r="910" spans="2:13" s="645" customFormat="1" ht="21.75" customHeight="1">
      <c r="B910" s="661">
        <v>44399</v>
      </c>
      <c r="C910" s="662" t="s">
        <v>819</v>
      </c>
      <c r="D910" s="663" t="s">
        <v>848</v>
      </c>
      <c r="E910" s="664" t="s">
        <v>831</v>
      </c>
      <c r="F910" s="665"/>
      <c r="G910" s="663">
        <v>20</v>
      </c>
      <c r="H910" s="662" t="s">
        <v>807</v>
      </c>
      <c r="I910" s="666" t="s">
        <v>857</v>
      </c>
      <c r="J910" s="667" t="s">
        <v>805</v>
      </c>
      <c r="K910" s="662">
        <v>13</v>
      </c>
      <c r="L910" s="685">
        <f t="shared" si="25"/>
        <v>18.8</v>
      </c>
      <c r="M910" s="686">
        <f t="shared" si="24"/>
        <v>244.4</v>
      </c>
    </row>
    <row r="911" spans="2:13" s="645" customFormat="1" ht="21.75" customHeight="1">
      <c r="B911" s="661">
        <v>44399</v>
      </c>
      <c r="C911" s="662" t="s">
        <v>819</v>
      </c>
      <c r="D911" s="663" t="s">
        <v>836</v>
      </c>
      <c r="E911" s="664" t="s">
        <v>831</v>
      </c>
      <c r="F911" s="665"/>
      <c r="G911" s="663">
        <v>20</v>
      </c>
      <c r="H911" s="662" t="s">
        <v>807</v>
      </c>
      <c r="I911" s="666" t="s">
        <v>859</v>
      </c>
      <c r="J911" s="667" t="s">
        <v>805</v>
      </c>
      <c r="K911" s="662">
        <v>12</v>
      </c>
      <c r="L911" s="685">
        <f t="shared" si="25"/>
        <v>18.8</v>
      </c>
      <c r="M911" s="686">
        <f t="shared" si="24"/>
        <v>225.60000000000002</v>
      </c>
    </row>
    <row r="912" spans="2:13" s="645" customFormat="1" ht="21.75" customHeight="1">
      <c r="B912" s="661">
        <v>44399</v>
      </c>
      <c r="C912" s="662" t="s">
        <v>819</v>
      </c>
      <c r="D912" s="663" t="s">
        <v>830</v>
      </c>
      <c r="E912" s="664" t="s">
        <v>831</v>
      </c>
      <c r="F912" s="665"/>
      <c r="G912" s="663">
        <v>15</v>
      </c>
      <c r="H912" s="662" t="s">
        <v>807</v>
      </c>
      <c r="I912" s="666" t="s">
        <v>859</v>
      </c>
      <c r="J912" s="667" t="s">
        <v>805</v>
      </c>
      <c r="K912" s="662">
        <v>7</v>
      </c>
      <c r="L912" s="685">
        <f t="shared" si="25"/>
        <v>14.1</v>
      </c>
      <c r="M912" s="686">
        <f t="shared" si="24"/>
        <v>98.7</v>
      </c>
    </row>
    <row r="913" spans="2:13" s="645" customFormat="1" ht="21.75" customHeight="1">
      <c r="B913" s="661">
        <v>44399</v>
      </c>
      <c r="C913" s="662" t="s">
        <v>819</v>
      </c>
      <c r="D913" s="663" t="s">
        <v>830</v>
      </c>
      <c r="E913" s="690" t="s">
        <v>831</v>
      </c>
      <c r="F913" s="692"/>
      <c r="G913" s="663">
        <v>15</v>
      </c>
      <c r="H913" s="662" t="s">
        <v>807</v>
      </c>
      <c r="I913" s="666" t="s">
        <v>857</v>
      </c>
      <c r="J913" s="667" t="s">
        <v>805</v>
      </c>
      <c r="K913" s="662">
        <v>7</v>
      </c>
      <c r="L913" s="685">
        <f t="shared" si="25"/>
        <v>14.1</v>
      </c>
      <c r="M913" s="686">
        <f t="shared" si="24"/>
        <v>98.7</v>
      </c>
    </row>
    <row r="914" spans="2:13" s="645" customFormat="1" ht="21.75" customHeight="1">
      <c r="B914" s="661">
        <v>44399</v>
      </c>
      <c r="C914" s="662" t="s">
        <v>819</v>
      </c>
      <c r="D914" s="663" t="s">
        <v>845</v>
      </c>
      <c r="E914" s="690" t="s">
        <v>831</v>
      </c>
      <c r="F914" s="692"/>
      <c r="G914" s="663">
        <v>17</v>
      </c>
      <c r="H914" s="662" t="s">
        <v>807</v>
      </c>
      <c r="I914" s="666" t="s">
        <v>859</v>
      </c>
      <c r="J914" s="667" t="s">
        <v>805</v>
      </c>
      <c r="K914" s="662">
        <v>4</v>
      </c>
      <c r="L914" s="685">
        <f t="shared" si="25"/>
        <v>15.98</v>
      </c>
      <c r="M914" s="686">
        <f t="shared" si="24"/>
        <v>63.92</v>
      </c>
    </row>
    <row r="915" spans="2:13" s="645" customFormat="1" ht="21.75" customHeight="1">
      <c r="B915" s="661">
        <v>44399</v>
      </c>
      <c r="C915" s="662" t="s">
        <v>819</v>
      </c>
      <c r="D915" s="663" t="s">
        <v>845</v>
      </c>
      <c r="E915" s="664" t="s">
        <v>831</v>
      </c>
      <c r="F915" s="665"/>
      <c r="G915" s="663">
        <v>17</v>
      </c>
      <c r="H915" s="662" t="s">
        <v>807</v>
      </c>
      <c r="I915" s="666" t="s">
        <v>857</v>
      </c>
      <c r="J915" s="667" t="s">
        <v>805</v>
      </c>
      <c r="K915" s="662">
        <v>8</v>
      </c>
      <c r="L915" s="685">
        <f t="shared" si="25"/>
        <v>15.98</v>
      </c>
      <c r="M915" s="686">
        <f t="shared" si="24"/>
        <v>127.84</v>
      </c>
    </row>
    <row r="916" spans="2:13" s="645" customFormat="1" ht="21.75" customHeight="1">
      <c r="B916" s="661">
        <v>44399</v>
      </c>
      <c r="C916" s="662" t="s">
        <v>819</v>
      </c>
      <c r="D916" s="663" t="s">
        <v>847</v>
      </c>
      <c r="E916" s="664" t="s">
        <v>831</v>
      </c>
      <c r="F916" s="665"/>
      <c r="G916" s="663">
        <v>17</v>
      </c>
      <c r="H916" s="662" t="s">
        <v>807</v>
      </c>
      <c r="I916" s="666" t="s">
        <v>857</v>
      </c>
      <c r="J916" s="667" t="s">
        <v>805</v>
      </c>
      <c r="K916" s="662">
        <v>14</v>
      </c>
      <c r="L916" s="685">
        <f t="shared" si="25"/>
        <v>15.98</v>
      </c>
      <c r="M916" s="686">
        <f t="shared" si="24"/>
        <v>223.72</v>
      </c>
    </row>
    <row r="917" spans="2:13" s="645" customFormat="1" ht="21.75" customHeight="1">
      <c r="B917" s="661">
        <v>44399</v>
      </c>
      <c r="C917" s="662" t="s">
        <v>819</v>
      </c>
      <c r="D917" s="663" t="s">
        <v>856</v>
      </c>
      <c r="E917" s="664" t="s">
        <v>831</v>
      </c>
      <c r="F917" s="665"/>
      <c r="G917" s="663">
        <v>20</v>
      </c>
      <c r="H917" s="662" t="s">
        <v>807</v>
      </c>
      <c r="I917" s="666" t="s">
        <v>859</v>
      </c>
      <c r="J917" s="667" t="s">
        <v>805</v>
      </c>
      <c r="K917" s="662">
        <v>9</v>
      </c>
      <c r="L917" s="685">
        <f t="shared" si="25"/>
        <v>18.8</v>
      </c>
      <c r="M917" s="686">
        <f t="shared" si="24"/>
        <v>169.20000000000002</v>
      </c>
    </row>
    <row r="918" spans="2:13" s="645" customFormat="1" ht="21.75" customHeight="1">
      <c r="B918" s="661">
        <v>44399</v>
      </c>
      <c r="C918" s="662" t="s">
        <v>819</v>
      </c>
      <c r="D918" s="663" t="s">
        <v>856</v>
      </c>
      <c r="E918" s="664" t="s">
        <v>831</v>
      </c>
      <c r="F918" s="665"/>
      <c r="G918" s="663">
        <v>20</v>
      </c>
      <c r="H918" s="662" t="s">
        <v>807</v>
      </c>
      <c r="I918" s="666" t="s">
        <v>857</v>
      </c>
      <c r="J918" s="667" t="s">
        <v>805</v>
      </c>
      <c r="K918" s="662">
        <v>5</v>
      </c>
      <c r="L918" s="685">
        <f t="shared" si="25"/>
        <v>18.8</v>
      </c>
      <c r="M918" s="686">
        <f t="shared" si="24"/>
        <v>94</v>
      </c>
    </row>
    <row r="919" spans="2:13" s="645" customFormat="1" ht="21.75" customHeight="1">
      <c r="B919" s="661">
        <v>44399</v>
      </c>
      <c r="C919" s="662" t="s">
        <v>819</v>
      </c>
      <c r="D919" s="663" t="s">
        <v>855</v>
      </c>
      <c r="E919" s="664" t="s">
        <v>831</v>
      </c>
      <c r="F919" s="665"/>
      <c r="G919" s="663">
        <v>20</v>
      </c>
      <c r="H919" s="662" t="s">
        <v>807</v>
      </c>
      <c r="I919" s="666" t="s">
        <v>857</v>
      </c>
      <c r="J919" s="667" t="s">
        <v>805</v>
      </c>
      <c r="K919" s="662">
        <v>13</v>
      </c>
      <c r="L919" s="685">
        <f t="shared" si="25"/>
        <v>18.8</v>
      </c>
      <c r="M919" s="686">
        <f t="shared" si="24"/>
        <v>244.4</v>
      </c>
    </row>
    <row r="920" spans="2:13" s="645" customFormat="1" ht="21.75" customHeight="1">
      <c r="B920" s="670">
        <v>44400</v>
      </c>
      <c r="C920" s="671" t="s">
        <v>837</v>
      </c>
      <c r="D920" s="672" t="s">
        <v>835</v>
      </c>
      <c r="E920" s="673" t="s">
        <v>831</v>
      </c>
      <c r="F920" s="670"/>
      <c r="G920" s="672">
        <v>20</v>
      </c>
      <c r="H920" s="671" t="s">
        <v>807</v>
      </c>
      <c r="I920" s="675" t="s">
        <v>854</v>
      </c>
      <c r="J920" s="667" t="s">
        <v>804</v>
      </c>
      <c r="K920" s="671">
        <v>12</v>
      </c>
      <c r="L920" s="676">
        <f t="shared" si="25"/>
        <v>18.8</v>
      </c>
      <c r="M920" s="676">
        <f t="shared" si="24"/>
        <v>225.60000000000002</v>
      </c>
    </row>
    <row r="921" spans="2:13" s="645" customFormat="1" ht="21.75" customHeight="1">
      <c r="B921" s="670">
        <v>44400</v>
      </c>
      <c r="C921" s="671" t="s">
        <v>837</v>
      </c>
      <c r="D921" s="672" t="s">
        <v>841</v>
      </c>
      <c r="E921" s="673" t="s">
        <v>831</v>
      </c>
      <c r="F921" s="670"/>
      <c r="G921" s="672">
        <v>20</v>
      </c>
      <c r="H921" s="671" t="s">
        <v>807</v>
      </c>
      <c r="I921" s="675" t="s">
        <v>854</v>
      </c>
      <c r="J921" s="667" t="s">
        <v>804</v>
      </c>
      <c r="K921" s="671">
        <v>12</v>
      </c>
      <c r="L921" s="676">
        <f t="shared" si="25"/>
        <v>18.8</v>
      </c>
      <c r="M921" s="676">
        <f t="shared" si="24"/>
        <v>225.60000000000002</v>
      </c>
    </row>
    <row r="922" spans="2:13" s="645" customFormat="1" ht="21.75" customHeight="1">
      <c r="B922" s="670">
        <v>44400</v>
      </c>
      <c r="C922" s="671" t="s">
        <v>837</v>
      </c>
      <c r="D922" s="672" t="s">
        <v>834</v>
      </c>
      <c r="E922" s="673" t="s">
        <v>831</v>
      </c>
      <c r="F922" s="670"/>
      <c r="G922" s="672">
        <v>20</v>
      </c>
      <c r="H922" s="671" t="s">
        <v>807</v>
      </c>
      <c r="I922" s="675" t="s">
        <v>854</v>
      </c>
      <c r="J922" s="667" t="s">
        <v>804</v>
      </c>
      <c r="K922" s="671">
        <v>12</v>
      </c>
      <c r="L922" s="676">
        <f t="shared" si="25"/>
        <v>18.8</v>
      </c>
      <c r="M922" s="676">
        <f t="shared" si="24"/>
        <v>225.60000000000002</v>
      </c>
    </row>
    <row r="923" spans="2:13" s="645" customFormat="1" ht="21.75" customHeight="1">
      <c r="B923" s="670">
        <v>44400</v>
      </c>
      <c r="C923" s="671" t="s">
        <v>837</v>
      </c>
      <c r="D923" s="672" t="s">
        <v>848</v>
      </c>
      <c r="E923" s="673" t="s">
        <v>831</v>
      </c>
      <c r="F923" s="670"/>
      <c r="G923" s="672">
        <v>20</v>
      </c>
      <c r="H923" s="671" t="s">
        <v>807</v>
      </c>
      <c r="I923" s="675" t="s">
        <v>854</v>
      </c>
      <c r="J923" s="667" t="s">
        <v>804</v>
      </c>
      <c r="K923" s="671">
        <v>11</v>
      </c>
      <c r="L923" s="676">
        <f t="shared" si="25"/>
        <v>18.8</v>
      </c>
      <c r="M923" s="676">
        <f t="shared" si="24"/>
        <v>206.8</v>
      </c>
    </row>
    <row r="924" spans="2:13" s="645" customFormat="1" ht="21.75" customHeight="1">
      <c r="B924" s="670">
        <v>44400</v>
      </c>
      <c r="C924" s="671" t="s">
        <v>837</v>
      </c>
      <c r="D924" s="672" t="s">
        <v>845</v>
      </c>
      <c r="E924" s="673" t="s">
        <v>831</v>
      </c>
      <c r="F924" s="670"/>
      <c r="G924" s="672">
        <v>17</v>
      </c>
      <c r="H924" s="671" t="s">
        <v>807</v>
      </c>
      <c r="I924" s="675" t="s">
        <v>854</v>
      </c>
      <c r="J924" s="667" t="s">
        <v>804</v>
      </c>
      <c r="K924" s="671">
        <v>12</v>
      </c>
      <c r="L924" s="676">
        <f t="shared" si="25"/>
        <v>15.98</v>
      </c>
      <c r="M924" s="676">
        <f t="shared" si="24"/>
        <v>191.76</v>
      </c>
    </row>
    <row r="925" spans="2:13" s="645" customFormat="1" ht="21.75" customHeight="1">
      <c r="B925" s="670">
        <v>44400</v>
      </c>
      <c r="C925" s="671" t="s">
        <v>837</v>
      </c>
      <c r="D925" s="672" t="s">
        <v>847</v>
      </c>
      <c r="E925" s="673" t="s">
        <v>831</v>
      </c>
      <c r="F925" s="670"/>
      <c r="G925" s="672">
        <v>17</v>
      </c>
      <c r="H925" s="671" t="s">
        <v>807</v>
      </c>
      <c r="I925" s="675" t="s">
        <v>854</v>
      </c>
      <c r="J925" s="667" t="s">
        <v>804</v>
      </c>
      <c r="K925" s="671">
        <v>12</v>
      </c>
      <c r="L925" s="676">
        <f t="shared" si="25"/>
        <v>15.98</v>
      </c>
      <c r="M925" s="676">
        <f t="shared" si="24"/>
        <v>191.76</v>
      </c>
    </row>
    <row r="926" spans="2:13" s="645" customFormat="1" ht="21.75" customHeight="1">
      <c r="B926" s="670">
        <v>44400</v>
      </c>
      <c r="C926" s="671" t="s">
        <v>837</v>
      </c>
      <c r="D926" s="672" t="s">
        <v>856</v>
      </c>
      <c r="E926" s="673" t="s">
        <v>831</v>
      </c>
      <c r="F926" s="670"/>
      <c r="G926" s="672">
        <v>20</v>
      </c>
      <c r="H926" s="671" t="s">
        <v>807</v>
      </c>
      <c r="I926" s="675" t="s">
        <v>854</v>
      </c>
      <c r="J926" s="667" t="s">
        <v>804</v>
      </c>
      <c r="K926" s="671">
        <v>12</v>
      </c>
      <c r="L926" s="676">
        <f t="shared" si="25"/>
        <v>18.8</v>
      </c>
      <c r="M926" s="676">
        <f t="shared" si="24"/>
        <v>225.60000000000002</v>
      </c>
    </row>
    <row r="927" spans="2:13" s="645" customFormat="1" ht="21.75" customHeight="1">
      <c r="B927" s="670">
        <v>44400</v>
      </c>
      <c r="C927" s="671" t="s">
        <v>837</v>
      </c>
      <c r="D927" s="672" t="s">
        <v>855</v>
      </c>
      <c r="E927" s="673" t="s">
        <v>831</v>
      </c>
      <c r="F927" s="670"/>
      <c r="G927" s="672">
        <v>20</v>
      </c>
      <c r="H927" s="671" t="s">
        <v>807</v>
      </c>
      <c r="I927" s="675" t="s">
        <v>854</v>
      </c>
      <c r="J927" s="667" t="s">
        <v>804</v>
      </c>
      <c r="K927" s="671">
        <v>11</v>
      </c>
      <c r="L927" s="676">
        <f t="shared" si="25"/>
        <v>18.8</v>
      </c>
      <c r="M927" s="676">
        <f t="shared" si="24"/>
        <v>206.8</v>
      </c>
    </row>
    <row r="928" spans="2:13" s="645" customFormat="1" ht="21.75" customHeight="1">
      <c r="B928" s="661">
        <v>44400</v>
      </c>
      <c r="C928" s="662" t="s">
        <v>819</v>
      </c>
      <c r="D928" s="663" t="s">
        <v>849</v>
      </c>
      <c r="E928" s="664" t="s">
        <v>831</v>
      </c>
      <c r="F928" s="665"/>
      <c r="G928" s="663">
        <v>20</v>
      </c>
      <c r="H928" s="662" t="s">
        <v>807</v>
      </c>
      <c r="I928" s="666" t="s">
        <v>859</v>
      </c>
      <c r="J928" s="667" t="s">
        <v>805</v>
      </c>
      <c r="K928" s="662">
        <v>10</v>
      </c>
      <c r="L928" s="685">
        <f t="shared" si="25"/>
        <v>18.8</v>
      </c>
      <c r="M928" s="686">
        <f t="shared" si="24"/>
        <v>188</v>
      </c>
    </row>
    <row r="929" spans="2:13" s="645" customFormat="1" ht="21.75" customHeight="1">
      <c r="B929" s="661">
        <v>44400</v>
      </c>
      <c r="C929" s="662" t="s">
        <v>819</v>
      </c>
      <c r="D929" s="663" t="s">
        <v>849</v>
      </c>
      <c r="E929" s="664" t="s">
        <v>831</v>
      </c>
      <c r="F929" s="665"/>
      <c r="G929" s="663">
        <v>20</v>
      </c>
      <c r="H929" s="662" t="s">
        <v>807</v>
      </c>
      <c r="I929" s="666" t="s">
        <v>857</v>
      </c>
      <c r="J929" s="667" t="s">
        <v>805</v>
      </c>
      <c r="K929" s="662">
        <v>3</v>
      </c>
      <c r="L929" s="685">
        <f t="shared" si="25"/>
        <v>18.8</v>
      </c>
      <c r="M929" s="686">
        <f t="shared" si="24"/>
        <v>56.400000000000006</v>
      </c>
    </row>
    <row r="930" spans="2:13" s="645" customFormat="1" ht="21.75" customHeight="1">
      <c r="B930" s="661">
        <v>44400</v>
      </c>
      <c r="C930" s="662" t="s">
        <v>819</v>
      </c>
      <c r="D930" s="663" t="s">
        <v>835</v>
      </c>
      <c r="E930" s="664" t="s">
        <v>831</v>
      </c>
      <c r="F930" s="665"/>
      <c r="G930" s="663">
        <v>20</v>
      </c>
      <c r="H930" s="662" t="s">
        <v>807</v>
      </c>
      <c r="I930" s="666" t="s">
        <v>859</v>
      </c>
      <c r="J930" s="667" t="s">
        <v>805</v>
      </c>
      <c r="K930" s="662">
        <v>5</v>
      </c>
      <c r="L930" s="685">
        <f t="shared" si="25"/>
        <v>18.8</v>
      </c>
      <c r="M930" s="686">
        <f t="shared" si="24"/>
        <v>94</v>
      </c>
    </row>
    <row r="931" spans="2:13" s="645" customFormat="1" ht="21.75" customHeight="1">
      <c r="B931" s="661">
        <v>44400</v>
      </c>
      <c r="C931" s="662" t="s">
        <v>819</v>
      </c>
      <c r="D931" s="663" t="s">
        <v>835</v>
      </c>
      <c r="E931" s="664" t="s">
        <v>831</v>
      </c>
      <c r="F931" s="665"/>
      <c r="G931" s="663">
        <v>20</v>
      </c>
      <c r="H931" s="662" t="s">
        <v>807</v>
      </c>
      <c r="I931" s="666" t="s">
        <v>857</v>
      </c>
      <c r="J931" s="667" t="s">
        <v>805</v>
      </c>
      <c r="K931" s="662">
        <v>8</v>
      </c>
      <c r="L931" s="685">
        <f t="shared" si="25"/>
        <v>18.8</v>
      </c>
      <c r="M931" s="686">
        <f t="shared" si="24"/>
        <v>150.4</v>
      </c>
    </row>
    <row r="932" spans="2:13" s="645" customFormat="1" ht="21.75" customHeight="1">
      <c r="B932" s="661">
        <v>44400</v>
      </c>
      <c r="C932" s="662" t="s">
        <v>819</v>
      </c>
      <c r="D932" s="663" t="s">
        <v>841</v>
      </c>
      <c r="E932" s="690" t="s">
        <v>831</v>
      </c>
      <c r="F932" s="692"/>
      <c r="G932" s="663">
        <v>20</v>
      </c>
      <c r="H932" s="662" t="s">
        <v>807</v>
      </c>
      <c r="I932" s="666" t="s">
        <v>859</v>
      </c>
      <c r="J932" s="667" t="s">
        <v>805</v>
      </c>
      <c r="K932" s="662">
        <v>2</v>
      </c>
      <c r="L932" s="685">
        <f t="shared" si="25"/>
        <v>18.8</v>
      </c>
      <c r="M932" s="686">
        <f t="shared" si="24"/>
        <v>37.6</v>
      </c>
    </row>
    <row r="933" spans="2:13" s="645" customFormat="1" ht="21.75" customHeight="1">
      <c r="B933" s="661">
        <v>44400</v>
      </c>
      <c r="C933" s="662" t="s">
        <v>819</v>
      </c>
      <c r="D933" s="663" t="s">
        <v>841</v>
      </c>
      <c r="E933" s="690" t="s">
        <v>831</v>
      </c>
      <c r="F933" s="692"/>
      <c r="G933" s="663">
        <v>20</v>
      </c>
      <c r="H933" s="662" t="s">
        <v>807</v>
      </c>
      <c r="I933" s="666" t="s">
        <v>857</v>
      </c>
      <c r="J933" s="667" t="s">
        <v>805</v>
      </c>
      <c r="K933" s="662">
        <v>10</v>
      </c>
      <c r="L933" s="685">
        <f t="shared" si="25"/>
        <v>18.8</v>
      </c>
      <c r="M933" s="686">
        <f t="shared" si="24"/>
        <v>188</v>
      </c>
    </row>
    <row r="934" spans="2:13" s="645" customFormat="1" ht="21.75" customHeight="1">
      <c r="B934" s="661">
        <v>44400</v>
      </c>
      <c r="C934" s="662" t="s">
        <v>819</v>
      </c>
      <c r="D934" s="663" t="s">
        <v>834</v>
      </c>
      <c r="E934" s="664" t="s">
        <v>831</v>
      </c>
      <c r="F934" s="665"/>
      <c r="G934" s="663">
        <v>20</v>
      </c>
      <c r="H934" s="662" t="s">
        <v>807</v>
      </c>
      <c r="I934" s="666" t="s">
        <v>859</v>
      </c>
      <c r="J934" s="667" t="s">
        <v>805</v>
      </c>
      <c r="K934" s="662">
        <v>8</v>
      </c>
      <c r="L934" s="685">
        <f t="shared" si="25"/>
        <v>18.8</v>
      </c>
      <c r="M934" s="686">
        <f t="shared" si="24"/>
        <v>150.4</v>
      </c>
    </row>
    <row r="935" spans="2:13" s="645" customFormat="1" ht="21.75" customHeight="1">
      <c r="B935" s="661">
        <v>44400</v>
      </c>
      <c r="C935" s="662" t="s">
        <v>819</v>
      </c>
      <c r="D935" s="663" t="s">
        <v>834</v>
      </c>
      <c r="E935" s="664" t="s">
        <v>831</v>
      </c>
      <c r="F935" s="665"/>
      <c r="G935" s="663">
        <v>20</v>
      </c>
      <c r="H935" s="662" t="s">
        <v>807</v>
      </c>
      <c r="I935" s="666" t="s">
        <v>857</v>
      </c>
      <c r="J935" s="667" t="s">
        <v>805</v>
      </c>
      <c r="K935" s="662">
        <v>4</v>
      </c>
      <c r="L935" s="685">
        <f t="shared" si="25"/>
        <v>18.8</v>
      </c>
      <c r="M935" s="686">
        <f t="shared" ref="M935:M998" si="26">L935*K935</f>
        <v>75.2</v>
      </c>
    </row>
    <row r="936" spans="2:13" s="645" customFormat="1" ht="21.75" customHeight="1">
      <c r="B936" s="661">
        <v>44400</v>
      </c>
      <c r="C936" s="662" t="s">
        <v>819</v>
      </c>
      <c r="D936" s="663" t="s">
        <v>848</v>
      </c>
      <c r="E936" s="664" t="s">
        <v>831</v>
      </c>
      <c r="F936" s="665"/>
      <c r="G936" s="663">
        <v>20</v>
      </c>
      <c r="H936" s="662" t="s">
        <v>807</v>
      </c>
      <c r="I936" s="666" t="s">
        <v>859</v>
      </c>
      <c r="J936" s="667" t="s">
        <v>805</v>
      </c>
      <c r="K936" s="662">
        <v>6</v>
      </c>
      <c r="L936" s="685">
        <f t="shared" si="25"/>
        <v>18.8</v>
      </c>
      <c r="M936" s="686">
        <f t="shared" si="26"/>
        <v>112.80000000000001</v>
      </c>
    </row>
    <row r="937" spans="2:13" s="645" customFormat="1" ht="21.75" customHeight="1">
      <c r="B937" s="661">
        <v>44400</v>
      </c>
      <c r="C937" s="662" t="s">
        <v>819</v>
      </c>
      <c r="D937" s="663" t="s">
        <v>848</v>
      </c>
      <c r="E937" s="664" t="s">
        <v>831</v>
      </c>
      <c r="F937" s="665"/>
      <c r="G937" s="663">
        <v>20</v>
      </c>
      <c r="H937" s="662" t="s">
        <v>807</v>
      </c>
      <c r="I937" s="666" t="s">
        <v>857</v>
      </c>
      <c r="J937" s="667" t="s">
        <v>805</v>
      </c>
      <c r="K937" s="662">
        <v>6</v>
      </c>
      <c r="L937" s="685">
        <f t="shared" si="25"/>
        <v>18.8</v>
      </c>
      <c r="M937" s="686">
        <f t="shared" si="26"/>
        <v>112.80000000000001</v>
      </c>
    </row>
    <row r="938" spans="2:13" s="645" customFormat="1" ht="21.75" customHeight="1">
      <c r="B938" s="661">
        <v>44400</v>
      </c>
      <c r="C938" s="662" t="s">
        <v>819</v>
      </c>
      <c r="D938" s="663" t="s">
        <v>836</v>
      </c>
      <c r="E938" s="664" t="s">
        <v>831</v>
      </c>
      <c r="F938" s="665"/>
      <c r="G938" s="663">
        <v>20</v>
      </c>
      <c r="H938" s="662" t="s">
        <v>807</v>
      </c>
      <c r="I938" s="666" t="s">
        <v>859</v>
      </c>
      <c r="J938" s="667" t="s">
        <v>805</v>
      </c>
      <c r="K938" s="662">
        <v>15</v>
      </c>
      <c r="L938" s="685">
        <f t="shared" si="25"/>
        <v>18.8</v>
      </c>
      <c r="M938" s="686">
        <f t="shared" si="26"/>
        <v>282</v>
      </c>
    </row>
    <row r="939" spans="2:13" s="645" customFormat="1" ht="21.75" customHeight="1">
      <c r="B939" s="661">
        <v>44400</v>
      </c>
      <c r="C939" s="662" t="s">
        <v>819</v>
      </c>
      <c r="D939" s="663" t="s">
        <v>830</v>
      </c>
      <c r="E939" s="664" t="s">
        <v>831</v>
      </c>
      <c r="F939" s="665"/>
      <c r="G939" s="663">
        <v>15</v>
      </c>
      <c r="H939" s="662" t="s">
        <v>807</v>
      </c>
      <c r="I939" s="666" t="s">
        <v>859</v>
      </c>
      <c r="J939" s="667" t="s">
        <v>805</v>
      </c>
      <c r="K939" s="662">
        <v>5</v>
      </c>
      <c r="L939" s="685">
        <f t="shared" si="25"/>
        <v>14.1</v>
      </c>
      <c r="M939" s="686">
        <f t="shared" si="26"/>
        <v>70.5</v>
      </c>
    </row>
    <row r="940" spans="2:13" s="645" customFormat="1" ht="21.75" customHeight="1">
      <c r="B940" s="661">
        <v>44400</v>
      </c>
      <c r="C940" s="662" t="s">
        <v>819</v>
      </c>
      <c r="D940" s="663" t="s">
        <v>830</v>
      </c>
      <c r="E940" s="664" t="s">
        <v>831</v>
      </c>
      <c r="F940" s="665"/>
      <c r="G940" s="663">
        <v>15</v>
      </c>
      <c r="H940" s="662" t="s">
        <v>807</v>
      </c>
      <c r="I940" s="666" t="s">
        <v>857</v>
      </c>
      <c r="J940" s="667" t="s">
        <v>805</v>
      </c>
      <c r="K940" s="662">
        <v>7</v>
      </c>
      <c r="L940" s="685">
        <f t="shared" si="25"/>
        <v>14.1</v>
      </c>
      <c r="M940" s="686">
        <f t="shared" si="26"/>
        <v>98.7</v>
      </c>
    </row>
    <row r="941" spans="2:13" s="645" customFormat="1" ht="21.75" customHeight="1">
      <c r="B941" s="661">
        <v>44400</v>
      </c>
      <c r="C941" s="662" t="s">
        <v>819</v>
      </c>
      <c r="D941" s="663" t="s">
        <v>839</v>
      </c>
      <c r="E941" s="664" t="s">
        <v>831</v>
      </c>
      <c r="F941" s="665"/>
      <c r="G941" s="663">
        <v>15</v>
      </c>
      <c r="H941" s="662" t="s">
        <v>807</v>
      </c>
      <c r="I941" s="666" t="s">
        <v>859</v>
      </c>
      <c r="J941" s="667" t="s">
        <v>805</v>
      </c>
      <c r="K941" s="662">
        <v>3</v>
      </c>
      <c r="L941" s="685">
        <f t="shared" si="25"/>
        <v>14.1</v>
      </c>
      <c r="M941" s="686">
        <f t="shared" si="26"/>
        <v>42.3</v>
      </c>
    </row>
    <row r="942" spans="2:13" s="645" customFormat="1" ht="21.75" customHeight="1">
      <c r="B942" s="661">
        <v>44400</v>
      </c>
      <c r="C942" s="662" t="s">
        <v>819</v>
      </c>
      <c r="D942" s="663" t="s">
        <v>839</v>
      </c>
      <c r="E942" s="664" t="s">
        <v>831</v>
      </c>
      <c r="F942" s="665"/>
      <c r="G942" s="663">
        <v>15</v>
      </c>
      <c r="H942" s="662" t="s">
        <v>807</v>
      </c>
      <c r="I942" s="666" t="s">
        <v>857</v>
      </c>
      <c r="J942" s="667" t="s">
        <v>805</v>
      </c>
      <c r="K942" s="662">
        <v>6</v>
      </c>
      <c r="L942" s="685">
        <f t="shared" si="25"/>
        <v>14.1</v>
      </c>
      <c r="M942" s="686">
        <f t="shared" si="26"/>
        <v>84.6</v>
      </c>
    </row>
    <row r="943" spans="2:13" s="645" customFormat="1" ht="21.75" customHeight="1">
      <c r="B943" s="661">
        <v>44400</v>
      </c>
      <c r="C943" s="662" t="s">
        <v>819</v>
      </c>
      <c r="D943" s="663" t="s">
        <v>845</v>
      </c>
      <c r="E943" s="690" t="s">
        <v>831</v>
      </c>
      <c r="F943" s="692"/>
      <c r="G943" s="663">
        <v>17</v>
      </c>
      <c r="H943" s="662" t="s">
        <v>807</v>
      </c>
      <c r="I943" s="666" t="s">
        <v>859</v>
      </c>
      <c r="J943" s="667" t="s">
        <v>805</v>
      </c>
      <c r="K943" s="662">
        <v>4</v>
      </c>
      <c r="L943" s="685">
        <f t="shared" si="25"/>
        <v>15.98</v>
      </c>
      <c r="M943" s="686">
        <f t="shared" si="26"/>
        <v>63.92</v>
      </c>
    </row>
    <row r="944" spans="2:13" s="645" customFormat="1" ht="21.75" customHeight="1">
      <c r="B944" s="661">
        <v>44400</v>
      </c>
      <c r="C944" s="662" t="s">
        <v>819</v>
      </c>
      <c r="D944" s="663" t="s">
        <v>845</v>
      </c>
      <c r="E944" s="690" t="s">
        <v>831</v>
      </c>
      <c r="F944" s="692"/>
      <c r="G944" s="663">
        <v>17</v>
      </c>
      <c r="H944" s="662" t="s">
        <v>807</v>
      </c>
      <c r="I944" s="666" t="s">
        <v>857</v>
      </c>
      <c r="J944" s="667" t="s">
        <v>805</v>
      </c>
      <c r="K944" s="662">
        <v>10</v>
      </c>
      <c r="L944" s="685">
        <f t="shared" si="25"/>
        <v>15.98</v>
      </c>
      <c r="M944" s="686">
        <f t="shared" si="26"/>
        <v>159.80000000000001</v>
      </c>
    </row>
    <row r="945" spans="2:13" s="645" customFormat="1" ht="21.75" customHeight="1">
      <c r="B945" s="661">
        <v>44400</v>
      </c>
      <c r="C945" s="662" t="s">
        <v>819</v>
      </c>
      <c r="D945" s="663" t="s">
        <v>847</v>
      </c>
      <c r="E945" s="690" t="s">
        <v>831</v>
      </c>
      <c r="F945" s="692"/>
      <c r="G945" s="663">
        <v>17</v>
      </c>
      <c r="H945" s="662" t="s">
        <v>807</v>
      </c>
      <c r="I945" s="666" t="s">
        <v>857</v>
      </c>
      <c r="J945" s="667" t="s">
        <v>805</v>
      </c>
      <c r="K945" s="662">
        <v>13</v>
      </c>
      <c r="L945" s="685">
        <f t="shared" si="25"/>
        <v>15.98</v>
      </c>
      <c r="M945" s="686">
        <f t="shared" si="26"/>
        <v>207.74</v>
      </c>
    </row>
    <row r="946" spans="2:13" s="645" customFormat="1" ht="21.75" customHeight="1">
      <c r="B946" s="661">
        <v>44400</v>
      </c>
      <c r="C946" s="662" t="s">
        <v>819</v>
      </c>
      <c r="D946" s="663" t="s">
        <v>856</v>
      </c>
      <c r="E946" s="664" t="s">
        <v>831</v>
      </c>
      <c r="F946" s="665"/>
      <c r="G946" s="663">
        <v>20</v>
      </c>
      <c r="H946" s="662" t="s">
        <v>807</v>
      </c>
      <c r="I946" s="666" t="s">
        <v>859</v>
      </c>
      <c r="J946" s="667" t="s">
        <v>805</v>
      </c>
      <c r="K946" s="662">
        <v>7</v>
      </c>
      <c r="L946" s="685">
        <f t="shared" si="25"/>
        <v>18.8</v>
      </c>
      <c r="M946" s="686">
        <f t="shared" si="26"/>
        <v>131.6</v>
      </c>
    </row>
    <row r="947" spans="2:13" s="645" customFormat="1" ht="21.75" customHeight="1">
      <c r="B947" s="661">
        <v>44400</v>
      </c>
      <c r="C947" s="662" t="s">
        <v>819</v>
      </c>
      <c r="D947" s="663" t="s">
        <v>856</v>
      </c>
      <c r="E947" s="664" t="s">
        <v>831</v>
      </c>
      <c r="F947" s="665"/>
      <c r="G947" s="663">
        <v>20</v>
      </c>
      <c r="H947" s="662" t="s">
        <v>807</v>
      </c>
      <c r="I947" s="666" t="s">
        <v>857</v>
      </c>
      <c r="J947" s="667" t="s">
        <v>805</v>
      </c>
      <c r="K947" s="662">
        <v>7</v>
      </c>
      <c r="L947" s="685">
        <f t="shared" si="25"/>
        <v>18.8</v>
      </c>
      <c r="M947" s="686">
        <f t="shared" si="26"/>
        <v>131.6</v>
      </c>
    </row>
    <row r="948" spans="2:13" s="645" customFormat="1" ht="21.75" customHeight="1">
      <c r="B948" s="661">
        <v>44400</v>
      </c>
      <c r="C948" s="662" t="s">
        <v>819</v>
      </c>
      <c r="D948" s="663" t="s">
        <v>855</v>
      </c>
      <c r="E948" s="664" t="s">
        <v>831</v>
      </c>
      <c r="F948" s="665"/>
      <c r="G948" s="663">
        <v>20</v>
      </c>
      <c r="H948" s="662" t="s">
        <v>807</v>
      </c>
      <c r="I948" s="666" t="s">
        <v>859</v>
      </c>
      <c r="J948" s="667" t="s">
        <v>805</v>
      </c>
      <c r="K948" s="662">
        <v>6</v>
      </c>
      <c r="L948" s="685">
        <f t="shared" si="25"/>
        <v>18.8</v>
      </c>
      <c r="M948" s="686">
        <f t="shared" si="26"/>
        <v>112.80000000000001</v>
      </c>
    </row>
    <row r="949" spans="2:13" s="645" customFormat="1" ht="21.75" customHeight="1">
      <c r="B949" s="661">
        <v>44400</v>
      </c>
      <c r="C949" s="662" t="s">
        <v>819</v>
      </c>
      <c r="D949" s="663" t="s">
        <v>855</v>
      </c>
      <c r="E949" s="664" t="s">
        <v>831</v>
      </c>
      <c r="F949" s="665"/>
      <c r="G949" s="663">
        <v>20</v>
      </c>
      <c r="H949" s="662" t="s">
        <v>807</v>
      </c>
      <c r="I949" s="666" t="s">
        <v>857</v>
      </c>
      <c r="J949" s="667" t="s">
        <v>805</v>
      </c>
      <c r="K949" s="662">
        <v>6</v>
      </c>
      <c r="L949" s="685">
        <f t="shared" si="25"/>
        <v>18.8</v>
      </c>
      <c r="M949" s="686">
        <f t="shared" si="26"/>
        <v>112.80000000000001</v>
      </c>
    </row>
    <row r="950" spans="2:13" s="645" customFormat="1" ht="21.75" customHeight="1">
      <c r="B950" s="661">
        <v>44401</v>
      </c>
      <c r="C950" s="662" t="s">
        <v>837</v>
      </c>
      <c r="D950" s="663" t="s">
        <v>835</v>
      </c>
      <c r="E950" s="664" t="s">
        <v>831</v>
      </c>
      <c r="F950" s="661"/>
      <c r="G950" s="663">
        <v>20</v>
      </c>
      <c r="H950" s="662" t="s">
        <v>807</v>
      </c>
      <c r="I950" s="666" t="s">
        <v>854</v>
      </c>
      <c r="J950" s="667" t="s">
        <v>804</v>
      </c>
      <c r="K950" s="662">
        <v>7</v>
      </c>
      <c r="L950" s="679">
        <f t="shared" si="25"/>
        <v>18.8</v>
      </c>
      <c r="M950" s="668">
        <f t="shared" si="26"/>
        <v>131.6</v>
      </c>
    </row>
    <row r="951" spans="2:13" s="645" customFormat="1" ht="21.75" customHeight="1">
      <c r="B951" s="661">
        <v>44401</v>
      </c>
      <c r="C951" s="662" t="s">
        <v>837</v>
      </c>
      <c r="D951" s="663" t="s">
        <v>835</v>
      </c>
      <c r="E951" s="664" t="s">
        <v>831</v>
      </c>
      <c r="F951" s="661"/>
      <c r="G951" s="663">
        <v>20</v>
      </c>
      <c r="H951" s="662" t="s">
        <v>807</v>
      </c>
      <c r="I951" s="666" t="s">
        <v>854</v>
      </c>
      <c r="J951" s="667" t="s">
        <v>804</v>
      </c>
      <c r="K951" s="662">
        <v>3</v>
      </c>
      <c r="L951" s="679">
        <f t="shared" si="25"/>
        <v>18.8</v>
      </c>
      <c r="M951" s="668">
        <f t="shared" si="26"/>
        <v>56.400000000000006</v>
      </c>
    </row>
    <row r="952" spans="2:13" s="645" customFormat="1" ht="21.75" customHeight="1">
      <c r="B952" s="661">
        <v>44401</v>
      </c>
      <c r="C952" s="662" t="s">
        <v>837</v>
      </c>
      <c r="D952" s="663" t="s">
        <v>841</v>
      </c>
      <c r="E952" s="664" t="s">
        <v>831</v>
      </c>
      <c r="F952" s="661"/>
      <c r="G952" s="663">
        <v>20</v>
      </c>
      <c r="H952" s="662" t="s">
        <v>807</v>
      </c>
      <c r="I952" s="666" t="s">
        <v>854</v>
      </c>
      <c r="J952" s="667" t="s">
        <v>804</v>
      </c>
      <c r="K952" s="662">
        <v>6</v>
      </c>
      <c r="L952" s="679">
        <f t="shared" si="25"/>
        <v>18.8</v>
      </c>
      <c r="M952" s="668">
        <f t="shared" si="26"/>
        <v>112.80000000000001</v>
      </c>
    </row>
    <row r="953" spans="2:13" s="645" customFormat="1" ht="21.75" customHeight="1">
      <c r="B953" s="661">
        <v>44401</v>
      </c>
      <c r="C953" s="662" t="s">
        <v>837</v>
      </c>
      <c r="D953" s="663" t="s">
        <v>841</v>
      </c>
      <c r="E953" s="690" t="s">
        <v>831</v>
      </c>
      <c r="F953" s="691"/>
      <c r="G953" s="663">
        <v>20</v>
      </c>
      <c r="H953" s="662" t="s">
        <v>807</v>
      </c>
      <c r="I953" s="666" t="s">
        <v>854</v>
      </c>
      <c r="J953" s="667" t="s">
        <v>804</v>
      </c>
      <c r="K953" s="662">
        <v>3</v>
      </c>
      <c r="L953" s="679">
        <f t="shared" si="25"/>
        <v>18.8</v>
      </c>
      <c r="M953" s="668">
        <f t="shared" si="26"/>
        <v>56.400000000000006</v>
      </c>
    </row>
    <row r="954" spans="2:13" s="645" customFormat="1" ht="21.75" customHeight="1">
      <c r="B954" s="661">
        <v>44401</v>
      </c>
      <c r="C954" s="662" t="s">
        <v>837</v>
      </c>
      <c r="D954" s="663" t="s">
        <v>834</v>
      </c>
      <c r="E954" s="690" t="s">
        <v>831</v>
      </c>
      <c r="F954" s="691"/>
      <c r="G954" s="663">
        <v>20</v>
      </c>
      <c r="H954" s="662" t="s">
        <v>807</v>
      </c>
      <c r="I954" s="666" t="s">
        <v>854</v>
      </c>
      <c r="J954" s="667" t="s">
        <v>804</v>
      </c>
      <c r="K954" s="662">
        <v>6</v>
      </c>
      <c r="L954" s="679">
        <f t="shared" si="25"/>
        <v>18.8</v>
      </c>
      <c r="M954" s="668">
        <f t="shared" si="26"/>
        <v>112.80000000000001</v>
      </c>
    </row>
    <row r="955" spans="2:13" s="645" customFormat="1" ht="21.75" customHeight="1">
      <c r="B955" s="661">
        <v>44401</v>
      </c>
      <c r="C955" s="662" t="s">
        <v>837</v>
      </c>
      <c r="D955" s="663" t="s">
        <v>834</v>
      </c>
      <c r="E955" s="664" t="s">
        <v>831</v>
      </c>
      <c r="F955" s="661"/>
      <c r="G955" s="663">
        <v>20</v>
      </c>
      <c r="H955" s="662" t="s">
        <v>807</v>
      </c>
      <c r="I955" s="666" t="s">
        <v>854</v>
      </c>
      <c r="J955" s="667" t="s">
        <v>804</v>
      </c>
      <c r="K955" s="662">
        <v>4</v>
      </c>
      <c r="L955" s="679">
        <f t="shared" si="25"/>
        <v>18.8</v>
      </c>
      <c r="M955" s="668">
        <f t="shared" si="26"/>
        <v>75.2</v>
      </c>
    </row>
    <row r="956" spans="2:13" s="645" customFormat="1" ht="21.75" customHeight="1">
      <c r="B956" s="661">
        <v>44401</v>
      </c>
      <c r="C956" s="662" t="s">
        <v>837</v>
      </c>
      <c r="D956" s="663" t="s">
        <v>848</v>
      </c>
      <c r="E956" s="664" t="s">
        <v>831</v>
      </c>
      <c r="F956" s="661"/>
      <c r="G956" s="663">
        <v>20</v>
      </c>
      <c r="H956" s="662" t="s">
        <v>807</v>
      </c>
      <c r="I956" s="666" t="s">
        <v>854</v>
      </c>
      <c r="J956" s="667" t="s">
        <v>804</v>
      </c>
      <c r="K956" s="662">
        <v>6</v>
      </c>
      <c r="L956" s="679">
        <f t="shared" si="25"/>
        <v>18.8</v>
      </c>
      <c r="M956" s="668">
        <f t="shared" si="26"/>
        <v>112.80000000000001</v>
      </c>
    </row>
    <row r="957" spans="2:13" s="645" customFormat="1" ht="21.75" customHeight="1">
      <c r="B957" s="661">
        <v>44401</v>
      </c>
      <c r="C957" s="662" t="s">
        <v>837</v>
      </c>
      <c r="D957" s="663" t="s">
        <v>848</v>
      </c>
      <c r="E957" s="664" t="s">
        <v>831</v>
      </c>
      <c r="F957" s="661"/>
      <c r="G957" s="663">
        <v>20</v>
      </c>
      <c r="H957" s="662" t="s">
        <v>807</v>
      </c>
      <c r="I957" s="666" t="s">
        <v>854</v>
      </c>
      <c r="J957" s="667" t="s">
        <v>804</v>
      </c>
      <c r="K957" s="662">
        <v>5</v>
      </c>
      <c r="L957" s="679">
        <f t="shared" si="25"/>
        <v>18.8</v>
      </c>
      <c r="M957" s="668">
        <f t="shared" si="26"/>
        <v>94</v>
      </c>
    </row>
    <row r="958" spans="2:13" s="645" customFormat="1" ht="21.75" customHeight="1">
      <c r="B958" s="661">
        <v>44401</v>
      </c>
      <c r="C958" s="662" t="s">
        <v>837</v>
      </c>
      <c r="D958" s="663" t="s">
        <v>845</v>
      </c>
      <c r="E958" s="664" t="s">
        <v>831</v>
      </c>
      <c r="F958" s="661"/>
      <c r="G958" s="663">
        <v>17</v>
      </c>
      <c r="H958" s="662" t="s">
        <v>807</v>
      </c>
      <c r="I958" s="666" t="s">
        <v>854</v>
      </c>
      <c r="J958" s="667" t="s">
        <v>804</v>
      </c>
      <c r="K958" s="662">
        <v>7</v>
      </c>
      <c r="L958" s="679">
        <f t="shared" si="25"/>
        <v>15.98</v>
      </c>
      <c r="M958" s="668">
        <f t="shared" si="26"/>
        <v>111.86</v>
      </c>
    </row>
    <row r="959" spans="2:13" s="645" customFormat="1" ht="21.75" customHeight="1">
      <c r="B959" s="661">
        <v>44401</v>
      </c>
      <c r="C959" s="662" t="s">
        <v>837</v>
      </c>
      <c r="D959" s="663" t="s">
        <v>845</v>
      </c>
      <c r="E959" s="664" t="s">
        <v>831</v>
      </c>
      <c r="F959" s="661"/>
      <c r="G959" s="663">
        <v>17</v>
      </c>
      <c r="H959" s="662" t="s">
        <v>807</v>
      </c>
      <c r="I959" s="666" t="s">
        <v>854</v>
      </c>
      <c r="J959" s="667" t="s">
        <v>804</v>
      </c>
      <c r="K959" s="662">
        <v>4</v>
      </c>
      <c r="L959" s="679">
        <f t="shared" si="25"/>
        <v>15.98</v>
      </c>
      <c r="M959" s="668">
        <f t="shared" si="26"/>
        <v>63.92</v>
      </c>
    </row>
    <row r="960" spans="2:13" s="645" customFormat="1" ht="21.75" customHeight="1">
      <c r="B960" s="661">
        <v>44401</v>
      </c>
      <c r="C960" s="662" t="s">
        <v>837</v>
      </c>
      <c r="D960" s="663" t="s">
        <v>847</v>
      </c>
      <c r="E960" s="664" t="s">
        <v>831</v>
      </c>
      <c r="F960" s="661"/>
      <c r="G960" s="663">
        <v>17</v>
      </c>
      <c r="H960" s="662" t="s">
        <v>807</v>
      </c>
      <c r="I960" s="666" t="s">
        <v>854</v>
      </c>
      <c r="J960" s="667" t="s">
        <v>804</v>
      </c>
      <c r="K960" s="662">
        <v>7</v>
      </c>
      <c r="L960" s="679">
        <f t="shared" si="25"/>
        <v>15.98</v>
      </c>
      <c r="M960" s="668">
        <f t="shared" si="26"/>
        <v>111.86</v>
      </c>
    </row>
    <row r="961" spans="2:13" s="645" customFormat="1" ht="21.75" customHeight="1">
      <c r="B961" s="661">
        <v>44401</v>
      </c>
      <c r="C961" s="662" t="s">
        <v>837</v>
      </c>
      <c r="D961" s="663" t="s">
        <v>847</v>
      </c>
      <c r="E961" s="690" t="s">
        <v>831</v>
      </c>
      <c r="F961" s="691"/>
      <c r="G961" s="663">
        <v>17</v>
      </c>
      <c r="H961" s="662" t="s">
        <v>807</v>
      </c>
      <c r="I961" s="666" t="s">
        <v>854</v>
      </c>
      <c r="J961" s="667" t="s">
        <v>804</v>
      </c>
      <c r="K961" s="662">
        <v>3</v>
      </c>
      <c r="L961" s="679">
        <f t="shared" si="25"/>
        <v>15.98</v>
      </c>
      <c r="M961" s="668">
        <f t="shared" si="26"/>
        <v>47.94</v>
      </c>
    </row>
    <row r="962" spans="2:13" s="645" customFormat="1" ht="21.75" customHeight="1">
      <c r="B962" s="661">
        <v>44401</v>
      </c>
      <c r="C962" s="662" t="s">
        <v>837</v>
      </c>
      <c r="D962" s="663" t="s">
        <v>856</v>
      </c>
      <c r="E962" s="690" t="s">
        <v>831</v>
      </c>
      <c r="F962" s="691"/>
      <c r="G962" s="663">
        <v>20</v>
      </c>
      <c r="H962" s="662" t="s">
        <v>807</v>
      </c>
      <c r="I962" s="666" t="s">
        <v>854</v>
      </c>
      <c r="J962" s="667" t="s">
        <v>804</v>
      </c>
      <c r="K962" s="662">
        <v>7</v>
      </c>
      <c r="L962" s="679">
        <f t="shared" si="25"/>
        <v>18.8</v>
      </c>
      <c r="M962" s="668">
        <f t="shared" si="26"/>
        <v>131.6</v>
      </c>
    </row>
    <row r="963" spans="2:13" s="645" customFormat="1" ht="21.75" customHeight="1">
      <c r="B963" s="661">
        <v>44401</v>
      </c>
      <c r="C963" s="662" t="s">
        <v>837</v>
      </c>
      <c r="D963" s="663" t="s">
        <v>856</v>
      </c>
      <c r="E963" s="664" t="s">
        <v>831</v>
      </c>
      <c r="F963" s="661"/>
      <c r="G963" s="663">
        <v>20</v>
      </c>
      <c r="H963" s="662" t="s">
        <v>807</v>
      </c>
      <c r="I963" s="666" t="s">
        <v>854</v>
      </c>
      <c r="J963" s="667" t="s">
        <v>804</v>
      </c>
      <c r="K963" s="662">
        <v>3</v>
      </c>
      <c r="L963" s="679">
        <f t="shared" si="25"/>
        <v>18.8</v>
      </c>
      <c r="M963" s="668">
        <f t="shared" si="26"/>
        <v>56.400000000000006</v>
      </c>
    </row>
    <row r="964" spans="2:13" s="645" customFormat="1" ht="21.75" customHeight="1">
      <c r="B964" s="661">
        <v>44401</v>
      </c>
      <c r="C964" s="662" t="s">
        <v>837</v>
      </c>
      <c r="D964" s="663" t="s">
        <v>855</v>
      </c>
      <c r="E964" s="664" t="s">
        <v>831</v>
      </c>
      <c r="F964" s="661"/>
      <c r="G964" s="663">
        <v>20</v>
      </c>
      <c r="H964" s="662" t="s">
        <v>807</v>
      </c>
      <c r="I964" s="666" t="s">
        <v>854</v>
      </c>
      <c r="J964" s="667" t="s">
        <v>804</v>
      </c>
      <c r="K964" s="662">
        <v>6</v>
      </c>
      <c r="L964" s="679">
        <f t="shared" si="25"/>
        <v>18.8</v>
      </c>
      <c r="M964" s="668">
        <f t="shared" si="26"/>
        <v>112.80000000000001</v>
      </c>
    </row>
    <row r="965" spans="2:13" s="645" customFormat="1" ht="21.75" customHeight="1">
      <c r="B965" s="661">
        <v>44401</v>
      </c>
      <c r="C965" s="662" t="s">
        <v>837</v>
      </c>
      <c r="D965" s="663" t="s">
        <v>855</v>
      </c>
      <c r="E965" s="664" t="s">
        <v>831</v>
      </c>
      <c r="F965" s="661"/>
      <c r="G965" s="663">
        <v>20</v>
      </c>
      <c r="H965" s="662" t="s">
        <v>807</v>
      </c>
      <c r="I965" s="666" t="s">
        <v>854</v>
      </c>
      <c r="J965" s="667" t="s">
        <v>804</v>
      </c>
      <c r="K965" s="662">
        <v>4</v>
      </c>
      <c r="L965" s="679">
        <f t="shared" si="25"/>
        <v>18.8</v>
      </c>
      <c r="M965" s="668">
        <f t="shared" si="26"/>
        <v>75.2</v>
      </c>
    </row>
    <row r="966" spans="2:13" s="645" customFormat="1" ht="21.75" customHeight="1">
      <c r="B966" s="661">
        <v>44401</v>
      </c>
      <c r="C966" s="662" t="s">
        <v>819</v>
      </c>
      <c r="D966" s="663" t="s">
        <v>849</v>
      </c>
      <c r="E966" s="664" t="s">
        <v>831</v>
      </c>
      <c r="F966" s="665"/>
      <c r="G966" s="663">
        <v>20</v>
      </c>
      <c r="H966" s="662" t="s">
        <v>807</v>
      </c>
      <c r="I966" s="666" t="s">
        <v>859</v>
      </c>
      <c r="J966" s="667" t="s">
        <v>805</v>
      </c>
      <c r="K966" s="662">
        <v>8</v>
      </c>
      <c r="L966" s="685">
        <f t="shared" si="25"/>
        <v>18.8</v>
      </c>
      <c r="M966" s="686">
        <f t="shared" si="26"/>
        <v>150.4</v>
      </c>
    </row>
    <row r="967" spans="2:13" s="645" customFormat="1" ht="21.75" customHeight="1">
      <c r="B967" s="661">
        <v>44401</v>
      </c>
      <c r="C967" s="662" t="s">
        <v>819</v>
      </c>
      <c r="D967" s="663" t="s">
        <v>849</v>
      </c>
      <c r="E967" s="664" t="s">
        <v>831</v>
      </c>
      <c r="F967" s="665"/>
      <c r="G967" s="663">
        <v>20</v>
      </c>
      <c r="H967" s="662" t="s">
        <v>807</v>
      </c>
      <c r="I967" s="666" t="s">
        <v>857</v>
      </c>
      <c r="J967" s="667" t="s">
        <v>805</v>
      </c>
      <c r="K967" s="662">
        <v>5</v>
      </c>
      <c r="L967" s="685">
        <f t="shared" si="25"/>
        <v>18.8</v>
      </c>
      <c r="M967" s="686">
        <f t="shared" si="26"/>
        <v>94</v>
      </c>
    </row>
    <row r="968" spans="2:13" s="645" customFormat="1" ht="21.75" customHeight="1">
      <c r="B968" s="661">
        <v>44401</v>
      </c>
      <c r="C968" s="662" t="s">
        <v>819</v>
      </c>
      <c r="D968" s="663" t="s">
        <v>835</v>
      </c>
      <c r="E968" s="664" t="s">
        <v>831</v>
      </c>
      <c r="F968" s="665"/>
      <c r="G968" s="663">
        <v>20</v>
      </c>
      <c r="H968" s="662" t="s">
        <v>807</v>
      </c>
      <c r="I968" s="666" t="s">
        <v>859</v>
      </c>
      <c r="J968" s="667" t="s">
        <v>805</v>
      </c>
      <c r="K968" s="662">
        <v>12</v>
      </c>
      <c r="L968" s="685">
        <f t="shared" si="25"/>
        <v>18.8</v>
      </c>
      <c r="M968" s="686">
        <f t="shared" si="26"/>
        <v>225.60000000000002</v>
      </c>
    </row>
    <row r="969" spans="2:13" s="645" customFormat="1" ht="21.75" customHeight="1">
      <c r="B969" s="661">
        <v>44401</v>
      </c>
      <c r="C969" s="662" t="s">
        <v>819</v>
      </c>
      <c r="D969" s="663" t="s">
        <v>835</v>
      </c>
      <c r="E969" s="664" t="s">
        <v>831</v>
      </c>
      <c r="F969" s="665"/>
      <c r="G969" s="663">
        <v>20</v>
      </c>
      <c r="H969" s="662" t="s">
        <v>807</v>
      </c>
      <c r="I969" s="666" t="s">
        <v>857</v>
      </c>
      <c r="J969" s="667" t="s">
        <v>805</v>
      </c>
      <c r="K969" s="662">
        <v>1</v>
      </c>
      <c r="L969" s="685">
        <f t="shared" ref="L969:L1032" si="27">VLOOKUP(G969,$Q$4:$V$7,6,FALSE)</f>
        <v>18.8</v>
      </c>
      <c r="M969" s="686">
        <f t="shared" si="26"/>
        <v>18.8</v>
      </c>
    </row>
    <row r="970" spans="2:13" s="645" customFormat="1" ht="21.75" customHeight="1">
      <c r="B970" s="661">
        <v>44401</v>
      </c>
      <c r="C970" s="662" t="s">
        <v>819</v>
      </c>
      <c r="D970" s="663" t="s">
        <v>841</v>
      </c>
      <c r="E970" s="664" t="s">
        <v>831</v>
      </c>
      <c r="F970" s="665"/>
      <c r="G970" s="663">
        <v>20</v>
      </c>
      <c r="H970" s="662" t="s">
        <v>807</v>
      </c>
      <c r="I970" s="666" t="s">
        <v>859</v>
      </c>
      <c r="J970" s="667" t="s">
        <v>805</v>
      </c>
      <c r="K970" s="662">
        <v>9</v>
      </c>
      <c r="L970" s="685">
        <f t="shared" si="27"/>
        <v>18.8</v>
      </c>
      <c r="M970" s="686">
        <f t="shared" si="26"/>
        <v>169.20000000000002</v>
      </c>
    </row>
    <row r="971" spans="2:13" s="645" customFormat="1" ht="21.75" customHeight="1">
      <c r="B971" s="661">
        <v>44401</v>
      </c>
      <c r="C971" s="662" t="s">
        <v>819</v>
      </c>
      <c r="D971" s="663" t="s">
        <v>841</v>
      </c>
      <c r="E971" s="664" t="s">
        <v>831</v>
      </c>
      <c r="F971" s="665"/>
      <c r="G971" s="663">
        <v>20</v>
      </c>
      <c r="H971" s="662" t="s">
        <v>807</v>
      </c>
      <c r="I971" s="666" t="s">
        <v>857</v>
      </c>
      <c r="J971" s="667" t="s">
        <v>805</v>
      </c>
      <c r="K971" s="662">
        <v>3</v>
      </c>
      <c r="L971" s="685">
        <f t="shared" si="27"/>
        <v>18.8</v>
      </c>
      <c r="M971" s="686">
        <f t="shared" si="26"/>
        <v>56.400000000000006</v>
      </c>
    </row>
    <row r="972" spans="2:13" s="645" customFormat="1" ht="21.75" customHeight="1">
      <c r="B972" s="661">
        <v>44401</v>
      </c>
      <c r="C972" s="662" t="s">
        <v>819</v>
      </c>
      <c r="D972" s="663" t="s">
        <v>834</v>
      </c>
      <c r="E972" s="664" t="s">
        <v>831</v>
      </c>
      <c r="F972" s="665"/>
      <c r="G972" s="663">
        <v>20</v>
      </c>
      <c r="H972" s="662" t="s">
        <v>807</v>
      </c>
      <c r="I972" s="666" t="s">
        <v>859</v>
      </c>
      <c r="J972" s="667" t="s">
        <v>805</v>
      </c>
      <c r="K972" s="662">
        <v>9</v>
      </c>
      <c r="L972" s="685">
        <f t="shared" si="27"/>
        <v>18.8</v>
      </c>
      <c r="M972" s="686">
        <f t="shared" si="26"/>
        <v>169.20000000000002</v>
      </c>
    </row>
    <row r="973" spans="2:13" s="645" customFormat="1" ht="21.75" customHeight="1">
      <c r="B973" s="661">
        <v>44401</v>
      </c>
      <c r="C973" s="662" t="s">
        <v>819</v>
      </c>
      <c r="D973" s="663" t="s">
        <v>834</v>
      </c>
      <c r="E973" s="690" t="s">
        <v>831</v>
      </c>
      <c r="F973" s="692"/>
      <c r="G973" s="663">
        <v>20</v>
      </c>
      <c r="H973" s="662" t="s">
        <v>807</v>
      </c>
      <c r="I973" s="666" t="s">
        <v>857</v>
      </c>
      <c r="J973" s="667" t="s">
        <v>805</v>
      </c>
      <c r="K973" s="662">
        <v>5</v>
      </c>
      <c r="L973" s="685">
        <f t="shared" si="27"/>
        <v>18.8</v>
      </c>
      <c r="M973" s="686">
        <f t="shared" si="26"/>
        <v>94</v>
      </c>
    </row>
    <row r="974" spans="2:13" s="645" customFormat="1" ht="21.75" customHeight="1">
      <c r="B974" s="661">
        <v>44401</v>
      </c>
      <c r="C974" s="662" t="s">
        <v>819</v>
      </c>
      <c r="D974" s="663" t="s">
        <v>848</v>
      </c>
      <c r="E974" s="690" t="s">
        <v>831</v>
      </c>
      <c r="F974" s="692"/>
      <c r="G974" s="663">
        <v>20</v>
      </c>
      <c r="H974" s="662" t="s">
        <v>807</v>
      </c>
      <c r="I974" s="666" t="s">
        <v>859</v>
      </c>
      <c r="J974" s="667" t="s">
        <v>805</v>
      </c>
      <c r="K974" s="662">
        <v>4</v>
      </c>
      <c r="L974" s="685">
        <f t="shared" si="27"/>
        <v>18.8</v>
      </c>
      <c r="M974" s="686">
        <f t="shared" si="26"/>
        <v>75.2</v>
      </c>
    </row>
    <row r="975" spans="2:13" s="645" customFormat="1" ht="21.75" customHeight="1">
      <c r="B975" s="661">
        <v>44401</v>
      </c>
      <c r="C975" s="662" t="s">
        <v>819</v>
      </c>
      <c r="D975" s="663" t="s">
        <v>848</v>
      </c>
      <c r="E975" s="664" t="s">
        <v>831</v>
      </c>
      <c r="F975" s="665"/>
      <c r="G975" s="663">
        <v>20</v>
      </c>
      <c r="H975" s="662" t="s">
        <v>807</v>
      </c>
      <c r="I975" s="666" t="s">
        <v>857</v>
      </c>
      <c r="J975" s="667" t="s">
        <v>805</v>
      </c>
      <c r="K975" s="662">
        <v>9</v>
      </c>
      <c r="L975" s="685">
        <f t="shared" si="27"/>
        <v>18.8</v>
      </c>
      <c r="M975" s="686">
        <f t="shared" si="26"/>
        <v>169.20000000000002</v>
      </c>
    </row>
    <row r="976" spans="2:13" s="645" customFormat="1" ht="21.75" customHeight="1">
      <c r="B976" s="661">
        <v>44401</v>
      </c>
      <c r="C976" s="662" t="s">
        <v>819</v>
      </c>
      <c r="D976" s="663" t="s">
        <v>836</v>
      </c>
      <c r="E976" s="664" t="s">
        <v>831</v>
      </c>
      <c r="F976" s="665"/>
      <c r="G976" s="663">
        <v>20</v>
      </c>
      <c r="H976" s="662" t="s">
        <v>807</v>
      </c>
      <c r="I976" s="666" t="s">
        <v>857</v>
      </c>
      <c r="J976" s="667" t="s">
        <v>805</v>
      </c>
      <c r="K976" s="662">
        <v>13</v>
      </c>
      <c r="L976" s="685">
        <f t="shared" si="27"/>
        <v>18.8</v>
      </c>
      <c r="M976" s="686">
        <f t="shared" si="26"/>
        <v>244.4</v>
      </c>
    </row>
    <row r="977" spans="2:13" s="645" customFormat="1" ht="21.75" customHeight="1">
      <c r="B977" s="661">
        <v>44401</v>
      </c>
      <c r="C977" s="662" t="s">
        <v>819</v>
      </c>
      <c r="D977" s="663" t="s">
        <v>830</v>
      </c>
      <c r="E977" s="664" t="s">
        <v>831</v>
      </c>
      <c r="F977" s="665"/>
      <c r="G977" s="663">
        <v>15</v>
      </c>
      <c r="H977" s="662" t="s">
        <v>807</v>
      </c>
      <c r="I977" s="666" t="s">
        <v>859</v>
      </c>
      <c r="J977" s="667" t="s">
        <v>805</v>
      </c>
      <c r="K977" s="662">
        <v>9</v>
      </c>
      <c r="L977" s="685">
        <f t="shared" si="27"/>
        <v>14.1</v>
      </c>
      <c r="M977" s="686">
        <f t="shared" si="26"/>
        <v>126.89999999999999</v>
      </c>
    </row>
    <row r="978" spans="2:13" s="645" customFormat="1" ht="21.75" customHeight="1">
      <c r="B978" s="661">
        <v>44401</v>
      </c>
      <c r="C978" s="662" t="s">
        <v>819</v>
      </c>
      <c r="D978" s="663" t="s">
        <v>830</v>
      </c>
      <c r="E978" s="664" t="s">
        <v>831</v>
      </c>
      <c r="F978" s="665"/>
      <c r="G978" s="663">
        <v>15</v>
      </c>
      <c r="H978" s="662" t="s">
        <v>807</v>
      </c>
      <c r="I978" s="666" t="s">
        <v>857</v>
      </c>
      <c r="J978" s="667" t="s">
        <v>805</v>
      </c>
      <c r="K978" s="662">
        <v>5</v>
      </c>
      <c r="L978" s="685">
        <f t="shared" si="27"/>
        <v>14.1</v>
      </c>
      <c r="M978" s="686">
        <f t="shared" si="26"/>
        <v>70.5</v>
      </c>
    </row>
    <row r="979" spans="2:13" s="645" customFormat="1" ht="21.75" customHeight="1">
      <c r="B979" s="661">
        <v>44401</v>
      </c>
      <c r="C979" s="662" t="s">
        <v>819</v>
      </c>
      <c r="D979" s="663" t="s">
        <v>839</v>
      </c>
      <c r="E979" s="664" t="s">
        <v>831</v>
      </c>
      <c r="F979" s="665"/>
      <c r="G979" s="663">
        <v>15</v>
      </c>
      <c r="H979" s="662" t="s">
        <v>807</v>
      </c>
      <c r="I979" s="666" t="s">
        <v>859</v>
      </c>
      <c r="J979" s="667" t="s">
        <v>805</v>
      </c>
      <c r="K979" s="662">
        <v>4</v>
      </c>
      <c r="L979" s="685">
        <f t="shared" si="27"/>
        <v>14.1</v>
      </c>
      <c r="M979" s="686">
        <f t="shared" si="26"/>
        <v>56.4</v>
      </c>
    </row>
    <row r="980" spans="2:13" s="645" customFormat="1" ht="21.75" customHeight="1">
      <c r="B980" s="661">
        <v>44401</v>
      </c>
      <c r="C980" s="662" t="s">
        <v>819</v>
      </c>
      <c r="D980" s="663" t="s">
        <v>839</v>
      </c>
      <c r="E980" s="664" t="s">
        <v>831</v>
      </c>
      <c r="F980" s="665"/>
      <c r="G980" s="663">
        <v>15</v>
      </c>
      <c r="H980" s="662" t="s">
        <v>807</v>
      </c>
      <c r="I980" s="666" t="s">
        <v>857</v>
      </c>
      <c r="J980" s="667" t="s">
        <v>805</v>
      </c>
      <c r="K980" s="662">
        <v>5</v>
      </c>
      <c r="L980" s="685">
        <f t="shared" si="27"/>
        <v>14.1</v>
      </c>
      <c r="M980" s="686">
        <f t="shared" si="26"/>
        <v>70.5</v>
      </c>
    </row>
    <row r="981" spans="2:13" s="645" customFormat="1" ht="21.75" customHeight="1">
      <c r="B981" s="661">
        <v>44401</v>
      </c>
      <c r="C981" s="662" t="s">
        <v>819</v>
      </c>
      <c r="D981" s="663" t="s">
        <v>845</v>
      </c>
      <c r="E981" s="664" t="s">
        <v>831</v>
      </c>
      <c r="F981" s="665"/>
      <c r="G981" s="663">
        <v>17</v>
      </c>
      <c r="H981" s="662" t="s">
        <v>807</v>
      </c>
      <c r="I981" s="666" t="s">
        <v>859</v>
      </c>
      <c r="J981" s="667" t="s">
        <v>805</v>
      </c>
      <c r="K981" s="662">
        <v>8</v>
      </c>
      <c r="L981" s="685">
        <f t="shared" si="27"/>
        <v>15.98</v>
      </c>
      <c r="M981" s="686">
        <f t="shared" si="26"/>
        <v>127.84</v>
      </c>
    </row>
    <row r="982" spans="2:13" s="645" customFormat="1" ht="21.75" customHeight="1">
      <c r="B982" s="661">
        <v>44401</v>
      </c>
      <c r="C982" s="662" t="s">
        <v>819</v>
      </c>
      <c r="D982" s="663" t="s">
        <v>845</v>
      </c>
      <c r="E982" s="664" t="s">
        <v>831</v>
      </c>
      <c r="F982" s="665"/>
      <c r="G982" s="663">
        <v>17</v>
      </c>
      <c r="H982" s="662" t="s">
        <v>807</v>
      </c>
      <c r="I982" s="666" t="s">
        <v>857</v>
      </c>
      <c r="J982" s="667" t="s">
        <v>805</v>
      </c>
      <c r="K982" s="662">
        <v>6</v>
      </c>
      <c r="L982" s="685">
        <f t="shared" si="27"/>
        <v>15.98</v>
      </c>
      <c r="M982" s="686">
        <f t="shared" si="26"/>
        <v>95.88</v>
      </c>
    </row>
    <row r="983" spans="2:13" s="645" customFormat="1" ht="21.75" customHeight="1">
      <c r="B983" s="661">
        <v>44401</v>
      </c>
      <c r="C983" s="662" t="s">
        <v>819</v>
      </c>
      <c r="D983" s="663" t="s">
        <v>847</v>
      </c>
      <c r="E983" s="664" t="s">
        <v>831</v>
      </c>
      <c r="F983" s="665"/>
      <c r="G983" s="663">
        <v>17</v>
      </c>
      <c r="H983" s="662" t="s">
        <v>807</v>
      </c>
      <c r="I983" s="666" t="s">
        <v>857</v>
      </c>
      <c r="J983" s="667" t="s">
        <v>805</v>
      </c>
      <c r="K983" s="662">
        <v>13</v>
      </c>
      <c r="L983" s="685">
        <f t="shared" si="27"/>
        <v>15.98</v>
      </c>
      <c r="M983" s="686">
        <f t="shared" si="26"/>
        <v>207.74</v>
      </c>
    </row>
    <row r="984" spans="2:13" s="645" customFormat="1" ht="21.75" customHeight="1">
      <c r="B984" s="661">
        <v>44401</v>
      </c>
      <c r="C984" s="662" t="s">
        <v>819</v>
      </c>
      <c r="D984" s="663" t="s">
        <v>856</v>
      </c>
      <c r="E984" s="664" t="s">
        <v>831</v>
      </c>
      <c r="F984" s="665"/>
      <c r="G984" s="663">
        <v>20</v>
      </c>
      <c r="H984" s="662" t="s">
        <v>807</v>
      </c>
      <c r="I984" s="666" t="s">
        <v>859</v>
      </c>
      <c r="J984" s="667" t="s">
        <v>805</v>
      </c>
      <c r="K984" s="662">
        <v>9</v>
      </c>
      <c r="L984" s="685">
        <f t="shared" si="27"/>
        <v>18.8</v>
      </c>
      <c r="M984" s="686">
        <f t="shared" si="26"/>
        <v>169.20000000000002</v>
      </c>
    </row>
    <row r="985" spans="2:13" s="645" customFormat="1" ht="21.75" customHeight="1">
      <c r="B985" s="661">
        <v>44401</v>
      </c>
      <c r="C985" s="662" t="s">
        <v>819</v>
      </c>
      <c r="D985" s="663" t="s">
        <v>856</v>
      </c>
      <c r="E985" s="664" t="s">
        <v>831</v>
      </c>
      <c r="F985" s="665"/>
      <c r="G985" s="663">
        <v>20</v>
      </c>
      <c r="H985" s="662" t="s">
        <v>807</v>
      </c>
      <c r="I985" s="666" t="s">
        <v>857</v>
      </c>
      <c r="J985" s="667" t="s">
        <v>805</v>
      </c>
      <c r="K985" s="662">
        <v>5</v>
      </c>
      <c r="L985" s="685">
        <f t="shared" si="27"/>
        <v>18.8</v>
      </c>
      <c r="M985" s="686">
        <f t="shared" si="26"/>
        <v>94</v>
      </c>
    </row>
    <row r="986" spans="2:13" s="645" customFormat="1" ht="21.75" customHeight="1">
      <c r="B986" s="661">
        <v>44401</v>
      </c>
      <c r="C986" s="662" t="s">
        <v>819</v>
      </c>
      <c r="D986" s="663" t="s">
        <v>855</v>
      </c>
      <c r="E986" s="664" t="s">
        <v>831</v>
      </c>
      <c r="F986" s="665"/>
      <c r="G986" s="663">
        <v>20</v>
      </c>
      <c r="H986" s="662" t="s">
        <v>807</v>
      </c>
      <c r="I986" s="666" t="s">
        <v>859</v>
      </c>
      <c r="J986" s="667" t="s">
        <v>805</v>
      </c>
      <c r="K986" s="662">
        <v>11</v>
      </c>
      <c r="L986" s="685">
        <f t="shared" si="27"/>
        <v>18.8</v>
      </c>
      <c r="M986" s="686">
        <f t="shared" si="26"/>
        <v>206.8</v>
      </c>
    </row>
    <row r="987" spans="2:13" s="645" customFormat="1" ht="21.75" customHeight="1">
      <c r="B987" s="661">
        <v>44401</v>
      </c>
      <c r="C987" s="662" t="s">
        <v>819</v>
      </c>
      <c r="D987" s="663" t="s">
        <v>855</v>
      </c>
      <c r="E987" s="664" t="s">
        <v>831</v>
      </c>
      <c r="F987" s="665"/>
      <c r="G987" s="663">
        <v>20</v>
      </c>
      <c r="H987" s="662" t="s">
        <v>807</v>
      </c>
      <c r="I987" s="666" t="s">
        <v>857</v>
      </c>
      <c r="J987" s="667" t="s">
        <v>805</v>
      </c>
      <c r="K987" s="662">
        <v>2</v>
      </c>
      <c r="L987" s="685">
        <f t="shared" si="27"/>
        <v>18.8</v>
      </c>
      <c r="M987" s="686">
        <f t="shared" si="26"/>
        <v>37.6</v>
      </c>
    </row>
    <row r="988" spans="2:13" s="645" customFormat="1" ht="21.75" customHeight="1">
      <c r="B988" s="661">
        <v>44402</v>
      </c>
      <c r="C988" s="662" t="s">
        <v>819</v>
      </c>
      <c r="D988" s="663" t="s">
        <v>849</v>
      </c>
      <c r="E988" s="664" t="s">
        <v>831</v>
      </c>
      <c r="F988" s="665"/>
      <c r="G988" s="663">
        <v>20</v>
      </c>
      <c r="H988" s="662" t="s">
        <v>807</v>
      </c>
      <c r="I988" s="666" t="s">
        <v>859</v>
      </c>
      <c r="J988" s="667" t="s">
        <v>805</v>
      </c>
      <c r="K988" s="662">
        <v>2</v>
      </c>
      <c r="L988" s="685">
        <f t="shared" si="27"/>
        <v>18.8</v>
      </c>
      <c r="M988" s="686">
        <f t="shared" si="26"/>
        <v>37.6</v>
      </c>
    </row>
    <row r="989" spans="2:13" s="645" customFormat="1" ht="21.75" customHeight="1">
      <c r="B989" s="661">
        <v>44402</v>
      </c>
      <c r="C989" s="662" t="s">
        <v>819</v>
      </c>
      <c r="D989" s="663" t="s">
        <v>849</v>
      </c>
      <c r="E989" s="664" t="s">
        <v>831</v>
      </c>
      <c r="F989" s="665"/>
      <c r="G989" s="663">
        <v>20</v>
      </c>
      <c r="H989" s="662" t="s">
        <v>807</v>
      </c>
      <c r="I989" s="666" t="s">
        <v>857</v>
      </c>
      <c r="J989" s="667" t="s">
        <v>805</v>
      </c>
      <c r="K989" s="662">
        <v>10</v>
      </c>
      <c r="L989" s="685">
        <f t="shared" si="27"/>
        <v>18.8</v>
      </c>
      <c r="M989" s="686">
        <f t="shared" si="26"/>
        <v>188</v>
      </c>
    </row>
    <row r="990" spans="2:13" s="645" customFormat="1" ht="21.75" customHeight="1">
      <c r="B990" s="661">
        <v>44402</v>
      </c>
      <c r="C990" s="662" t="s">
        <v>819</v>
      </c>
      <c r="D990" s="663" t="s">
        <v>835</v>
      </c>
      <c r="E990" s="664" t="s">
        <v>831</v>
      </c>
      <c r="F990" s="665"/>
      <c r="G990" s="663">
        <v>20</v>
      </c>
      <c r="H990" s="662" t="s">
        <v>807</v>
      </c>
      <c r="I990" s="666" t="s">
        <v>859</v>
      </c>
      <c r="J990" s="667" t="s">
        <v>805</v>
      </c>
      <c r="K990" s="662">
        <v>3</v>
      </c>
      <c r="L990" s="685">
        <f t="shared" si="27"/>
        <v>18.8</v>
      </c>
      <c r="M990" s="686">
        <f t="shared" si="26"/>
        <v>56.400000000000006</v>
      </c>
    </row>
    <row r="991" spans="2:13" s="645" customFormat="1" ht="21.75" customHeight="1">
      <c r="B991" s="661">
        <v>44402</v>
      </c>
      <c r="C991" s="662" t="s">
        <v>819</v>
      </c>
      <c r="D991" s="663" t="s">
        <v>835</v>
      </c>
      <c r="E991" s="664" t="s">
        <v>831</v>
      </c>
      <c r="F991" s="665"/>
      <c r="G991" s="663">
        <v>20</v>
      </c>
      <c r="H991" s="662" t="s">
        <v>807</v>
      </c>
      <c r="I991" s="666" t="s">
        <v>857</v>
      </c>
      <c r="J991" s="667" t="s">
        <v>805</v>
      </c>
      <c r="K991" s="662">
        <v>9</v>
      </c>
      <c r="L991" s="685">
        <f t="shared" si="27"/>
        <v>18.8</v>
      </c>
      <c r="M991" s="686">
        <f t="shared" si="26"/>
        <v>169.20000000000002</v>
      </c>
    </row>
    <row r="992" spans="2:13" s="645" customFormat="1" ht="21.75" customHeight="1">
      <c r="B992" s="661">
        <v>44402</v>
      </c>
      <c r="C992" s="662" t="s">
        <v>819</v>
      </c>
      <c r="D992" s="663" t="s">
        <v>841</v>
      </c>
      <c r="E992" s="664" t="s">
        <v>831</v>
      </c>
      <c r="F992" s="665"/>
      <c r="G992" s="663">
        <v>20</v>
      </c>
      <c r="H992" s="662" t="s">
        <v>807</v>
      </c>
      <c r="I992" s="666" t="s">
        <v>859</v>
      </c>
      <c r="J992" s="667" t="s">
        <v>805</v>
      </c>
      <c r="K992" s="662">
        <v>9</v>
      </c>
      <c r="L992" s="685">
        <f t="shared" si="27"/>
        <v>18.8</v>
      </c>
      <c r="M992" s="686">
        <f t="shared" si="26"/>
        <v>169.20000000000002</v>
      </c>
    </row>
    <row r="993" spans="2:13" s="645" customFormat="1" ht="21.75" customHeight="1">
      <c r="B993" s="661">
        <v>44402</v>
      </c>
      <c r="C993" s="662" t="s">
        <v>819</v>
      </c>
      <c r="D993" s="663" t="s">
        <v>841</v>
      </c>
      <c r="E993" s="664" t="s">
        <v>831</v>
      </c>
      <c r="F993" s="665"/>
      <c r="G993" s="663">
        <v>20</v>
      </c>
      <c r="H993" s="662" t="s">
        <v>807</v>
      </c>
      <c r="I993" s="666" t="s">
        <v>857</v>
      </c>
      <c r="J993" s="667" t="s">
        <v>805</v>
      </c>
      <c r="K993" s="662">
        <v>3</v>
      </c>
      <c r="L993" s="685">
        <f t="shared" si="27"/>
        <v>18.8</v>
      </c>
      <c r="M993" s="686">
        <f t="shared" si="26"/>
        <v>56.400000000000006</v>
      </c>
    </row>
    <row r="994" spans="2:13" s="645" customFormat="1" ht="21.75" customHeight="1">
      <c r="B994" s="661">
        <v>44402</v>
      </c>
      <c r="C994" s="662" t="s">
        <v>819</v>
      </c>
      <c r="D994" s="663" t="s">
        <v>834</v>
      </c>
      <c r="E994" s="664" t="s">
        <v>831</v>
      </c>
      <c r="F994" s="665"/>
      <c r="G994" s="663">
        <v>20</v>
      </c>
      <c r="H994" s="662" t="s">
        <v>807</v>
      </c>
      <c r="I994" s="666" t="s">
        <v>859</v>
      </c>
      <c r="J994" s="667" t="s">
        <v>805</v>
      </c>
      <c r="K994" s="662">
        <v>9</v>
      </c>
      <c r="L994" s="685">
        <f t="shared" si="27"/>
        <v>18.8</v>
      </c>
      <c r="M994" s="686">
        <f t="shared" si="26"/>
        <v>169.20000000000002</v>
      </c>
    </row>
    <row r="995" spans="2:13" s="645" customFormat="1" ht="21.75" customHeight="1">
      <c r="B995" s="661">
        <v>44402</v>
      </c>
      <c r="C995" s="662" t="s">
        <v>819</v>
      </c>
      <c r="D995" s="663" t="s">
        <v>834</v>
      </c>
      <c r="E995" s="664" t="s">
        <v>831</v>
      </c>
      <c r="F995" s="665"/>
      <c r="G995" s="663">
        <v>20</v>
      </c>
      <c r="H995" s="662" t="s">
        <v>807</v>
      </c>
      <c r="I995" s="666" t="s">
        <v>857</v>
      </c>
      <c r="J995" s="667" t="s">
        <v>805</v>
      </c>
      <c r="K995" s="662">
        <v>4</v>
      </c>
      <c r="L995" s="685">
        <f t="shared" si="27"/>
        <v>18.8</v>
      </c>
      <c r="M995" s="686">
        <f t="shared" si="26"/>
        <v>75.2</v>
      </c>
    </row>
    <row r="996" spans="2:13" s="645" customFormat="1" ht="21.75" customHeight="1">
      <c r="B996" s="661">
        <v>44402</v>
      </c>
      <c r="C996" s="662" t="s">
        <v>819</v>
      </c>
      <c r="D996" s="663" t="s">
        <v>848</v>
      </c>
      <c r="E996" s="664" t="s">
        <v>831</v>
      </c>
      <c r="F996" s="665"/>
      <c r="G996" s="663">
        <v>20</v>
      </c>
      <c r="H996" s="662" t="s">
        <v>807</v>
      </c>
      <c r="I996" s="666" t="s">
        <v>859</v>
      </c>
      <c r="J996" s="667" t="s">
        <v>805</v>
      </c>
      <c r="K996" s="662">
        <v>6</v>
      </c>
      <c r="L996" s="685">
        <f t="shared" si="27"/>
        <v>18.8</v>
      </c>
      <c r="M996" s="686">
        <f t="shared" si="26"/>
        <v>112.80000000000001</v>
      </c>
    </row>
    <row r="997" spans="2:13" s="645" customFormat="1" ht="21.75" customHeight="1">
      <c r="B997" s="661">
        <v>44402</v>
      </c>
      <c r="C997" s="662" t="s">
        <v>819</v>
      </c>
      <c r="D997" s="663" t="s">
        <v>848</v>
      </c>
      <c r="E997" s="664" t="s">
        <v>831</v>
      </c>
      <c r="F997" s="665"/>
      <c r="G997" s="663">
        <v>20</v>
      </c>
      <c r="H997" s="662" t="s">
        <v>807</v>
      </c>
      <c r="I997" s="666" t="s">
        <v>857</v>
      </c>
      <c r="J997" s="667" t="s">
        <v>805</v>
      </c>
      <c r="K997" s="662">
        <v>5</v>
      </c>
      <c r="L997" s="685">
        <f t="shared" si="27"/>
        <v>18.8</v>
      </c>
      <c r="M997" s="686">
        <f t="shared" si="26"/>
        <v>94</v>
      </c>
    </row>
    <row r="998" spans="2:13" s="645" customFormat="1" ht="21.75" customHeight="1">
      <c r="B998" s="661">
        <v>44402</v>
      </c>
      <c r="C998" s="662" t="s">
        <v>819</v>
      </c>
      <c r="D998" s="663" t="s">
        <v>836</v>
      </c>
      <c r="E998" s="664" t="s">
        <v>831</v>
      </c>
      <c r="F998" s="665"/>
      <c r="G998" s="663">
        <v>20</v>
      </c>
      <c r="H998" s="662" t="s">
        <v>807</v>
      </c>
      <c r="I998" s="666" t="s">
        <v>859</v>
      </c>
      <c r="J998" s="667" t="s">
        <v>805</v>
      </c>
      <c r="K998" s="662">
        <v>14</v>
      </c>
      <c r="L998" s="685">
        <f t="shared" si="27"/>
        <v>18.8</v>
      </c>
      <c r="M998" s="686">
        <f t="shared" si="26"/>
        <v>263.2</v>
      </c>
    </row>
    <row r="999" spans="2:13" s="645" customFormat="1" ht="21.75" customHeight="1">
      <c r="B999" s="661">
        <v>44402</v>
      </c>
      <c r="C999" s="662" t="s">
        <v>819</v>
      </c>
      <c r="D999" s="663" t="s">
        <v>830</v>
      </c>
      <c r="E999" s="664" t="s">
        <v>831</v>
      </c>
      <c r="F999" s="665"/>
      <c r="G999" s="663">
        <v>15</v>
      </c>
      <c r="H999" s="662" t="s">
        <v>807</v>
      </c>
      <c r="I999" s="666" t="s">
        <v>859</v>
      </c>
      <c r="J999" s="667" t="s">
        <v>805</v>
      </c>
      <c r="K999" s="662">
        <v>5</v>
      </c>
      <c r="L999" s="685">
        <f t="shared" si="27"/>
        <v>14.1</v>
      </c>
      <c r="M999" s="686">
        <f t="shared" ref="M999:M1062" si="28">L999*K999</f>
        <v>70.5</v>
      </c>
    </row>
    <row r="1000" spans="2:13" s="645" customFormat="1" ht="21.75" customHeight="1">
      <c r="B1000" s="661">
        <v>44402</v>
      </c>
      <c r="C1000" s="662" t="s">
        <v>819</v>
      </c>
      <c r="D1000" s="663" t="s">
        <v>830</v>
      </c>
      <c r="E1000" s="664" t="s">
        <v>831</v>
      </c>
      <c r="F1000" s="665"/>
      <c r="G1000" s="663">
        <v>15</v>
      </c>
      <c r="H1000" s="662" t="s">
        <v>807</v>
      </c>
      <c r="I1000" s="666" t="s">
        <v>857</v>
      </c>
      <c r="J1000" s="667" t="s">
        <v>805</v>
      </c>
      <c r="K1000" s="662">
        <v>7</v>
      </c>
      <c r="L1000" s="685">
        <f t="shared" si="27"/>
        <v>14.1</v>
      </c>
      <c r="M1000" s="686">
        <f t="shared" si="28"/>
        <v>98.7</v>
      </c>
    </row>
    <row r="1001" spans="2:13" s="645" customFormat="1" ht="21.75" customHeight="1">
      <c r="B1001" s="661">
        <v>44402</v>
      </c>
      <c r="C1001" s="662" t="s">
        <v>819</v>
      </c>
      <c r="D1001" s="663" t="s">
        <v>839</v>
      </c>
      <c r="E1001" s="664" t="s">
        <v>831</v>
      </c>
      <c r="F1001" s="665"/>
      <c r="G1001" s="663">
        <v>15</v>
      </c>
      <c r="H1001" s="662" t="s">
        <v>807</v>
      </c>
      <c r="I1001" s="666" t="s">
        <v>859</v>
      </c>
      <c r="J1001" s="667" t="s">
        <v>805</v>
      </c>
      <c r="K1001" s="662">
        <v>6</v>
      </c>
      <c r="L1001" s="685">
        <f t="shared" si="27"/>
        <v>14.1</v>
      </c>
      <c r="M1001" s="686">
        <f t="shared" si="28"/>
        <v>84.6</v>
      </c>
    </row>
    <row r="1002" spans="2:13" s="645" customFormat="1" ht="21.75" customHeight="1">
      <c r="B1002" s="661">
        <v>44402</v>
      </c>
      <c r="C1002" s="662" t="s">
        <v>819</v>
      </c>
      <c r="D1002" s="663" t="s">
        <v>839</v>
      </c>
      <c r="E1002" s="664" t="s">
        <v>831</v>
      </c>
      <c r="F1002" s="665"/>
      <c r="G1002" s="663">
        <v>15</v>
      </c>
      <c r="H1002" s="662" t="s">
        <v>807</v>
      </c>
      <c r="I1002" s="666" t="s">
        <v>857</v>
      </c>
      <c r="J1002" s="667" t="s">
        <v>805</v>
      </c>
      <c r="K1002" s="662">
        <v>4</v>
      </c>
      <c r="L1002" s="685">
        <f t="shared" si="27"/>
        <v>14.1</v>
      </c>
      <c r="M1002" s="686">
        <f t="shared" si="28"/>
        <v>56.4</v>
      </c>
    </row>
    <row r="1003" spans="2:13" s="645" customFormat="1" ht="21.75" customHeight="1">
      <c r="B1003" s="661">
        <v>44402</v>
      </c>
      <c r="C1003" s="662" t="s">
        <v>819</v>
      </c>
      <c r="D1003" s="663" t="s">
        <v>845</v>
      </c>
      <c r="E1003" s="664" t="s">
        <v>831</v>
      </c>
      <c r="F1003" s="665"/>
      <c r="G1003" s="663">
        <v>17</v>
      </c>
      <c r="H1003" s="662" t="s">
        <v>807</v>
      </c>
      <c r="I1003" s="666" t="s">
        <v>859</v>
      </c>
      <c r="J1003" s="667" t="s">
        <v>805</v>
      </c>
      <c r="K1003" s="662">
        <v>9</v>
      </c>
      <c r="L1003" s="685">
        <f t="shared" si="27"/>
        <v>15.98</v>
      </c>
      <c r="M1003" s="686">
        <f t="shared" si="28"/>
        <v>143.82</v>
      </c>
    </row>
    <row r="1004" spans="2:13" s="645" customFormat="1" ht="21.75" customHeight="1">
      <c r="B1004" s="661">
        <v>44402</v>
      </c>
      <c r="C1004" s="662" t="s">
        <v>819</v>
      </c>
      <c r="D1004" s="663" t="s">
        <v>845</v>
      </c>
      <c r="E1004" s="664" t="s">
        <v>831</v>
      </c>
      <c r="F1004" s="665"/>
      <c r="G1004" s="663">
        <v>17</v>
      </c>
      <c r="H1004" s="662" t="s">
        <v>807</v>
      </c>
      <c r="I1004" s="666" t="s">
        <v>857</v>
      </c>
      <c r="J1004" s="667" t="s">
        <v>805</v>
      </c>
      <c r="K1004" s="662">
        <v>4</v>
      </c>
      <c r="L1004" s="685">
        <f t="shared" si="27"/>
        <v>15.98</v>
      </c>
      <c r="M1004" s="686">
        <f t="shared" si="28"/>
        <v>63.92</v>
      </c>
    </row>
    <row r="1005" spans="2:13" s="645" customFormat="1" ht="21.75" customHeight="1">
      <c r="B1005" s="661">
        <v>44402</v>
      </c>
      <c r="C1005" s="662" t="s">
        <v>819</v>
      </c>
      <c r="D1005" s="663" t="s">
        <v>847</v>
      </c>
      <c r="E1005" s="664" t="s">
        <v>831</v>
      </c>
      <c r="F1005" s="665"/>
      <c r="G1005" s="663">
        <v>17</v>
      </c>
      <c r="H1005" s="662" t="s">
        <v>807</v>
      </c>
      <c r="I1005" s="666" t="s">
        <v>857</v>
      </c>
      <c r="J1005" s="667" t="s">
        <v>805</v>
      </c>
      <c r="K1005" s="662">
        <v>12</v>
      </c>
      <c r="L1005" s="685">
        <f t="shared" si="27"/>
        <v>15.98</v>
      </c>
      <c r="M1005" s="686">
        <f t="shared" si="28"/>
        <v>191.76</v>
      </c>
    </row>
    <row r="1006" spans="2:13" s="645" customFormat="1" ht="21.75" customHeight="1">
      <c r="B1006" s="661">
        <v>44402</v>
      </c>
      <c r="C1006" s="662" t="s">
        <v>819</v>
      </c>
      <c r="D1006" s="663" t="s">
        <v>856</v>
      </c>
      <c r="E1006" s="664" t="s">
        <v>831</v>
      </c>
      <c r="F1006" s="665"/>
      <c r="G1006" s="663">
        <v>20</v>
      </c>
      <c r="H1006" s="662" t="s">
        <v>807</v>
      </c>
      <c r="I1006" s="666" t="s">
        <v>859</v>
      </c>
      <c r="J1006" s="667" t="s">
        <v>805</v>
      </c>
      <c r="K1006" s="662">
        <v>10</v>
      </c>
      <c r="L1006" s="685">
        <f t="shared" si="27"/>
        <v>18.8</v>
      </c>
      <c r="M1006" s="686">
        <f t="shared" si="28"/>
        <v>188</v>
      </c>
    </row>
    <row r="1007" spans="2:13" s="645" customFormat="1" ht="21.75" customHeight="1">
      <c r="B1007" s="661">
        <v>44402</v>
      </c>
      <c r="C1007" s="662" t="s">
        <v>819</v>
      </c>
      <c r="D1007" s="663" t="s">
        <v>856</v>
      </c>
      <c r="E1007" s="664" t="s">
        <v>831</v>
      </c>
      <c r="F1007" s="665"/>
      <c r="G1007" s="663">
        <v>20</v>
      </c>
      <c r="H1007" s="662" t="s">
        <v>807</v>
      </c>
      <c r="I1007" s="666" t="s">
        <v>857</v>
      </c>
      <c r="J1007" s="667" t="s">
        <v>805</v>
      </c>
      <c r="K1007" s="662">
        <v>4</v>
      </c>
      <c r="L1007" s="685">
        <f t="shared" si="27"/>
        <v>18.8</v>
      </c>
      <c r="M1007" s="686">
        <f t="shared" si="28"/>
        <v>75.2</v>
      </c>
    </row>
    <row r="1008" spans="2:13" s="645" customFormat="1" ht="21.75" customHeight="1">
      <c r="B1008" s="661">
        <v>44402</v>
      </c>
      <c r="C1008" s="662" t="s">
        <v>819</v>
      </c>
      <c r="D1008" s="663" t="s">
        <v>855</v>
      </c>
      <c r="E1008" s="664" t="s">
        <v>831</v>
      </c>
      <c r="F1008" s="665"/>
      <c r="G1008" s="663">
        <v>20</v>
      </c>
      <c r="H1008" s="662" t="s">
        <v>807</v>
      </c>
      <c r="I1008" s="666" t="s">
        <v>859</v>
      </c>
      <c r="J1008" s="667" t="s">
        <v>805</v>
      </c>
      <c r="K1008" s="662">
        <v>5</v>
      </c>
      <c r="L1008" s="685">
        <f t="shared" si="27"/>
        <v>18.8</v>
      </c>
      <c r="M1008" s="686">
        <f t="shared" si="28"/>
        <v>94</v>
      </c>
    </row>
    <row r="1009" spans="2:13" s="645" customFormat="1" ht="21.75" customHeight="1">
      <c r="B1009" s="661">
        <v>44402</v>
      </c>
      <c r="C1009" s="662" t="s">
        <v>819</v>
      </c>
      <c r="D1009" s="663" t="s">
        <v>855</v>
      </c>
      <c r="E1009" s="664" t="s">
        <v>831</v>
      </c>
      <c r="F1009" s="665"/>
      <c r="G1009" s="663">
        <v>20</v>
      </c>
      <c r="H1009" s="662" t="s">
        <v>807</v>
      </c>
      <c r="I1009" s="666" t="s">
        <v>857</v>
      </c>
      <c r="J1009" s="667" t="s">
        <v>805</v>
      </c>
      <c r="K1009" s="662">
        <v>6</v>
      </c>
      <c r="L1009" s="685">
        <f t="shared" si="27"/>
        <v>18.8</v>
      </c>
      <c r="M1009" s="686">
        <f t="shared" si="28"/>
        <v>112.80000000000001</v>
      </c>
    </row>
    <row r="1010" spans="2:13" s="645" customFormat="1" ht="21.75" customHeight="1">
      <c r="B1010" s="661">
        <v>44402</v>
      </c>
      <c r="C1010" s="662" t="s">
        <v>837</v>
      </c>
      <c r="D1010" s="663" t="s">
        <v>849</v>
      </c>
      <c r="E1010" s="664" t="s">
        <v>831</v>
      </c>
      <c r="F1010" s="665"/>
      <c r="G1010" s="663">
        <v>20</v>
      </c>
      <c r="H1010" s="662" t="s">
        <v>807</v>
      </c>
      <c r="I1010" s="666" t="s">
        <v>859</v>
      </c>
      <c r="J1010" s="667" t="s">
        <v>805</v>
      </c>
      <c r="K1010" s="662">
        <v>9</v>
      </c>
      <c r="L1010" s="685">
        <f t="shared" si="27"/>
        <v>18.8</v>
      </c>
      <c r="M1010" s="686">
        <f t="shared" si="28"/>
        <v>169.20000000000002</v>
      </c>
    </row>
    <row r="1011" spans="2:13" s="645" customFormat="1" ht="21.75" customHeight="1">
      <c r="B1011" s="661">
        <v>44402</v>
      </c>
      <c r="C1011" s="662" t="s">
        <v>837</v>
      </c>
      <c r="D1011" s="663" t="s">
        <v>849</v>
      </c>
      <c r="E1011" s="664" t="s">
        <v>831</v>
      </c>
      <c r="F1011" s="665"/>
      <c r="G1011" s="663">
        <v>20</v>
      </c>
      <c r="H1011" s="662" t="s">
        <v>807</v>
      </c>
      <c r="I1011" s="666" t="s">
        <v>857</v>
      </c>
      <c r="J1011" s="667" t="s">
        <v>805</v>
      </c>
      <c r="K1011" s="662">
        <v>4</v>
      </c>
      <c r="L1011" s="685">
        <f t="shared" si="27"/>
        <v>18.8</v>
      </c>
      <c r="M1011" s="686">
        <f t="shared" si="28"/>
        <v>75.2</v>
      </c>
    </row>
    <row r="1012" spans="2:13" s="645" customFormat="1" ht="21.75" customHeight="1">
      <c r="B1012" s="661">
        <v>44402</v>
      </c>
      <c r="C1012" s="662" t="s">
        <v>837</v>
      </c>
      <c r="D1012" s="663" t="s">
        <v>835</v>
      </c>
      <c r="E1012" s="664" t="s">
        <v>831</v>
      </c>
      <c r="F1012" s="665"/>
      <c r="G1012" s="663">
        <v>20</v>
      </c>
      <c r="H1012" s="662" t="s">
        <v>807</v>
      </c>
      <c r="I1012" s="666" t="s">
        <v>859</v>
      </c>
      <c r="J1012" s="667" t="s">
        <v>805</v>
      </c>
      <c r="K1012" s="662">
        <v>8</v>
      </c>
      <c r="L1012" s="685">
        <f t="shared" si="27"/>
        <v>18.8</v>
      </c>
      <c r="M1012" s="686">
        <f t="shared" si="28"/>
        <v>150.4</v>
      </c>
    </row>
    <row r="1013" spans="2:13" s="645" customFormat="1" ht="21.75" customHeight="1">
      <c r="B1013" s="661">
        <v>44402</v>
      </c>
      <c r="C1013" s="662" t="s">
        <v>837</v>
      </c>
      <c r="D1013" s="663" t="s">
        <v>835</v>
      </c>
      <c r="E1013" s="664" t="s">
        <v>831</v>
      </c>
      <c r="F1013" s="665"/>
      <c r="G1013" s="663">
        <v>20</v>
      </c>
      <c r="H1013" s="662" t="s">
        <v>807</v>
      </c>
      <c r="I1013" s="666" t="s">
        <v>857</v>
      </c>
      <c r="J1013" s="667" t="s">
        <v>805</v>
      </c>
      <c r="K1013" s="662">
        <v>4</v>
      </c>
      <c r="L1013" s="685">
        <f t="shared" si="27"/>
        <v>18.8</v>
      </c>
      <c r="M1013" s="686">
        <f t="shared" si="28"/>
        <v>75.2</v>
      </c>
    </row>
    <row r="1014" spans="2:13" s="645" customFormat="1" ht="21.75" customHeight="1">
      <c r="B1014" s="661">
        <v>44402</v>
      </c>
      <c r="C1014" s="662" t="s">
        <v>837</v>
      </c>
      <c r="D1014" s="663" t="s">
        <v>841</v>
      </c>
      <c r="E1014" s="664" t="s">
        <v>831</v>
      </c>
      <c r="F1014" s="665"/>
      <c r="G1014" s="663">
        <v>20</v>
      </c>
      <c r="H1014" s="662" t="s">
        <v>807</v>
      </c>
      <c r="I1014" s="666" t="s">
        <v>859</v>
      </c>
      <c r="J1014" s="667" t="s">
        <v>805</v>
      </c>
      <c r="K1014" s="662">
        <v>8</v>
      </c>
      <c r="L1014" s="685">
        <f t="shared" si="27"/>
        <v>18.8</v>
      </c>
      <c r="M1014" s="686">
        <f t="shared" si="28"/>
        <v>150.4</v>
      </c>
    </row>
    <row r="1015" spans="2:13" s="645" customFormat="1" ht="21.75" customHeight="1">
      <c r="B1015" s="661">
        <v>44402</v>
      </c>
      <c r="C1015" s="662" t="s">
        <v>837</v>
      </c>
      <c r="D1015" s="663" t="s">
        <v>841</v>
      </c>
      <c r="E1015" s="664" t="s">
        <v>831</v>
      </c>
      <c r="F1015" s="665"/>
      <c r="G1015" s="663">
        <v>20</v>
      </c>
      <c r="H1015" s="662" t="s">
        <v>807</v>
      </c>
      <c r="I1015" s="666" t="s">
        <v>857</v>
      </c>
      <c r="J1015" s="667" t="s">
        <v>805</v>
      </c>
      <c r="K1015" s="662">
        <v>4</v>
      </c>
      <c r="L1015" s="685">
        <f t="shared" si="27"/>
        <v>18.8</v>
      </c>
      <c r="M1015" s="686">
        <f t="shared" si="28"/>
        <v>75.2</v>
      </c>
    </row>
    <row r="1016" spans="2:13" s="645" customFormat="1" ht="21.75" customHeight="1">
      <c r="B1016" s="661">
        <v>44402</v>
      </c>
      <c r="C1016" s="662" t="s">
        <v>837</v>
      </c>
      <c r="D1016" s="663" t="s">
        <v>834</v>
      </c>
      <c r="E1016" s="664" t="s">
        <v>831</v>
      </c>
      <c r="F1016" s="665"/>
      <c r="G1016" s="663">
        <v>20</v>
      </c>
      <c r="H1016" s="662" t="s">
        <v>807</v>
      </c>
      <c r="I1016" s="666" t="s">
        <v>859</v>
      </c>
      <c r="J1016" s="667" t="s">
        <v>805</v>
      </c>
      <c r="K1016" s="662">
        <v>10</v>
      </c>
      <c r="L1016" s="685">
        <f t="shared" si="27"/>
        <v>18.8</v>
      </c>
      <c r="M1016" s="686">
        <f t="shared" si="28"/>
        <v>188</v>
      </c>
    </row>
    <row r="1017" spans="2:13" s="645" customFormat="1" ht="21.75" customHeight="1">
      <c r="B1017" s="661">
        <v>44402</v>
      </c>
      <c r="C1017" s="662" t="s">
        <v>837</v>
      </c>
      <c r="D1017" s="663" t="s">
        <v>834</v>
      </c>
      <c r="E1017" s="664" t="s">
        <v>831</v>
      </c>
      <c r="F1017" s="665"/>
      <c r="G1017" s="663">
        <v>20</v>
      </c>
      <c r="H1017" s="662" t="s">
        <v>807</v>
      </c>
      <c r="I1017" s="666" t="s">
        <v>857</v>
      </c>
      <c r="J1017" s="667" t="s">
        <v>805</v>
      </c>
      <c r="K1017" s="662">
        <v>3</v>
      </c>
      <c r="L1017" s="685">
        <f t="shared" si="27"/>
        <v>18.8</v>
      </c>
      <c r="M1017" s="686">
        <f t="shared" si="28"/>
        <v>56.400000000000006</v>
      </c>
    </row>
    <row r="1018" spans="2:13" s="645" customFormat="1" ht="21.75" customHeight="1">
      <c r="B1018" s="661">
        <v>44402</v>
      </c>
      <c r="C1018" s="662" t="s">
        <v>837</v>
      </c>
      <c r="D1018" s="663" t="s">
        <v>848</v>
      </c>
      <c r="E1018" s="664" t="s">
        <v>831</v>
      </c>
      <c r="F1018" s="665"/>
      <c r="G1018" s="663">
        <v>20</v>
      </c>
      <c r="H1018" s="662" t="s">
        <v>807</v>
      </c>
      <c r="I1018" s="666" t="s">
        <v>859</v>
      </c>
      <c r="J1018" s="667" t="s">
        <v>805</v>
      </c>
      <c r="K1018" s="662">
        <v>10</v>
      </c>
      <c r="L1018" s="685">
        <f t="shared" si="27"/>
        <v>18.8</v>
      </c>
      <c r="M1018" s="686">
        <f t="shared" si="28"/>
        <v>188</v>
      </c>
    </row>
    <row r="1019" spans="2:13" s="645" customFormat="1" ht="21.75" customHeight="1">
      <c r="B1019" s="661">
        <v>44402</v>
      </c>
      <c r="C1019" s="662" t="s">
        <v>837</v>
      </c>
      <c r="D1019" s="663" t="s">
        <v>848</v>
      </c>
      <c r="E1019" s="664" t="s">
        <v>831</v>
      </c>
      <c r="F1019" s="665"/>
      <c r="G1019" s="663">
        <v>20</v>
      </c>
      <c r="H1019" s="662" t="s">
        <v>807</v>
      </c>
      <c r="I1019" s="666" t="s">
        <v>857</v>
      </c>
      <c r="J1019" s="667" t="s">
        <v>805</v>
      </c>
      <c r="K1019" s="662">
        <v>4</v>
      </c>
      <c r="L1019" s="685">
        <f t="shared" si="27"/>
        <v>18.8</v>
      </c>
      <c r="M1019" s="686">
        <f t="shared" si="28"/>
        <v>75.2</v>
      </c>
    </row>
    <row r="1020" spans="2:13" s="645" customFormat="1" ht="21.75" customHeight="1">
      <c r="B1020" s="661">
        <v>44402</v>
      </c>
      <c r="C1020" s="662" t="s">
        <v>837</v>
      </c>
      <c r="D1020" s="663" t="s">
        <v>845</v>
      </c>
      <c r="E1020" s="664" t="s">
        <v>831</v>
      </c>
      <c r="F1020" s="665"/>
      <c r="G1020" s="663">
        <v>17</v>
      </c>
      <c r="H1020" s="662" t="s">
        <v>807</v>
      </c>
      <c r="I1020" s="666" t="s">
        <v>859</v>
      </c>
      <c r="J1020" s="667" t="s">
        <v>805</v>
      </c>
      <c r="K1020" s="662">
        <v>9</v>
      </c>
      <c r="L1020" s="685">
        <f t="shared" si="27"/>
        <v>15.98</v>
      </c>
      <c r="M1020" s="686">
        <f t="shared" si="28"/>
        <v>143.82</v>
      </c>
    </row>
    <row r="1021" spans="2:13" s="645" customFormat="1" ht="21.75" customHeight="1">
      <c r="B1021" s="661">
        <v>44402</v>
      </c>
      <c r="C1021" s="662" t="s">
        <v>837</v>
      </c>
      <c r="D1021" s="663" t="s">
        <v>845</v>
      </c>
      <c r="E1021" s="664" t="s">
        <v>831</v>
      </c>
      <c r="F1021" s="665"/>
      <c r="G1021" s="663">
        <v>17</v>
      </c>
      <c r="H1021" s="662" t="s">
        <v>807</v>
      </c>
      <c r="I1021" s="666" t="s">
        <v>857</v>
      </c>
      <c r="J1021" s="667" t="s">
        <v>805</v>
      </c>
      <c r="K1021" s="662">
        <v>3</v>
      </c>
      <c r="L1021" s="685">
        <f t="shared" si="27"/>
        <v>15.98</v>
      </c>
      <c r="M1021" s="686">
        <f t="shared" si="28"/>
        <v>47.94</v>
      </c>
    </row>
    <row r="1022" spans="2:13" s="645" customFormat="1" ht="21.75" customHeight="1">
      <c r="B1022" s="661">
        <v>44402</v>
      </c>
      <c r="C1022" s="662" t="s">
        <v>837</v>
      </c>
      <c r="D1022" s="663" t="s">
        <v>847</v>
      </c>
      <c r="E1022" s="664" t="s">
        <v>831</v>
      </c>
      <c r="F1022" s="665"/>
      <c r="G1022" s="663">
        <v>17</v>
      </c>
      <c r="H1022" s="662" t="s">
        <v>807</v>
      </c>
      <c r="I1022" s="666" t="s">
        <v>859</v>
      </c>
      <c r="J1022" s="667" t="s">
        <v>805</v>
      </c>
      <c r="K1022" s="662">
        <v>9</v>
      </c>
      <c r="L1022" s="685">
        <f t="shared" si="27"/>
        <v>15.98</v>
      </c>
      <c r="M1022" s="686">
        <f t="shared" si="28"/>
        <v>143.82</v>
      </c>
    </row>
    <row r="1023" spans="2:13" s="645" customFormat="1" ht="21.75" customHeight="1">
      <c r="B1023" s="661">
        <v>44402</v>
      </c>
      <c r="C1023" s="662" t="s">
        <v>837</v>
      </c>
      <c r="D1023" s="663" t="s">
        <v>847</v>
      </c>
      <c r="E1023" s="664" t="s">
        <v>831</v>
      </c>
      <c r="F1023" s="665"/>
      <c r="G1023" s="663">
        <v>17</v>
      </c>
      <c r="H1023" s="662" t="s">
        <v>807</v>
      </c>
      <c r="I1023" s="666" t="s">
        <v>857</v>
      </c>
      <c r="J1023" s="667" t="s">
        <v>805</v>
      </c>
      <c r="K1023" s="662">
        <v>4</v>
      </c>
      <c r="L1023" s="685">
        <f t="shared" si="27"/>
        <v>15.98</v>
      </c>
      <c r="M1023" s="686">
        <f t="shared" si="28"/>
        <v>63.92</v>
      </c>
    </row>
    <row r="1024" spans="2:13" s="645" customFormat="1" ht="21.75" customHeight="1">
      <c r="B1024" s="661">
        <v>44402</v>
      </c>
      <c r="C1024" s="662" t="s">
        <v>837</v>
      </c>
      <c r="D1024" s="663" t="s">
        <v>855</v>
      </c>
      <c r="E1024" s="664" t="s">
        <v>831</v>
      </c>
      <c r="F1024" s="665"/>
      <c r="G1024" s="663">
        <v>20</v>
      </c>
      <c r="H1024" s="662" t="s">
        <v>807</v>
      </c>
      <c r="I1024" s="666" t="s">
        <v>859</v>
      </c>
      <c r="J1024" s="667" t="s">
        <v>805</v>
      </c>
      <c r="K1024" s="662">
        <v>8</v>
      </c>
      <c r="L1024" s="685">
        <f t="shared" si="27"/>
        <v>18.8</v>
      </c>
      <c r="M1024" s="686">
        <f t="shared" si="28"/>
        <v>150.4</v>
      </c>
    </row>
    <row r="1025" spans="2:13" s="645" customFormat="1" ht="21.75" customHeight="1">
      <c r="B1025" s="661">
        <v>44402</v>
      </c>
      <c r="C1025" s="662" t="s">
        <v>837</v>
      </c>
      <c r="D1025" s="663" t="s">
        <v>855</v>
      </c>
      <c r="E1025" s="664" t="s">
        <v>831</v>
      </c>
      <c r="F1025" s="665"/>
      <c r="G1025" s="663">
        <v>20</v>
      </c>
      <c r="H1025" s="662" t="s">
        <v>807</v>
      </c>
      <c r="I1025" s="666" t="s">
        <v>857</v>
      </c>
      <c r="J1025" s="667" t="s">
        <v>805</v>
      </c>
      <c r="K1025" s="662">
        <v>4</v>
      </c>
      <c r="L1025" s="685">
        <f t="shared" si="27"/>
        <v>18.8</v>
      </c>
      <c r="M1025" s="686">
        <f t="shared" si="28"/>
        <v>75.2</v>
      </c>
    </row>
    <row r="1026" spans="2:13" s="645" customFormat="1" ht="21.75" customHeight="1">
      <c r="B1026" s="661">
        <v>44403</v>
      </c>
      <c r="C1026" s="662" t="s">
        <v>819</v>
      </c>
      <c r="D1026" s="663" t="s">
        <v>849</v>
      </c>
      <c r="E1026" s="664" t="s">
        <v>831</v>
      </c>
      <c r="F1026" s="665"/>
      <c r="G1026" s="663">
        <v>20</v>
      </c>
      <c r="H1026" s="662" t="s">
        <v>807</v>
      </c>
      <c r="I1026" s="666" t="s">
        <v>859</v>
      </c>
      <c r="J1026" s="667" t="s">
        <v>805</v>
      </c>
      <c r="K1026" s="662">
        <v>8</v>
      </c>
      <c r="L1026" s="685">
        <f t="shared" si="27"/>
        <v>18.8</v>
      </c>
      <c r="M1026" s="686">
        <f t="shared" si="28"/>
        <v>150.4</v>
      </c>
    </row>
    <row r="1027" spans="2:13" s="645" customFormat="1" ht="21.75" customHeight="1">
      <c r="B1027" s="661">
        <v>44403</v>
      </c>
      <c r="C1027" s="662" t="s">
        <v>819</v>
      </c>
      <c r="D1027" s="663" t="s">
        <v>849</v>
      </c>
      <c r="E1027" s="664" t="s">
        <v>831</v>
      </c>
      <c r="F1027" s="665"/>
      <c r="G1027" s="663">
        <v>20</v>
      </c>
      <c r="H1027" s="662" t="s">
        <v>807</v>
      </c>
      <c r="I1027" s="666" t="s">
        <v>857</v>
      </c>
      <c r="J1027" s="667" t="s">
        <v>805</v>
      </c>
      <c r="K1027" s="662">
        <v>4</v>
      </c>
      <c r="L1027" s="685">
        <f t="shared" si="27"/>
        <v>18.8</v>
      </c>
      <c r="M1027" s="686">
        <f t="shared" si="28"/>
        <v>75.2</v>
      </c>
    </row>
    <row r="1028" spans="2:13" s="645" customFormat="1" ht="21.75" customHeight="1">
      <c r="B1028" s="661">
        <v>44403</v>
      </c>
      <c r="C1028" s="662" t="s">
        <v>819</v>
      </c>
      <c r="D1028" s="663" t="s">
        <v>835</v>
      </c>
      <c r="E1028" s="664" t="s">
        <v>831</v>
      </c>
      <c r="F1028" s="665"/>
      <c r="G1028" s="663">
        <v>20</v>
      </c>
      <c r="H1028" s="662" t="s">
        <v>807</v>
      </c>
      <c r="I1028" s="666" t="s">
        <v>859</v>
      </c>
      <c r="J1028" s="667" t="s">
        <v>805</v>
      </c>
      <c r="K1028" s="662">
        <v>3</v>
      </c>
      <c r="L1028" s="685">
        <f t="shared" si="27"/>
        <v>18.8</v>
      </c>
      <c r="M1028" s="686">
        <f t="shared" si="28"/>
        <v>56.400000000000006</v>
      </c>
    </row>
    <row r="1029" spans="2:13" s="645" customFormat="1" ht="21.75" customHeight="1">
      <c r="B1029" s="661">
        <v>44403</v>
      </c>
      <c r="C1029" s="662" t="s">
        <v>819</v>
      </c>
      <c r="D1029" s="663" t="s">
        <v>835</v>
      </c>
      <c r="E1029" s="664" t="s">
        <v>831</v>
      </c>
      <c r="F1029" s="665"/>
      <c r="G1029" s="663">
        <v>20</v>
      </c>
      <c r="H1029" s="662" t="s">
        <v>807</v>
      </c>
      <c r="I1029" s="666" t="s">
        <v>857</v>
      </c>
      <c r="J1029" s="667" t="s">
        <v>805</v>
      </c>
      <c r="K1029" s="662">
        <v>6</v>
      </c>
      <c r="L1029" s="685">
        <f t="shared" si="27"/>
        <v>18.8</v>
      </c>
      <c r="M1029" s="686">
        <f t="shared" si="28"/>
        <v>112.80000000000001</v>
      </c>
    </row>
    <row r="1030" spans="2:13" s="645" customFormat="1" ht="21.75" customHeight="1">
      <c r="B1030" s="661">
        <v>44403</v>
      </c>
      <c r="C1030" s="662" t="s">
        <v>819</v>
      </c>
      <c r="D1030" s="663" t="s">
        <v>841</v>
      </c>
      <c r="E1030" s="664" t="s">
        <v>831</v>
      </c>
      <c r="F1030" s="665"/>
      <c r="G1030" s="663">
        <v>20</v>
      </c>
      <c r="H1030" s="662" t="s">
        <v>807</v>
      </c>
      <c r="I1030" s="666" t="s">
        <v>859</v>
      </c>
      <c r="J1030" s="667" t="s">
        <v>805</v>
      </c>
      <c r="K1030" s="662">
        <v>5</v>
      </c>
      <c r="L1030" s="685">
        <f t="shared" si="27"/>
        <v>18.8</v>
      </c>
      <c r="M1030" s="686">
        <f t="shared" si="28"/>
        <v>94</v>
      </c>
    </row>
    <row r="1031" spans="2:13" s="645" customFormat="1" ht="21.75" customHeight="1">
      <c r="B1031" s="661">
        <v>44403</v>
      </c>
      <c r="C1031" s="662" t="s">
        <v>819</v>
      </c>
      <c r="D1031" s="663" t="s">
        <v>841</v>
      </c>
      <c r="E1031" s="664" t="s">
        <v>831</v>
      </c>
      <c r="F1031" s="665"/>
      <c r="G1031" s="663">
        <v>20</v>
      </c>
      <c r="H1031" s="662" t="s">
        <v>807</v>
      </c>
      <c r="I1031" s="666" t="s">
        <v>857</v>
      </c>
      <c r="J1031" s="667" t="s">
        <v>805</v>
      </c>
      <c r="K1031" s="662">
        <v>5</v>
      </c>
      <c r="L1031" s="685">
        <f t="shared" si="27"/>
        <v>18.8</v>
      </c>
      <c r="M1031" s="686">
        <f t="shared" si="28"/>
        <v>94</v>
      </c>
    </row>
    <row r="1032" spans="2:13" s="645" customFormat="1" ht="21.75" customHeight="1">
      <c r="B1032" s="661">
        <v>44403</v>
      </c>
      <c r="C1032" s="662" t="s">
        <v>819</v>
      </c>
      <c r="D1032" s="663" t="s">
        <v>834</v>
      </c>
      <c r="E1032" s="664" t="s">
        <v>831</v>
      </c>
      <c r="F1032" s="665"/>
      <c r="G1032" s="663">
        <v>20</v>
      </c>
      <c r="H1032" s="662" t="s">
        <v>807</v>
      </c>
      <c r="I1032" s="666" t="s">
        <v>859</v>
      </c>
      <c r="J1032" s="667" t="s">
        <v>805</v>
      </c>
      <c r="K1032" s="662">
        <v>7</v>
      </c>
      <c r="L1032" s="685">
        <f t="shared" si="27"/>
        <v>18.8</v>
      </c>
      <c r="M1032" s="686">
        <f t="shared" si="28"/>
        <v>131.6</v>
      </c>
    </row>
    <row r="1033" spans="2:13" s="645" customFormat="1" ht="21.75" customHeight="1">
      <c r="B1033" s="661">
        <v>44403</v>
      </c>
      <c r="C1033" s="662" t="s">
        <v>819</v>
      </c>
      <c r="D1033" s="663" t="s">
        <v>834</v>
      </c>
      <c r="E1033" s="664" t="s">
        <v>831</v>
      </c>
      <c r="F1033" s="665"/>
      <c r="G1033" s="663">
        <v>20</v>
      </c>
      <c r="H1033" s="662" t="s">
        <v>807</v>
      </c>
      <c r="I1033" s="666" t="s">
        <v>857</v>
      </c>
      <c r="J1033" s="667" t="s">
        <v>805</v>
      </c>
      <c r="K1033" s="662">
        <v>5</v>
      </c>
      <c r="L1033" s="685">
        <f t="shared" ref="L1033:L1096" si="29">VLOOKUP(G1033,$Q$4:$V$7,6,FALSE)</f>
        <v>18.8</v>
      </c>
      <c r="M1033" s="686">
        <f t="shared" si="28"/>
        <v>94</v>
      </c>
    </row>
    <row r="1034" spans="2:13" s="645" customFormat="1" ht="21.75" customHeight="1">
      <c r="B1034" s="661">
        <v>44403</v>
      </c>
      <c r="C1034" s="662" t="s">
        <v>819</v>
      </c>
      <c r="D1034" s="663" t="s">
        <v>848</v>
      </c>
      <c r="E1034" s="664" t="s">
        <v>831</v>
      </c>
      <c r="F1034" s="665"/>
      <c r="G1034" s="663">
        <v>20</v>
      </c>
      <c r="H1034" s="662" t="s">
        <v>807</v>
      </c>
      <c r="I1034" s="666" t="s">
        <v>859</v>
      </c>
      <c r="J1034" s="667" t="s">
        <v>805</v>
      </c>
      <c r="K1034" s="662">
        <v>8</v>
      </c>
      <c r="L1034" s="685">
        <f t="shared" si="29"/>
        <v>18.8</v>
      </c>
      <c r="M1034" s="686">
        <f t="shared" si="28"/>
        <v>150.4</v>
      </c>
    </row>
    <row r="1035" spans="2:13" s="645" customFormat="1" ht="21.75" customHeight="1">
      <c r="B1035" s="661">
        <v>44403</v>
      </c>
      <c r="C1035" s="662" t="s">
        <v>819</v>
      </c>
      <c r="D1035" s="663" t="s">
        <v>848</v>
      </c>
      <c r="E1035" s="664" t="s">
        <v>831</v>
      </c>
      <c r="F1035" s="665"/>
      <c r="G1035" s="663">
        <v>20</v>
      </c>
      <c r="H1035" s="662" t="s">
        <v>807</v>
      </c>
      <c r="I1035" s="666" t="s">
        <v>857</v>
      </c>
      <c r="J1035" s="667" t="s">
        <v>805</v>
      </c>
      <c r="K1035" s="662">
        <v>4</v>
      </c>
      <c r="L1035" s="685">
        <f t="shared" si="29"/>
        <v>18.8</v>
      </c>
      <c r="M1035" s="686">
        <f t="shared" si="28"/>
        <v>75.2</v>
      </c>
    </row>
    <row r="1036" spans="2:13" s="645" customFormat="1" ht="21.75" customHeight="1">
      <c r="B1036" s="661">
        <v>44403</v>
      </c>
      <c r="C1036" s="662" t="s">
        <v>819</v>
      </c>
      <c r="D1036" s="663" t="s">
        <v>836</v>
      </c>
      <c r="E1036" s="664" t="s">
        <v>831</v>
      </c>
      <c r="F1036" s="665"/>
      <c r="G1036" s="663">
        <v>20</v>
      </c>
      <c r="H1036" s="662" t="s">
        <v>807</v>
      </c>
      <c r="I1036" s="666" t="s">
        <v>859</v>
      </c>
      <c r="J1036" s="667" t="s">
        <v>805</v>
      </c>
      <c r="K1036" s="662">
        <v>14</v>
      </c>
      <c r="L1036" s="685">
        <f t="shared" si="29"/>
        <v>18.8</v>
      </c>
      <c r="M1036" s="686">
        <f t="shared" si="28"/>
        <v>263.2</v>
      </c>
    </row>
    <row r="1037" spans="2:13" s="645" customFormat="1" ht="21.75" customHeight="1">
      <c r="B1037" s="661">
        <v>44403</v>
      </c>
      <c r="C1037" s="662" t="s">
        <v>819</v>
      </c>
      <c r="D1037" s="663" t="s">
        <v>830</v>
      </c>
      <c r="E1037" s="664" t="s">
        <v>831</v>
      </c>
      <c r="F1037" s="665"/>
      <c r="G1037" s="663">
        <v>15</v>
      </c>
      <c r="H1037" s="662" t="s">
        <v>807</v>
      </c>
      <c r="I1037" s="666" t="s">
        <v>859</v>
      </c>
      <c r="J1037" s="667" t="s">
        <v>805</v>
      </c>
      <c r="K1037" s="662">
        <v>11</v>
      </c>
      <c r="L1037" s="685">
        <f t="shared" si="29"/>
        <v>14.1</v>
      </c>
      <c r="M1037" s="686">
        <f t="shared" si="28"/>
        <v>155.1</v>
      </c>
    </row>
    <row r="1038" spans="2:13" s="645" customFormat="1" ht="21.75" customHeight="1">
      <c r="B1038" s="661">
        <v>44403</v>
      </c>
      <c r="C1038" s="662" t="s">
        <v>819</v>
      </c>
      <c r="D1038" s="663" t="s">
        <v>830</v>
      </c>
      <c r="E1038" s="664" t="s">
        <v>831</v>
      </c>
      <c r="F1038" s="665"/>
      <c r="G1038" s="663">
        <v>15</v>
      </c>
      <c r="H1038" s="662" t="s">
        <v>807</v>
      </c>
      <c r="I1038" s="666" t="s">
        <v>857</v>
      </c>
      <c r="J1038" s="667" t="s">
        <v>805</v>
      </c>
      <c r="K1038" s="662">
        <v>3</v>
      </c>
      <c r="L1038" s="685">
        <f t="shared" si="29"/>
        <v>14.1</v>
      </c>
      <c r="M1038" s="686">
        <f t="shared" si="28"/>
        <v>42.3</v>
      </c>
    </row>
    <row r="1039" spans="2:13" s="645" customFormat="1" ht="21.75" customHeight="1">
      <c r="B1039" s="661">
        <v>44403</v>
      </c>
      <c r="C1039" s="662" t="s">
        <v>819</v>
      </c>
      <c r="D1039" s="663" t="s">
        <v>839</v>
      </c>
      <c r="E1039" s="664" t="s">
        <v>831</v>
      </c>
      <c r="F1039" s="665"/>
      <c r="G1039" s="663">
        <v>15</v>
      </c>
      <c r="H1039" s="662" t="s">
        <v>807</v>
      </c>
      <c r="I1039" s="666" t="s">
        <v>859</v>
      </c>
      <c r="J1039" s="667" t="s">
        <v>805</v>
      </c>
      <c r="K1039" s="662">
        <v>7</v>
      </c>
      <c r="L1039" s="685">
        <f t="shared" si="29"/>
        <v>14.1</v>
      </c>
      <c r="M1039" s="686">
        <f t="shared" si="28"/>
        <v>98.7</v>
      </c>
    </row>
    <row r="1040" spans="2:13" s="645" customFormat="1" ht="21.75" customHeight="1">
      <c r="B1040" s="661">
        <v>44403</v>
      </c>
      <c r="C1040" s="662" t="s">
        <v>819</v>
      </c>
      <c r="D1040" s="663" t="s">
        <v>845</v>
      </c>
      <c r="E1040" s="664" t="s">
        <v>831</v>
      </c>
      <c r="F1040" s="665"/>
      <c r="G1040" s="663">
        <v>17</v>
      </c>
      <c r="H1040" s="662" t="s">
        <v>807</v>
      </c>
      <c r="I1040" s="666" t="s">
        <v>859</v>
      </c>
      <c r="J1040" s="667" t="s">
        <v>805</v>
      </c>
      <c r="K1040" s="662">
        <v>7</v>
      </c>
      <c r="L1040" s="685">
        <f t="shared" si="29"/>
        <v>15.98</v>
      </c>
      <c r="M1040" s="686">
        <f t="shared" si="28"/>
        <v>111.86</v>
      </c>
    </row>
    <row r="1041" spans="2:13" s="645" customFormat="1" ht="21.75" customHeight="1">
      <c r="B1041" s="661">
        <v>44403</v>
      </c>
      <c r="C1041" s="662" t="s">
        <v>819</v>
      </c>
      <c r="D1041" s="663" t="s">
        <v>845</v>
      </c>
      <c r="E1041" s="664" t="s">
        <v>831</v>
      </c>
      <c r="F1041" s="665"/>
      <c r="G1041" s="663">
        <v>17</v>
      </c>
      <c r="H1041" s="662" t="s">
        <v>807</v>
      </c>
      <c r="I1041" s="666" t="s">
        <v>857</v>
      </c>
      <c r="J1041" s="667" t="s">
        <v>805</v>
      </c>
      <c r="K1041" s="662">
        <v>6</v>
      </c>
      <c r="L1041" s="685">
        <f t="shared" si="29"/>
        <v>15.98</v>
      </c>
      <c r="M1041" s="686">
        <f t="shared" si="28"/>
        <v>95.88</v>
      </c>
    </row>
    <row r="1042" spans="2:13" s="645" customFormat="1" ht="21.75" customHeight="1">
      <c r="B1042" s="661">
        <v>44403</v>
      </c>
      <c r="C1042" s="662" t="s">
        <v>819</v>
      </c>
      <c r="D1042" s="663" t="s">
        <v>847</v>
      </c>
      <c r="E1042" s="664" t="s">
        <v>831</v>
      </c>
      <c r="F1042" s="665"/>
      <c r="G1042" s="663">
        <v>17</v>
      </c>
      <c r="H1042" s="662" t="s">
        <v>807</v>
      </c>
      <c r="I1042" s="666" t="s">
        <v>859</v>
      </c>
      <c r="J1042" s="667" t="s">
        <v>805</v>
      </c>
      <c r="K1042" s="662">
        <v>7</v>
      </c>
      <c r="L1042" s="685">
        <f t="shared" si="29"/>
        <v>15.98</v>
      </c>
      <c r="M1042" s="686">
        <f t="shared" si="28"/>
        <v>111.86</v>
      </c>
    </row>
    <row r="1043" spans="2:13" s="645" customFormat="1" ht="21.75" customHeight="1">
      <c r="B1043" s="661">
        <v>44403</v>
      </c>
      <c r="C1043" s="662" t="s">
        <v>819</v>
      </c>
      <c r="D1043" s="663" t="s">
        <v>847</v>
      </c>
      <c r="E1043" s="664" t="s">
        <v>831</v>
      </c>
      <c r="F1043" s="665"/>
      <c r="G1043" s="663">
        <v>17</v>
      </c>
      <c r="H1043" s="662" t="s">
        <v>807</v>
      </c>
      <c r="I1043" s="666" t="s">
        <v>857</v>
      </c>
      <c r="J1043" s="667" t="s">
        <v>805</v>
      </c>
      <c r="K1043" s="662">
        <v>6</v>
      </c>
      <c r="L1043" s="685">
        <f t="shared" si="29"/>
        <v>15.98</v>
      </c>
      <c r="M1043" s="686">
        <f t="shared" si="28"/>
        <v>95.88</v>
      </c>
    </row>
    <row r="1044" spans="2:13" s="645" customFormat="1" ht="21.75" customHeight="1">
      <c r="B1044" s="661">
        <v>44403</v>
      </c>
      <c r="C1044" s="662" t="s">
        <v>819</v>
      </c>
      <c r="D1044" s="663" t="s">
        <v>856</v>
      </c>
      <c r="E1044" s="664" t="s">
        <v>831</v>
      </c>
      <c r="F1044" s="665"/>
      <c r="G1044" s="663">
        <v>20</v>
      </c>
      <c r="H1044" s="662" t="s">
        <v>807</v>
      </c>
      <c r="I1044" s="666" t="s">
        <v>859</v>
      </c>
      <c r="J1044" s="667" t="s">
        <v>805</v>
      </c>
      <c r="K1044" s="662">
        <v>11</v>
      </c>
      <c r="L1044" s="685">
        <f t="shared" si="29"/>
        <v>18.8</v>
      </c>
      <c r="M1044" s="686">
        <f t="shared" si="28"/>
        <v>206.8</v>
      </c>
    </row>
    <row r="1045" spans="2:13" s="645" customFormat="1" ht="21.75" customHeight="1">
      <c r="B1045" s="661">
        <v>44403</v>
      </c>
      <c r="C1045" s="662" t="s">
        <v>819</v>
      </c>
      <c r="D1045" s="663" t="s">
        <v>856</v>
      </c>
      <c r="E1045" s="664" t="s">
        <v>831</v>
      </c>
      <c r="F1045" s="665"/>
      <c r="G1045" s="663">
        <v>20</v>
      </c>
      <c r="H1045" s="662" t="s">
        <v>807</v>
      </c>
      <c r="I1045" s="666" t="s">
        <v>857</v>
      </c>
      <c r="J1045" s="667" t="s">
        <v>805</v>
      </c>
      <c r="K1045" s="662">
        <v>2</v>
      </c>
      <c r="L1045" s="685">
        <f t="shared" si="29"/>
        <v>18.8</v>
      </c>
      <c r="M1045" s="686">
        <f t="shared" si="28"/>
        <v>37.6</v>
      </c>
    </row>
    <row r="1046" spans="2:13" s="645" customFormat="1" ht="21.75" customHeight="1">
      <c r="B1046" s="661">
        <v>44403</v>
      </c>
      <c r="C1046" s="662" t="s">
        <v>819</v>
      </c>
      <c r="D1046" s="663" t="s">
        <v>855</v>
      </c>
      <c r="E1046" s="664" t="s">
        <v>831</v>
      </c>
      <c r="F1046" s="665"/>
      <c r="G1046" s="663">
        <v>20</v>
      </c>
      <c r="H1046" s="662" t="s">
        <v>807</v>
      </c>
      <c r="I1046" s="666" t="s">
        <v>859</v>
      </c>
      <c r="J1046" s="667" t="s">
        <v>805</v>
      </c>
      <c r="K1046" s="662">
        <v>2</v>
      </c>
      <c r="L1046" s="685">
        <f t="shared" si="29"/>
        <v>18.8</v>
      </c>
      <c r="M1046" s="686">
        <f t="shared" si="28"/>
        <v>37.6</v>
      </c>
    </row>
    <row r="1047" spans="2:13" s="645" customFormat="1" ht="21.75" customHeight="1">
      <c r="B1047" s="661">
        <v>44403</v>
      </c>
      <c r="C1047" s="662" t="s">
        <v>819</v>
      </c>
      <c r="D1047" s="663" t="s">
        <v>855</v>
      </c>
      <c r="E1047" s="664" t="s">
        <v>831</v>
      </c>
      <c r="F1047" s="665"/>
      <c r="G1047" s="663">
        <v>20</v>
      </c>
      <c r="H1047" s="662" t="s">
        <v>807</v>
      </c>
      <c r="I1047" s="666" t="s">
        <v>857</v>
      </c>
      <c r="J1047" s="667" t="s">
        <v>805</v>
      </c>
      <c r="K1047" s="662">
        <v>10</v>
      </c>
      <c r="L1047" s="685">
        <f t="shared" si="29"/>
        <v>18.8</v>
      </c>
      <c r="M1047" s="686">
        <f t="shared" si="28"/>
        <v>188</v>
      </c>
    </row>
    <row r="1048" spans="2:13" s="645" customFormat="1" ht="21.75" customHeight="1">
      <c r="B1048" s="661">
        <v>44403</v>
      </c>
      <c r="C1048" s="662" t="s">
        <v>837</v>
      </c>
      <c r="D1048" s="663" t="s">
        <v>849</v>
      </c>
      <c r="E1048" s="664" t="s">
        <v>831</v>
      </c>
      <c r="F1048" s="665"/>
      <c r="G1048" s="663">
        <v>20</v>
      </c>
      <c r="H1048" s="662" t="s">
        <v>807</v>
      </c>
      <c r="I1048" s="666" t="s">
        <v>857</v>
      </c>
      <c r="J1048" s="667" t="s">
        <v>805</v>
      </c>
      <c r="K1048" s="662">
        <v>12</v>
      </c>
      <c r="L1048" s="685">
        <f t="shared" si="29"/>
        <v>18.8</v>
      </c>
      <c r="M1048" s="686">
        <f t="shared" si="28"/>
        <v>225.60000000000002</v>
      </c>
    </row>
    <row r="1049" spans="2:13" s="645" customFormat="1" ht="21.75" customHeight="1">
      <c r="B1049" s="661">
        <v>44403</v>
      </c>
      <c r="C1049" s="662" t="s">
        <v>837</v>
      </c>
      <c r="D1049" s="663" t="s">
        <v>835</v>
      </c>
      <c r="E1049" s="664" t="s">
        <v>831</v>
      </c>
      <c r="F1049" s="665"/>
      <c r="G1049" s="663">
        <v>20</v>
      </c>
      <c r="H1049" s="662" t="s">
        <v>807</v>
      </c>
      <c r="I1049" s="666" t="s">
        <v>857</v>
      </c>
      <c r="J1049" s="667" t="s">
        <v>805</v>
      </c>
      <c r="K1049" s="662">
        <v>12</v>
      </c>
      <c r="L1049" s="685">
        <f t="shared" si="29"/>
        <v>18.8</v>
      </c>
      <c r="M1049" s="686">
        <f t="shared" si="28"/>
        <v>225.60000000000002</v>
      </c>
    </row>
    <row r="1050" spans="2:13" s="645" customFormat="1" ht="21.75" customHeight="1">
      <c r="B1050" s="661">
        <v>44403</v>
      </c>
      <c r="C1050" s="662" t="s">
        <v>837</v>
      </c>
      <c r="D1050" s="663" t="s">
        <v>841</v>
      </c>
      <c r="E1050" s="664" t="s">
        <v>831</v>
      </c>
      <c r="F1050" s="665"/>
      <c r="G1050" s="663">
        <v>20</v>
      </c>
      <c r="H1050" s="662" t="s">
        <v>807</v>
      </c>
      <c r="I1050" s="666" t="s">
        <v>857</v>
      </c>
      <c r="J1050" s="667" t="s">
        <v>805</v>
      </c>
      <c r="K1050" s="662">
        <v>12</v>
      </c>
      <c r="L1050" s="685">
        <f t="shared" si="29"/>
        <v>18.8</v>
      </c>
      <c r="M1050" s="686">
        <f t="shared" si="28"/>
        <v>225.60000000000002</v>
      </c>
    </row>
    <row r="1051" spans="2:13" s="645" customFormat="1" ht="21.75" customHeight="1">
      <c r="B1051" s="661">
        <v>44403</v>
      </c>
      <c r="C1051" s="662" t="s">
        <v>837</v>
      </c>
      <c r="D1051" s="663" t="s">
        <v>834</v>
      </c>
      <c r="E1051" s="664" t="s">
        <v>831</v>
      </c>
      <c r="F1051" s="665"/>
      <c r="G1051" s="663">
        <v>20</v>
      </c>
      <c r="H1051" s="662" t="s">
        <v>807</v>
      </c>
      <c r="I1051" s="666" t="s">
        <v>857</v>
      </c>
      <c r="J1051" s="667" t="s">
        <v>805</v>
      </c>
      <c r="K1051" s="662">
        <v>12</v>
      </c>
      <c r="L1051" s="685">
        <f t="shared" si="29"/>
        <v>18.8</v>
      </c>
      <c r="M1051" s="686">
        <f t="shared" si="28"/>
        <v>225.60000000000002</v>
      </c>
    </row>
    <row r="1052" spans="2:13" s="645" customFormat="1" ht="21.75" customHeight="1">
      <c r="B1052" s="661">
        <v>44403</v>
      </c>
      <c r="C1052" s="662" t="s">
        <v>837</v>
      </c>
      <c r="D1052" s="663" t="s">
        <v>830</v>
      </c>
      <c r="E1052" s="664" t="s">
        <v>831</v>
      </c>
      <c r="F1052" s="665"/>
      <c r="G1052" s="663">
        <v>15</v>
      </c>
      <c r="H1052" s="662" t="s">
        <v>807</v>
      </c>
      <c r="I1052" s="666" t="s">
        <v>857</v>
      </c>
      <c r="J1052" s="667" t="s">
        <v>805</v>
      </c>
      <c r="K1052" s="662">
        <v>12</v>
      </c>
      <c r="L1052" s="685">
        <f t="shared" si="29"/>
        <v>14.1</v>
      </c>
      <c r="M1052" s="686">
        <f t="shared" si="28"/>
        <v>169.2</v>
      </c>
    </row>
    <row r="1053" spans="2:13" s="645" customFormat="1" ht="21.75" customHeight="1">
      <c r="B1053" s="661">
        <v>44403</v>
      </c>
      <c r="C1053" s="662" t="s">
        <v>837</v>
      </c>
      <c r="D1053" s="663" t="s">
        <v>845</v>
      </c>
      <c r="E1053" s="664" t="s">
        <v>831</v>
      </c>
      <c r="F1053" s="665"/>
      <c r="G1053" s="663">
        <v>17</v>
      </c>
      <c r="H1053" s="662" t="s">
        <v>807</v>
      </c>
      <c r="I1053" s="666" t="s">
        <v>857</v>
      </c>
      <c r="J1053" s="667" t="s">
        <v>805</v>
      </c>
      <c r="K1053" s="662">
        <v>12</v>
      </c>
      <c r="L1053" s="685">
        <f t="shared" si="29"/>
        <v>15.98</v>
      </c>
      <c r="M1053" s="686">
        <f t="shared" si="28"/>
        <v>191.76</v>
      </c>
    </row>
    <row r="1054" spans="2:13" s="645" customFormat="1" ht="21.75" customHeight="1">
      <c r="B1054" s="661">
        <v>44403</v>
      </c>
      <c r="C1054" s="662" t="s">
        <v>837</v>
      </c>
      <c r="D1054" s="663" t="s">
        <v>856</v>
      </c>
      <c r="E1054" s="664" t="s">
        <v>831</v>
      </c>
      <c r="F1054" s="665"/>
      <c r="G1054" s="663">
        <v>20</v>
      </c>
      <c r="H1054" s="662" t="s">
        <v>807</v>
      </c>
      <c r="I1054" s="666" t="s">
        <v>857</v>
      </c>
      <c r="J1054" s="667" t="s">
        <v>805</v>
      </c>
      <c r="K1054" s="662">
        <v>12</v>
      </c>
      <c r="L1054" s="685">
        <f t="shared" si="29"/>
        <v>18.8</v>
      </c>
      <c r="M1054" s="686">
        <f t="shared" si="28"/>
        <v>225.60000000000002</v>
      </c>
    </row>
    <row r="1055" spans="2:13" s="645" customFormat="1" ht="21.75" customHeight="1">
      <c r="B1055" s="661">
        <v>44403</v>
      </c>
      <c r="C1055" s="662" t="s">
        <v>837</v>
      </c>
      <c r="D1055" s="663" t="s">
        <v>855</v>
      </c>
      <c r="E1055" s="664" t="s">
        <v>831</v>
      </c>
      <c r="F1055" s="665"/>
      <c r="G1055" s="663">
        <v>20</v>
      </c>
      <c r="H1055" s="662" t="s">
        <v>807</v>
      </c>
      <c r="I1055" s="666" t="s">
        <v>857</v>
      </c>
      <c r="J1055" s="667" t="s">
        <v>805</v>
      </c>
      <c r="K1055" s="662">
        <v>10</v>
      </c>
      <c r="L1055" s="685">
        <f t="shared" si="29"/>
        <v>18.8</v>
      </c>
      <c r="M1055" s="686">
        <f t="shared" si="28"/>
        <v>188</v>
      </c>
    </row>
    <row r="1056" spans="2:13" s="645" customFormat="1" ht="21.75" customHeight="1">
      <c r="B1056" s="661">
        <v>44404</v>
      </c>
      <c r="C1056" s="662" t="s">
        <v>819</v>
      </c>
      <c r="D1056" s="663" t="s">
        <v>849</v>
      </c>
      <c r="E1056" s="664" t="s">
        <v>831</v>
      </c>
      <c r="F1056" s="665"/>
      <c r="G1056" s="663">
        <v>20</v>
      </c>
      <c r="H1056" s="662" t="s">
        <v>807</v>
      </c>
      <c r="I1056" s="666" t="s">
        <v>859</v>
      </c>
      <c r="J1056" s="667" t="s">
        <v>805</v>
      </c>
      <c r="K1056" s="662">
        <v>4</v>
      </c>
      <c r="L1056" s="685">
        <f t="shared" si="29"/>
        <v>18.8</v>
      </c>
      <c r="M1056" s="686">
        <f t="shared" si="28"/>
        <v>75.2</v>
      </c>
    </row>
    <row r="1057" spans="2:13" s="645" customFormat="1" ht="21.75" customHeight="1">
      <c r="B1057" s="661">
        <v>44404</v>
      </c>
      <c r="C1057" s="662" t="s">
        <v>819</v>
      </c>
      <c r="D1057" s="663" t="s">
        <v>849</v>
      </c>
      <c r="E1057" s="664" t="s">
        <v>831</v>
      </c>
      <c r="F1057" s="665"/>
      <c r="G1057" s="663">
        <v>20</v>
      </c>
      <c r="H1057" s="662" t="s">
        <v>807</v>
      </c>
      <c r="I1057" s="666" t="s">
        <v>857</v>
      </c>
      <c r="J1057" s="667" t="s">
        <v>805</v>
      </c>
      <c r="K1057" s="662">
        <v>8</v>
      </c>
      <c r="L1057" s="685">
        <f t="shared" si="29"/>
        <v>18.8</v>
      </c>
      <c r="M1057" s="686">
        <f t="shared" si="28"/>
        <v>150.4</v>
      </c>
    </row>
    <row r="1058" spans="2:13" s="645" customFormat="1" ht="21.75" customHeight="1">
      <c r="B1058" s="661">
        <v>44404</v>
      </c>
      <c r="C1058" s="662" t="s">
        <v>819</v>
      </c>
      <c r="D1058" s="663" t="s">
        <v>835</v>
      </c>
      <c r="E1058" s="664" t="s">
        <v>831</v>
      </c>
      <c r="F1058" s="665"/>
      <c r="G1058" s="663">
        <v>20</v>
      </c>
      <c r="H1058" s="662" t="s">
        <v>807</v>
      </c>
      <c r="I1058" s="666" t="s">
        <v>859</v>
      </c>
      <c r="J1058" s="667" t="s">
        <v>805</v>
      </c>
      <c r="K1058" s="662">
        <v>4</v>
      </c>
      <c r="L1058" s="685">
        <f t="shared" si="29"/>
        <v>18.8</v>
      </c>
      <c r="M1058" s="686">
        <f t="shared" si="28"/>
        <v>75.2</v>
      </c>
    </row>
    <row r="1059" spans="2:13" s="645" customFormat="1" ht="21.75" customHeight="1">
      <c r="B1059" s="661">
        <v>44404</v>
      </c>
      <c r="C1059" s="662" t="s">
        <v>819</v>
      </c>
      <c r="D1059" s="663" t="s">
        <v>835</v>
      </c>
      <c r="E1059" s="664" t="s">
        <v>831</v>
      </c>
      <c r="F1059" s="665"/>
      <c r="G1059" s="663">
        <v>20</v>
      </c>
      <c r="H1059" s="662" t="s">
        <v>807</v>
      </c>
      <c r="I1059" s="666" t="s">
        <v>857</v>
      </c>
      <c r="J1059" s="667" t="s">
        <v>805</v>
      </c>
      <c r="K1059" s="662">
        <v>6</v>
      </c>
      <c r="L1059" s="685">
        <f t="shared" si="29"/>
        <v>18.8</v>
      </c>
      <c r="M1059" s="686">
        <f t="shared" si="28"/>
        <v>112.80000000000001</v>
      </c>
    </row>
    <row r="1060" spans="2:13" s="645" customFormat="1" ht="21.75" customHeight="1">
      <c r="B1060" s="661">
        <v>44404</v>
      </c>
      <c r="C1060" s="662" t="s">
        <v>819</v>
      </c>
      <c r="D1060" s="663" t="s">
        <v>841</v>
      </c>
      <c r="E1060" s="664" t="s">
        <v>831</v>
      </c>
      <c r="F1060" s="665"/>
      <c r="G1060" s="663">
        <v>20</v>
      </c>
      <c r="H1060" s="662" t="s">
        <v>807</v>
      </c>
      <c r="I1060" s="666" t="s">
        <v>857</v>
      </c>
      <c r="J1060" s="667" t="s">
        <v>805</v>
      </c>
      <c r="K1060" s="662">
        <v>11</v>
      </c>
      <c r="L1060" s="685">
        <f t="shared" si="29"/>
        <v>18.8</v>
      </c>
      <c r="M1060" s="686">
        <f t="shared" si="28"/>
        <v>206.8</v>
      </c>
    </row>
    <row r="1061" spans="2:13" s="645" customFormat="1" ht="21.75" customHeight="1">
      <c r="B1061" s="661">
        <v>44404</v>
      </c>
      <c r="C1061" s="662" t="s">
        <v>819</v>
      </c>
      <c r="D1061" s="663" t="s">
        <v>834</v>
      </c>
      <c r="E1061" s="664" t="s">
        <v>831</v>
      </c>
      <c r="F1061" s="665"/>
      <c r="G1061" s="663">
        <v>20</v>
      </c>
      <c r="H1061" s="662" t="s">
        <v>807</v>
      </c>
      <c r="I1061" s="666" t="s">
        <v>859</v>
      </c>
      <c r="J1061" s="667" t="s">
        <v>805</v>
      </c>
      <c r="K1061" s="662">
        <v>6</v>
      </c>
      <c r="L1061" s="685">
        <f t="shared" si="29"/>
        <v>18.8</v>
      </c>
      <c r="M1061" s="686">
        <f t="shared" si="28"/>
        <v>112.80000000000001</v>
      </c>
    </row>
    <row r="1062" spans="2:13" s="645" customFormat="1" ht="21.75" customHeight="1">
      <c r="B1062" s="661">
        <v>44404</v>
      </c>
      <c r="C1062" s="662" t="s">
        <v>819</v>
      </c>
      <c r="D1062" s="663" t="s">
        <v>834</v>
      </c>
      <c r="E1062" s="664" t="s">
        <v>831</v>
      </c>
      <c r="F1062" s="665"/>
      <c r="G1062" s="663">
        <v>20</v>
      </c>
      <c r="H1062" s="662" t="s">
        <v>807</v>
      </c>
      <c r="I1062" s="666" t="s">
        <v>857</v>
      </c>
      <c r="J1062" s="667" t="s">
        <v>805</v>
      </c>
      <c r="K1062" s="662">
        <v>5</v>
      </c>
      <c r="L1062" s="685">
        <f t="shared" si="29"/>
        <v>18.8</v>
      </c>
      <c r="M1062" s="686">
        <f t="shared" si="28"/>
        <v>94</v>
      </c>
    </row>
    <row r="1063" spans="2:13" s="645" customFormat="1" ht="21.75" customHeight="1">
      <c r="B1063" s="661">
        <v>44404</v>
      </c>
      <c r="C1063" s="662" t="s">
        <v>819</v>
      </c>
      <c r="D1063" s="663" t="s">
        <v>848</v>
      </c>
      <c r="E1063" s="664" t="s">
        <v>831</v>
      </c>
      <c r="F1063" s="665"/>
      <c r="G1063" s="663">
        <v>20</v>
      </c>
      <c r="H1063" s="662" t="s">
        <v>807</v>
      </c>
      <c r="I1063" s="666" t="s">
        <v>859</v>
      </c>
      <c r="J1063" s="667" t="s">
        <v>805</v>
      </c>
      <c r="K1063" s="662">
        <v>3</v>
      </c>
      <c r="L1063" s="685">
        <f t="shared" si="29"/>
        <v>18.8</v>
      </c>
      <c r="M1063" s="686">
        <f t="shared" ref="M1063:M1126" si="30">L1063*K1063</f>
        <v>56.400000000000006</v>
      </c>
    </row>
    <row r="1064" spans="2:13" s="645" customFormat="1" ht="21.75" customHeight="1">
      <c r="B1064" s="661">
        <v>44404</v>
      </c>
      <c r="C1064" s="662" t="s">
        <v>819</v>
      </c>
      <c r="D1064" s="663" t="s">
        <v>848</v>
      </c>
      <c r="E1064" s="664" t="s">
        <v>831</v>
      </c>
      <c r="F1064" s="665"/>
      <c r="G1064" s="663">
        <v>20</v>
      </c>
      <c r="H1064" s="662" t="s">
        <v>807</v>
      </c>
      <c r="I1064" s="666" t="s">
        <v>857</v>
      </c>
      <c r="J1064" s="667" t="s">
        <v>805</v>
      </c>
      <c r="K1064" s="662">
        <v>8</v>
      </c>
      <c r="L1064" s="685">
        <f t="shared" si="29"/>
        <v>18.8</v>
      </c>
      <c r="M1064" s="686">
        <f t="shared" si="30"/>
        <v>150.4</v>
      </c>
    </row>
    <row r="1065" spans="2:13" s="645" customFormat="1" ht="21.75" customHeight="1">
      <c r="B1065" s="661">
        <v>44404</v>
      </c>
      <c r="C1065" s="662" t="s">
        <v>819</v>
      </c>
      <c r="D1065" s="663" t="s">
        <v>836</v>
      </c>
      <c r="E1065" s="664" t="s">
        <v>831</v>
      </c>
      <c r="F1065" s="665"/>
      <c r="G1065" s="663">
        <v>20</v>
      </c>
      <c r="H1065" s="662" t="s">
        <v>807</v>
      </c>
      <c r="I1065" s="666" t="s">
        <v>859</v>
      </c>
      <c r="J1065" s="667" t="s">
        <v>805</v>
      </c>
      <c r="K1065" s="662">
        <v>14</v>
      </c>
      <c r="L1065" s="685">
        <f t="shared" si="29"/>
        <v>18.8</v>
      </c>
      <c r="M1065" s="686">
        <f t="shared" si="30"/>
        <v>263.2</v>
      </c>
    </row>
    <row r="1066" spans="2:13" s="645" customFormat="1" ht="21.75" customHeight="1">
      <c r="B1066" s="661">
        <v>44404</v>
      </c>
      <c r="C1066" s="662" t="s">
        <v>819</v>
      </c>
      <c r="D1066" s="663" t="s">
        <v>830</v>
      </c>
      <c r="E1066" s="664" t="s">
        <v>831</v>
      </c>
      <c r="F1066" s="665"/>
      <c r="G1066" s="663">
        <v>15</v>
      </c>
      <c r="H1066" s="662" t="s">
        <v>807</v>
      </c>
      <c r="I1066" s="666" t="s">
        <v>859</v>
      </c>
      <c r="J1066" s="667" t="s">
        <v>805</v>
      </c>
      <c r="K1066" s="662">
        <v>11</v>
      </c>
      <c r="L1066" s="685">
        <f t="shared" si="29"/>
        <v>14.1</v>
      </c>
      <c r="M1066" s="686">
        <f t="shared" si="30"/>
        <v>155.1</v>
      </c>
    </row>
    <row r="1067" spans="2:13" s="645" customFormat="1" ht="21.75" customHeight="1">
      <c r="B1067" s="661">
        <v>44404</v>
      </c>
      <c r="C1067" s="662" t="s">
        <v>819</v>
      </c>
      <c r="D1067" s="663" t="s">
        <v>830</v>
      </c>
      <c r="E1067" s="664" t="s">
        <v>831</v>
      </c>
      <c r="F1067" s="665"/>
      <c r="G1067" s="663">
        <v>15</v>
      </c>
      <c r="H1067" s="662" t="s">
        <v>807</v>
      </c>
      <c r="I1067" s="666" t="s">
        <v>857</v>
      </c>
      <c r="J1067" s="667" t="s">
        <v>805</v>
      </c>
      <c r="K1067" s="662">
        <v>1</v>
      </c>
      <c r="L1067" s="685">
        <f t="shared" si="29"/>
        <v>14.1</v>
      </c>
      <c r="M1067" s="686">
        <f t="shared" si="30"/>
        <v>14.1</v>
      </c>
    </row>
    <row r="1068" spans="2:13" s="645" customFormat="1" ht="21.75" customHeight="1">
      <c r="B1068" s="661">
        <v>44404</v>
      </c>
      <c r="C1068" s="662" t="s">
        <v>819</v>
      </c>
      <c r="D1068" s="663" t="s">
        <v>839</v>
      </c>
      <c r="E1068" s="664" t="s">
        <v>831</v>
      </c>
      <c r="F1068" s="665"/>
      <c r="G1068" s="663">
        <v>15</v>
      </c>
      <c r="H1068" s="662" t="s">
        <v>807</v>
      </c>
      <c r="I1068" s="666" t="s">
        <v>859</v>
      </c>
      <c r="J1068" s="667" t="s">
        <v>805</v>
      </c>
      <c r="K1068" s="662">
        <v>8</v>
      </c>
      <c r="L1068" s="685">
        <f t="shared" si="29"/>
        <v>14.1</v>
      </c>
      <c r="M1068" s="686">
        <f t="shared" si="30"/>
        <v>112.8</v>
      </c>
    </row>
    <row r="1069" spans="2:13" s="645" customFormat="1" ht="21.75" customHeight="1">
      <c r="B1069" s="661">
        <v>44404</v>
      </c>
      <c r="C1069" s="662" t="s">
        <v>819</v>
      </c>
      <c r="D1069" s="663" t="s">
        <v>839</v>
      </c>
      <c r="E1069" s="664" t="s">
        <v>831</v>
      </c>
      <c r="F1069" s="665"/>
      <c r="G1069" s="663">
        <v>15</v>
      </c>
      <c r="H1069" s="662" t="s">
        <v>807</v>
      </c>
      <c r="I1069" s="666" t="s">
        <v>857</v>
      </c>
      <c r="J1069" s="667" t="s">
        <v>805</v>
      </c>
      <c r="K1069" s="662">
        <v>2</v>
      </c>
      <c r="L1069" s="685">
        <f t="shared" si="29"/>
        <v>14.1</v>
      </c>
      <c r="M1069" s="686">
        <f t="shared" si="30"/>
        <v>28.2</v>
      </c>
    </row>
    <row r="1070" spans="2:13" s="645" customFormat="1" ht="21.75" customHeight="1">
      <c r="B1070" s="661">
        <v>44404</v>
      </c>
      <c r="C1070" s="662" t="s">
        <v>819</v>
      </c>
      <c r="D1070" s="663" t="s">
        <v>845</v>
      </c>
      <c r="E1070" s="664" t="s">
        <v>831</v>
      </c>
      <c r="F1070" s="665"/>
      <c r="G1070" s="663">
        <v>17</v>
      </c>
      <c r="H1070" s="662" t="s">
        <v>807</v>
      </c>
      <c r="I1070" s="666" t="s">
        <v>859</v>
      </c>
      <c r="J1070" s="667" t="s">
        <v>805</v>
      </c>
      <c r="K1070" s="662">
        <v>7</v>
      </c>
      <c r="L1070" s="685">
        <f t="shared" si="29"/>
        <v>15.98</v>
      </c>
      <c r="M1070" s="686">
        <f t="shared" si="30"/>
        <v>111.86</v>
      </c>
    </row>
    <row r="1071" spans="2:13" s="645" customFormat="1" ht="21.75" customHeight="1">
      <c r="B1071" s="661">
        <v>44404</v>
      </c>
      <c r="C1071" s="662" t="s">
        <v>819</v>
      </c>
      <c r="D1071" s="663" t="s">
        <v>845</v>
      </c>
      <c r="E1071" s="664" t="s">
        <v>831</v>
      </c>
      <c r="F1071" s="665"/>
      <c r="G1071" s="663">
        <v>17</v>
      </c>
      <c r="H1071" s="662" t="s">
        <v>807</v>
      </c>
      <c r="I1071" s="666" t="s">
        <v>857</v>
      </c>
      <c r="J1071" s="667" t="s">
        <v>805</v>
      </c>
      <c r="K1071" s="662">
        <v>4</v>
      </c>
      <c r="L1071" s="685">
        <f t="shared" si="29"/>
        <v>15.98</v>
      </c>
      <c r="M1071" s="686">
        <f t="shared" si="30"/>
        <v>63.92</v>
      </c>
    </row>
    <row r="1072" spans="2:13" s="645" customFormat="1" ht="21.75" customHeight="1">
      <c r="B1072" s="661">
        <v>44404</v>
      </c>
      <c r="C1072" s="662" t="s">
        <v>819</v>
      </c>
      <c r="D1072" s="663" t="s">
        <v>847</v>
      </c>
      <c r="E1072" s="664" t="s">
        <v>831</v>
      </c>
      <c r="F1072" s="665"/>
      <c r="G1072" s="663">
        <v>17</v>
      </c>
      <c r="H1072" s="662" t="s">
        <v>807</v>
      </c>
      <c r="I1072" s="666" t="s">
        <v>859</v>
      </c>
      <c r="J1072" s="667" t="s">
        <v>805</v>
      </c>
      <c r="K1072" s="662">
        <v>7</v>
      </c>
      <c r="L1072" s="685">
        <f t="shared" si="29"/>
        <v>15.98</v>
      </c>
      <c r="M1072" s="686">
        <f t="shared" si="30"/>
        <v>111.86</v>
      </c>
    </row>
    <row r="1073" spans="2:13" s="645" customFormat="1" ht="21.75" customHeight="1">
      <c r="B1073" s="661">
        <v>44404</v>
      </c>
      <c r="C1073" s="662" t="s">
        <v>819</v>
      </c>
      <c r="D1073" s="663" t="s">
        <v>847</v>
      </c>
      <c r="E1073" s="664" t="s">
        <v>831</v>
      </c>
      <c r="F1073" s="665"/>
      <c r="G1073" s="663">
        <v>17</v>
      </c>
      <c r="H1073" s="662" t="s">
        <v>807</v>
      </c>
      <c r="I1073" s="666" t="s">
        <v>857</v>
      </c>
      <c r="J1073" s="667" t="s">
        <v>805</v>
      </c>
      <c r="K1073" s="662">
        <v>2</v>
      </c>
      <c r="L1073" s="685">
        <f t="shared" si="29"/>
        <v>15.98</v>
      </c>
      <c r="M1073" s="686">
        <f t="shared" si="30"/>
        <v>31.96</v>
      </c>
    </row>
    <row r="1074" spans="2:13" s="645" customFormat="1" ht="21.75" customHeight="1">
      <c r="B1074" s="661">
        <v>44404</v>
      </c>
      <c r="C1074" s="662" t="s">
        <v>819</v>
      </c>
      <c r="D1074" s="663" t="s">
        <v>856</v>
      </c>
      <c r="E1074" s="664" t="s">
        <v>831</v>
      </c>
      <c r="F1074" s="665"/>
      <c r="G1074" s="663">
        <v>20</v>
      </c>
      <c r="H1074" s="662" t="s">
        <v>807</v>
      </c>
      <c r="I1074" s="666" t="s">
        <v>859</v>
      </c>
      <c r="J1074" s="667" t="s">
        <v>805</v>
      </c>
      <c r="K1074" s="662">
        <v>3</v>
      </c>
      <c r="L1074" s="685">
        <f t="shared" si="29"/>
        <v>18.8</v>
      </c>
      <c r="M1074" s="686">
        <f t="shared" si="30"/>
        <v>56.400000000000006</v>
      </c>
    </row>
    <row r="1075" spans="2:13" s="645" customFormat="1" ht="21.75" customHeight="1">
      <c r="B1075" s="661">
        <v>44404</v>
      </c>
      <c r="C1075" s="662" t="s">
        <v>819</v>
      </c>
      <c r="D1075" s="663" t="s">
        <v>856</v>
      </c>
      <c r="E1075" s="664" t="s">
        <v>831</v>
      </c>
      <c r="F1075" s="665"/>
      <c r="G1075" s="663">
        <v>20</v>
      </c>
      <c r="H1075" s="662" t="s">
        <v>807</v>
      </c>
      <c r="I1075" s="666" t="s">
        <v>857</v>
      </c>
      <c r="J1075" s="667" t="s">
        <v>805</v>
      </c>
      <c r="K1075" s="662">
        <v>7</v>
      </c>
      <c r="L1075" s="685">
        <f t="shared" si="29"/>
        <v>18.8</v>
      </c>
      <c r="M1075" s="686">
        <f t="shared" si="30"/>
        <v>131.6</v>
      </c>
    </row>
    <row r="1076" spans="2:13" s="645" customFormat="1" ht="21.75" customHeight="1">
      <c r="B1076" s="661">
        <v>44404</v>
      </c>
      <c r="C1076" s="662" t="s">
        <v>819</v>
      </c>
      <c r="D1076" s="663" t="s">
        <v>855</v>
      </c>
      <c r="E1076" s="664" t="s">
        <v>831</v>
      </c>
      <c r="F1076" s="665"/>
      <c r="G1076" s="663">
        <v>20</v>
      </c>
      <c r="H1076" s="662" t="s">
        <v>807</v>
      </c>
      <c r="I1076" s="666" t="s">
        <v>857</v>
      </c>
      <c r="J1076" s="667" t="s">
        <v>805</v>
      </c>
      <c r="K1076" s="662">
        <v>10</v>
      </c>
      <c r="L1076" s="685">
        <f t="shared" si="29"/>
        <v>18.8</v>
      </c>
      <c r="M1076" s="686">
        <f t="shared" si="30"/>
        <v>188</v>
      </c>
    </row>
    <row r="1077" spans="2:13" s="645" customFormat="1" ht="21.75" customHeight="1">
      <c r="B1077" s="661">
        <v>44405</v>
      </c>
      <c r="C1077" s="662" t="s">
        <v>819</v>
      </c>
      <c r="D1077" s="663" t="s">
        <v>849</v>
      </c>
      <c r="E1077" s="664" t="s">
        <v>831</v>
      </c>
      <c r="F1077" s="665"/>
      <c r="G1077" s="663">
        <v>20</v>
      </c>
      <c r="H1077" s="662" t="s">
        <v>807</v>
      </c>
      <c r="I1077" s="666" t="s">
        <v>859</v>
      </c>
      <c r="J1077" s="667" t="s">
        <v>805</v>
      </c>
      <c r="K1077" s="662">
        <v>6</v>
      </c>
      <c r="L1077" s="685">
        <f t="shared" si="29"/>
        <v>18.8</v>
      </c>
      <c r="M1077" s="686">
        <f t="shared" si="30"/>
        <v>112.80000000000001</v>
      </c>
    </row>
    <row r="1078" spans="2:13" s="645" customFormat="1" ht="21.75" customHeight="1">
      <c r="B1078" s="661">
        <v>44405</v>
      </c>
      <c r="C1078" s="662" t="s">
        <v>819</v>
      </c>
      <c r="D1078" s="663" t="s">
        <v>849</v>
      </c>
      <c r="E1078" s="664" t="s">
        <v>831</v>
      </c>
      <c r="F1078" s="665"/>
      <c r="G1078" s="663">
        <v>20</v>
      </c>
      <c r="H1078" s="662" t="s">
        <v>807</v>
      </c>
      <c r="I1078" s="666" t="s">
        <v>857</v>
      </c>
      <c r="J1078" s="667" t="s">
        <v>805</v>
      </c>
      <c r="K1078" s="662">
        <v>3</v>
      </c>
      <c r="L1078" s="685">
        <f t="shared" si="29"/>
        <v>18.8</v>
      </c>
      <c r="M1078" s="686">
        <f t="shared" si="30"/>
        <v>56.400000000000006</v>
      </c>
    </row>
    <row r="1079" spans="2:13" s="645" customFormat="1" ht="21.75" customHeight="1">
      <c r="B1079" s="661">
        <v>44405</v>
      </c>
      <c r="C1079" s="662" t="s">
        <v>819</v>
      </c>
      <c r="D1079" s="663" t="s">
        <v>835</v>
      </c>
      <c r="E1079" s="664" t="s">
        <v>831</v>
      </c>
      <c r="F1079" s="665"/>
      <c r="G1079" s="663">
        <v>20</v>
      </c>
      <c r="H1079" s="662" t="s">
        <v>807</v>
      </c>
      <c r="I1079" s="666" t="s">
        <v>859</v>
      </c>
      <c r="J1079" s="667" t="s">
        <v>805</v>
      </c>
      <c r="K1079" s="662">
        <v>3</v>
      </c>
      <c r="L1079" s="685">
        <f t="shared" si="29"/>
        <v>18.8</v>
      </c>
      <c r="M1079" s="686">
        <f t="shared" si="30"/>
        <v>56.400000000000006</v>
      </c>
    </row>
    <row r="1080" spans="2:13" s="645" customFormat="1" ht="21.75" customHeight="1">
      <c r="B1080" s="661">
        <v>44405</v>
      </c>
      <c r="C1080" s="662" t="s">
        <v>819</v>
      </c>
      <c r="D1080" s="663" t="s">
        <v>835</v>
      </c>
      <c r="E1080" s="664" t="s">
        <v>831</v>
      </c>
      <c r="F1080" s="665"/>
      <c r="G1080" s="663">
        <v>20</v>
      </c>
      <c r="H1080" s="662" t="s">
        <v>807</v>
      </c>
      <c r="I1080" s="666" t="s">
        <v>857</v>
      </c>
      <c r="J1080" s="667" t="s">
        <v>805</v>
      </c>
      <c r="K1080" s="662">
        <v>8</v>
      </c>
      <c r="L1080" s="685">
        <f t="shared" si="29"/>
        <v>18.8</v>
      </c>
      <c r="M1080" s="686">
        <f t="shared" si="30"/>
        <v>150.4</v>
      </c>
    </row>
    <row r="1081" spans="2:13" s="645" customFormat="1" ht="21.75" customHeight="1">
      <c r="B1081" s="661">
        <v>44405</v>
      </c>
      <c r="C1081" s="662" t="s">
        <v>819</v>
      </c>
      <c r="D1081" s="663" t="s">
        <v>841</v>
      </c>
      <c r="E1081" s="664" t="s">
        <v>831</v>
      </c>
      <c r="F1081" s="665"/>
      <c r="G1081" s="663">
        <v>20</v>
      </c>
      <c r="H1081" s="662" t="s">
        <v>807</v>
      </c>
      <c r="I1081" s="666" t="s">
        <v>859</v>
      </c>
      <c r="J1081" s="667" t="s">
        <v>805</v>
      </c>
      <c r="K1081" s="662">
        <v>4</v>
      </c>
      <c r="L1081" s="685">
        <f t="shared" si="29"/>
        <v>18.8</v>
      </c>
      <c r="M1081" s="686">
        <f t="shared" si="30"/>
        <v>75.2</v>
      </c>
    </row>
    <row r="1082" spans="2:13" s="645" customFormat="1" ht="21.75" customHeight="1">
      <c r="B1082" s="661">
        <v>44405</v>
      </c>
      <c r="C1082" s="662" t="s">
        <v>819</v>
      </c>
      <c r="D1082" s="663" t="s">
        <v>841</v>
      </c>
      <c r="E1082" s="664" t="s">
        <v>831</v>
      </c>
      <c r="F1082" s="665"/>
      <c r="G1082" s="663">
        <v>20</v>
      </c>
      <c r="H1082" s="662" t="s">
        <v>807</v>
      </c>
      <c r="I1082" s="666" t="s">
        <v>857</v>
      </c>
      <c r="J1082" s="667" t="s">
        <v>805</v>
      </c>
      <c r="K1082" s="662">
        <v>8</v>
      </c>
      <c r="L1082" s="685">
        <f t="shared" si="29"/>
        <v>18.8</v>
      </c>
      <c r="M1082" s="686">
        <f t="shared" si="30"/>
        <v>150.4</v>
      </c>
    </row>
    <row r="1083" spans="2:13" s="645" customFormat="1" ht="21.75" customHeight="1">
      <c r="B1083" s="661">
        <v>44405</v>
      </c>
      <c r="C1083" s="662" t="s">
        <v>819</v>
      </c>
      <c r="D1083" s="663" t="s">
        <v>834</v>
      </c>
      <c r="E1083" s="664" t="s">
        <v>831</v>
      </c>
      <c r="F1083" s="665"/>
      <c r="G1083" s="663">
        <v>20</v>
      </c>
      <c r="H1083" s="662" t="s">
        <v>807</v>
      </c>
      <c r="I1083" s="666" t="s">
        <v>859</v>
      </c>
      <c r="J1083" s="667" t="s">
        <v>805</v>
      </c>
      <c r="K1083" s="662">
        <v>2</v>
      </c>
      <c r="L1083" s="685">
        <f t="shared" si="29"/>
        <v>18.8</v>
      </c>
      <c r="M1083" s="686">
        <f t="shared" si="30"/>
        <v>37.6</v>
      </c>
    </row>
    <row r="1084" spans="2:13" s="645" customFormat="1" ht="21.75" customHeight="1">
      <c r="B1084" s="661">
        <v>44405</v>
      </c>
      <c r="C1084" s="662" t="s">
        <v>819</v>
      </c>
      <c r="D1084" s="663" t="s">
        <v>834</v>
      </c>
      <c r="E1084" s="664" t="s">
        <v>831</v>
      </c>
      <c r="F1084" s="665"/>
      <c r="G1084" s="663">
        <v>20</v>
      </c>
      <c r="H1084" s="662" t="s">
        <v>807</v>
      </c>
      <c r="I1084" s="666" t="s">
        <v>857</v>
      </c>
      <c r="J1084" s="667" t="s">
        <v>805</v>
      </c>
      <c r="K1084" s="662">
        <v>9</v>
      </c>
      <c r="L1084" s="685">
        <f t="shared" si="29"/>
        <v>18.8</v>
      </c>
      <c r="M1084" s="686">
        <f t="shared" si="30"/>
        <v>169.20000000000002</v>
      </c>
    </row>
    <row r="1085" spans="2:13" s="645" customFormat="1" ht="21.75" customHeight="1">
      <c r="B1085" s="661">
        <v>44405</v>
      </c>
      <c r="C1085" s="662" t="s">
        <v>819</v>
      </c>
      <c r="D1085" s="663" t="s">
        <v>848</v>
      </c>
      <c r="E1085" s="664" t="s">
        <v>831</v>
      </c>
      <c r="F1085" s="665"/>
      <c r="G1085" s="663">
        <v>20</v>
      </c>
      <c r="H1085" s="662" t="s">
        <v>807</v>
      </c>
      <c r="I1085" s="666" t="s">
        <v>859</v>
      </c>
      <c r="J1085" s="667" t="s">
        <v>805</v>
      </c>
      <c r="K1085" s="662">
        <v>5</v>
      </c>
      <c r="L1085" s="685">
        <f t="shared" si="29"/>
        <v>18.8</v>
      </c>
      <c r="M1085" s="686">
        <f t="shared" si="30"/>
        <v>94</v>
      </c>
    </row>
    <row r="1086" spans="2:13" s="645" customFormat="1" ht="21.75" customHeight="1">
      <c r="B1086" s="661">
        <v>44405</v>
      </c>
      <c r="C1086" s="662" t="s">
        <v>819</v>
      </c>
      <c r="D1086" s="663" t="s">
        <v>848</v>
      </c>
      <c r="E1086" s="664" t="s">
        <v>831</v>
      </c>
      <c r="F1086" s="665"/>
      <c r="G1086" s="663">
        <v>20</v>
      </c>
      <c r="H1086" s="662" t="s">
        <v>807</v>
      </c>
      <c r="I1086" s="666" t="s">
        <v>857</v>
      </c>
      <c r="J1086" s="667" t="s">
        <v>805</v>
      </c>
      <c r="K1086" s="662">
        <v>6</v>
      </c>
      <c r="L1086" s="685">
        <f t="shared" si="29"/>
        <v>18.8</v>
      </c>
      <c r="M1086" s="686">
        <f t="shared" si="30"/>
        <v>112.80000000000001</v>
      </c>
    </row>
    <row r="1087" spans="2:13" s="645" customFormat="1" ht="21.75" customHeight="1">
      <c r="B1087" s="661">
        <v>44405</v>
      </c>
      <c r="C1087" s="662" t="s">
        <v>819</v>
      </c>
      <c r="D1087" s="663" t="s">
        <v>836</v>
      </c>
      <c r="E1087" s="664" t="s">
        <v>831</v>
      </c>
      <c r="F1087" s="665"/>
      <c r="G1087" s="663">
        <v>20</v>
      </c>
      <c r="H1087" s="662" t="s">
        <v>807</v>
      </c>
      <c r="I1087" s="666" t="s">
        <v>857</v>
      </c>
      <c r="J1087" s="667" t="s">
        <v>805</v>
      </c>
      <c r="K1087" s="662">
        <v>10</v>
      </c>
      <c r="L1087" s="685">
        <f t="shared" si="29"/>
        <v>18.8</v>
      </c>
      <c r="M1087" s="686">
        <f t="shared" si="30"/>
        <v>188</v>
      </c>
    </row>
    <row r="1088" spans="2:13" s="645" customFormat="1" ht="21.75" customHeight="1">
      <c r="B1088" s="661">
        <v>44405</v>
      </c>
      <c r="C1088" s="662" t="s">
        <v>819</v>
      </c>
      <c r="D1088" s="663" t="s">
        <v>833</v>
      </c>
      <c r="E1088" s="664" t="s">
        <v>831</v>
      </c>
      <c r="F1088" s="665"/>
      <c r="G1088" s="663">
        <v>15</v>
      </c>
      <c r="H1088" s="662" t="s">
        <v>807</v>
      </c>
      <c r="I1088" s="666" t="s">
        <v>859</v>
      </c>
      <c r="J1088" s="667" t="s">
        <v>805</v>
      </c>
      <c r="K1088" s="662">
        <v>5</v>
      </c>
      <c r="L1088" s="685">
        <f t="shared" si="29"/>
        <v>14.1</v>
      </c>
      <c r="M1088" s="686">
        <f t="shared" si="30"/>
        <v>70.5</v>
      </c>
    </row>
    <row r="1089" spans="2:13" s="645" customFormat="1" ht="21.75" customHeight="1">
      <c r="B1089" s="661">
        <v>44405</v>
      </c>
      <c r="C1089" s="662" t="s">
        <v>819</v>
      </c>
      <c r="D1089" s="663" t="s">
        <v>833</v>
      </c>
      <c r="E1089" s="664" t="s">
        <v>831</v>
      </c>
      <c r="F1089" s="665"/>
      <c r="G1089" s="663">
        <v>15</v>
      </c>
      <c r="H1089" s="662" t="s">
        <v>807</v>
      </c>
      <c r="I1089" s="666" t="s">
        <v>857</v>
      </c>
      <c r="J1089" s="667" t="s">
        <v>805</v>
      </c>
      <c r="K1089" s="662">
        <v>6</v>
      </c>
      <c r="L1089" s="685">
        <f t="shared" si="29"/>
        <v>14.1</v>
      </c>
      <c r="M1089" s="686">
        <f t="shared" si="30"/>
        <v>84.6</v>
      </c>
    </row>
    <row r="1090" spans="2:13" s="645" customFormat="1" ht="21.75" customHeight="1">
      <c r="B1090" s="661">
        <v>44405</v>
      </c>
      <c r="C1090" s="662" t="s">
        <v>819</v>
      </c>
      <c r="D1090" s="663" t="s">
        <v>830</v>
      </c>
      <c r="E1090" s="664" t="s">
        <v>831</v>
      </c>
      <c r="F1090" s="665"/>
      <c r="G1090" s="663">
        <v>15</v>
      </c>
      <c r="H1090" s="662" t="s">
        <v>807</v>
      </c>
      <c r="I1090" s="666" t="s">
        <v>859</v>
      </c>
      <c r="J1090" s="667" t="s">
        <v>805</v>
      </c>
      <c r="K1090" s="662">
        <v>3</v>
      </c>
      <c r="L1090" s="685">
        <f t="shared" si="29"/>
        <v>14.1</v>
      </c>
      <c r="M1090" s="686">
        <f t="shared" si="30"/>
        <v>42.3</v>
      </c>
    </row>
    <row r="1091" spans="2:13" s="645" customFormat="1" ht="21.75" customHeight="1">
      <c r="B1091" s="661">
        <v>44405</v>
      </c>
      <c r="C1091" s="662" t="s">
        <v>819</v>
      </c>
      <c r="D1091" s="663" t="s">
        <v>830</v>
      </c>
      <c r="E1091" s="664" t="s">
        <v>831</v>
      </c>
      <c r="F1091" s="665"/>
      <c r="G1091" s="663">
        <v>15</v>
      </c>
      <c r="H1091" s="662" t="s">
        <v>807</v>
      </c>
      <c r="I1091" s="666" t="s">
        <v>857</v>
      </c>
      <c r="J1091" s="667" t="s">
        <v>805</v>
      </c>
      <c r="K1091" s="662">
        <v>6</v>
      </c>
      <c r="L1091" s="685">
        <f t="shared" si="29"/>
        <v>14.1</v>
      </c>
      <c r="M1091" s="686">
        <f t="shared" si="30"/>
        <v>84.6</v>
      </c>
    </row>
    <row r="1092" spans="2:13" s="645" customFormat="1" ht="21.75" customHeight="1">
      <c r="B1092" s="661">
        <v>44405</v>
      </c>
      <c r="C1092" s="662" t="s">
        <v>819</v>
      </c>
      <c r="D1092" s="663" t="s">
        <v>844</v>
      </c>
      <c r="E1092" s="664" t="s">
        <v>831</v>
      </c>
      <c r="F1092" s="665"/>
      <c r="G1092" s="663">
        <v>15</v>
      </c>
      <c r="H1092" s="662" t="s">
        <v>807</v>
      </c>
      <c r="I1092" s="666" t="s">
        <v>859</v>
      </c>
      <c r="J1092" s="667" t="s">
        <v>805</v>
      </c>
      <c r="K1092" s="662">
        <v>7</v>
      </c>
      <c r="L1092" s="685">
        <f t="shared" si="29"/>
        <v>14.1</v>
      </c>
      <c r="M1092" s="686">
        <f t="shared" si="30"/>
        <v>98.7</v>
      </c>
    </row>
    <row r="1093" spans="2:13" s="645" customFormat="1" ht="21.75" customHeight="1">
      <c r="B1093" s="661">
        <v>44405</v>
      </c>
      <c r="C1093" s="662" t="s">
        <v>819</v>
      </c>
      <c r="D1093" s="663" t="s">
        <v>844</v>
      </c>
      <c r="E1093" s="664" t="s">
        <v>831</v>
      </c>
      <c r="F1093" s="665"/>
      <c r="G1093" s="663">
        <v>15</v>
      </c>
      <c r="H1093" s="662" t="s">
        <v>807</v>
      </c>
      <c r="I1093" s="666" t="s">
        <v>857</v>
      </c>
      <c r="J1093" s="667" t="s">
        <v>805</v>
      </c>
      <c r="K1093" s="662">
        <v>4</v>
      </c>
      <c r="L1093" s="685">
        <f t="shared" si="29"/>
        <v>14.1</v>
      </c>
      <c r="M1093" s="686">
        <f t="shared" si="30"/>
        <v>56.4</v>
      </c>
    </row>
    <row r="1094" spans="2:13" s="645" customFormat="1" ht="21.75" customHeight="1">
      <c r="B1094" s="661">
        <v>44405</v>
      </c>
      <c r="C1094" s="662" t="s">
        <v>819</v>
      </c>
      <c r="D1094" s="663" t="s">
        <v>850</v>
      </c>
      <c r="E1094" s="664" t="s">
        <v>831</v>
      </c>
      <c r="F1094" s="665"/>
      <c r="G1094" s="663">
        <v>15</v>
      </c>
      <c r="H1094" s="662" t="s">
        <v>807</v>
      </c>
      <c r="I1094" s="666" t="s">
        <v>857</v>
      </c>
      <c r="J1094" s="667" t="s">
        <v>805</v>
      </c>
      <c r="K1094" s="662">
        <v>3</v>
      </c>
      <c r="L1094" s="685">
        <f t="shared" si="29"/>
        <v>14.1</v>
      </c>
      <c r="M1094" s="686">
        <f t="shared" si="30"/>
        <v>42.3</v>
      </c>
    </row>
    <row r="1095" spans="2:13" s="645" customFormat="1" ht="21.75" customHeight="1">
      <c r="B1095" s="661">
        <v>44405</v>
      </c>
      <c r="C1095" s="662" t="s">
        <v>819</v>
      </c>
      <c r="D1095" s="663" t="s">
        <v>839</v>
      </c>
      <c r="E1095" s="664" t="s">
        <v>831</v>
      </c>
      <c r="F1095" s="665"/>
      <c r="G1095" s="663">
        <v>15</v>
      </c>
      <c r="H1095" s="662" t="s">
        <v>807</v>
      </c>
      <c r="I1095" s="666" t="s">
        <v>859</v>
      </c>
      <c r="J1095" s="667" t="s">
        <v>805</v>
      </c>
      <c r="K1095" s="662">
        <v>9</v>
      </c>
      <c r="L1095" s="685">
        <f t="shared" si="29"/>
        <v>14.1</v>
      </c>
      <c r="M1095" s="686">
        <f t="shared" si="30"/>
        <v>126.89999999999999</v>
      </c>
    </row>
    <row r="1096" spans="2:13" s="645" customFormat="1" ht="21.75" customHeight="1">
      <c r="B1096" s="661">
        <v>44405</v>
      </c>
      <c r="C1096" s="662" t="s">
        <v>819</v>
      </c>
      <c r="D1096" s="663" t="s">
        <v>845</v>
      </c>
      <c r="E1096" s="664" t="s">
        <v>831</v>
      </c>
      <c r="F1096" s="665"/>
      <c r="G1096" s="663">
        <v>17</v>
      </c>
      <c r="H1096" s="662" t="s">
        <v>807</v>
      </c>
      <c r="I1096" s="666" t="s">
        <v>859</v>
      </c>
      <c r="J1096" s="667" t="s">
        <v>805</v>
      </c>
      <c r="K1096" s="662">
        <v>7</v>
      </c>
      <c r="L1096" s="685">
        <f t="shared" si="29"/>
        <v>15.98</v>
      </c>
      <c r="M1096" s="686">
        <f t="shared" si="30"/>
        <v>111.86</v>
      </c>
    </row>
    <row r="1097" spans="2:13" s="645" customFormat="1" ht="21.75" customHeight="1">
      <c r="B1097" s="661">
        <v>44405</v>
      </c>
      <c r="C1097" s="662" t="s">
        <v>819</v>
      </c>
      <c r="D1097" s="663" t="s">
        <v>845</v>
      </c>
      <c r="E1097" s="664" t="s">
        <v>831</v>
      </c>
      <c r="F1097" s="665"/>
      <c r="G1097" s="663">
        <v>17</v>
      </c>
      <c r="H1097" s="662" t="s">
        <v>807</v>
      </c>
      <c r="I1097" s="666" t="s">
        <v>857</v>
      </c>
      <c r="J1097" s="667" t="s">
        <v>805</v>
      </c>
      <c r="K1097" s="662">
        <v>5</v>
      </c>
      <c r="L1097" s="685">
        <f t="shared" ref="L1097:L1160" si="31">VLOOKUP(G1097,$Q$4:$V$7,6,FALSE)</f>
        <v>15.98</v>
      </c>
      <c r="M1097" s="686">
        <f t="shared" si="30"/>
        <v>79.900000000000006</v>
      </c>
    </row>
    <row r="1098" spans="2:13" s="645" customFormat="1" ht="21.75" customHeight="1">
      <c r="B1098" s="661">
        <v>44405</v>
      </c>
      <c r="C1098" s="662" t="s">
        <v>819</v>
      </c>
      <c r="D1098" s="663" t="s">
        <v>847</v>
      </c>
      <c r="E1098" s="664" t="s">
        <v>831</v>
      </c>
      <c r="F1098" s="665"/>
      <c r="G1098" s="663">
        <v>17</v>
      </c>
      <c r="H1098" s="662" t="s">
        <v>807</v>
      </c>
      <c r="I1098" s="666" t="s">
        <v>859</v>
      </c>
      <c r="J1098" s="667" t="s">
        <v>805</v>
      </c>
      <c r="K1098" s="662">
        <v>7</v>
      </c>
      <c r="L1098" s="685">
        <f t="shared" si="31"/>
        <v>15.98</v>
      </c>
      <c r="M1098" s="686">
        <f t="shared" si="30"/>
        <v>111.86</v>
      </c>
    </row>
    <row r="1099" spans="2:13" s="645" customFormat="1" ht="21.75" customHeight="1">
      <c r="B1099" s="661">
        <v>44405</v>
      </c>
      <c r="C1099" s="662" t="s">
        <v>819</v>
      </c>
      <c r="D1099" s="663" t="s">
        <v>847</v>
      </c>
      <c r="E1099" s="664" t="s">
        <v>831</v>
      </c>
      <c r="F1099" s="665"/>
      <c r="G1099" s="663">
        <v>17</v>
      </c>
      <c r="H1099" s="662" t="s">
        <v>807</v>
      </c>
      <c r="I1099" s="666" t="s">
        <v>857</v>
      </c>
      <c r="J1099" s="667" t="s">
        <v>805</v>
      </c>
      <c r="K1099" s="662">
        <v>6</v>
      </c>
      <c r="L1099" s="685">
        <f t="shared" si="31"/>
        <v>15.98</v>
      </c>
      <c r="M1099" s="686">
        <f t="shared" si="30"/>
        <v>95.88</v>
      </c>
    </row>
    <row r="1100" spans="2:13" s="645" customFormat="1" ht="21.75" customHeight="1">
      <c r="B1100" s="661">
        <v>44405</v>
      </c>
      <c r="C1100" s="662" t="s">
        <v>819</v>
      </c>
      <c r="D1100" s="663" t="s">
        <v>856</v>
      </c>
      <c r="E1100" s="664" t="s">
        <v>831</v>
      </c>
      <c r="F1100" s="665"/>
      <c r="G1100" s="663">
        <v>20</v>
      </c>
      <c r="H1100" s="662" t="s">
        <v>807</v>
      </c>
      <c r="I1100" s="666" t="s">
        <v>859</v>
      </c>
      <c r="J1100" s="667" t="s">
        <v>805</v>
      </c>
      <c r="K1100" s="662">
        <v>6</v>
      </c>
      <c r="L1100" s="685">
        <f t="shared" si="31"/>
        <v>18.8</v>
      </c>
      <c r="M1100" s="686">
        <f t="shared" si="30"/>
        <v>112.80000000000001</v>
      </c>
    </row>
    <row r="1101" spans="2:13" s="645" customFormat="1" ht="21.75" customHeight="1">
      <c r="B1101" s="661">
        <v>44405</v>
      </c>
      <c r="C1101" s="662" t="s">
        <v>819</v>
      </c>
      <c r="D1101" s="663" t="s">
        <v>856</v>
      </c>
      <c r="E1101" s="664" t="s">
        <v>831</v>
      </c>
      <c r="F1101" s="665"/>
      <c r="G1101" s="663">
        <v>20</v>
      </c>
      <c r="H1101" s="662" t="s">
        <v>807</v>
      </c>
      <c r="I1101" s="666" t="s">
        <v>857</v>
      </c>
      <c r="J1101" s="667" t="s">
        <v>805</v>
      </c>
      <c r="K1101" s="662">
        <v>6</v>
      </c>
      <c r="L1101" s="685">
        <f t="shared" si="31"/>
        <v>18.8</v>
      </c>
      <c r="M1101" s="686">
        <f t="shared" si="30"/>
        <v>112.80000000000001</v>
      </c>
    </row>
    <row r="1102" spans="2:13" s="645" customFormat="1" ht="21.75" customHeight="1">
      <c r="B1102" s="661">
        <v>44405</v>
      </c>
      <c r="C1102" s="662" t="s">
        <v>819</v>
      </c>
      <c r="D1102" s="663" t="s">
        <v>855</v>
      </c>
      <c r="E1102" s="664" t="s">
        <v>831</v>
      </c>
      <c r="F1102" s="665"/>
      <c r="G1102" s="663">
        <v>20</v>
      </c>
      <c r="H1102" s="662" t="s">
        <v>807</v>
      </c>
      <c r="I1102" s="666" t="s">
        <v>857</v>
      </c>
      <c r="J1102" s="667" t="s">
        <v>805</v>
      </c>
      <c r="K1102" s="662">
        <v>11</v>
      </c>
      <c r="L1102" s="685">
        <f t="shared" si="31"/>
        <v>18.8</v>
      </c>
      <c r="M1102" s="686">
        <f t="shared" si="30"/>
        <v>206.8</v>
      </c>
    </row>
    <row r="1103" spans="2:13" s="645" customFormat="1" ht="21.75" customHeight="1">
      <c r="B1103" s="661">
        <v>44405</v>
      </c>
      <c r="C1103" s="662" t="s">
        <v>837</v>
      </c>
      <c r="D1103" s="663" t="s">
        <v>835</v>
      </c>
      <c r="E1103" s="664" t="s">
        <v>831</v>
      </c>
      <c r="F1103" s="665"/>
      <c r="G1103" s="663">
        <v>20</v>
      </c>
      <c r="H1103" s="662" t="s">
        <v>807</v>
      </c>
      <c r="I1103" s="666" t="s">
        <v>859</v>
      </c>
      <c r="J1103" s="667" t="s">
        <v>805</v>
      </c>
      <c r="K1103" s="662">
        <v>12</v>
      </c>
      <c r="L1103" s="685">
        <f t="shared" si="31"/>
        <v>18.8</v>
      </c>
      <c r="M1103" s="686">
        <f t="shared" si="30"/>
        <v>225.60000000000002</v>
      </c>
    </row>
    <row r="1104" spans="2:13" s="645" customFormat="1" ht="21.75" customHeight="1">
      <c r="B1104" s="661">
        <v>44405</v>
      </c>
      <c r="C1104" s="662" t="s">
        <v>837</v>
      </c>
      <c r="D1104" s="663" t="s">
        <v>841</v>
      </c>
      <c r="E1104" s="664" t="s">
        <v>831</v>
      </c>
      <c r="F1104" s="665"/>
      <c r="G1104" s="663">
        <v>20</v>
      </c>
      <c r="H1104" s="662" t="s">
        <v>807</v>
      </c>
      <c r="I1104" s="666" t="s">
        <v>859</v>
      </c>
      <c r="J1104" s="667" t="s">
        <v>805</v>
      </c>
      <c r="K1104" s="662">
        <v>11</v>
      </c>
      <c r="L1104" s="685">
        <f t="shared" si="31"/>
        <v>18.8</v>
      </c>
      <c r="M1104" s="686">
        <f t="shared" si="30"/>
        <v>206.8</v>
      </c>
    </row>
    <row r="1105" spans="2:13" s="645" customFormat="1" ht="21.75" customHeight="1">
      <c r="B1105" s="661">
        <v>44405</v>
      </c>
      <c r="C1105" s="662" t="s">
        <v>837</v>
      </c>
      <c r="D1105" s="663" t="s">
        <v>848</v>
      </c>
      <c r="E1105" s="664" t="s">
        <v>831</v>
      </c>
      <c r="F1105" s="665"/>
      <c r="G1105" s="663">
        <v>20</v>
      </c>
      <c r="H1105" s="662" t="s">
        <v>807</v>
      </c>
      <c r="I1105" s="666" t="s">
        <v>859</v>
      </c>
      <c r="J1105" s="667" t="s">
        <v>805</v>
      </c>
      <c r="K1105" s="662">
        <v>12</v>
      </c>
      <c r="L1105" s="685">
        <f t="shared" si="31"/>
        <v>18.8</v>
      </c>
      <c r="M1105" s="686">
        <f t="shared" si="30"/>
        <v>225.60000000000002</v>
      </c>
    </row>
    <row r="1106" spans="2:13" s="645" customFormat="1" ht="21.75" customHeight="1">
      <c r="B1106" s="661">
        <v>44405</v>
      </c>
      <c r="C1106" s="662" t="s">
        <v>837</v>
      </c>
      <c r="D1106" s="663" t="s">
        <v>845</v>
      </c>
      <c r="E1106" s="664" t="s">
        <v>831</v>
      </c>
      <c r="F1106" s="665"/>
      <c r="G1106" s="663">
        <v>17</v>
      </c>
      <c r="H1106" s="662" t="s">
        <v>807</v>
      </c>
      <c r="I1106" s="666" t="s">
        <v>859</v>
      </c>
      <c r="J1106" s="667" t="s">
        <v>805</v>
      </c>
      <c r="K1106" s="662">
        <v>11</v>
      </c>
      <c r="L1106" s="685">
        <f t="shared" si="31"/>
        <v>15.98</v>
      </c>
      <c r="M1106" s="686">
        <f t="shared" si="30"/>
        <v>175.78</v>
      </c>
    </row>
    <row r="1107" spans="2:13" s="645" customFormat="1" ht="21.75" customHeight="1">
      <c r="B1107" s="661">
        <v>44405</v>
      </c>
      <c r="C1107" s="662" t="s">
        <v>837</v>
      </c>
      <c r="D1107" s="663" t="s">
        <v>847</v>
      </c>
      <c r="E1107" s="664" t="s">
        <v>831</v>
      </c>
      <c r="F1107" s="665"/>
      <c r="G1107" s="663">
        <v>17</v>
      </c>
      <c r="H1107" s="662" t="s">
        <v>807</v>
      </c>
      <c r="I1107" s="666" t="s">
        <v>859</v>
      </c>
      <c r="J1107" s="667" t="s">
        <v>805</v>
      </c>
      <c r="K1107" s="662">
        <v>12</v>
      </c>
      <c r="L1107" s="685">
        <f t="shared" si="31"/>
        <v>15.98</v>
      </c>
      <c r="M1107" s="686">
        <f t="shared" si="30"/>
        <v>191.76</v>
      </c>
    </row>
    <row r="1108" spans="2:13" s="645" customFormat="1" ht="21.75" customHeight="1">
      <c r="B1108" s="661">
        <v>44405</v>
      </c>
      <c r="C1108" s="662" t="s">
        <v>837</v>
      </c>
      <c r="D1108" s="663" t="s">
        <v>856</v>
      </c>
      <c r="E1108" s="664" t="s">
        <v>831</v>
      </c>
      <c r="F1108" s="665"/>
      <c r="G1108" s="663">
        <v>20</v>
      </c>
      <c r="H1108" s="662" t="s">
        <v>807</v>
      </c>
      <c r="I1108" s="666" t="s">
        <v>859</v>
      </c>
      <c r="J1108" s="667" t="s">
        <v>805</v>
      </c>
      <c r="K1108" s="662">
        <v>12</v>
      </c>
      <c r="L1108" s="685">
        <f t="shared" si="31"/>
        <v>18.8</v>
      </c>
      <c r="M1108" s="686">
        <f t="shared" si="30"/>
        <v>225.60000000000002</v>
      </c>
    </row>
    <row r="1109" spans="2:13" s="645" customFormat="1" ht="21.75" customHeight="1">
      <c r="B1109" s="661">
        <v>44405</v>
      </c>
      <c r="C1109" s="662" t="s">
        <v>837</v>
      </c>
      <c r="D1109" s="663" t="s">
        <v>855</v>
      </c>
      <c r="E1109" s="664" t="s">
        <v>831</v>
      </c>
      <c r="F1109" s="665"/>
      <c r="G1109" s="663">
        <v>20</v>
      </c>
      <c r="H1109" s="662" t="s">
        <v>807</v>
      </c>
      <c r="I1109" s="666" t="s">
        <v>859</v>
      </c>
      <c r="J1109" s="667" t="s">
        <v>805</v>
      </c>
      <c r="K1109" s="662">
        <v>12</v>
      </c>
      <c r="L1109" s="685">
        <f t="shared" si="31"/>
        <v>18.8</v>
      </c>
      <c r="M1109" s="686">
        <f t="shared" si="30"/>
        <v>225.60000000000002</v>
      </c>
    </row>
    <row r="1110" spans="2:13" s="645" customFormat="1" ht="21.75" customHeight="1">
      <c r="B1110" s="661">
        <v>44406</v>
      </c>
      <c r="C1110" s="662" t="s">
        <v>819</v>
      </c>
      <c r="D1110" s="663" t="s">
        <v>849</v>
      </c>
      <c r="E1110" s="664" t="s">
        <v>831</v>
      </c>
      <c r="F1110" s="665"/>
      <c r="G1110" s="663">
        <v>20</v>
      </c>
      <c r="H1110" s="662" t="s">
        <v>807</v>
      </c>
      <c r="I1110" s="666" t="s">
        <v>859</v>
      </c>
      <c r="J1110" s="667" t="s">
        <v>805</v>
      </c>
      <c r="K1110" s="662">
        <v>6</v>
      </c>
      <c r="L1110" s="685">
        <f t="shared" si="31"/>
        <v>18.8</v>
      </c>
      <c r="M1110" s="686">
        <f t="shared" si="30"/>
        <v>112.80000000000001</v>
      </c>
    </row>
    <row r="1111" spans="2:13" s="645" customFormat="1" ht="21.75" customHeight="1">
      <c r="B1111" s="661">
        <v>44406</v>
      </c>
      <c r="C1111" s="662" t="s">
        <v>819</v>
      </c>
      <c r="D1111" s="663" t="s">
        <v>849</v>
      </c>
      <c r="E1111" s="664" t="s">
        <v>831</v>
      </c>
      <c r="F1111" s="665"/>
      <c r="G1111" s="663">
        <v>20</v>
      </c>
      <c r="H1111" s="662" t="s">
        <v>807</v>
      </c>
      <c r="I1111" s="666" t="s">
        <v>857</v>
      </c>
      <c r="J1111" s="667" t="s">
        <v>805</v>
      </c>
      <c r="K1111" s="662">
        <v>7</v>
      </c>
      <c r="L1111" s="685">
        <f t="shared" si="31"/>
        <v>18.8</v>
      </c>
      <c r="M1111" s="686">
        <f t="shared" si="30"/>
        <v>131.6</v>
      </c>
    </row>
    <row r="1112" spans="2:13" s="645" customFormat="1" ht="21.75" customHeight="1">
      <c r="B1112" s="661">
        <v>44406</v>
      </c>
      <c r="C1112" s="662" t="s">
        <v>819</v>
      </c>
      <c r="D1112" s="663" t="s">
        <v>835</v>
      </c>
      <c r="E1112" s="664" t="s">
        <v>831</v>
      </c>
      <c r="F1112" s="665"/>
      <c r="G1112" s="663">
        <v>20</v>
      </c>
      <c r="H1112" s="662" t="s">
        <v>807</v>
      </c>
      <c r="I1112" s="666" t="s">
        <v>859</v>
      </c>
      <c r="J1112" s="667" t="s">
        <v>805</v>
      </c>
      <c r="K1112" s="662">
        <v>4</v>
      </c>
      <c r="L1112" s="685">
        <f t="shared" si="31"/>
        <v>18.8</v>
      </c>
      <c r="M1112" s="686">
        <f t="shared" si="30"/>
        <v>75.2</v>
      </c>
    </row>
    <row r="1113" spans="2:13" s="645" customFormat="1" ht="21.75" customHeight="1">
      <c r="B1113" s="661">
        <v>44406</v>
      </c>
      <c r="C1113" s="662" t="s">
        <v>819</v>
      </c>
      <c r="D1113" s="663" t="s">
        <v>835</v>
      </c>
      <c r="E1113" s="664" t="s">
        <v>831</v>
      </c>
      <c r="F1113" s="665"/>
      <c r="G1113" s="663">
        <v>20</v>
      </c>
      <c r="H1113" s="662" t="s">
        <v>807</v>
      </c>
      <c r="I1113" s="666" t="s">
        <v>857</v>
      </c>
      <c r="J1113" s="667" t="s">
        <v>805</v>
      </c>
      <c r="K1113" s="662">
        <v>8</v>
      </c>
      <c r="L1113" s="685">
        <f t="shared" si="31"/>
        <v>18.8</v>
      </c>
      <c r="M1113" s="686">
        <f t="shared" si="30"/>
        <v>150.4</v>
      </c>
    </row>
    <row r="1114" spans="2:13" s="645" customFormat="1" ht="21.75" customHeight="1">
      <c r="B1114" s="661">
        <v>44406</v>
      </c>
      <c r="C1114" s="662" t="s">
        <v>819</v>
      </c>
      <c r="D1114" s="663" t="s">
        <v>841</v>
      </c>
      <c r="E1114" s="664" t="s">
        <v>831</v>
      </c>
      <c r="F1114" s="665"/>
      <c r="G1114" s="663">
        <v>20</v>
      </c>
      <c r="H1114" s="662" t="s">
        <v>807</v>
      </c>
      <c r="I1114" s="666" t="s">
        <v>859</v>
      </c>
      <c r="J1114" s="667" t="s">
        <v>805</v>
      </c>
      <c r="K1114" s="662">
        <v>5</v>
      </c>
      <c r="L1114" s="685">
        <f t="shared" si="31"/>
        <v>18.8</v>
      </c>
      <c r="M1114" s="686">
        <f t="shared" si="30"/>
        <v>94</v>
      </c>
    </row>
    <row r="1115" spans="2:13" s="645" customFormat="1" ht="21.75" customHeight="1">
      <c r="B1115" s="661">
        <v>44406</v>
      </c>
      <c r="C1115" s="662" t="s">
        <v>819</v>
      </c>
      <c r="D1115" s="663" t="s">
        <v>841</v>
      </c>
      <c r="E1115" s="664" t="s">
        <v>831</v>
      </c>
      <c r="F1115" s="665"/>
      <c r="G1115" s="663">
        <v>20</v>
      </c>
      <c r="H1115" s="662" t="s">
        <v>807</v>
      </c>
      <c r="I1115" s="666" t="s">
        <v>857</v>
      </c>
      <c r="J1115" s="667" t="s">
        <v>805</v>
      </c>
      <c r="K1115" s="662">
        <v>8</v>
      </c>
      <c r="L1115" s="685">
        <f t="shared" si="31"/>
        <v>18.8</v>
      </c>
      <c r="M1115" s="686">
        <f t="shared" si="30"/>
        <v>150.4</v>
      </c>
    </row>
    <row r="1116" spans="2:13" s="645" customFormat="1" ht="21.75" customHeight="1">
      <c r="B1116" s="661">
        <v>44406</v>
      </c>
      <c r="C1116" s="662" t="s">
        <v>819</v>
      </c>
      <c r="D1116" s="663" t="s">
        <v>834</v>
      </c>
      <c r="E1116" s="664" t="s">
        <v>831</v>
      </c>
      <c r="F1116" s="665"/>
      <c r="G1116" s="663">
        <v>20</v>
      </c>
      <c r="H1116" s="662" t="s">
        <v>807</v>
      </c>
      <c r="I1116" s="666" t="s">
        <v>859</v>
      </c>
      <c r="J1116" s="667" t="s">
        <v>805</v>
      </c>
      <c r="K1116" s="662">
        <v>5</v>
      </c>
      <c r="L1116" s="685">
        <f t="shared" si="31"/>
        <v>18.8</v>
      </c>
      <c r="M1116" s="686">
        <f t="shared" si="30"/>
        <v>94</v>
      </c>
    </row>
    <row r="1117" spans="2:13" s="645" customFormat="1" ht="21.75" customHeight="1">
      <c r="B1117" s="661">
        <v>44406</v>
      </c>
      <c r="C1117" s="662" t="s">
        <v>819</v>
      </c>
      <c r="D1117" s="663" t="s">
        <v>834</v>
      </c>
      <c r="E1117" s="664" t="s">
        <v>831</v>
      </c>
      <c r="F1117" s="665"/>
      <c r="G1117" s="663">
        <v>20</v>
      </c>
      <c r="H1117" s="662" t="s">
        <v>807</v>
      </c>
      <c r="I1117" s="666" t="s">
        <v>857</v>
      </c>
      <c r="J1117" s="667" t="s">
        <v>805</v>
      </c>
      <c r="K1117" s="662">
        <v>5</v>
      </c>
      <c r="L1117" s="685">
        <f t="shared" si="31"/>
        <v>18.8</v>
      </c>
      <c r="M1117" s="686">
        <f t="shared" si="30"/>
        <v>94</v>
      </c>
    </row>
    <row r="1118" spans="2:13" s="645" customFormat="1" ht="21.75" customHeight="1">
      <c r="B1118" s="661">
        <v>44406</v>
      </c>
      <c r="C1118" s="662" t="s">
        <v>819</v>
      </c>
      <c r="D1118" s="663" t="s">
        <v>848</v>
      </c>
      <c r="E1118" s="664" t="s">
        <v>831</v>
      </c>
      <c r="F1118" s="665"/>
      <c r="G1118" s="663">
        <v>20</v>
      </c>
      <c r="H1118" s="662" t="s">
        <v>807</v>
      </c>
      <c r="I1118" s="666" t="s">
        <v>859</v>
      </c>
      <c r="J1118" s="667" t="s">
        <v>805</v>
      </c>
      <c r="K1118" s="662">
        <v>6</v>
      </c>
      <c r="L1118" s="685">
        <f t="shared" si="31"/>
        <v>18.8</v>
      </c>
      <c r="M1118" s="686">
        <f t="shared" si="30"/>
        <v>112.80000000000001</v>
      </c>
    </row>
    <row r="1119" spans="2:13" s="645" customFormat="1" ht="21.75" customHeight="1">
      <c r="B1119" s="661">
        <v>44406</v>
      </c>
      <c r="C1119" s="662" t="s">
        <v>819</v>
      </c>
      <c r="D1119" s="663" t="s">
        <v>848</v>
      </c>
      <c r="E1119" s="664" t="s">
        <v>831</v>
      </c>
      <c r="F1119" s="665"/>
      <c r="G1119" s="663">
        <v>20</v>
      </c>
      <c r="H1119" s="662" t="s">
        <v>807</v>
      </c>
      <c r="I1119" s="666" t="s">
        <v>857</v>
      </c>
      <c r="J1119" s="667" t="s">
        <v>805</v>
      </c>
      <c r="K1119" s="662">
        <v>6</v>
      </c>
      <c r="L1119" s="685">
        <f t="shared" si="31"/>
        <v>18.8</v>
      </c>
      <c r="M1119" s="686">
        <f t="shared" si="30"/>
        <v>112.80000000000001</v>
      </c>
    </row>
    <row r="1120" spans="2:13" s="645" customFormat="1" ht="21.75" customHeight="1">
      <c r="B1120" s="661">
        <v>44406</v>
      </c>
      <c r="C1120" s="662" t="s">
        <v>819</v>
      </c>
      <c r="D1120" s="663" t="s">
        <v>833</v>
      </c>
      <c r="E1120" s="664" t="s">
        <v>831</v>
      </c>
      <c r="F1120" s="665"/>
      <c r="G1120" s="663">
        <v>15</v>
      </c>
      <c r="H1120" s="662" t="s">
        <v>807</v>
      </c>
      <c r="I1120" s="666" t="s">
        <v>859</v>
      </c>
      <c r="J1120" s="667" t="s">
        <v>805</v>
      </c>
      <c r="K1120" s="662">
        <v>5</v>
      </c>
      <c r="L1120" s="685">
        <f t="shared" si="31"/>
        <v>14.1</v>
      </c>
      <c r="M1120" s="686">
        <f t="shared" si="30"/>
        <v>70.5</v>
      </c>
    </row>
    <row r="1121" spans="2:13" s="645" customFormat="1" ht="21.75" customHeight="1">
      <c r="B1121" s="661">
        <v>44406</v>
      </c>
      <c r="C1121" s="662" t="s">
        <v>819</v>
      </c>
      <c r="D1121" s="663" t="s">
        <v>833</v>
      </c>
      <c r="E1121" s="664" t="s">
        <v>831</v>
      </c>
      <c r="F1121" s="665"/>
      <c r="G1121" s="663">
        <v>15</v>
      </c>
      <c r="H1121" s="662" t="s">
        <v>807</v>
      </c>
      <c r="I1121" s="666" t="s">
        <v>857</v>
      </c>
      <c r="J1121" s="667" t="s">
        <v>805</v>
      </c>
      <c r="K1121" s="662">
        <v>6</v>
      </c>
      <c r="L1121" s="685">
        <f t="shared" si="31"/>
        <v>14.1</v>
      </c>
      <c r="M1121" s="686">
        <f t="shared" si="30"/>
        <v>84.6</v>
      </c>
    </row>
    <row r="1122" spans="2:13" s="645" customFormat="1" ht="21.75" customHeight="1">
      <c r="B1122" s="661">
        <v>44406</v>
      </c>
      <c r="C1122" s="662" t="s">
        <v>819</v>
      </c>
      <c r="D1122" s="663" t="s">
        <v>830</v>
      </c>
      <c r="E1122" s="664" t="s">
        <v>831</v>
      </c>
      <c r="F1122" s="665"/>
      <c r="G1122" s="663">
        <v>15</v>
      </c>
      <c r="H1122" s="662" t="s">
        <v>807</v>
      </c>
      <c r="I1122" s="666" t="s">
        <v>859</v>
      </c>
      <c r="J1122" s="667" t="s">
        <v>805</v>
      </c>
      <c r="K1122" s="662">
        <v>6</v>
      </c>
      <c r="L1122" s="685">
        <f t="shared" si="31"/>
        <v>14.1</v>
      </c>
      <c r="M1122" s="686">
        <f t="shared" si="30"/>
        <v>84.6</v>
      </c>
    </row>
    <row r="1123" spans="2:13" s="645" customFormat="1" ht="21.75" customHeight="1">
      <c r="B1123" s="661">
        <v>44406</v>
      </c>
      <c r="C1123" s="662" t="s">
        <v>819</v>
      </c>
      <c r="D1123" s="663" t="s">
        <v>830</v>
      </c>
      <c r="E1123" s="664" t="s">
        <v>831</v>
      </c>
      <c r="F1123" s="665"/>
      <c r="G1123" s="663">
        <v>15</v>
      </c>
      <c r="H1123" s="662" t="s">
        <v>807</v>
      </c>
      <c r="I1123" s="666" t="s">
        <v>857</v>
      </c>
      <c r="J1123" s="667" t="s">
        <v>805</v>
      </c>
      <c r="K1123" s="662">
        <v>6</v>
      </c>
      <c r="L1123" s="685">
        <f t="shared" si="31"/>
        <v>14.1</v>
      </c>
      <c r="M1123" s="686">
        <f t="shared" si="30"/>
        <v>84.6</v>
      </c>
    </row>
    <row r="1124" spans="2:13" s="645" customFormat="1" ht="21.75" customHeight="1">
      <c r="B1124" s="661">
        <v>44406</v>
      </c>
      <c r="C1124" s="662" t="s">
        <v>819</v>
      </c>
      <c r="D1124" s="663" t="s">
        <v>844</v>
      </c>
      <c r="E1124" s="664" t="s">
        <v>831</v>
      </c>
      <c r="F1124" s="665"/>
      <c r="G1124" s="663">
        <v>15</v>
      </c>
      <c r="H1124" s="662" t="s">
        <v>807</v>
      </c>
      <c r="I1124" s="666" t="s">
        <v>859</v>
      </c>
      <c r="J1124" s="667" t="s">
        <v>805</v>
      </c>
      <c r="K1124" s="662">
        <v>6</v>
      </c>
      <c r="L1124" s="685">
        <f t="shared" si="31"/>
        <v>14.1</v>
      </c>
      <c r="M1124" s="686">
        <f t="shared" si="30"/>
        <v>84.6</v>
      </c>
    </row>
    <row r="1125" spans="2:13" s="645" customFormat="1" ht="21.75" customHeight="1">
      <c r="B1125" s="661">
        <v>44406</v>
      </c>
      <c r="C1125" s="662" t="s">
        <v>819</v>
      </c>
      <c r="D1125" s="663" t="s">
        <v>844</v>
      </c>
      <c r="E1125" s="664" t="s">
        <v>831</v>
      </c>
      <c r="F1125" s="665"/>
      <c r="G1125" s="663">
        <v>15</v>
      </c>
      <c r="H1125" s="662" t="s">
        <v>807</v>
      </c>
      <c r="I1125" s="666" t="s">
        <v>857</v>
      </c>
      <c r="J1125" s="667" t="s">
        <v>805</v>
      </c>
      <c r="K1125" s="662">
        <v>5</v>
      </c>
      <c r="L1125" s="685">
        <f t="shared" si="31"/>
        <v>14.1</v>
      </c>
      <c r="M1125" s="686">
        <f t="shared" si="30"/>
        <v>70.5</v>
      </c>
    </row>
    <row r="1126" spans="2:13" s="645" customFormat="1" ht="21.75" customHeight="1">
      <c r="B1126" s="661">
        <v>44406</v>
      </c>
      <c r="C1126" s="662" t="s">
        <v>819</v>
      </c>
      <c r="D1126" s="663" t="s">
        <v>850</v>
      </c>
      <c r="E1126" s="664" t="s">
        <v>831</v>
      </c>
      <c r="F1126" s="665"/>
      <c r="G1126" s="663">
        <v>15</v>
      </c>
      <c r="H1126" s="662" t="s">
        <v>807</v>
      </c>
      <c r="I1126" s="666" t="s">
        <v>859</v>
      </c>
      <c r="J1126" s="667" t="s">
        <v>805</v>
      </c>
      <c r="K1126" s="662">
        <v>4</v>
      </c>
      <c r="L1126" s="685">
        <f t="shared" si="31"/>
        <v>14.1</v>
      </c>
      <c r="M1126" s="686">
        <f t="shared" si="30"/>
        <v>56.4</v>
      </c>
    </row>
    <row r="1127" spans="2:13" s="645" customFormat="1" ht="21.75" customHeight="1">
      <c r="B1127" s="661">
        <v>44406</v>
      </c>
      <c r="C1127" s="662" t="s">
        <v>819</v>
      </c>
      <c r="D1127" s="663" t="s">
        <v>850</v>
      </c>
      <c r="E1127" s="664" t="s">
        <v>831</v>
      </c>
      <c r="F1127" s="665"/>
      <c r="G1127" s="663">
        <v>15</v>
      </c>
      <c r="H1127" s="662" t="s">
        <v>807</v>
      </c>
      <c r="I1127" s="666" t="s">
        <v>857</v>
      </c>
      <c r="J1127" s="667" t="s">
        <v>805</v>
      </c>
      <c r="K1127" s="662">
        <v>7</v>
      </c>
      <c r="L1127" s="685">
        <f t="shared" si="31"/>
        <v>14.1</v>
      </c>
      <c r="M1127" s="686">
        <f t="shared" ref="M1127:M1190" si="32">L1127*K1127</f>
        <v>98.7</v>
      </c>
    </row>
    <row r="1128" spans="2:13" s="645" customFormat="1" ht="21.75" customHeight="1">
      <c r="B1128" s="661">
        <v>44406</v>
      </c>
      <c r="C1128" s="662" t="s">
        <v>819</v>
      </c>
      <c r="D1128" s="663" t="s">
        <v>839</v>
      </c>
      <c r="E1128" s="664" t="s">
        <v>831</v>
      </c>
      <c r="F1128" s="665"/>
      <c r="G1128" s="663">
        <v>15</v>
      </c>
      <c r="H1128" s="662" t="s">
        <v>807</v>
      </c>
      <c r="I1128" s="666" t="s">
        <v>857</v>
      </c>
      <c r="J1128" s="667" t="s">
        <v>805</v>
      </c>
      <c r="K1128" s="662">
        <v>12</v>
      </c>
      <c r="L1128" s="685">
        <f t="shared" si="31"/>
        <v>14.1</v>
      </c>
      <c r="M1128" s="686">
        <f t="shared" si="32"/>
        <v>169.2</v>
      </c>
    </row>
    <row r="1129" spans="2:13" s="645" customFormat="1" ht="21.75" customHeight="1">
      <c r="B1129" s="661">
        <v>44406</v>
      </c>
      <c r="C1129" s="662" t="s">
        <v>819</v>
      </c>
      <c r="D1129" s="663" t="s">
        <v>845</v>
      </c>
      <c r="E1129" s="664" t="s">
        <v>831</v>
      </c>
      <c r="F1129" s="665"/>
      <c r="G1129" s="663">
        <v>17</v>
      </c>
      <c r="H1129" s="662" t="s">
        <v>807</v>
      </c>
      <c r="I1129" s="666" t="s">
        <v>859</v>
      </c>
      <c r="J1129" s="667" t="s">
        <v>805</v>
      </c>
      <c r="K1129" s="662">
        <v>7</v>
      </c>
      <c r="L1129" s="685">
        <f t="shared" si="31"/>
        <v>15.98</v>
      </c>
      <c r="M1129" s="686">
        <f t="shared" si="32"/>
        <v>111.86</v>
      </c>
    </row>
    <row r="1130" spans="2:13" s="645" customFormat="1" ht="21.75" customHeight="1">
      <c r="B1130" s="661">
        <v>44406</v>
      </c>
      <c r="C1130" s="662" t="s">
        <v>819</v>
      </c>
      <c r="D1130" s="663" t="s">
        <v>845</v>
      </c>
      <c r="E1130" s="664" t="s">
        <v>831</v>
      </c>
      <c r="F1130" s="665"/>
      <c r="G1130" s="663">
        <v>17</v>
      </c>
      <c r="H1130" s="662" t="s">
        <v>807</v>
      </c>
      <c r="I1130" s="666" t="s">
        <v>857</v>
      </c>
      <c r="J1130" s="667" t="s">
        <v>805</v>
      </c>
      <c r="K1130" s="662">
        <v>5</v>
      </c>
      <c r="L1130" s="685">
        <f t="shared" si="31"/>
        <v>15.98</v>
      </c>
      <c r="M1130" s="686">
        <f t="shared" si="32"/>
        <v>79.900000000000006</v>
      </c>
    </row>
    <row r="1131" spans="2:13" s="645" customFormat="1" ht="21.75" customHeight="1">
      <c r="B1131" s="661">
        <v>44406</v>
      </c>
      <c r="C1131" s="662" t="s">
        <v>819</v>
      </c>
      <c r="D1131" s="663" t="s">
        <v>847</v>
      </c>
      <c r="E1131" s="664" t="s">
        <v>831</v>
      </c>
      <c r="F1131" s="665"/>
      <c r="G1131" s="663">
        <v>17</v>
      </c>
      <c r="H1131" s="662" t="s">
        <v>807</v>
      </c>
      <c r="I1131" s="666" t="s">
        <v>859</v>
      </c>
      <c r="J1131" s="667" t="s">
        <v>805</v>
      </c>
      <c r="K1131" s="662">
        <v>5</v>
      </c>
      <c r="L1131" s="685">
        <f t="shared" si="31"/>
        <v>15.98</v>
      </c>
      <c r="M1131" s="686">
        <f t="shared" si="32"/>
        <v>79.900000000000006</v>
      </c>
    </row>
    <row r="1132" spans="2:13" s="645" customFormat="1" ht="21.75" customHeight="1">
      <c r="B1132" s="661">
        <v>44406</v>
      </c>
      <c r="C1132" s="662" t="s">
        <v>819</v>
      </c>
      <c r="D1132" s="663" t="s">
        <v>847</v>
      </c>
      <c r="E1132" s="664" t="s">
        <v>831</v>
      </c>
      <c r="F1132" s="665"/>
      <c r="G1132" s="663">
        <v>17</v>
      </c>
      <c r="H1132" s="662" t="s">
        <v>807</v>
      </c>
      <c r="I1132" s="666" t="s">
        <v>857</v>
      </c>
      <c r="J1132" s="667" t="s">
        <v>805</v>
      </c>
      <c r="K1132" s="662">
        <v>8</v>
      </c>
      <c r="L1132" s="685">
        <f t="shared" si="31"/>
        <v>15.98</v>
      </c>
      <c r="M1132" s="686">
        <f t="shared" si="32"/>
        <v>127.84</v>
      </c>
    </row>
    <row r="1133" spans="2:13" s="645" customFormat="1" ht="21.75" customHeight="1">
      <c r="B1133" s="661">
        <v>44406</v>
      </c>
      <c r="C1133" s="662" t="s">
        <v>819</v>
      </c>
      <c r="D1133" s="663" t="s">
        <v>856</v>
      </c>
      <c r="E1133" s="664" t="s">
        <v>831</v>
      </c>
      <c r="F1133" s="665"/>
      <c r="G1133" s="663">
        <v>20</v>
      </c>
      <c r="H1133" s="662" t="s">
        <v>807</v>
      </c>
      <c r="I1133" s="666" t="s">
        <v>859</v>
      </c>
      <c r="J1133" s="667" t="s">
        <v>805</v>
      </c>
      <c r="K1133" s="662">
        <v>5</v>
      </c>
      <c r="L1133" s="685">
        <f t="shared" si="31"/>
        <v>18.8</v>
      </c>
      <c r="M1133" s="686">
        <f t="shared" si="32"/>
        <v>94</v>
      </c>
    </row>
    <row r="1134" spans="2:13" s="645" customFormat="1" ht="21.75" customHeight="1">
      <c r="B1134" s="661">
        <v>44406</v>
      </c>
      <c r="C1134" s="662" t="s">
        <v>819</v>
      </c>
      <c r="D1134" s="663" t="s">
        <v>856</v>
      </c>
      <c r="E1134" s="664" t="s">
        <v>831</v>
      </c>
      <c r="F1134" s="665"/>
      <c r="G1134" s="663">
        <v>20</v>
      </c>
      <c r="H1134" s="662" t="s">
        <v>807</v>
      </c>
      <c r="I1134" s="666" t="s">
        <v>857</v>
      </c>
      <c r="J1134" s="667" t="s">
        <v>805</v>
      </c>
      <c r="K1134" s="662">
        <v>8</v>
      </c>
      <c r="L1134" s="685">
        <f t="shared" si="31"/>
        <v>18.8</v>
      </c>
      <c r="M1134" s="686">
        <f t="shared" si="32"/>
        <v>150.4</v>
      </c>
    </row>
    <row r="1135" spans="2:13" s="645" customFormat="1" ht="21.75" customHeight="1">
      <c r="B1135" s="661">
        <v>44406</v>
      </c>
      <c r="C1135" s="662" t="s">
        <v>819</v>
      </c>
      <c r="D1135" s="663" t="s">
        <v>855</v>
      </c>
      <c r="E1135" s="664" t="s">
        <v>831</v>
      </c>
      <c r="F1135" s="665"/>
      <c r="G1135" s="663">
        <v>20</v>
      </c>
      <c r="H1135" s="662" t="s">
        <v>807</v>
      </c>
      <c r="I1135" s="666" t="s">
        <v>859</v>
      </c>
      <c r="J1135" s="667" t="s">
        <v>805</v>
      </c>
      <c r="K1135" s="662">
        <v>9</v>
      </c>
      <c r="L1135" s="685">
        <f t="shared" si="31"/>
        <v>18.8</v>
      </c>
      <c r="M1135" s="686">
        <f t="shared" si="32"/>
        <v>169.20000000000002</v>
      </c>
    </row>
    <row r="1136" spans="2:13" s="645" customFormat="1" ht="21.75" customHeight="1">
      <c r="B1136" s="661">
        <v>44406</v>
      </c>
      <c r="C1136" s="662" t="s">
        <v>819</v>
      </c>
      <c r="D1136" s="663" t="s">
        <v>855</v>
      </c>
      <c r="E1136" s="664" t="s">
        <v>831</v>
      </c>
      <c r="F1136" s="665"/>
      <c r="G1136" s="663">
        <v>20</v>
      </c>
      <c r="H1136" s="662" t="s">
        <v>807</v>
      </c>
      <c r="I1136" s="666" t="s">
        <v>857</v>
      </c>
      <c r="J1136" s="667" t="s">
        <v>805</v>
      </c>
      <c r="K1136" s="662">
        <v>4</v>
      </c>
      <c r="L1136" s="685">
        <f t="shared" si="31"/>
        <v>18.8</v>
      </c>
      <c r="M1136" s="686">
        <f t="shared" si="32"/>
        <v>75.2</v>
      </c>
    </row>
    <row r="1137" spans="2:13" s="645" customFormat="1" ht="21.75" customHeight="1">
      <c r="B1137" s="661">
        <v>44406</v>
      </c>
      <c r="C1137" s="662" t="s">
        <v>837</v>
      </c>
      <c r="D1137" s="663" t="s">
        <v>835</v>
      </c>
      <c r="E1137" s="664" t="s">
        <v>831</v>
      </c>
      <c r="F1137" s="665"/>
      <c r="G1137" s="663">
        <v>20</v>
      </c>
      <c r="H1137" s="662" t="s">
        <v>807</v>
      </c>
      <c r="I1137" s="666" t="s">
        <v>857</v>
      </c>
      <c r="J1137" s="667" t="s">
        <v>805</v>
      </c>
      <c r="K1137" s="662">
        <v>12</v>
      </c>
      <c r="L1137" s="685">
        <f t="shared" si="31"/>
        <v>18.8</v>
      </c>
      <c r="M1137" s="686">
        <f t="shared" si="32"/>
        <v>225.60000000000002</v>
      </c>
    </row>
    <row r="1138" spans="2:13" s="645" customFormat="1" ht="21.75" customHeight="1">
      <c r="B1138" s="661">
        <v>44406</v>
      </c>
      <c r="C1138" s="662" t="s">
        <v>837</v>
      </c>
      <c r="D1138" s="663" t="s">
        <v>841</v>
      </c>
      <c r="E1138" s="664" t="s">
        <v>831</v>
      </c>
      <c r="F1138" s="665"/>
      <c r="G1138" s="663">
        <v>20</v>
      </c>
      <c r="H1138" s="662" t="s">
        <v>807</v>
      </c>
      <c r="I1138" s="666" t="s">
        <v>857</v>
      </c>
      <c r="J1138" s="667" t="s">
        <v>805</v>
      </c>
      <c r="K1138" s="662">
        <v>12</v>
      </c>
      <c r="L1138" s="685">
        <f t="shared" si="31"/>
        <v>18.8</v>
      </c>
      <c r="M1138" s="686">
        <f t="shared" si="32"/>
        <v>225.60000000000002</v>
      </c>
    </row>
    <row r="1139" spans="2:13" s="645" customFormat="1" ht="21.75" customHeight="1">
      <c r="B1139" s="661">
        <v>44406</v>
      </c>
      <c r="C1139" s="662" t="s">
        <v>837</v>
      </c>
      <c r="D1139" s="663" t="s">
        <v>834</v>
      </c>
      <c r="E1139" s="664" t="s">
        <v>831</v>
      </c>
      <c r="F1139" s="665"/>
      <c r="G1139" s="663">
        <v>20</v>
      </c>
      <c r="H1139" s="662" t="s">
        <v>807</v>
      </c>
      <c r="I1139" s="666" t="s">
        <v>857</v>
      </c>
      <c r="J1139" s="667" t="s">
        <v>805</v>
      </c>
      <c r="K1139" s="662">
        <v>12</v>
      </c>
      <c r="L1139" s="685">
        <f t="shared" si="31"/>
        <v>18.8</v>
      </c>
      <c r="M1139" s="686">
        <f t="shared" si="32"/>
        <v>225.60000000000002</v>
      </c>
    </row>
    <row r="1140" spans="2:13" s="645" customFormat="1" ht="21.75" customHeight="1">
      <c r="B1140" s="661">
        <v>44406</v>
      </c>
      <c r="C1140" s="662" t="s">
        <v>837</v>
      </c>
      <c r="D1140" s="663" t="s">
        <v>848</v>
      </c>
      <c r="E1140" s="664" t="s">
        <v>831</v>
      </c>
      <c r="F1140" s="665"/>
      <c r="G1140" s="663">
        <v>20</v>
      </c>
      <c r="H1140" s="662" t="s">
        <v>807</v>
      </c>
      <c r="I1140" s="666" t="s">
        <v>857</v>
      </c>
      <c r="J1140" s="667" t="s">
        <v>805</v>
      </c>
      <c r="K1140" s="662">
        <v>12</v>
      </c>
      <c r="L1140" s="685">
        <f t="shared" si="31"/>
        <v>18.8</v>
      </c>
      <c r="M1140" s="686">
        <f t="shared" si="32"/>
        <v>225.60000000000002</v>
      </c>
    </row>
    <row r="1141" spans="2:13" s="645" customFormat="1" ht="21.75" customHeight="1">
      <c r="B1141" s="661">
        <v>44406</v>
      </c>
      <c r="C1141" s="662" t="s">
        <v>837</v>
      </c>
      <c r="D1141" s="663" t="s">
        <v>845</v>
      </c>
      <c r="E1141" s="664" t="s">
        <v>831</v>
      </c>
      <c r="F1141" s="665"/>
      <c r="G1141" s="663">
        <v>17</v>
      </c>
      <c r="H1141" s="662" t="s">
        <v>807</v>
      </c>
      <c r="I1141" s="666" t="s">
        <v>857</v>
      </c>
      <c r="J1141" s="667" t="s">
        <v>805</v>
      </c>
      <c r="K1141" s="662">
        <v>12</v>
      </c>
      <c r="L1141" s="685">
        <f t="shared" si="31"/>
        <v>15.98</v>
      </c>
      <c r="M1141" s="686">
        <f t="shared" si="32"/>
        <v>191.76</v>
      </c>
    </row>
    <row r="1142" spans="2:13" s="645" customFormat="1" ht="21.75" customHeight="1">
      <c r="B1142" s="661">
        <v>44406</v>
      </c>
      <c r="C1142" s="662" t="s">
        <v>837</v>
      </c>
      <c r="D1142" s="663" t="s">
        <v>856</v>
      </c>
      <c r="E1142" s="664" t="s">
        <v>831</v>
      </c>
      <c r="F1142" s="665"/>
      <c r="G1142" s="663">
        <v>20</v>
      </c>
      <c r="H1142" s="662" t="s">
        <v>807</v>
      </c>
      <c r="I1142" s="666" t="s">
        <v>857</v>
      </c>
      <c r="J1142" s="667" t="s">
        <v>805</v>
      </c>
      <c r="K1142" s="662">
        <v>12</v>
      </c>
      <c r="L1142" s="685">
        <f t="shared" si="31"/>
        <v>18.8</v>
      </c>
      <c r="M1142" s="686">
        <f t="shared" si="32"/>
        <v>225.60000000000002</v>
      </c>
    </row>
    <row r="1143" spans="2:13" s="645" customFormat="1" ht="21.75" customHeight="1">
      <c r="B1143" s="661">
        <v>44406</v>
      </c>
      <c r="C1143" s="662" t="s">
        <v>837</v>
      </c>
      <c r="D1143" s="663" t="s">
        <v>855</v>
      </c>
      <c r="E1143" s="664" t="s">
        <v>831</v>
      </c>
      <c r="F1143" s="665"/>
      <c r="G1143" s="663">
        <v>20</v>
      </c>
      <c r="H1143" s="662" t="s">
        <v>807</v>
      </c>
      <c r="I1143" s="666" t="s">
        <v>857</v>
      </c>
      <c r="J1143" s="667" t="s">
        <v>805</v>
      </c>
      <c r="K1143" s="662">
        <v>14</v>
      </c>
      <c r="L1143" s="685">
        <f t="shared" si="31"/>
        <v>18.8</v>
      </c>
      <c r="M1143" s="686">
        <f t="shared" si="32"/>
        <v>263.2</v>
      </c>
    </row>
    <row r="1144" spans="2:13" s="645" customFormat="1" ht="21.75" customHeight="1">
      <c r="B1144" s="661">
        <v>44407</v>
      </c>
      <c r="C1144" s="662" t="s">
        <v>819</v>
      </c>
      <c r="D1144" s="663" t="s">
        <v>849</v>
      </c>
      <c r="E1144" s="664" t="s">
        <v>831</v>
      </c>
      <c r="F1144" s="665"/>
      <c r="G1144" s="663">
        <v>20</v>
      </c>
      <c r="H1144" s="662" t="s">
        <v>807</v>
      </c>
      <c r="I1144" s="666" t="s">
        <v>859</v>
      </c>
      <c r="J1144" s="667" t="s">
        <v>805</v>
      </c>
      <c r="K1144" s="662">
        <v>5</v>
      </c>
      <c r="L1144" s="685">
        <f t="shared" si="31"/>
        <v>18.8</v>
      </c>
      <c r="M1144" s="686">
        <f t="shared" si="32"/>
        <v>94</v>
      </c>
    </row>
    <row r="1145" spans="2:13" s="645" customFormat="1" ht="21.75" customHeight="1">
      <c r="B1145" s="661">
        <v>44407</v>
      </c>
      <c r="C1145" s="662" t="s">
        <v>819</v>
      </c>
      <c r="D1145" s="663" t="s">
        <v>849</v>
      </c>
      <c r="E1145" s="664" t="s">
        <v>831</v>
      </c>
      <c r="F1145" s="665"/>
      <c r="G1145" s="663">
        <v>20</v>
      </c>
      <c r="H1145" s="662" t="s">
        <v>807</v>
      </c>
      <c r="I1145" s="666" t="s">
        <v>857</v>
      </c>
      <c r="J1145" s="667" t="s">
        <v>805</v>
      </c>
      <c r="K1145" s="662">
        <v>9</v>
      </c>
      <c r="L1145" s="685">
        <f t="shared" si="31"/>
        <v>18.8</v>
      </c>
      <c r="M1145" s="686">
        <f t="shared" si="32"/>
        <v>169.20000000000002</v>
      </c>
    </row>
    <row r="1146" spans="2:13" s="645" customFormat="1" ht="21.75" customHeight="1">
      <c r="B1146" s="661">
        <v>44407</v>
      </c>
      <c r="C1146" s="662" t="s">
        <v>819</v>
      </c>
      <c r="D1146" s="663" t="s">
        <v>840</v>
      </c>
      <c r="E1146" s="664" t="s">
        <v>831</v>
      </c>
      <c r="F1146" s="665"/>
      <c r="G1146" s="663">
        <v>20</v>
      </c>
      <c r="H1146" s="662" t="s">
        <v>807</v>
      </c>
      <c r="I1146" s="666" t="s">
        <v>859</v>
      </c>
      <c r="J1146" s="667" t="s">
        <v>805</v>
      </c>
      <c r="K1146" s="662">
        <v>2</v>
      </c>
      <c r="L1146" s="685">
        <f t="shared" si="31"/>
        <v>18.8</v>
      </c>
      <c r="M1146" s="686">
        <f t="shared" si="32"/>
        <v>37.6</v>
      </c>
    </row>
    <row r="1147" spans="2:13" s="645" customFormat="1" ht="21.75" customHeight="1">
      <c r="B1147" s="661">
        <v>44407</v>
      </c>
      <c r="C1147" s="662" t="s">
        <v>819</v>
      </c>
      <c r="D1147" s="663" t="s">
        <v>840</v>
      </c>
      <c r="E1147" s="664" t="s">
        <v>831</v>
      </c>
      <c r="F1147" s="665"/>
      <c r="G1147" s="663">
        <v>20</v>
      </c>
      <c r="H1147" s="662" t="s">
        <v>807</v>
      </c>
      <c r="I1147" s="666" t="s">
        <v>857</v>
      </c>
      <c r="J1147" s="667" t="s">
        <v>805</v>
      </c>
      <c r="K1147" s="662">
        <v>3</v>
      </c>
      <c r="L1147" s="685">
        <f t="shared" si="31"/>
        <v>18.8</v>
      </c>
      <c r="M1147" s="686">
        <f t="shared" si="32"/>
        <v>56.400000000000006</v>
      </c>
    </row>
    <row r="1148" spans="2:13" s="645" customFormat="1" ht="21.75" customHeight="1">
      <c r="B1148" s="661">
        <v>44407</v>
      </c>
      <c r="C1148" s="662" t="s">
        <v>819</v>
      </c>
      <c r="D1148" s="663" t="s">
        <v>835</v>
      </c>
      <c r="E1148" s="664" t="s">
        <v>831</v>
      </c>
      <c r="F1148" s="665"/>
      <c r="G1148" s="663">
        <v>20</v>
      </c>
      <c r="H1148" s="662" t="s">
        <v>807</v>
      </c>
      <c r="I1148" s="666" t="s">
        <v>859</v>
      </c>
      <c r="J1148" s="667" t="s">
        <v>805</v>
      </c>
      <c r="K1148" s="662">
        <v>7</v>
      </c>
      <c r="L1148" s="685">
        <f t="shared" si="31"/>
        <v>18.8</v>
      </c>
      <c r="M1148" s="686">
        <f t="shared" si="32"/>
        <v>131.6</v>
      </c>
    </row>
    <row r="1149" spans="2:13" s="645" customFormat="1" ht="21.75" customHeight="1">
      <c r="B1149" s="661">
        <v>44407</v>
      </c>
      <c r="C1149" s="662" t="s">
        <v>819</v>
      </c>
      <c r="D1149" s="663" t="s">
        <v>835</v>
      </c>
      <c r="E1149" s="664" t="s">
        <v>831</v>
      </c>
      <c r="F1149" s="665"/>
      <c r="G1149" s="663">
        <v>20</v>
      </c>
      <c r="H1149" s="662" t="s">
        <v>807</v>
      </c>
      <c r="I1149" s="666" t="s">
        <v>857</v>
      </c>
      <c r="J1149" s="667" t="s">
        <v>805</v>
      </c>
      <c r="K1149" s="662">
        <v>6</v>
      </c>
      <c r="L1149" s="685">
        <f t="shared" si="31"/>
        <v>18.8</v>
      </c>
      <c r="M1149" s="686">
        <f t="shared" si="32"/>
        <v>112.80000000000001</v>
      </c>
    </row>
    <row r="1150" spans="2:13" s="645" customFormat="1" ht="21.75" customHeight="1">
      <c r="B1150" s="661">
        <v>44407</v>
      </c>
      <c r="C1150" s="662" t="s">
        <v>819</v>
      </c>
      <c r="D1150" s="663" t="s">
        <v>841</v>
      </c>
      <c r="E1150" s="664" t="s">
        <v>831</v>
      </c>
      <c r="F1150" s="665"/>
      <c r="G1150" s="663">
        <v>20</v>
      </c>
      <c r="H1150" s="662" t="s">
        <v>807</v>
      </c>
      <c r="I1150" s="666" t="s">
        <v>859</v>
      </c>
      <c r="J1150" s="667" t="s">
        <v>805</v>
      </c>
      <c r="K1150" s="662">
        <v>6</v>
      </c>
      <c r="L1150" s="685">
        <f t="shared" si="31"/>
        <v>18.8</v>
      </c>
      <c r="M1150" s="686">
        <f t="shared" si="32"/>
        <v>112.80000000000001</v>
      </c>
    </row>
    <row r="1151" spans="2:13" s="645" customFormat="1" ht="21.75" customHeight="1">
      <c r="B1151" s="661">
        <v>44407</v>
      </c>
      <c r="C1151" s="662" t="s">
        <v>819</v>
      </c>
      <c r="D1151" s="663" t="s">
        <v>841</v>
      </c>
      <c r="E1151" s="664" t="s">
        <v>831</v>
      </c>
      <c r="F1151" s="665"/>
      <c r="G1151" s="663">
        <v>20</v>
      </c>
      <c r="H1151" s="662" t="s">
        <v>807</v>
      </c>
      <c r="I1151" s="666" t="s">
        <v>857</v>
      </c>
      <c r="J1151" s="667" t="s">
        <v>805</v>
      </c>
      <c r="K1151" s="662">
        <v>6</v>
      </c>
      <c r="L1151" s="685">
        <f t="shared" si="31"/>
        <v>18.8</v>
      </c>
      <c r="M1151" s="686">
        <f t="shared" si="32"/>
        <v>112.80000000000001</v>
      </c>
    </row>
    <row r="1152" spans="2:13" s="645" customFormat="1" ht="21.75" customHeight="1">
      <c r="B1152" s="661">
        <v>44407</v>
      </c>
      <c r="C1152" s="662" t="s">
        <v>819</v>
      </c>
      <c r="D1152" s="663" t="s">
        <v>834</v>
      </c>
      <c r="E1152" s="664" t="s">
        <v>831</v>
      </c>
      <c r="F1152" s="665"/>
      <c r="G1152" s="663">
        <v>20</v>
      </c>
      <c r="H1152" s="662" t="s">
        <v>807</v>
      </c>
      <c r="I1152" s="666" t="s">
        <v>859</v>
      </c>
      <c r="J1152" s="667" t="s">
        <v>805</v>
      </c>
      <c r="K1152" s="662">
        <v>6</v>
      </c>
      <c r="L1152" s="685">
        <f t="shared" si="31"/>
        <v>18.8</v>
      </c>
      <c r="M1152" s="686">
        <f t="shared" si="32"/>
        <v>112.80000000000001</v>
      </c>
    </row>
    <row r="1153" spans="2:13" s="645" customFormat="1" ht="21.75" customHeight="1">
      <c r="B1153" s="661">
        <v>44407</v>
      </c>
      <c r="C1153" s="662" t="s">
        <v>819</v>
      </c>
      <c r="D1153" s="663" t="s">
        <v>834</v>
      </c>
      <c r="E1153" s="664" t="s">
        <v>831</v>
      </c>
      <c r="F1153" s="665"/>
      <c r="G1153" s="663">
        <v>20</v>
      </c>
      <c r="H1153" s="662" t="s">
        <v>807</v>
      </c>
      <c r="I1153" s="666" t="s">
        <v>857</v>
      </c>
      <c r="J1153" s="667" t="s">
        <v>805</v>
      </c>
      <c r="K1153" s="662">
        <v>7</v>
      </c>
      <c r="L1153" s="685">
        <f t="shared" si="31"/>
        <v>18.8</v>
      </c>
      <c r="M1153" s="686">
        <f t="shared" si="32"/>
        <v>131.6</v>
      </c>
    </row>
    <row r="1154" spans="2:13" s="645" customFormat="1" ht="21.75" customHeight="1">
      <c r="B1154" s="661">
        <v>44407</v>
      </c>
      <c r="C1154" s="662" t="s">
        <v>819</v>
      </c>
      <c r="D1154" s="663" t="s">
        <v>848</v>
      </c>
      <c r="E1154" s="664" t="s">
        <v>831</v>
      </c>
      <c r="F1154" s="665"/>
      <c r="G1154" s="663">
        <v>20</v>
      </c>
      <c r="H1154" s="662" t="s">
        <v>807</v>
      </c>
      <c r="I1154" s="666" t="s">
        <v>859</v>
      </c>
      <c r="J1154" s="667" t="s">
        <v>805</v>
      </c>
      <c r="K1154" s="662">
        <v>11</v>
      </c>
      <c r="L1154" s="685">
        <f t="shared" si="31"/>
        <v>18.8</v>
      </c>
      <c r="M1154" s="686">
        <f t="shared" si="32"/>
        <v>206.8</v>
      </c>
    </row>
    <row r="1155" spans="2:13" s="645" customFormat="1" ht="21.75" customHeight="1">
      <c r="B1155" s="661">
        <v>44407</v>
      </c>
      <c r="C1155" s="662" t="s">
        <v>819</v>
      </c>
      <c r="D1155" s="663" t="s">
        <v>848</v>
      </c>
      <c r="E1155" s="664" t="s">
        <v>831</v>
      </c>
      <c r="F1155" s="665"/>
      <c r="G1155" s="663">
        <v>20</v>
      </c>
      <c r="H1155" s="662" t="s">
        <v>807</v>
      </c>
      <c r="I1155" s="666" t="s">
        <v>857</v>
      </c>
      <c r="J1155" s="667" t="s">
        <v>805</v>
      </c>
      <c r="K1155" s="662">
        <v>3</v>
      </c>
      <c r="L1155" s="685">
        <f t="shared" si="31"/>
        <v>18.8</v>
      </c>
      <c r="M1155" s="686">
        <f t="shared" si="32"/>
        <v>56.400000000000006</v>
      </c>
    </row>
    <row r="1156" spans="2:13" s="645" customFormat="1" ht="21.75" customHeight="1">
      <c r="B1156" s="661">
        <v>44407</v>
      </c>
      <c r="C1156" s="662" t="s">
        <v>819</v>
      </c>
      <c r="D1156" s="663" t="s">
        <v>836</v>
      </c>
      <c r="E1156" s="664" t="s">
        <v>831</v>
      </c>
      <c r="F1156" s="665"/>
      <c r="G1156" s="663">
        <v>20</v>
      </c>
      <c r="H1156" s="662" t="s">
        <v>807</v>
      </c>
      <c r="I1156" s="666" t="s">
        <v>859</v>
      </c>
      <c r="J1156" s="667" t="s">
        <v>805</v>
      </c>
      <c r="K1156" s="662">
        <v>3</v>
      </c>
      <c r="L1156" s="685">
        <f t="shared" si="31"/>
        <v>18.8</v>
      </c>
      <c r="M1156" s="686">
        <f t="shared" si="32"/>
        <v>56.400000000000006</v>
      </c>
    </row>
    <row r="1157" spans="2:13" s="645" customFormat="1" ht="21.75" customHeight="1">
      <c r="B1157" s="661">
        <v>44407</v>
      </c>
      <c r="C1157" s="662" t="s">
        <v>819</v>
      </c>
      <c r="D1157" s="663" t="s">
        <v>836</v>
      </c>
      <c r="E1157" s="664" t="s">
        <v>831</v>
      </c>
      <c r="F1157" s="665"/>
      <c r="G1157" s="663">
        <v>20</v>
      </c>
      <c r="H1157" s="662" t="s">
        <v>807</v>
      </c>
      <c r="I1157" s="666" t="s">
        <v>857</v>
      </c>
      <c r="J1157" s="667" t="s">
        <v>805</v>
      </c>
      <c r="K1157" s="662">
        <v>5</v>
      </c>
      <c r="L1157" s="685">
        <f t="shared" si="31"/>
        <v>18.8</v>
      </c>
      <c r="M1157" s="686">
        <f t="shared" si="32"/>
        <v>94</v>
      </c>
    </row>
    <row r="1158" spans="2:13" s="645" customFormat="1" ht="21.75" customHeight="1">
      <c r="B1158" s="661">
        <v>44407</v>
      </c>
      <c r="C1158" s="662" t="s">
        <v>819</v>
      </c>
      <c r="D1158" s="663" t="s">
        <v>833</v>
      </c>
      <c r="E1158" s="664" t="s">
        <v>831</v>
      </c>
      <c r="F1158" s="665"/>
      <c r="G1158" s="663">
        <v>15</v>
      </c>
      <c r="H1158" s="662" t="s">
        <v>807</v>
      </c>
      <c r="I1158" s="666" t="s">
        <v>859</v>
      </c>
      <c r="J1158" s="667" t="s">
        <v>805</v>
      </c>
      <c r="K1158" s="662">
        <v>5</v>
      </c>
      <c r="L1158" s="685">
        <f t="shared" si="31"/>
        <v>14.1</v>
      </c>
      <c r="M1158" s="686">
        <f t="shared" si="32"/>
        <v>70.5</v>
      </c>
    </row>
    <row r="1159" spans="2:13" s="645" customFormat="1" ht="21.75" customHeight="1">
      <c r="B1159" s="661">
        <v>44407</v>
      </c>
      <c r="C1159" s="662" t="s">
        <v>819</v>
      </c>
      <c r="D1159" s="663" t="s">
        <v>833</v>
      </c>
      <c r="E1159" s="664" t="s">
        <v>831</v>
      </c>
      <c r="F1159" s="665"/>
      <c r="G1159" s="663">
        <v>15</v>
      </c>
      <c r="H1159" s="662" t="s">
        <v>807</v>
      </c>
      <c r="I1159" s="666" t="s">
        <v>857</v>
      </c>
      <c r="J1159" s="667" t="s">
        <v>805</v>
      </c>
      <c r="K1159" s="662">
        <v>6</v>
      </c>
      <c r="L1159" s="685">
        <f t="shared" si="31"/>
        <v>14.1</v>
      </c>
      <c r="M1159" s="686">
        <f t="shared" si="32"/>
        <v>84.6</v>
      </c>
    </row>
    <row r="1160" spans="2:13" s="645" customFormat="1" ht="21.75" customHeight="1">
      <c r="B1160" s="661">
        <v>44407</v>
      </c>
      <c r="C1160" s="662" t="s">
        <v>819</v>
      </c>
      <c r="D1160" s="663" t="s">
        <v>830</v>
      </c>
      <c r="E1160" s="664" t="s">
        <v>831</v>
      </c>
      <c r="F1160" s="665"/>
      <c r="G1160" s="663">
        <v>15</v>
      </c>
      <c r="H1160" s="662" t="s">
        <v>807</v>
      </c>
      <c r="I1160" s="666" t="s">
        <v>859</v>
      </c>
      <c r="J1160" s="667" t="s">
        <v>805</v>
      </c>
      <c r="K1160" s="662">
        <v>3</v>
      </c>
      <c r="L1160" s="685">
        <f t="shared" si="31"/>
        <v>14.1</v>
      </c>
      <c r="M1160" s="686">
        <f t="shared" si="32"/>
        <v>42.3</v>
      </c>
    </row>
    <row r="1161" spans="2:13" s="645" customFormat="1" ht="21.75" customHeight="1">
      <c r="B1161" s="661">
        <v>44407</v>
      </c>
      <c r="C1161" s="662" t="s">
        <v>819</v>
      </c>
      <c r="D1161" s="663" t="s">
        <v>830</v>
      </c>
      <c r="E1161" s="664" t="s">
        <v>831</v>
      </c>
      <c r="F1161" s="665"/>
      <c r="G1161" s="663">
        <v>15</v>
      </c>
      <c r="H1161" s="662" t="s">
        <v>807</v>
      </c>
      <c r="I1161" s="666" t="s">
        <v>857</v>
      </c>
      <c r="J1161" s="667" t="s">
        <v>805</v>
      </c>
      <c r="K1161" s="662">
        <v>9</v>
      </c>
      <c r="L1161" s="685">
        <f t="shared" ref="L1161:L1224" si="33">VLOOKUP(G1161,$Q$4:$V$7,6,FALSE)</f>
        <v>14.1</v>
      </c>
      <c r="M1161" s="686">
        <f t="shared" si="32"/>
        <v>126.89999999999999</v>
      </c>
    </row>
    <row r="1162" spans="2:13" s="645" customFormat="1" ht="21.75" customHeight="1">
      <c r="B1162" s="661">
        <v>44407</v>
      </c>
      <c r="C1162" s="662" t="s">
        <v>819</v>
      </c>
      <c r="D1162" s="663" t="s">
        <v>844</v>
      </c>
      <c r="E1162" s="664" t="s">
        <v>831</v>
      </c>
      <c r="F1162" s="665"/>
      <c r="G1162" s="663">
        <v>15</v>
      </c>
      <c r="H1162" s="662" t="s">
        <v>807</v>
      </c>
      <c r="I1162" s="666" t="s">
        <v>859</v>
      </c>
      <c r="J1162" s="667" t="s">
        <v>805</v>
      </c>
      <c r="K1162" s="662">
        <v>4</v>
      </c>
      <c r="L1162" s="685">
        <f t="shared" si="33"/>
        <v>14.1</v>
      </c>
      <c r="M1162" s="686">
        <f t="shared" si="32"/>
        <v>56.4</v>
      </c>
    </row>
    <row r="1163" spans="2:13" s="645" customFormat="1" ht="21.75" customHeight="1">
      <c r="B1163" s="661">
        <v>44407</v>
      </c>
      <c r="C1163" s="662" t="s">
        <v>819</v>
      </c>
      <c r="D1163" s="663" t="s">
        <v>844</v>
      </c>
      <c r="E1163" s="664" t="s">
        <v>831</v>
      </c>
      <c r="F1163" s="665"/>
      <c r="G1163" s="663">
        <v>15</v>
      </c>
      <c r="H1163" s="662" t="s">
        <v>807</v>
      </c>
      <c r="I1163" s="666" t="s">
        <v>857</v>
      </c>
      <c r="J1163" s="667" t="s">
        <v>805</v>
      </c>
      <c r="K1163" s="662">
        <v>10</v>
      </c>
      <c r="L1163" s="685">
        <f t="shared" si="33"/>
        <v>14.1</v>
      </c>
      <c r="M1163" s="686">
        <f t="shared" si="32"/>
        <v>141</v>
      </c>
    </row>
    <row r="1164" spans="2:13" s="645" customFormat="1" ht="21.75" customHeight="1">
      <c r="B1164" s="661">
        <v>44407</v>
      </c>
      <c r="C1164" s="662" t="s">
        <v>819</v>
      </c>
      <c r="D1164" s="663" t="s">
        <v>850</v>
      </c>
      <c r="E1164" s="664" t="s">
        <v>831</v>
      </c>
      <c r="F1164" s="665"/>
      <c r="G1164" s="663">
        <v>15</v>
      </c>
      <c r="H1164" s="662" t="s">
        <v>807</v>
      </c>
      <c r="I1164" s="666" t="s">
        <v>859</v>
      </c>
      <c r="J1164" s="667" t="s">
        <v>805</v>
      </c>
      <c r="K1164" s="662">
        <v>6</v>
      </c>
      <c r="L1164" s="685">
        <f t="shared" si="33"/>
        <v>14.1</v>
      </c>
      <c r="M1164" s="686">
        <f t="shared" si="32"/>
        <v>84.6</v>
      </c>
    </row>
    <row r="1165" spans="2:13" s="645" customFormat="1" ht="21.75" customHeight="1">
      <c r="B1165" s="661">
        <v>44407</v>
      </c>
      <c r="C1165" s="662" t="s">
        <v>819</v>
      </c>
      <c r="D1165" s="663" t="s">
        <v>850</v>
      </c>
      <c r="E1165" s="664" t="s">
        <v>831</v>
      </c>
      <c r="F1165" s="665"/>
      <c r="G1165" s="663">
        <v>15</v>
      </c>
      <c r="H1165" s="662" t="s">
        <v>807</v>
      </c>
      <c r="I1165" s="666" t="s">
        <v>857</v>
      </c>
      <c r="J1165" s="667" t="s">
        <v>805</v>
      </c>
      <c r="K1165" s="662">
        <v>8</v>
      </c>
      <c r="L1165" s="685">
        <f t="shared" si="33"/>
        <v>14.1</v>
      </c>
      <c r="M1165" s="686">
        <f t="shared" si="32"/>
        <v>112.8</v>
      </c>
    </row>
    <row r="1166" spans="2:13" s="645" customFormat="1" ht="21.75" customHeight="1">
      <c r="B1166" s="661">
        <v>44407</v>
      </c>
      <c r="C1166" s="662" t="s">
        <v>819</v>
      </c>
      <c r="D1166" s="663" t="s">
        <v>839</v>
      </c>
      <c r="E1166" s="664" t="s">
        <v>831</v>
      </c>
      <c r="F1166" s="665"/>
      <c r="G1166" s="663">
        <v>15</v>
      </c>
      <c r="H1166" s="662" t="s">
        <v>807</v>
      </c>
      <c r="I1166" s="666" t="s">
        <v>857</v>
      </c>
      <c r="J1166" s="667" t="s">
        <v>805</v>
      </c>
      <c r="K1166" s="662">
        <v>8</v>
      </c>
      <c r="L1166" s="685">
        <f t="shared" si="33"/>
        <v>14.1</v>
      </c>
      <c r="M1166" s="686">
        <f t="shared" si="32"/>
        <v>112.8</v>
      </c>
    </row>
    <row r="1167" spans="2:13" s="645" customFormat="1" ht="21.75" customHeight="1">
      <c r="B1167" s="661">
        <v>44407</v>
      </c>
      <c r="C1167" s="662" t="s">
        <v>819</v>
      </c>
      <c r="D1167" s="663" t="s">
        <v>845</v>
      </c>
      <c r="E1167" s="664" t="s">
        <v>831</v>
      </c>
      <c r="F1167" s="665"/>
      <c r="G1167" s="663">
        <v>17</v>
      </c>
      <c r="H1167" s="662" t="s">
        <v>807</v>
      </c>
      <c r="I1167" s="666" t="s">
        <v>859</v>
      </c>
      <c r="J1167" s="667" t="s">
        <v>805</v>
      </c>
      <c r="K1167" s="662">
        <v>5</v>
      </c>
      <c r="L1167" s="685">
        <f t="shared" si="33"/>
        <v>15.98</v>
      </c>
      <c r="M1167" s="686">
        <f t="shared" si="32"/>
        <v>79.900000000000006</v>
      </c>
    </row>
    <row r="1168" spans="2:13" s="645" customFormat="1" ht="21.75" customHeight="1">
      <c r="B1168" s="661">
        <v>44407</v>
      </c>
      <c r="C1168" s="662" t="s">
        <v>819</v>
      </c>
      <c r="D1168" s="663" t="s">
        <v>845</v>
      </c>
      <c r="E1168" s="664" t="s">
        <v>831</v>
      </c>
      <c r="F1168" s="665"/>
      <c r="G1168" s="663">
        <v>17</v>
      </c>
      <c r="H1168" s="662" t="s">
        <v>807</v>
      </c>
      <c r="I1168" s="666" t="s">
        <v>857</v>
      </c>
      <c r="J1168" s="667" t="s">
        <v>805</v>
      </c>
      <c r="K1168" s="662">
        <v>8</v>
      </c>
      <c r="L1168" s="685">
        <f t="shared" si="33"/>
        <v>15.98</v>
      </c>
      <c r="M1168" s="686">
        <f t="shared" si="32"/>
        <v>127.84</v>
      </c>
    </row>
    <row r="1169" spans="2:13" s="645" customFormat="1" ht="21.75" customHeight="1">
      <c r="B1169" s="661">
        <v>44407</v>
      </c>
      <c r="C1169" s="662" t="s">
        <v>819</v>
      </c>
      <c r="D1169" s="663" t="s">
        <v>847</v>
      </c>
      <c r="E1169" s="664" t="s">
        <v>831</v>
      </c>
      <c r="F1169" s="665"/>
      <c r="G1169" s="663">
        <v>17</v>
      </c>
      <c r="H1169" s="662" t="s">
        <v>807</v>
      </c>
      <c r="I1169" s="666" t="s">
        <v>859</v>
      </c>
      <c r="J1169" s="667" t="s">
        <v>805</v>
      </c>
      <c r="K1169" s="662">
        <v>1</v>
      </c>
      <c r="L1169" s="685">
        <f t="shared" si="33"/>
        <v>15.98</v>
      </c>
      <c r="M1169" s="686">
        <f t="shared" si="32"/>
        <v>15.98</v>
      </c>
    </row>
    <row r="1170" spans="2:13" s="645" customFormat="1" ht="21.75" customHeight="1">
      <c r="B1170" s="661">
        <v>44407</v>
      </c>
      <c r="C1170" s="662" t="s">
        <v>819</v>
      </c>
      <c r="D1170" s="663" t="s">
        <v>847</v>
      </c>
      <c r="E1170" s="664" t="s">
        <v>831</v>
      </c>
      <c r="F1170" s="665"/>
      <c r="G1170" s="663">
        <v>17</v>
      </c>
      <c r="H1170" s="662" t="s">
        <v>807</v>
      </c>
      <c r="I1170" s="666" t="s">
        <v>857</v>
      </c>
      <c r="J1170" s="667" t="s">
        <v>805</v>
      </c>
      <c r="K1170" s="662">
        <v>3</v>
      </c>
      <c r="L1170" s="685">
        <f t="shared" si="33"/>
        <v>15.98</v>
      </c>
      <c r="M1170" s="686">
        <f t="shared" si="32"/>
        <v>47.94</v>
      </c>
    </row>
    <row r="1171" spans="2:13" s="645" customFormat="1" ht="21.75" customHeight="1">
      <c r="B1171" s="661">
        <v>44407</v>
      </c>
      <c r="C1171" s="662" t="s">
        <v>819</v>
      </c>
      <c r="D1171" s="663" t="s">
        <v>856</v>
      </c>
      <c r="E1171" s="664" t="s">
        <v>831</v>
      </c>
      <c r="F1171" s="665"/>
      <c r="G1171" s="663">
        <v>20</v>
      </c>
      <c r="H1171" s="662" t="s">
        <v>807</v>
      </c>
      <c r="I1171" s="666" t="s">
        <v>859</v>
      </c>
      <c r="J1171" s="667" t="s">
        <v>805</v>
      </c>
      <c r="K1171" s="662">
        <v>10</v>
      </c>
      <c r="L1171" s="685">
        <f t="shared" si="33"/>
        <v>18.8</v>
      </c>
      <c r="M1171" s="686">
        <f t="shared" si="32"/>
        <v>188</v>
      </c>
    </row>
    <row r="1172" spans="2:13" s="645" customFormat="1" ht="21.75" customHeight="1">
      <c r="B1172" s="661">
        <v>44407</v>
      </c>
      <c r="C1172" s="662" t="s">
        <v>819</v>
      </c>
      <c r="D1172" s="663" t="s">
        <v>856</v>
      </c>
      <c r="E1172" s="664" t="s">
        <v>831</v>
      </c>
      <c r="F1172" s="665"/>
      <c r="G1172" s="663">
        <v>20</v>
      </c>
      <c r="H1172" s="662" t="s">
        <v>807</v>
      </c>
      <c r="I1172" s="666" t="s">
        <v>857</v>
      </c>
      <c r="J1172" s="667" t="s">
        <v>805</v>
      </c>
      <c r="K1172" s="662">
        <v>4</v>
      </c>
      <c r="L1172" s="685">
        <f t="shared" si="33"/>
        <v>18.8</v>
      </c>
      <c r="M1172" s="686">
        <f t="shared" si="32"/>
        <v>75.2</v>
      </c>
    </row>
    <row r="1173" spans="2:13" s="645" customFormat="1" ht="21.75" customHeight="1">
      <c r="B1173" s="661">
        <v>44407</v>
      </c>
      <c r="C1173" s="662" t="s">
        <v>819</v>
      </c>
      <c r="D1173" s="663" t="s">
        <v>855</v>
      </c>
      <c r="E1173" s="664" t="s">
        <v>831</v>
      </c>
      <c r="F1173" s="665"/>
      <c r="G1173" s="663">
        <v>20</v>
      </c>
      <c r="H1173" s="662" t="s">
        <v>807</v>
      </c>
      <c r="I1173" s="666" t="s">
        <v>859</v>
      </c>
      <c r="J1173" s="667" t="s">
        <v>805</v>
      </c>
      <c r="K1173" s="662">
        <v>5</v>
      </c>
      <c r="L1173" s="685">
        <f t="shared" si="33"/>
        <v>18.8</v>
      </c>
      <c r="M1173" s="686">
        <f t="shared" si="32"/>
        <v>94</v>
      </c>
    </row>
    <row r="1174" spans="2:13" s="645" customFormat="1" ht="21.75" customHeight="1">
      <c r="B1174" s="661">
        <v>44407</v>
      </c>
      <c r="C1174" s="662" t="s">
        <v>819</v>
      </c>
      <c r="D1174" s="663" t="s">
        <v>855</v>
      </c>
      <c r="E1174" s="664" t="s">
        <v>831</v>
      </c>
      <c r="F1174" s="665"/>
      <c r="G1174" s="663">
        <v>20</v>
      </c>
      <c r="H1174" s="662" t="s">
        <v>807</v>
      </c>
      <c r="I1174" s="666" t="s">
        <v>857</v>
      </c>
      <c r="J1174" s="667" t="s">
        <v>805</v>
      </c>
      <c r="K1174" s="662">
        <v>10</v>
      </c>
      <c r="L1174" s="685">
        <f t="shared" si="33"/>
        <v>18.8</v>
      </c>
      <c r="M1174" s="686">
        <f t="shared" si="32"/>
        <v>188</v>
      </c>
    </row>
    <row r="1175" spans="2:13" s="645" customFormat="1" ht="21.75" customHeight="1">
      <c r="B1175" s="661">
        <v>44407</v>
      </c>
      <c r="C1175" s="662" t="s">
        <v>837</v>
      </c>
      <c r="D1175" s="663" t="s">
        <v>840</v>
      </c>
      <c r="E1175" s="664" t="s">
        <v>831</v>
      </c>
      <c r="F1175" s="665"/>
      <c r="G1175" s="663">
        <v>20</v>
      </c>
      <c r="H1175" s="662" t="s">
        <v>807</v>
      </c>
      <c r="I1175" s="666" t="s">
        <v>857</v>
      </c>
      <c r="J1175" s="667" t="s">
        <v>805</v>
      </c>
      <c r="K1175" s="662">
        <v>12</v>
      </c>
      <c r="L1175" s="685">
        <f t="shared" si="33"/>
        <v>18.8</v>
      </c>
      <c r="M1175" s="686">
        <f t="shared" si="32"/>
        <v>225.60000000000002</v>
      </c>
    </row>
    <row r="1176" spans="2:13" s="645" customFormat="1" ht="21.75" customHeight="1">
      <c r="B1176" s="661">
        <v>44407</v>
      </c>
      <c r="C1176" s="662" t="s">
        <v>837</v>
      </c>
      <c r="D1176" s="663" t="s">
        <v>841</v>
      </c>
      <c r="E1176" s="664" t="s">
        <v>831</v>
      </c>
      <c r="F1176" s="665"/>
      <c r="G1176" s="663">
        <v>20</v>
      </c>
      <c r="H1176" s="662" t="s">
        <v>807</v>
      </c>
      <c r="I1176" s="666" t="s">
        <v>857</v>
      </c>
      <c r="J1176" s="667" t="s">
        <v>805</v>
      </c>
      <c r="K1176" s="662">
        <v>12</v>
      </c>
      <c r="L1176" s="685">
        <f t="shared" si="33"/>
        <v>18.8</v>
      </c>
      <c r="M1176" s="686">
        <f t="shared" si="32"/>
        <v>225.60000000000002</v>
      </c>
    </row>
    <row r="1177" spans="2:13" s="645" customFormat="1" ht="21.75" customHeight="1">
      <c r="B1177" s="661">
        <v>44407</v>
      </c>
      <c r="C1177" s="662" t="s">
        <v>837</v>
      </c>
      <c r="D1177" s="663" t="s">
        <v>834</v>
      </c>
      <c r="E1177" s="664" t="s">
        <v>831</v>
      </c>
      <c r="F1177" s="665"/>
      <c r="G1177" s="663">
        <v>20</v>
      </c>
      <c r="H1177" s="662" t="s">
        <v>807</v>
      </c>
      <c r="I1177" s="666" t="s">
        <v>857</v>
      </c>
      <c r="J1177" s="667" t="s">
        <v>805</v>
      </c>
      <c r="K1177" s="662">
        <v>12</v>
      </c>
      <c r="L1177" s="685">
        <f t="shared" si="33"/>
        <v>18.8</v>
      </c>
      <c r="M1177" s="686">
        <f t="shared" si="32"/>
        <v>225.60000000000002</v>
      </c>
    </row>
    <row r="1178" spans="2:13" s="645" customFormat="1" ht="21.75" customHeight="1">
      <c r="B1178" s="661">
        <v>44407</v>
      </c>
      <c r="C1178" s="662" t="s">
        <v>837</v>
      </c>
      <c r="D1178" s="663" t="s">
        <v>848</v>
      </c>
      <c r="E1178" s="664" t="s">
        <v>831</v>
      </c>
      <c r="F1178" s="665"/>
      <c r="G1178" s="663">
        <v>20</v>
      </c>
      <c r="H1178" s="662" t="s">
        <v>807</v>
      </c>
      <c r="I1178" s="666" t="s">
        <v>857</v>
      </c>
      <c r="J1178" s="667" t="s">
        <v>805</v>
      </c>
      <c r="K1178" s="662">
        <v>12</v>
      </c>
      <c r="L1178" s="685">
        <f t="shared" si="33"/>
        <v>18.8</v>
      </c>
      <c r="M1178" s="686">
        <f t="shared" si="32"/>
        <v>225.60000000000002</v>
      </c>
    </row>
    <row r="1179" spans="2:13" s="645" customFormat="1" ht="21.75" customHeight="1">
      <c r="B1179" s="661">
        <v>44407</v>
      </c>
      <c r="C1179" s="662" t="s">
        <v>837</v>
      </c>
      <c r="D1179" s="663" t="s">
        <v>845</v>
      </c>
      <c r="E1179" s="664" t="s">
        <v>831</v>
      </c>
      <c r="F1179" s="665"/>
      <c r="G1179" s="663">
        <v>17</v>
      </c>
      <c r="H1179" s="662" t="s">
        <v>807</v>
      </c>
      <c r="I1179" s="666" t="s">
        <v>857</v>
      </c>
      <c r="J1179" s="667" t="s">
        <v>805</v>
      </c>
      <c r="K1179" s="662">
        <v>13</v>
      </c>
      <c r="L1179" s="685">
        <f t="shared" si="33"/>
        <v>15.98</v>
      </c>
      <c r="M1179" s="686">
        <f t="shared" si="32"/>
        <v>207.74</v>
      </c>
    </row>
    <row r="1180" spans="2:13" s="645" customFormat="1" ht="21.75" customHeight="1">
      <c r="B1180" s="661">
        <v>44407</v>
      </c>
      <c r="C1180" s="662" t="s">
        <v>837</v>
      </c>
      <c r="D1180" s="663" t="s">
        <v>856</v>
      </c>
      <c r="E1180" s="664" t="s">
        <v>831</v>
      </c>
      <c r="F1180" s="665"/>
      <c r="G1180" s="663">
        <v>20</v>
      </c>
      <c r="H1180" s="662" t="s">
        <v>807</v>
      </c>
      <c r="I1180" s="666" t="s">
        <v>857</v>
      </c>
      <c r="J1180" s="667" t="s">
        <v>805</v>
      </c>
      <c r="K1180" s="662">
        <v>14</v>
      </c>
      <c r="L1180" s="685">
        <f t="shared" si="33"/>
        <v>18.8</v>
      </c>
      <c r="M1180" s="686">
        <f t="shared" si="32"/>
        <v>263.2</v>
      </c>
    </row>
    <row r="1181" spans="2:13" s="645" customFormat="1" ht="21.75" customHeight="1">
      <c r="B1181" s="661">
        <v>44407</v>
      </c>
      <c r="C1181" s="662" t="s">
        <v>837</v>
      </c>
      <c r="D1181" s="663" t="s">
        <v>855</v>
      </c>
      <c r="E1181" s="664" t="s">
        <v>831</v>
      </c>
      <c r="F1181" s="665"/>
      <c r="G1181" s="663">
        <v>20</v>
      </c>
      <c r="H1181" s="662" t="s">
        <v>807</v>
      </c>
      <c r="I1181" s="666" t="s">
        <v>857</v>
      </c>
      <c r="J1181" s="667" t="s">
        <v>805</v>
      </c>
      <c r="K1181" s="662">
        <v>14</v>
      </c>
      <c r="L1181" s="685">
        <f t="shared" si="33"/>
        <v>18.8</v>
      </c>
      <c r="M1181" s="686">
        <f t="shared" si="32"/>
        <v>263.2</v>
      </c>
    </row>
    <row r="1182" spans="2:13" s="645" customFormat="1" ht="21.75" customHeight="1">
      <c r="B1182" s="670">
        <v>44408</v>
      </c>
      <c r="C1182" s="671" t="s">
        <v>819</v>
      </c>
      <c r="D1182" s="672" t="s">
        <v>840</v>
      </c>
      <c r="E1182" s="673" t="s">
        <v>831</v>
      </c>
      <c r="F1182" s="670"/>
      <c r="G1182" s="672">
        <v>20</v>
      </c>
      <c r="H1182" s="671" t="s">
        <v>807</v>
      </c>
      <c r="I1182" s="675" t="s">
        <v>854</v>
      </c>
      <c r="J1182" s="677" t="s">
        <v>804</v>
      </c>
      <c r="K1182" s="671">
        <v>5</v>
      </c>
      <c r="L1182" s="676">
        <f t="shared" si="33"/>
        <v>18.8</v>
      </c>
      <c r="M1182" s="676">
        <f t="shared" si="32"/>
        <v>94</v>
      </c>
    </row>
    <row r="1183" spans="2:13" s="645" customFormat="1" ht="21.75" customHeight="1">
      <c r="B1183" s="670">
        <v>44408</v>
      </c>
      <c r="C1183" s="671" t="s">
        <v>819</v>
      </c>
      <c r="D1183" s="672" t="s">
        <v>840</v>
      </c>
      <c r="E1183" s="673" t="s">
        <v>831</v>
      </c>
      <c r="F1183" s="670"/>
      <c r="G1183" s="672">
        <v>20</v>
      </c>
      <c r="H1183" s="671" t="s">
        <v>807</v>
      </c>
      <c r="I1183" s="675" t="s">
        <v>854</v>
      </c>
      <c r="J1183" s="677" t="s">
        <v>804</v>
      </c>
      <c r="K1183" s="671">
        <v>7</v>
      </c>
      <c r="L1183" s="676">
        <f t="shared" si="33"/>
        <v>18.8</v>
      </c>
      <c r="M1183" s="676">
        <f t="shared" si="32"/>
        <v>131.6</v>
      </c>
    </row>
    <row r="1184" spans="2:13" s="645" customFormat="1" ht="21.75" customHeight="1">
      <c r="B1184" s="670">
        <v>44408</v>
      </c>
      <c r="C1184" s="671" t="s">
        <v>819</v>
      </c>
      <c r="D1184" s="672" t="s">
        <v>841</v>
      </c>
      <c r="E1184" s="673" t="s">
        <v>831</v>
      </c>
      <c r="F1184" s="670"/>
      <c r="G1184" s="672">
        <v>20</v>
      </c>
      <c r="H1184" s="671" t="s">
        <v>807</v>
      </c>
      <c r="I1184" s="675" t="s">
        <v>854</v>
      </c>
      <c r="J1184" s="677" t="s">
        <v>804</v>
      </c>
      <c r="K1184" s="671">
        <v>7</v>
      </c>
      <c r="L1184" s="676">
        <f t="shared" si="33"/>
        <v>18.8</v>
      </c>
      <c r="M1184" s="676">
        <f t="shared" si="32"/>
        <v>131.6</v>
      </c>
    </row>
    <row r="1185" spans="2:13" s="645" customFormat="1" ht="21.75" customHeight="1">
      <c r="B1185" s="670">
        <v>44408</v>
      </c>
      <c r="C1185" s="671" t="s">
        <v>819</v>
      </c>
      <c r="D1185" s="672" t="s">
        <v>841</v>
      </c>
      <c r="E1185" s="673" t="s">
        <v>831</v>
      </c>
      <c r="F1185" s="670"/>
      <c r="G1185" s="672">
        <v>20</v>
      </c>
      <c r="H1185" s="671" t="s">
        <v>807</v>
      </c>
      <c r="I1185" s="675" t="s">
        <v>854</v>
      </c>
      <c r="J1185" s="677" t="s">
        <v>804</v>
      </c>
      <c r="K1185" s="671">
        <v>5</v>
      </c>
      <c r="L1185" s="676">
        <f t="shared" si="33"/>
        <v>18.8</v>
      </c>
      <c r="M1185" s="676">
        <f t="shared" si="32"/>
        <v>94</v>
      </c>
    </row>
    <row r="1186" spans="2:13" s="645" customFormat="1" ht="21.75" customHeight="1">
      <c r="B1186" s="670">
        <v>44408</v>
      </c>
      <c r="C1186" s="671" t="s">
        <v>819</v>
      </c>
      <c r="D1186" s="672" t="s">
        <v>834</v>
      </c>
      <c r="E1186" s="673" t="s">
        <v>831</v>
      </c>
      <c r="F1186" s="670"/>
      <c r="G1186" s="672">
        <v>20</v>
      </c>
      <c r="H1186" s="671" t="s">
        <v>807</v>
      </c>
      <c r="I1186" s="675" t="s">
        <v>854</v>
      </c>
      <c r="J1186" s="677" t="s">
        <v>804</v>
      </c>
      <c r="K1186" s="671">
        <v>9</v>
      </c>
      <c r="L1186" s="676">
        <f t="shared" si="33"/>
        <v>18.8</v>
      </c>
      <c r="M1186" s="676">
        <f t="shared" si="32"/>
        <v>169.20000000000002</v>
      </c>
    </row>
    <row r="1187" spans="2:13" s="645" customFormat="1" ht="21.75" customHeight="1">
      <c r="B1187" s="670">
        <v>44408</v>
      </c>
      <c r="C1187" s="671" t="s">
        <v>819</v>
      </c>
      <c r="D1187" s="672" t="s">
        <v>834</v>
      </c>
      <c r="E1187" s="673" t="s">
        <v>831</v>
      </c>
      <c r="F1187" s="670"/>
      <c r="G1187" s="672">
        <v>20</v>
      </c>
      <c r="H1187" s="671" t="s">
        <v>807</v>
      </c>
      <c r="I1187" s="675" t="s">
        <v>854</v>
      </c>
      <c r="J1187" s="677" t="s">
        <v>804</v>
      </c>
      <c r="K1187" s="671">
        <v>3</v>
      </c>
      <c r="L1187" s="676">
        <f t="shared" si="33"/>
        <v>18.8</v>
      </c>
      <c r="M1187" s="676">
        <f t="shared" si="32"/>
        <v>56.400000000000006</v>
      </c>
    </row>
    <row r="1188" spans="2:13" s="645" customFormat="1" ht="21.75" customHeight="1">
      <c r="B1188" s="670">
        <v>44408</v>
      </c>
      <c r="C1188" s="671" t="s">
        <v>819</v>
      </c>
      <c r="D1188" s="672" t="s">
        <v>844</v>
      </c>
      <c r="E1188" s="673" t="s">
        <v>831</v>
      </c>
      <c r="F1188" s="670"/>
      <c r="G1188" s="672">
        <v>15</v>
      </c>
      <c r="H1188" s="671" t="s">
        <v>807</v>
      </c>
      <c r="I1188" s="675" t="s">
        <v>854</v>
      </c>
      <c r="J1188" s="677" t="s">
        <v>804</v>
      </c>
      <c r="K1188" s="671">
        <v>7</v>
      </c>
      <c r="L1188" s="676">
        <f t="shared" si="33"/>
        <v>14.1</v>
      </c>
      <c r="M1188" s="676">
        <f t="shared" si="32"/>
        <v>98.7</v>
      </c>
    </row>
    <row r="1189" spans="2:13" s="645" customFormat="1" ht="21.75" customHeight="1">
      <c r="B1189" s="670">
        <v>44408</v>
      </c>
      <c r="C1189" s="671" t="s">
        <v>819</v>
      </c>
      <c r="D1189" s="672" t="s">
        <v>844</v>
      </c>
      <c r="E1189" s="673" t="s">
        <v>831</v>
      </c>
      <c r="F1189" s="670"/>
      <c r="G1189" s="672">
        <v>15</v>
      </c>
      <c r="H1189" s="671" t="s">
        <v>807</v>
      </c>
      <c r="I1189" s="675" t="s">
        <v>854</v>
      </c>
      <c r="J1189" s="677" t="s">
        <v>804</v>
      </c>
      <c r="K1189" s="671">
        <v>6</v>
      </c>
      <c r="L1189" s="676">
        <f t="shared" si="33"/>
        <v>14.1</v>
      </c>
      <c r="M1189" s="676">
        <f t="shared" si="32"/>
        <v>84.6</v>
      </c>
    </row>
    <row r="1190" spans="2:13" s="645" customFormat="1" ht="21.75" customHeight="1">
      <c r="B1190" s="670">
        <v>44408</v>
      </c>
      <c r="C1190" s="671" t="s">
        <v>819</v>
      </c>
      <c r="D1190" s="672" t="s">
        <v>850</v>
      </c>
      <c r="E1190" s="673" t="s">
        <v>831</v>
      </c>
      <c r="F1190" s="670"/>
      <c r="G1190" s="672">
        <v>15</v>
      </c>
      <c r="H1190" s="671" t="s">
        <v>807</v>
      </c>
      <c r="I1190" s="675" t="s">
        <v>854</v>
      </c>
      <c r="J1190" s="677" t="s">
        <v>804</v>
      </c>
      <c r="K1190" s="671">
        <v>9</v>
      </c>
      <c r="L1190" s="676">
        <f t="shared" si="33"/>
        <v>14.1</v>
      </c>
      <c r="M1190" s="676">
        <f t="shared" si="32"/>
        <v>126.89999999999999</v>
      </c>
    </row>
    <row r="1191" spans="2:13" s="645" customFormat="1" ht="21.75" customHeight="1">
      <c r="B1191" s="670">
        <v>44408</v>
      </c>
      <c r="C1191" s="671" t="s">
        <v>819</v>
      </c>
      <c r="D1191" s="672" t="s">
        <v>850</v>
      </c>
      <c r="E1191" s="673" t="s">
        <v>831</v>
      </c>
      <c r="F1191" s="670"/>
      <c r="G1191" s="672">
        <v>15</v>
      </c>
      <c r="H1191" s="671" t="s">
        <v>807</v>
      </c>
      <c r="I1191" s="675" t="s">
        <v>854</v>
      </c>
      <c r="J1191" s="677" t="s">
        <v>804</v>
      </c>
      <c r="K1191" s="671">
        <v>4</v>
      </c>
      <c r="L1191" s="676">
        <f t="shared" si="33"/>
        <v>14.1</v>
      </c>
      <c r="M1191" s="676">
        <f t="shared" ref="M1191:M1254" si="34">L1191*K1191</f>
        <v>56.4</v>
      </c>
    </row>
    <row r="1192" spans="2:13" s="645" customFormat="1" ht="21.75" customHeight="1">
      <c r="B1192" s="670">
        <v>44408</v>
      </c>
      <c r="C1192" s="671" t="s">
        <v>819</v>
      </c>
      <c r="D1192" s="672" t="s">
        <v>839</v>
      </c>
      <c r="E1192" s="673" t="s">
        <v>831</v>
      </c>
      <c r="F1192" s="670"/>
      <c r="G1192" s="672">
        <v>15</v>
      </c>
      <c r="H1192" s="671" t="s">
        <v>807</v>
      </c>
      <c r="I1192" s="675" t="s">
        <v>854</v>
      </c>
      <c r="J1192" s="677" t="s">
        <v>804</v>
      </c>
      <c r="K1192" s="671">
        <v>7</v>
      </c>
      <c r="L1192" s="676">
        <f t="shared" si="33"/>
        <v>14.1</v>
      </c>
      <c r="M1192" s="676">
        <f t="shared" si="34"/>
        <v>98.7</v>
      </c>
    </row>
    <row r="1193" spans="2:13" s="645" customFormat="1" ht="21.75" customHeight="1">
      <c r="B1193" s="670">
        <v>44408</v>
      </c>
      <c r="C1193" s="671" t="s">
        <v>819</v>
      </c>
      <c r="D1193" s="672" t="s">
        <v>839</v>
      </c>
      <c r="E1193" s="673" t="s">
        <v>831</v>
      </c>
      <c r="F1193" s="670"/>
      <c r="G1193" s="672">
        <v>15</v>
      </c>
      <c r="H1193" s="671" t="s">
        <v>807</v>
      </c>
      <c r="I1193" s="675" t="s">
        <v>854</v>
      </c>
      <c r="J1193" s="677" t="s">
        <v>804</v>
      </c>
      <c r="K1193" s="671">
        <v>4</v>
      </c>
      <c r="L1193" s="676">
        <f t="shared" si="33"/>
        <v>14.1</v>
      </c>
      <c r="M1193" s="676">
        <f t="shared" si="34"/>
        <v>56.4</v>
      </c>
    </row>
    <row r="1194" spans="2:13" s="645" customFormat="1" ht="21.75" customHeight="1">
      <c r="B1194" s="661">
        <v>44408</v>
      </c>
      <c r="C1194" s="662" t="s">
        <v>819</v>
      </c>
      <c r="D1194" s="663" t="s">
        <v>849</v>
      </c>
      <c r="E1194" s="664" t="s">
        <v>831</v>
      </c>
      <c r="F1194" s="665"/>
      <c r="G1194" s="663">
        <v>20</v>
      </c>
      <c r="H1194" s="662" t="s">
        <v>807</v>
      </c>
      <c r="I1194" s="666" t="s">
        <v>859</v>
      </c>
      <c r="J1194" s="667" t="s">
        <v>805</v>
      </c>
      <c r="K1194" s="662">
        <v>1</v>
      </c>
      <c r="L1194" s="685">
        <f t="shared" si="33"/>
        <v>18.8</v>
      </c>
      <c r="M1194" s="686">
        <f t="shared" si="34"/>
        <v>18.8</v>
      </c>
    </row>
    <row r="1195" spans="2:13" s="645" customFormat="1" ht="21.75" customHeight="1">
      <c r="B1195" s="661">
        <v>44408</v>
      </c>
      <c r="C1195" s="662" t="s">
        <v>819</v>
      </c>
      <c r="D1195" s="663" t="s">
        <v>849</v>
      </c>
      <c r="E1195" s="664" t="s">
        <v>831</v>
      </c>
      <c r="F1195" s="665"/>
      <c r="G1195" s="663">
        <v>20</v>
      </c>
      <c r="H1195" s="662" t="s">
        <v>807</v>
      </c>
      <c r="I1195" s="666" t="s">
        <v>857</v>
      </c>
      <c r="J1195" s="667" t="s">
        <v>805</v>
      </c>
      <c r="K1195" s="662">
        <v>12</v>
      </c>
      <c r="L1195" s="685">
        <f t="shared" si="33"/>
        <v>18.8</v>
      </c>
      <c r="M1195" s="686">
        <f t="shared" si="34"/>
        <v>225.60000000000002</v>
      </c>
    </row>
    <row r="1196" spans="2:13" s="645" customFormat="1" ht="21.75" customHeight="1">
      <c r="B1196" s="661">
        <v>44408</v>
      </c>
      <c r="C1196" s="662" t="s">
        <v>819</v>
      </c>
      <c r="D1196" s="663" t="s">
        <v>835</v>
      </c>
      <c r="E1196" s="664" t="s">
        <v>831</v>
      </c>
      <c r="F1196" s="665"/>
      <c r="G1196" s="663">
        <v>20</v>
      </c>
      <c r="H1196" s="662" t="s">
        <v>807</v>
      </c>
      <c r="I1196" s="666" t="s">
        <v>859</v>
      </c>
      <c r="J1196" s="667" t="s">
        <v>805</v>
      </c>
      <c r="K1196" s="662">
        <v>7</v>
      </c>
      <c r="L1196" s="685">
        <f t="shared" si="33"/>
        <v>18.8</v>
      </c>
      <c r="M1196" s="686">
        <f t="shared" si="34"/>
        <v>131.6</v>
      </c>
    </row>
    <row r="1197" spans="2:13" s="645" customFormat="1" ht="21.75" customHeight="1">
      <c r="B1197" s="661">
        <v>44408</v>
      </c>
      <c r="C1197" s="662" t="s">
        <v>819</v>
      </c>
      <c r="D1197" s="663" t="s">
        <v>835</v>
      </c>
      <c r="E1197" s="664" t="s">
        <v>831</v>
      </c>
      <c r="F1197" s="665"/>
      <c r="G1197" s="663">
        <v>20</v>
      </c>
      <c r="H1197" s="662" t="s">
        <v>807</v>
      </c>
      <c r="I1197" s="666" t="s">
        <v>857</v>
      </c>
      <c r="J1197" s="667" t="s">
        <v>805</v>
      </c>
      <c r="K1197" s="662">
        <v>3</v>
      </c>
      <c r="L1197" s="685">
        <f t="shared" si="33"/>
        <v>18.8</v>
      </c>
      <c r="M1197" s="686">
        <f t="shared" si="34"/>
        <v>56.400000000000006</v>
      </c>
    </row>
    <row r="1198" spans="2:13" s="645" customFormat="1" ht="21.75" customHeight="1">
      <c r="B1198" s="661">
        <v>44408</v>
      </c>
      <c r="C1198" s="662" t="s">
        <v>819</v>
      </c>
      <c r="D1198" s="663" t="s">
        <v>848</v>
      </c>
      <c r="E1198" s="664" t="s">
        <v>831</v>
      </c>
      <c r="F1198" s="665"/>
      <c r="G1198" s="663">
        <v>20</v>
      </c>
      <c r="H1198" s="662" t="s">
        <v>807</v>
      </c>
      <c r="I1198" s="666" t="s">
        <v>859</v>
      </c>
      <c r="J1198" s="667" t="s">
        <v>805</v>
      </c>
      <c r="K1198" s="662">
        <v>4</v>
      </c>
      <c r="L1198" s="685">
        <f t="shared" si="33"/>
        <v>18.8</v>
      </c>
      <c r="M1198" s="686">
        <f t="shared" si="34"/>
        <v>75.2</v>
      </c>
    </row>
    <row r="1199" spans="2:13" s="645" customFormat="1" ht="21.75" customHeight="1">
      <c r="B1199" s="661">
        <v>44408</v>
      </c>
      <c r="C1199" s="662" t="s">
        <v>819</v>
      </c>
      <c r="D1199" s="663" t="s">
        <v>848</v>
      </c>
      <c r="E1199" s="664" t="s">
        <v>831</v>
      </c>
      <c r="F1199" s="665"/>
      <c r="G1199" s="663">
        <v>20</v>
      </c>
      <c r="H1199" s="662" t="s">
        <v>807</v>
      </c>
      <c r="I1199" s="666" t="s">
        <v>857</v>
      </c>
      <c r="J1199" s="667" t="s">
        <v>805</v>
      </c>
      <c r="K1199" s="662">
        <v>9</v>
      </c>
      <c r="L1199" s="685">
        <f t="shared" si="33"/>
        <v>18.8</v>
      </c>
      <c r="M1199" s="686">
        <f t="shared" si="34"/>
        <v>169.20000000000002</v>
      </c>
    </row>
    <row r="1200" spans="2:13" s="645" customFormat="1" ht="21.75" customHeight="1">
      <c r="B1200" s="661">
        <v>44408</v>
      </c>
      <c r="C1200" s="662" t="s">
        <v>819</v>
      </c>
      <c r="D1200" s="663" t="s">
        <v>836</v>
      </c>
      <c r="E1200" s="664" t="s">
        <v>831</v>
      </c>
      <c r="F1200" s="665"/>
      <c r="G1200" s="663">
        <v>20</v>
      </c>
      <c r="H1200" s="662" t="s">
        <v>807</v>
      </c>
      <c r="I1200" s="666" t="s">
        <v>859</v>
      </c>
      <c r="J1200" s="667" t="s">
        <v>805</v>
      </c>
      <c r="K1200" s="662">
        <v>8</v>
      </c>
      <c r="L1200" s="685">
        <f t="shared" si="33"/>
        <v>18.8</v>
      </c>
      <c r="M1200" s="686">
        <f t="shared" si="34"/>
        <v>150.4</v>
      </c>
    </row>
    <row r="1201" spans="2:13" s="645" customFormat="1" ht="21.75" customHeight="1">
      <c r="B1201" s="661">
        <v>44408</v>
      </c>
      <c r="C1201" s="662" t="s">
        <v>819</v>
      </c>
      <c r="D1201" s="663" t="s">
        <v>836</v>
      </c>
      <c r="E1201" s="664" t="s">
        <v>831</v>
      </c>
      <c r="F1201" s="665"/>
      <c r="G1201" s="663">
        <v>20</v>
      </c>
      <c r="H1201" s="662" t="s">
        <v>807</v>
      </c>
      <c r="I1201" s="666" t="s">
        <v>857</v>
      </c>
      <c r="J1201" s="667" t="s">
        <v>805</v>
      </c>
      <c r="K1201" s="662">
        <v>5</v>
      </c>
      <c r="L1201" s="685">
        <f t="shared" si="33"/>
        <v>18.8</v>
      </c>
      <c r="M1201" s="686">
        <f t="shared" si="34"/>
        <v>94</v>
      </c>
    </row>
    <row r="1202" spans="2:13" s="645" customFormat="1" ht="21.75" customHeight="1">
      <c r="B1202" s="661">
        <v>44408</v>
      </c>
      <c r="C1202" s="662" t="s">
        <v>819</v>
      </c>
      <c r="D1202" s="663" t="s">
        <v>833</v>
      </c>
      <c r="E1202" s="664" t="s">
        <v>831</v>
      </c>
      <c r="F1202" s="665"/>
      <c r="G1202" s="663">
        <v>15</v>
      </c>
      <c r="H1202" s="662" t="s">
        <v>807</v>
      </c>
      <c r="I1202" s="666" t="s">
        <v>859</v>
      </c>
      <c r="J1202" s="667" t="s">
        <v>805</v>
      </c>
      <c r="K1202" s="662">
        <v>2</v>
      </c>
      <c r="L1202" s="685">
        <f t="shared" si="33"/>
        <v>14.1</v>
      </c>
      <c r="M1202" s="686">
        <f t="shared" si="34"/>
        <v>28.2</v>
      </c>
    </row>
    <row r="1203" spans="2:13" s="645" customFormat="1" ht="21.75" customHeight="1">
      <c r="B1203" s="661">
        <v>44408</v>
      </c>
      <c r="C1203" s="662" t="s">
        <v>819</v>
      </c>
      <c r="D1203" s="663" t="s">
        <v>833</v>
      </c>
      <c r="E1203" s="664" t="s">
        <v>831</v>
      </c>
      <c r="F1203" s="665"/>
      <c r="G1203" s="663">
        <v>15</v>
      </c>
      <c r="H1203" s="662" t="s">
        <v>807</v>
      </c>
      <c r="I1203" s="666" t="s">
        <v>857</v>
      </c>
      <c r="J1203" s="667" t="s">
        <v>805</v>
      </c>
      <c r="K1203" s="662">
        <v>8</v>
      </c>
      <c r="L1203" s="685">
        <f t="shared" si="33"/>
        <v>14.1</v>
      </c>
      <c r="M1203" s="686">
        <f t="shared" si="34"/>
        <v>112.8</v>
      </c>
    </row>
    <row r="1204" spans="2:13" s="645" customFormat="1" ht="21.75" customHeight="1">
      <c r="B1204" s="661">
        <v>44408</v>
      </c>
      <c r="C1204" s="662" t="s">
        <v>819</v>
      </c>
      <c r="D1204" s="663" t="s">
        <v>830</v>
      </c>
      <c r="E1204" s="664" t="s">
        <v>831</v>
      </c>
      <c r="F1204" s="665"/>
      <c r="G1204" s="663">
        <v>15</v>
      </c>
      <c r="H1204" s="662" t="s">
        <v>807</v>
      </c>
      <c r="I1204" s="666" t="s">
        <v>857</v>
      </c>
      <c r="J1204" s="667" t="s">
        <v>805</v>
      </c>
      <c r="K1204" s="662">
        <v>11</v>
      </c>
      <c r="L1204" s="685">
        <f t="shared" si="33"/>
        <v>14.1</v>
      </c>
      <c r="M1204" s="686">
        <f t="shared" si="34"/>
        <v>155.1</v>
      </c>
    </row>
    <row r="1205" spans="2:13" s="645" customFormat="1" ht="21.75" customHeight="1">
      <c r="B1205" s="661">
        <v>44408</v>
      </c>
      <c r="C1205" s="662" t="s">
        <v>819</v>
      </c>
      <c r="D1205" s="663" t="s">
        <v>845</v>
      </c>
      <c r="E1205" s="664" t="s">
        <v>831</v>
      </c>
      <c r="F1205" s="665"/>
      <c r="G1205" s="663">
        <v>17</v>
      </c>
      <c r="H1205" s="662" t="s">
        <v>807</v>
      </c>
      <c r="I1205" s="666" t="s">
        <v>859</v>
      </c>
      <c r="J1205" s="667" t="s">
        <v>805</v>
      </c>
      <c r="K1205" s="662">
        <v>9</v>
      </c>
      <c r="L1205" s="685">
        <f t="shared" si="33"/>
        <v>15.98</v>
      </c>
      <c r="M1205" s="686">
        <f t="shared" si="34"/>
        <v>143.82</v>
      </c>
    </row>
    <row r="1206" spans="2:13" s="645" customFormat="1" ht="21.75" customHeight="1">
      <c r="B1206" s="661">
        <v>44408</v>
      </c>
      <c r="C1206" s="662" t="s">
        <v>819</v>
      </c>
      <c r="D1206" s="663" t="s">
        <v>845</v>
      </c>
      <c r="E1206" s="664" t="s">
        <v>831</v>
      </c>
      <c r="F1206" s="665"/>
      <c r="G1206" s="663">
        <v>17</v>
      </c>
      <c r="H1206" s="662" t="s">
        <v>807</v>
      </c>
      <c r="I1206" s="666" t="s">
        <v>857</v>
      </c>
      <c r="J1206" s="667" t="s">
        <v>805</v>
      </c>
      <c r="K1206" s="662">
        <v>4</v>
      </c>
      <c r="L1206" s="685">
        <f t="shared" si="33"/>
        <v>15.98</v>
      </c>
      <c r="M1206" s="686">
        <f t="shared" si="34"/>
        <v>63.92</v>
      </c>
    </row>
    <row r="1207" spans="2:13" s="645" customFormat="1" ht="21.75" customHeight="1">
      <c r="B1207" s="661">
        <v>44408</v>
      </c>
      <c r="C1207" s="662" t="s">
        <v>819</v>
      </c>
      <c r="D1207" s="663" t="s">
        <v>847</v>
      </c>
      <c r="E1207" s="664" t="s">
        <v>831</v>
      </c>
      <c r="F1207" s="665"/>
      <c r="G1207" s="663">
        <v>17</v>
      </c>
      <c r="H1207" s="662" t="s">
        <v>807</v>
      </c>
      <c r="I1207" s="666" t="s">
        <v>859</v>
      </c>
      <c r="J1207" s="667" t="s">
        <v>805</v>
      </c>
      <c r="K1207" s="662">
        <v>2</v>
      </c>
      <c r="L1207" s="685">
        <f t="shared" si="33"/>
        <v>15.98</v>
      </c>
      <c r="M1207" s="686">
        <f t="shared" si="34"/>
        <v>31.96</v>
      </c>
    </row>
    <row r="1208" spans="2:13" s="645" customFormat="1" ht="21.75" customHeight="1">
      <c r="B1208" s="661">
        <v>44408</v>
      </c>
      <c r="C1208" s="662" t="s">
        <v>819</v>
      </c>
      <c r="D1208" s="663" t="s">
        <v>847</v>
      </c>
      <c r="E1208" s="664" t="s">
        <v>831</v>
      </c>
      <c r="F1208" s="665"/>
      <c r="G1208" s="663">
        <v>17</v>
      </c>
      <c r="H1208" s="662" t="s">
        <v>807</v>
      </c>
      <c r="I1208" s="666" t="s">
        <v>857</v>
      </c>
      <c r="J1208" s="667" t="s">
        <v>805</v>
      </c>
      <c r="K1208" s="662">
        <v>2</v>
      </c>
      <c r="L1208" s="685">
        <f t="shared" si="33"/>
        <v>15.98</v>
      </c>
      <c r="M1208" s="686">
        <f t="shared" si="34"/>
        <v>31.96</v>
      </c>
    </row>
    <row r="1209" spans="2:13" s="645" customFormat="1" ht="21.75" customHeight="1">
      <c r="B1209" s="661">
        <v>44408</v>
      </c>
      <c r="C1209" s="662" t="s">
        <v>819</v>
      </c>
      <c r="D1209" s="663" t="s">
        <v>856</v>
      </c>
      <c r="E1209" s="664" t="s">
        <v>831</v>
      </c>
      <c r="F1209" s="665"/>
      <c r="G1209" s="663">
        <v>20</v>
      </c>
      <c r="H1209" s="662" t="s">
        <v>807</v>
      </c>
      <c r="I1209" s="666" t="s">
        <v>859</v>
      </c>
      <c r="J1209" s="667" t="s">
        <v>805</v>
      </c>
      <c r="K1209" s="662">
        <v>1</v>
      </c>
      <c r="L1209" s="685">
        <f t="shared" si="33"/>
        <v>18.8</v>
      </c>
      <c r="M1209" s="686">
        <f t="shared" si="34"/>
        <v>18.8</v>
      </c>
    </row>
    <row r="1210" spans="2:13" s="645" customFormat="1" ht="21.75" customHeight="1">
      <c r="B1210" s="661">
        <v>44408</v>
      </c>
      <c r="C1210" s="662" t="s">
        <v>819</v>
      </c>
      <c r="D1210" s="663" t="s">
        <v>856</v>
      </c>
      <c r="E1210" s="664" t="s">
        <v>831</v>
      </c>
      <c r="F1210" s="665"/>
      <c r="G1210" s="663">
        <v>20</v>
      </c>
      <c r="H1210" s="662" t="s">
        <v>807</v>
      </c>
      <c r="I1210" s="666" t="s">
        <v>857</v>
      </c>
      <c r="J1210" s="667" t="s">
        <v>805</v>
      </c>
      <c r="K1210" s="662">
        <v>13</v>
      </c>
      <c r="L1210" s="685">
        <f t="shared" si="33"/>
        <v>18.8</v>
      </c>
      <c r="M1210" s="686">
        <f t="shared" si="34"/>
        <v>244.4</v>
      </c>
    </row>
    <row r="1211" spans="2:13" s="645" customFormat="1" ht="21.75" customHeight="1">
      <c r="B1211" s="661">
        <v>44408</v>
      </c>
      <c r="C1211" s="662" t="s">
        <v>819</v>
      </c>
      <c r="D1211" s="663" t="s">
        <v>855</v>
      </c>
      <c r="E1211" s="664" t="s">
        <v>831</v>
      </c>
      <c r="F1211" s="665"/>
      <c r="G1211" s="663">
        <v>20</v>
      </c>
      <c r="H1211" s="662" t="s">
        <v>807</v>
      </c>
      <c r="I1211" s="666" t="s">
        <v>859</v>
      </c>
      <c r="J1211" s="667" t="s">
        <v>805</v>
      </c>
      <c r="K1211" s="662">
        <v>5</v>
      </c>
      <c r="L1211" s="685">
        <f t="shared" si="33"/>
        <v>18.8</v>
      </c>
      <c r="M1211" s="686">
        <f t="shared" si="34"/>
        <v>94</v>
      </c>
    </row>
    <row r="1212" spans="2:13" s="645" customFormat="1" ht="21.75" customHeight="1">
      <c r="B1212" s="661">
        <v>44408</v>
      </c>
      <c r="C1212" s="662" t="s">
        <v>819</v>
      </c>
      <c r="D1212" s="663" t="s">
        <v>855</v>
      </c>
      <c r="E1212" s="664" t="s">
        <v>831</v>
      </c>
      <c r="F1212" s="665"/>
      <c r="G1212" s="663">
        <v>20</v>
      </c>
      <c r="H1212" s="662" t="s">
        <v>807</v>
      </c>
      <c r="I1212" s="666" t="s">
        <v>857</v>
      </c>
      <c r="J1212" s="667" t="s">
        <v>805</v>
      </c>
      <c r="K1212" s="662">
        <v>6</v>
      </c>
      <c r="L1212" s="685">
        <f t="shared" si="33"/>
        <v>18.8</v>
      </c>
      <c r="M1212" s="686">
        <f t="shared" si="34"/>
        <v>112.80000000000001</v>
      </c>
    </row>
    <row r="1213" spans="2:13" s="645" customFormat="1" ht="21.75" customHeight="1">
      <c r="B1213" s="661">
        <v>44408</v>
      </c>
      <c r="C1213" s="662" t="s">
        <v>837</v>
      </c>
      <c r="D1213" s="663" t="s">
        <v>840</v>
      </c>
      <c r="E1213" s="664" t="s">
        <v>831</v>
      </c>
      <c r="F1213" s="665"/>
      <c r="G1213" s="663">
        <v>20</v>
      </c>
      <c r="H1213" s="662" t="s">
        <v>807</v>
      </c>
      <c r="I1213" s="666" t="s">
        <v>859</v>
      </c>
      <c r="J1213" s="667" t="s">
        <v>805</v>
      </c>
      <c r="K1213" s="662">
        <v>13</v>
      </c>
      <c r="L1213" s="685">
        <f t="shared" si="33"/>
        <v>18.8</v>
      </c>
      <c r="M1213" s="686">
        <f t="shared" si="34"/>
        <v>244.4</v>
      </c>
    </row>
    <row r="1214" spans="2:13" s="645" customFormat="1" ht="21.75" customHeight="1">
      <c r="B1214" s="661">
        <v>44408</v>
      </c>
      <c r="C1214" s="662" t="s">
        <v>837</v>
      </c>
      <c r="D1214" s="663" t="s">
        <v>835</v>
      </c>
      <c r="E1214" s="664" t="s">
        <v>831</v>
      </c>
      <c r="F1214" s="665"/>
      <c r="G1214" s="663">
        <v>20</v>
      </c>
      <c r="H1214" s="662" t="s">
        <v>807</v>
      </c>
      <c r="I1214" s="666" t="s">
        <v>859</v>
      </c>
      <c r="J1214" s="667" t="s">
        <v>805</v>
      </c>
      <c r="K1214" s="662">
        <v>15</v>
      </c>
      <c r="L1214" s="685">
        <f t="shared" si="33"/>
        <v>18.8</v>
      </c>
      <c r="M1214" s="686">
        <f t="shared" si="34"/>
        <v>282</v>
      </c>
    </row>
    <row r="1215" spans="2:13" s="645" customFormat="1" ht="21.75" customHeight="1">
      <c r="B1215" s="661">
        <v>44408</v>
      </c>
      <c r="C1215" s="662" t="s">
        <v>837</v>
      </c>
      <c r="D1215" s="663" t="s">
        <v>841</v>
      </c>
      <c r="E1215" s="664" t="s">
        <v>831</v>
      </c>
      <c r="F1215" s="665"/>
      <c r="G1215" s="663">
        <v>20</v>
      </c>
      <c r="H1215" s="662" t="s">
        <v>807</v>
      </c>
      <c r="I1215" s="666" t="s">
        <v>859</v>
      </c>
      <c r="J1215" s="667" t="s">
        <v>805</v>
      </c>
      <c r="K1215" s="662">
        <v>13</v>
      </c>
      <c r="L1215" s="685">
        <f t="shared" si="33"/>
        <v>18.8</v>
      </c>
      <c r="M1215" s="686">
        <f t="shared" si="34"/>
        <v>244.4</v>
      </c>
    </row>
    <row r="1216" spans="2:13" s="645" customFormat="1" ht="21.75" customHeight="1">
      <c r="B1216" s="661">
        <v>44408</v>
      </c>
      <c r="C1216" s="662" t="s">
        <v>837</v>
      </c>
      <c r="D1216" s="663" t="s">
        <v>834</v>
      </c>
      <c r="E1216" s="664" t="s">
        <v>831</v>
      </c>
      <c r="F1216" s="665"/>
      <c r="G1216" s="663">
        <v>20</v>
      </c>
      <c r="H1216" s="662" t="s">
        <v>807</v>
      </c>
      <c r="I1216" s="666" t="s">
        <v>859</v>
      </c>
      <c r="J1216" s="667" t="s">
        <v>805</v>
      </c>
      <c r="K1216" s="662">
        <v>13</v>
      </c>
      <c r="L1216" s="685">
        <f t="shared" si="33"/>
        <v>18.8</v>
      </c>
      <c r="M1216" s="686">
        <f t="shared" si="34"/>
        <v>244.4</v>
      </c>
    </row>
    <row r="1217" spans="2:13" s="645" customFormat="1" ht="21.75" customHeight="1">
      <c r="B1217" s="661">
        <v>44408</v>
      </c>
      <c r="C1217" s="662" t="s">
        <v>837</v>
      </c>
      <c r="D1217" s="663" t="s">
        <v>848</v>
      </c>
      <c r="E1217" s="664" t="s">
        <v>831</v>
      </c>
      <c r="F1217" s="665"/>
      <c r="G1217" s="663">
        <v>20</v>
      </c>
      <c r="H1217" s="662" t="s">
        <v>807</v>
      </c>
      <c r="I1217" s="666" t="s">
        <v>859</v>
      </c>
      <c r="J1217" s="667" t="s">
        <v>805</v>
      </c>
      <c r="K1217" s="662">
        <v>15</v>
      </c>
      <c r="L1217" s="685">
        <f t="shared" si="33"/>
        <v>18.8</v>
      </c>
      <c r="M1217" s="686">
        <f t="shared" si="34"/>
        <v>282</v>
      </c>
    </row>
    <row r="1218" spans="2:13" s="645" customFormat="1" ht="21.75" customHeight="1">
      <c r="B1218" s="661">
        <v>44408</v>
      </c>
      <c r="C1218" s="662" t="s">
        <v>837</v>
      </c>
      <c r="D1218" s="663" t="s">
        <v>833</v>
      </c>
      <c r="E1218" s="664" t="s">
        <v>831</v>
      </c>
      <c r="F1218" s="665"/>
      <c r="G1218" s="663">
        <v>15</v>
      </c>
      <c r="H1218" s="662" t="s">
        <v>807</v>
      </c>
      <c r="I1218" s="666" t="s">
        <v>859</v>
      </c>
      <c r="J1218" s="667" t="s">
        <v>805</v>
      </c>
      <c r="K1218" s="662">
        <v>2</v>
      </c>
      <c r="L1218" s="685">
        <f t="shared" si="33"/>
        <v>14.1</v>
      </c>
      <c r="M1218" s="686">
        <f t="shared" si="34"/>
        <v>28.2</v>
      </c>
    </row>
    <row r="1219" spans="2:13" s="645" customFormat="1" ht="21.75" customHeight="1">
      <c r="B1219" s="661">
        <v>44408</v>
      </c>
      <c r="C1219" s="662" t="s">
        <v>837</v>
      </c>
      <c r="D1219" s="663" t="s">
        <v>830</v>
      </c>
      <c r="E1219" s="664" t="s">
        <v>831</v>
      </c>
      <c r="F1219" s="665"/>
      <c r="G1219" s="663">
        <v>15</v>
      </c>
      <c r="H1219" s="662" t="s">
        <v>807</v>
      </c>
      <c r="I1219" s="666" t="s">
        <v>859</v>
      </c>
      <c r="J1219" s="667" t="s">
        <v>805</v>
      </c>
      <c r="K1219" s="662">
        <v>9</v>
      </c>
      <c r="L1219" s="685">
        <f t="shared" si="33"/>
        <v>14.1</v>
      </c>
      <c r="M1219" s="686">
        <f t="shared" si="34"/>
        <v>126.89999999999999</v>
      </c>
    </row>
    <row r="1220" spans="2:13" s="645" customFormat="1" ht="21.75" customHeight="1">
      <c r="B1220" s="661">
        <v>44408</v>
      </c>
      <c r="C1220" s="662" t="s">
        <v>837</v>
      </c>
      <c r="D1220" s="663" t="s">
        <v>847</v>
      </c>
      <c r="E1220" s="664" t="s">
        <v>831</v>
      </c>
      <c r="F1220" s="665"/>
      <c r="G1220" s="663">
        <v>17</v>
      </c>
      <c r="H1220" s="662" t="s">
        <v>807</v>
      </c>
      <c r="I1220" s="666" t="s">
        <v>859</v>
      </c>
      <c r="J1220" s="667" t="s">
        <v>805</v>
      </c>
      <c r="K1220" s="662">
        <v>13</v>
      </c>
      <c r="L1220" s="685">
        <f t="shared" si="33"/>
        <v>15.98</v>
      </c>
      <c r="M1220" s="686">
        <f t="shared" si="34"/>
        <v>207.74</v>
      </c>
    </row>
    <row r="1221" spans="2:13" s="645" customFormat="1" ht="21.75" customHeight="1">
      <c r="B1221" s="661">
        <v>44408</v>
      </c>
      <c r="C1221" s="662" t="s">
        <v>837</v>
      </c>
      <c r="D1221" s="663" t="s">
        <v>856</v>
      </c>
      <c r="E1221" s="664" t="s">
        <v>831</v>
      </c>
      <c r="F1221" s="665"/>
      <c r="G1221" s="663">
        <v>20</v>
      </c>
      <c r="H1221" s="662" t="s">
        <v>807</v>
      </c>
      <c r="I1221" s="666" t="s">
        <v>859</v>
      </c>
      <c r="J1221" s="667" t="s">
        <v>805</v>
      </c>
      <c r="K1221" s="662">
        <v>14</v>
      </c>
      <c r="L1221" s="685">
        <f t="shared" si="33"/>
        <v>18.8</v>
      </c>
      <c r="M1221" s="686">
        <f t="shared" si="34"/>
        <v>263.2</v>
      </c>
    </row>
    <row r="1222" spans="2:13" s="645" customFormat="1" ht="21.75" customHeight="1">
      <c r="B1222" s="661">
        <v>44408</v>
      </c>
      <c r="C1222" s="662" t="s">
        <v>837</v>
      </c>
      <c r="D1222" s="663" t="s">
        <v>855</v>
      </c>
      <c r="E1222" s="664" t="s">
        <v>831</v>
      </c>
      <c r="F1222" s="665"/>
      <c r="G1222" s="663">
        <v>20</v>
      </c>
      <c r="H1222" s="662" t="s">
        <v>807</v>
      </c>
      <c r="I1222" s="666" t="s">
        <v>859</v>
      </c>
      <c r="J1222" s="667" t="s">
        <v>805</v>
      </c>
      <c r="K1222" s="662">
        <v>15</v>
      </c>
      <c r="L1222" s="685">
        <f t="shared" si="33"/>
        <v>18.8</v>
      </c>
      <c r="M1222" s="686">
        <f t="shared" si="34"/>
        <v>282</v>
      </c>
    </row>
    <row r="1223" spans="2:13" s="645" customFormat="1" ht="21.75" customHeight="1">
      <c r="B1223" s="678">
        <v>44409</v>
      </c>
      <c r="C1223" s="679" t="s">
        <v>819</v>
      </c>
      <c r="D1223" s="680" t="s">
        <v>840</v>
      </c>
      <c r="E1223" s="681" t="s">
        <v>831</v>
      </c>
      <c r="F1223" s="678"/>
      <c r="G1223" s="680">
        <v>20</v>
      </c>
      <c r="H1223" s="679" t="s">
        <v>807</v>
      </c>
      <c r="I1223" s="683" t="s">
        <v>854</v>
      </c>
      <c r="J1223" s="684" t="s">
        <v>804</v>
      </c>
      <c r="K1223" s="679">
        <v>6</v>
      </c>
      <c r="L1223" s="679">
        <f t="shared" si="33"/>
        <v>18.8</v>
      </c>
      <c r="M1223" s="668">
        <f t="shared" si="34"/>
        <v>112.80000000000001</v>
      </c>
    </row>
    <row r="1224" spans="2:13" s="645" customFormat="1" ht="21.75" customHeight="1">
      <c r="B1224" s="678">
        <v>44409</v>
      </c>
      <c r="C1224" s="679" t="s">
        <v>819</v>
      </c>
      <c r="D1224" s="680" t="s">
        <v>840</v>
      </c>
      <c r="E1224" s="681" t="s">
        <v>831</v>
      </c>
      <c r="F1224" s="678"/>
      <c r="G1224" s="680">
        <v>20</v>
      </c>
      <c r="H1224" s="679" t="s">
        <v>807</v>
      </c>
      <c r="I1224" s="683" t="s">
        <v>854</v>
      </c>
      <c r="J1224" s="684" t="s">
        <v>804</v>
      </c>
      <c r="K1224" s="679">
        <v>6</v>
      </c>
      <c r="L1224" s="679">
        <f t="shared" si="33"/>
        <v>18.8</v>
      </c>
      <c r="M1224" s="668">
        <f t="shared" si="34"/>
        <v>112.80000000000001</v>
      </c>
    </row>
    <row r="1225" spans="2:13" s="645" customFormat="1" ht="21.75" customHeight="1">
      <c r="B1225" s="678">
        <v>44409</v>
      </c>
      <c r="C1225" s="679" t="s">
        <v>819</v>
      </c>
      <c r="D1225" s="680" t="s">
        <v>841</v>
      </c>
      <c r="E1225" s="681" t="s">
        <v>831</v>
      </c>
      <c r="F1225" s="678"/>
      <c r="G1225" s="680">
        <v>20</v>
      </c>
      <c r="H1225" s="679" t="s">
        <v>807</v>
      </c>
      <c r="I1225" s="683" t="s">
        <v>854</v>
      </c>
      <c r="J1225" s="684" t="s">
        <v>804</v>
      </c>
      <c r="K1225" s="679">
        <v>3</v>
      </c>
      <c r="L1225" s="679">
        <f t="shared" ref="L1225:L1288" si="35">VLOOKUP(G1225,$Q$4:$V$7,6,FALSE)</f>
        <v>18.8</v>
      </c>
      <c r="M1225" s="668">
        <f t="shared" si="34"/>
        <v>56.400000000000006</v>
      </c>
    </row>
    <row r="1226" spans="2:13" s="645" customFormat="1" ht="21.75" customHeight="1">
      <c r="B1226" s="678">
        <v>44409</v>
      </c>
      <c r="C1226" s="679" t="s">
        <v>819</v>
      </c>
      <c r="D1226" s="680" t="s">
        <v>841</v>
      </c>
      <c r="E1226" s="681" t="s">
        <v>831</v>
      </c>
      <c r="F1226" s="678"/>
      <c r="G1226" s="680">
        <v>20</v>
      </c>
      <c r="H1226" s="679" t="s">
        <v>807</v>
      </c>
      <c r="I1226" s="683" t="s">
        <v>854</v>
      </c>
      <c r="J1226" s="684" t="s">
        <v>804</v>
      </c>
      <c r="K1226" s="679">
        <v>8</v>
      </c>
      <c r="L1226" s="679">
        <f t="shared" si="35"/>
        <v>18.8</v>
      </c>
      <c r="M1226" s="668">
        <f t="shared" si="34"/>
        <v>150.4</v>
      </c>
    </row>
    <row r="1227" spans="2:13" s="645" customFormat="1" ht="21.75" customHeight="1">
      <c r="B1227" s="678">
        <v>44409</v>
      </c>
      <c r="C1227" s="679" t="s">
        <v>819</v>
      </c>
      <c r="D1227" s="680" t="s">
        <v>834</v>
      </c>
      <c r="E1227" s="681" t="s">
        <v>831</v>
      </c>
      <c r="F1227" s="678"/>
      <c r="G1227" s="680">
        <v>20</v>
      </c>
      <c r="H1227" s="679" t="s">
        <v>807</v>
      </c>
      <c r="I1227" s="683" t="s">
        <v>854</v>
      </c>
      <c r="J1227" s="684" t="s">
        <v>804</v>
      </c>
      <c r="K1227" s="679">
        <v>8</v>
      </c>
      <c r="L1227" s="679">
        <f t="shared" si="35"/>
        <v>18.8</v>
      </c>
      <c r="M1227" s="668">
        <f t="shared" si="34"/>
        <v>150.4</v>
      </c>
    </row>
    <row r="1228" spans="2:13" s="645" customFormat="1" ht="21.75" customHeight="1">
      <c r="B1228" s="678">
        <v>44409</v>
      </c>
      <c r="C1228" s="679" t="s">
        <v>819</v>
      </c>
      <c r="D1228" s="680" t="s">
        <v>834</v>
      </c>
      <c r="E1228" s="681" t="s">
        <v>831</v>
      </c>
      <c r="F1228" s="678"/>
      <c r="G1228" s="680">
        <v>20</v>
      </c>
      <c r="H1228" s="679" t="s">
        <v>807</v>
      </c>
      <c r="I1228" s="683" t="s">
        <v>854</v>
      </c>
      <c r="J1228" s="684" t="s">
        <v>804</v>
      </c>
      <c r="K1228" s="679">
        <v>4</v>
      </c>
      <c r="L1228" s="679">
        <f t="shared" si="35"/>
        <v>18.8</v>
      </c>
      <c r="M1228" s="668">
        <f t="shared" si="34"/>
        <v>75.2</v>
      </c>
    </row>
    <row r="1229" spans="2:13" s="645" customFormat="1" ht="21.75" customHeight="1">
      <c r="B1229" s="678">
        <v>44409</v>
      </c>
      <c r="C1229" s="679" t="s">
        <v>819</v>
      </c>
      <c r="D1229" s="680" t="s">
        <v>844</v>
      </c>
      <c r="E1229" s="681" t="s">
        <v>831</v>
      </c>
      <c r="F1229" s="678"/>
      <c r="G1229" s="680">
        <v>15</v>
      </c>
      <c r="H1229" s="679" t="s">
        <v>807</v>
      </c>
      <c r="I1229" s="683" t="s">
        <v>854</v>
      </c>
      <c r="J1229" s="684" t="s">
        <v>804</v>
      </c>
      <c r="K1229" s="679">
        <v>8</v>
      </c>
      <c r="L1229" s="679">
        <f t="shared" si="35"/>
        <v>14.1</v>
      </c>
      <c r="M1229" s="668">
        <f t="shared" si="34"/>
        <v>112.8</v>
      </c>
    </row>
    <row r="1230" spans="2:13" s="645" customFormat="1" ht="21.75" customHeight="1">
      <c r="B1230" s="678">
        <v>44409</v>
      </c>
      <c r="C1230" s="679" t="s">
        <v>819</v>
      </c>
      <c r="D1230" s="680" t="s">
        <v>844</v>
      </c>
      <c r="E1230" s="681" t="s">
        <v>831</v>
      </c>
      <c r="F1230" s="678"/>
      <c r="G1230" s="680">
        <v>15</v>
      </c>
      <c r="H1230" s="679" t="s">
        <v>807</v>
      </c>
      <c r="I1230" s="683" t="s">
        <v>854</v>
      </c>
      <c r="J1230" s="684" t="s">
        <v>804</v>
      </c>
      <c r="K1230" s="679">
        <v>4</v>
      </c>
      <c r="L1230" s="679">
        <f t="shared" si="35"/>
        <v>14.1</v>
      </c>
      <c r="M1230" s="668">
        <f t="shared" si="34"/>
        <v>56.4</v>
      </c>
    </row>
    <row r="1231" spans="2:13" s="645" customFormat="1" ht="21.75" customHeight="1">
      <c r="B1231" s="678">
        <v>44409</v>
      </c>
      <c r="C1231" s="679" t="s">
        <v>819</v>
      </c>
      <c r="D1231" s="680" t="s">
        <v>850</v>
      </c>
      <c r="E1231" s="681" t="s">
        <v>831</v>
      </c>
      <c r="F1231" s="678"/>
      <c r="G1231" s="680">
        <v>15</v>
      </c>
      <c r="H1231" s="679" t="s">
        <v>807</v>
      </c>
      <c r="I1231" s="683" t="s">
        <v>854</v>
      </c>
      <c r="J1231" s="684" t="s">
        <v>804</v>
      </c>
      <c r="K1231" s="679">
        <v>5</v>
      </c>
      <c r="L1231" s="679">
        <f t="shared" si="35"/>
        <v>14.1</v>
      </c>
      <c r="M1231" s="668">
        <f t="shared" si="34"/>
        <v>70.5</v>
      </c>
    </row>
    <row r="1232" spans="2:13" s="645" customFormat="1" ht="21.75" customHeight="1">
      <c r="B1232" s="678">
        <v>44409</v>
      </c>
      <c r="C1232" s="679" t="s">
        <v>819</v>
      </c>
      <c r="D1232" s="680" t="s">
        <v>850</v>
      </c>
      <c r="E1232" s="681" t="s">
        <v>831</v>
      </c>
      <c r="F1232" s="678"/>
      <c r="G1232" s="680">
        <v>15</v>
      </c>
      <c r="H1232" s="679" t="s">
        <v>807</v>
      </c>
      <c r="I1232" s="683" t="s">
        <v>854</v>
      </c>
      <c r="J1232" s="684" t="s">
        <v>804</v>
      </c>
      <c r="K1232" s="679">
        <v>4</v>
      </c>
      <c r="L1232" s="679">
        <f t="shared" si="35"/>
        <v>14.1</v>
      </c>
      <c r="M1232" s="668">
        <f t="shared" si="34"/>
        <v>56.4</v>
      </c>
    </row>
    <row r="1233" spans="2:13" s="645" customFormat="1" ht="21.75" customHeight="1">
      <c r="B1233" s="678">
        <v>44409</v>
      </c>
      <c r="C1233" s="679" t="s">
        <v>819</v>
      </c>
      <c r="D1233" s="680" t="s">
        <v>839</v>
      </c>
      <c r="E1233" s="681" t="s">
        <v>831</v>
      </c>
      <c r="F1233" s="678"/>
      <c r="G1233" s="680">
        <v>15</v>
      </c>
      <c r="H1233" s="679" t="s">
        <v>807</v>
      </c>
      <c r="I1233" s="683" t="s">
        <v>854</v>
      </c>
      <c r="J1233" s="684" t="s">
        <v>804</v>
      </c>
      <c r="K1233" s="679">
        <v>9</v>
      </c>
      <c r="L1233" s="679">
        <f t="shared" si="35"/>
        <v>14.1</v>
      </c>
      <c r="M1233" s="668">
        <f t="shared" si="34"/>
        <v>126.89999999999999</v>
      </c>
    </row>
    <row r="1234" spans="2:13" s="645" customFormat="1" ht="21.75" customHeight="1">
      <c r="B1234" s="678">
        <v>44409</v>
      </c>
      <c r="C1234" s="679" t="s">
        <v>819</v>
      </c>
      <c r="D1234" s="680" t="s">
        <v>839</v>
      </c>
      <c r="E1234" s="681" t="s">
        <v>831</v>
      </c>
      <c r="F1234" s="678"/>
      <c r="G1234" s="680">
        <v>15</v>
      </c>
      <c r="H1234" s="679" t="s">
        <v>807</v>
      </c>
      <c r="I1234" s="683" t="s">
        <v>854</v>
      </c>
      <c r="J1234" s="684" t="s">
        <v>804</v>
      </c>
      <c r="K1234" s="679">
        <v>3</v>
      </c>
      <c r="L1234" s="679">
        <f t="shared" si="35"/>
        <v>14.1</v>
      </c>
      <c r="M1234" s="668">
        <f t="shared" si="34"/>
        <v>42.3</v>
      </c>
    </row>
    <row r="1235" spans="2:13" s="645" customFormat="1" ht="21.75" customHeight="1">
      <c r="B1235" s="661">
        <v>44409</v>
      </c>
      <c r="C1235" s="662" t="s">
        <v>819</v>
      </c>
      <c r="D1235" s="663" t="s">
        <v>849</v>
      </c>
      <c r="E1235" s="664" t="s">
        <v>831</v>
      </c>
      <c r="F1235" s="665"/>
      <c r="G1235" s="663">
        <v>20</v>
      </c>
      <c r="H1235" s="662" t="s">
        <v>807</v>
      </c>
      <c r="I1235" s="666" t="s">
        <v>859</v>
      </c>
      <c r="J1235" s="667" t="s">
        <v>805</v>
      </c>
      <c r="K1235" s="662">
        <v>4</v>
      </c>
      <c r="L1235" s="685">
        <f t="shared" si="35"/>
        <v>18.8</v>
      </c>
      <c r="M1235" s="686">
        <f t="shared" si="34"/>
        <v>75.2</v>
      </c>
    </row>
    <row r="1236" spans="2:13" s="645" customFormat="1" ht="21.75" customHeight="1">
      <c r="B1236" s="661">
        <v>44409</v>
      </c>
      <c r="C1236" s="662" t="s">
        <v>819</v>
      </c>
      <c r="D1236" s="663" t="s">
        <v>849</v>
      </c>
      <c r="E1236" s="664" t="s">
        <v>831</v>
      </c>
      <c r="F1236" s="665"/>
      <c r="G1236" s="663">
        <v>20</v>
      </c>
      <c r="H1236" s="662" t="s">
        <v>807</v>
      </c>
      <c r="I1236" s="666" t="s">
        <v>857</v>
      </c>
      <c r="J1236" s="667" t="s">
        <v>805</v>
      </c>
      <c r="K1236" s="662">
        <v>1</v>
      </c>
      <c r="L1236" s="685">
        <f t="shared" si="35"/>
        <v>18.8</v>
      </c>
      <c r="M1236" s="686">
        <f t="shared" si="34"/>
        <v>18.8</v>
      </c>
    </row>
    <row r="1237" spans="2:13" s="645" customFormat="1" ht="21.75" customHeight="1">
      <c r="B1237" s="661">
        <v>44409</v>
      </c>
      <c r="C1237" s="662" t="s">
        <v>819</v>
      </c>
      <c r="D1237" s="663" t="s">
        <v>849</v>
      </c>
      <c r="E1237" s="664" t="s">
        <v>831</v>
      </c>
      <c r="F1237" s="665"/>
      <c r="G1237" s="663">
        <v>20</v>
      </c>
      <c r="H1237" s="662" t="s">
        <v>807</v>
      </c>
      <c r="I1237" s="666" t="s">
        <v>857</v>
      </c>
      <c r="J1237" s="667" t="s">
        <v>805</v>
      </c>
      <c r="K1237" s="662">
        <v>5</v>
      </c>
      <c r="L1237" s="685">
        <f t="shared" si="35"/>
        <v>18.8</v>
      </c>
      <c r="M1237" s="686">
        <f t="shared" si="34"/>
        <v>94</v>
      </c>
    </row>
    <row r="1238" spans="2:13" s="645" customFormat="1" ht="21.75" customHeight="1">
      <c r="B1238" s="661">
        <v>44409</v>
      </c>
      <c r="C1238" s="662" t="s">
        <v>819</v>
      </c>
      <c r="D1238" s="663" t="s">
        <v>835</v>
      </c>
      <c r="E1238" s="664" t="s">
        <v>831</v>
      </c>
      <c r="F1238" s="665"/>
      <c r="G1238" s="663">
        <v>20</v>
      </c>
      <c r="H1238" s="662" t="s">
        <v>807</v>
      </c>
      <c r="I1238" s="666" t="s">
        <v>859</v>
      </c>
      <c r="J1238" s="667" t="s">
        <v>805</v>
      </c>
      <c r="K1238" s="662">
        <v>7</v>
      </c>
      <c r="L1238" s="685">
        <f t="shared" si="35"/>
        <v>18.8</v>
      </c>
      <c r="M1238" s="686">
        <f t="shared" si="34"/>
        <v>131.6</v>
      </c>
    </row>
    <row r="1239" spans="2:13" s="645" customFormat="1" ht="21.75" customHeight="1">
      <c r="B1239" s="661">
        <v>44409</v>
      </c>
      <c r="C1239" s="662" t="s">
        <v>819</v>
      </c>
      <c r="D1239" s="663" t="s">
        <v>835</v>
      </c>
      <c r="E1239" s="664" t="s">
        <v>831</v>
      </c>
      <c r="F1239" s="665"/>
      <c r="G1239" s="663">
        <v>20</v>
      </c>
      <c r="H1239" s="662" t="s">
        <v>807</v>
      </c>
      <c r="I1239" s="666" t="s">
        <v>857</v>
      </c>
      <c r="J1239" s="667" t="s">
        <v>805</v>
      </c>
      <c r="K1239" s="662">
        <v>1</v>
      </c>
      <c r="L1239" s="685">
        <f t="shared" si="35"/>
        <v>18.8</v>
      </c>
      <c r="M1239" s="686">
        <f t="shared" si="34"/>
        <v>18.8</v>
      </c>
    </row>
    <row r="1240" spans="2:13" s="645" customFormat="1" ht="21.75" customHeight="1">
      <c r="B1240" s="661">
        <v>44409</v>
      </c>
      <c r="C1240" s="662" t="s">
        <v>819</v>
      </c>
      <c r="D1240" s="663" t="s">
        <v>835</v>
      </c>
      <c r="E1240" s="664" t="s">
        <v>831</v>
      </c>
      <c r="F1240" s="665"/>
      <c r="G1240" s="663">
        <v>20</v>
      </c>
      <c r="H1240" s="662" t="s">
        <v>807</v>
      </c>
      <c r="I1240" s="666" t="s">
        <v>857</v>
      </c>
      <c r="J1240" s="667" t="s">
        <v>805</v>
      </c>
      <c r="K1240" s="662">
        <v>3</v>
      </c>
      <c r="L1240" s="685">
        <f t="shared" si="35"/>
        <v>18.8</v>
      </c>
      <c r="M1240" s="686">
        <f t="shared" si="34"/>
        <v>56.400000000000006</v>
      </c>
    </row>
    <row r="1241" spans="2:13" s="645" customFormat="1" ht="21.75" customHeight="1">
      <c r="B1241" s="661">
        <v>44409</v>
      </c>
      <c r="C1241" s="662" t="s">
        <v>819</v>
      </c>
      <c r="D1241" s="663" t="s">
        <v>848</v>
      </c>
      <c r="E1241" s="664" t="s">
        <v>831</v>
      </c>
      <c r="F1241" s="665"/>
      <c r="G1241" s="663">
        <v>20</v>
      </c>
      <c r="H1241" s="662" t="s">
        <v>807</v>
      </c>
      <c r="I1241" s="666" t="s">
        <v>859</v>
      </c>
      <c r="J1241" s="667" t="s">
        <v>805</v>
      </c>
      <c r="K1241" s="662">
        <v>9</v>
      </c>
      <c r="L1241" s="685">
        <f t="shared" si="35"/>
        <v>18.8</v>
      </c>
      <c r="M1241" s="686">
        <f t="shared" si="34"/>
        <v>169.20000000000002</v>
      </c>
    </row>
    <row r="1242" spans="2:13" s="645" customFormat="1" ht="21.75" customHeight="1">
      <c r="B1242" s="661">
        <v>44409</v>
      </c>
      <c r="C1242" s="662" t="s">
        <v>819</v>
      </c>
      <c r="D1242" s="663" t="s">
        <v>848</v>
      </c>
      <c r="E1242" s="664" t="s">
        <v>831</v>
      </c>
      <c r="F1242" s="665"/>
      <c r="G1242" s="663">
        <v>20</v>
      </c>
      <c r="H1242" s="662" t="s">
        <v>807</v>
      </c>
      <c r="I1242" s="666" t="s">
        <v>857</v>
      </c>
      <c r="J1242" s="667" t="s">
        <v>805</v>
      </c>
      <c r="K1242" s="662">
        <v>1</v>
      </c>
      <c r="L1242" s="685">
        <f t="shared" si="35"/>
        <v>18.8</v>
      </c>
      <c r="M1242" s="686">
        <f t="shared" si="34"/>
        <v>18.8</v>
      </c>
    </row>
    <row r="1243" spans="2:13" s="645" customFormat="1" ht="21.75" customHeight="1">
      <c r="B1243" s="661">
        <v>44409</v>
      </c>
      <c r="C1243" s="662" t="s">
        <v>819</v>
      </c>
      <c r="D1243" s="663" t="s">
        <v>836</v>
      </c>
      <c r="E1243" s="664" t="s">
        <v>831</v>
      </c>
      <c r="F1243" s="665"/>
      <c r="G1243" s="663">
        <v>20</v>
      </c>
      <c r="H1243" s="662" t="s">
        <v>807</v>
      </c>
      <c r="I1243" s="666" t="s">
        <v>859</v>
      </c>
      <c r="J1243" s="667" t="s">
        <v>805</v>
      </c>
      <c r="K1243" s="662">
        <v>4</v>
      </c>
      <c r="L1243" s="685">
        <f t="shared" si="35"/>
        <v>18.8</v>
      </c>
      <c r="M1243" s="686">
        <f t="shared" si="34"/>
        <v>75.2</v>
      </c>
    </row>
    <row r="1244" spans="2:13" s="645" customFormat="1" ht="21.75" customHeight="1">
      <c r="B1244" s="661">
        <v>44409</v>
      </c>
      <c r="C1244" s="662" t="s">
        <v>819</v>
      </c>
      <c r="D1244" s="663" t="s">
        <v>836</v>
      </c>
      <c r="E1244" s="664" t="s">
        <v>831</v>
      </c>
      <c r="F1244" s="665"/>
      <c r="G1244" s="663">
        <v>20</v>
      </c>
      <c r="H1244" s="662" t="s">
        <v>807</v>
      </c>
      <c r="I1244" s="666" t="s">
        <v>857</v>
      </c>
      <c r="J1244" s="667" t="s">
        <v>805</v>
      </c>
      <c r="K1244" s="662">
        <v>6</v>
      </c>
      <c r="L1244" s="685">
        <f t="shared" si="35"/>
        <v>18.8</v>
      </c>
      <c r="M1244" s="686">
        <f t="shared" si="34"/>
        <v>112.80000000000001</v>
      </c>
    </row>
    <row r="1245" spans="2:13" s="645" customFormat="1" ht="21.75" customHeight="1">
      <c r="B1245" s="661">
        <v>44409</v>
      </c>
      <c r="C1245" s="662" t="s">
        <v>819</v>
      </c>
      <c r="D1245" s="663" t="s">
        <v>833</v>
      </c>
      <c r="E1245" s="664" t="s">
        <v>831</v>
      </c>
      <c r="F1245" s="665"/>
      <c r="G1245" s="663">
        <v>15</v>
      </c>
      <c r="H1245" s="662" t="s">
        <v>807</v>
      </c>
      <c r="I1245" s="666" t="s">
        <v>859</v>
      </c>
      <c r="J1245" s="667" t="s">
        <v>805</v>
      </c>
      <c r="K1245" s="662">
        <v>9</v>
      </c>
      <c r="L1245" s="685">
        <f t="shared" si="35"/>
        <v>14.1</v>
      </c>
      <c r="M1245" s="686">
        <f t="shared" si="34"/>
        <v>126.89999999999999</v>
      </c>
    </row>
    <row r="1246" spans="2:13" s="645" customFormat="1" ht="21.75" customHeight="1">
      <c r="B1246" s="661">
        <v>44409</v>
      </c>
      <c r="C1246" s="662" t="s">
        <v>819</v>
      </c>
      <c r="D1246" s="663" t="s">
        <v>833</v>
      </c>
      <c r="E1246" s="664" t="s">
        <v>831</v>
      </c>
      <c r="F1246" s="665"/>
      <c r="G1246" s="663">
        <v>15</v>
      </c>
      <c r="H1246" s="662" t="s">
        <v>807</v>
      </c>
      <c r="I1246" s="666" t="s">
        <v>857</v>
      </c>
      <c r="J1246" s="667" t="s">
        <v>805</v>
      </c>
      <c r="K1246" s="662">
        <v>1</v>
      </c>
      <c r="L1246" s="685">
        <f t="shared" si="35"/>
        <v>14.1</v>
      </c>
      <c r="M1246" s="686">
        <f t="shared" si="34"/>
        <v>14.1</v>
      </c>
    </row>
    <row r="1247" spans="2:13" s="645" customFormat="1" ht="21.75" customHeight="1">
      <c r="B1247" s="661">
        <v>44409</v>
      </c>
      <c r="C1247" s="662" t="s">
        <v>819</v>
      </c>
      <c r="D1247" s="663" t="s">
        <v>830</v>
      </c>
      <c r="E1247" s="664" t="s">
        <v>831</v>
      </c>
      <c r="F1247" s="665"/>
      <c r="G1247" s="663">
        <v>15</v>
      </c>
      <c r="H1247" s="662" t="s">
        <v>807</v>
      </c>
      <c r="I1247" s="666" t="s">
        <v>859</v>
      </c>
      <c r="J1247" s="667" t="s">
        <v>805</v>
      </c>
      <c r="K1247" s="662">
        <v>10</v>
      </c>
      <c r="L1247" s="685">
        <f t="shared" si="35"/>
        <v>14.1</v>
      </c>
      <c r="M1247" s="686">
        <f t="shared" si="34"/>
        <v>141</v>
      </c>
    </row>
    <row r="1248" spans="2:13" s="645" customFormat="1" ht="21.75" customHeight="1">
      <c r="B1248" s="661">
        <v>44409</v>
      </c>
      <c r="C1248" s="662" t="s">
        <v>819</v>
      </c>
      <c r="D1248" s="663" t="s">
        <v>830</v>
      </c>
      <c r="E1248" s="664" t="s">
        <v>831</v>
      </c>
      <c r="F1248" s="665"/>
      <c r="G1248" s="663">
        <v>15</v>
      </c>
      <c r="H1248" s="662" t="s">
        <v>807</v>
      </c>
      <c r="I1248" s="666" t="s">
        <v>857</v>
      </c>
      <c r="J1248" s="667" t="s">
        <v>805</v>
      </c>
      <c r="K1248" s="662">
        <v>2</v>
      </c>
      <c r="L1248" s="685">
        <f t="shared" si="35"/>
        <v>14.1</v>
      </c>
      <c r="M1248" s="686">
        <f t="shared" si="34"/>
        <v>28.2</v>
      </c>
    </row>
    <row r="1249" spans="2:13" s="645" customFormat="1" ht="21.75" customHeight="1">
      <c r="B1249" s="661">
        <v>44409</v>
      </c>
      <c r="C1249" s="662" t="s">
        <v>819</v>
      </c>
      <c r="D1249" s="663" t="s">
        <v>845</v>
      </c>
      <c r="E1249" s="664" t="s">
        <v>831</v>
      </c>
      <c r="F1249" s="665"/>
      <c r="G1249" s="663">
        <v>17</v>
      </c>
      <c r="H1249" s="662" t="s">
        <v>807</v>
      </c>
      <c r="I1249" s="666" t="s">
        <v>859</v>
      </c>
      <c r="J1249" s="667" t="s">
        <v>805</v>
      </c>
      <c r="K1249" s="662">
        <v>11</v>
      </c>
      <c r="L1249" s="685">
        <f t="shared" si="35"/>
        <v>15.98</v>
      </c>
      <c r="M1249" s="686">
        <f t="shared" si="34"/>
        <v>175.78</v>
      </c>
    </row>
    <row r="1250" spans="2:13" s="645" customFormat="1" ht="21.75" customHeight="1">
      <c r="B1250" s="661">
        <v>44409</v>
      </c>
      <c r="C1250" s="662" t="s">
        <v>819</v>
      </c>
      <c r="D1250" s="663" t="s">
        <v>845</v>
      </c>
      <c r="E1250" s="664" t="s">
        <v>831</v>
      </c>
      <c r="F1250" s="665"/>
      <c r="G1250" s="663">
        <v>17</v>
      </c>
      <c r="H1250" s="662" t="s">
        <v>807</v>
      </c>
      <c r="I1250" s="666" t="s">
        <v>857</v>
      </c>
      <c r="J1250" s="667" t="s">
        <v>805</v>
      </c>
      <c r="K1250" s="662">
        <v>1</v>
      </c>
      <c r="L1250" s="685">
        <f t="shared" si="35"/>
        <v>15.98</v>
      </c>
      <c r="M1250" s="686">
        <f t="shared" si="34"/>
        <v>15.98</v>
      </c>
    </row>
    <row r="1251" spans="2:13" s="645" customFormat="1" ht="21.75" customHeight="1">
      <c r="B1251" s="661">
        <v>44409</v>
      </c>
      <c r="C1251" s="662" t="s">
        <v>819</v>
      </c>
      <c r="D1251" s="663" t="s">
        <v>847</v>
      </c>
      <c r="E1251" s="664" t="s">
        <v>831</v>
      </c>
      <c r="F1251" s="665"/>
      <c r="G1251" s="663">
        <v>17</v>
      </c>
      <c r="H1251" s="662" t="s">
        <v>807</v>
      </c>
      <c r="I1251" s="666" t="s">
        <v>859</v>
      </c>
      <c r="J1251" s="667" t="s">
        <v>805</v>
      </c>
      <c r="K1251" s="662">
        <v>9</v>
      </c>
      <c r="L1251" s="685">
        <f t="shared" si="35"/>
        <v>15.98</v>
      </c>
      <c r="M1251" s="686">
        <f t="shared" si="34"/>
        <v>143.82</v>
      </c>
    </row>
    <row r="1252" spans="2:13" s="645" customFormat="1" ht="21.75" customHeight="1">
      <c r="B1252" s="661">
        <v>44409</v>
      </c>
      <c r="C1252" s="662" t="s">
        <v>819</v>
      </c>
      <c r="D1252" s="663" t="s">
        <v>847</v>
      </c>
      <c r="E1252" s="664" t="s">
        <v>831</v>
      </c>
      <c r="F1252" s="665"/>
      <c r="G1252" s="663">
        <v>17</v>
      </c>
      <c r="H1252" s="662" t="s">
        <v>807</v>
      </c>
      <c r="I1252" s="666" t="s">
        <v>857</v>
      </c>
      <c r="J1252" s="667" t="s">
        <v>805</v>
      </c>
      <c r="K1252" s="662">
        <v>3</v>
      </c>
      <c r="L1252" s="685">
        <f t="shared" si="35"/>
        <v>15.98</v>
      </c>
      <c r="M1252" s="686">
        <f t="shared" si="34"/>
        <v>47.94</v>
      </c>
    </row>
    <row r="1253" spans="2:13" s="645" customFormat="1" ht="21.75" customHeight="1">
      <c r="B1253" s="661">
        <v>44409</v>
      </c>
      <c r="C1253" s="662" t="s">
        <v>819</v>
      </c>
      <c r="D1253" s="663" t="s">
        <v>856</v>
      </c>
      <c r="E1253" s="664" t="s">
        <v>831</v>
      </c>
      <c r="F1253" s="665"/>
      <c r="G1253" s="663">
        <v>20</v>
      </c>
      <c r="H1253" s="662" t="s">
        <v>807</v>
      </c>
      <c r="I1253" s="666" t="s">
        <v>859</v>
      </c>
      <c r="J1253" s="667" t="s">
        <v>805</v>
      </c>
      <c r="K1253" s="662">
        <v>4</v>
      </c>
      <c r="L1253" s="685">
        <f t="shared" si="35"/>
        <v>18.8</v>
      </c>
      <c r="M1253" s="686">
        <f t="shared" si="34"/>
        <v>75.2</v>
      </c>
    </row>
    <row r="1254" spans="2:13" s="645" customFormat="1" ht="21.75" customHeight="1">
      <c r="B1254" s="661">
        <v>44409</v>
      </c>
      <c r="C1254" s="662" t="s">
        <v>819</v>
      </c>
      <c r="D1254" s="663" t="s">
        <v>856</v>
      </c>
      <c r="E1254" s="664" t="s">
        <v>831</v>
      </c>
      <c r="F1254" s="665"/>
      <c r="G1254" s="663">
        <v>20</v>
      </c>
      <c r="H1254" s="662" t="s">
        <v>807</v>
      </c>
      <c r="I1254" s="666" t="s">
        <v>857</v>
      </c>
      <c r="J1254" s="667" t="s">
        <v>805</v>
      </c>
      <c r="K1254" s="662">
        <v>5</v>
      </c>
      <c r="L1254" s="685">
        <f t="shared" si="35"/>
        <v>18.8</v>
      </c>
      <c r="M1254" s="686">
        <f t="shared" si="34"/>
        <v>94</v>
      </c>
    </row>
    <row r="1255" spans="2:13" s="645" customFormat="1" ht="21.75" customHeight="1">
      <c r="B1255" s="661">
        <v>44409</v>
      </c>
      <c r="C1255" s="662" t="s">
        <v>819</v>
      </c>
      <c r="D1255" s="663" t="s">
        <v>856</v>
      </c>
      <c r="E1255" s="664" t="s">
        <v>831</v>
      </c>
      <c r="F1255" s="665"/>
      <c r="G1255" s="663">
        <v>20</v>
      </c>
      <c r="H1255" s="662" t="s">
        <v>807</v>
      </c>
      <c r="I1255" s="666" t="s">
        <v>857</v>
      </c>
      <c r="J1255" s="667" t="s">
        <v>805</v>
      </c>
      <c r="K1255" s="662">
        <v>1</v>
      </c>
      <c r="L1255" s="685">
        <f t="shared" si="35"/>
        <v>18.8</v>
      </c>
      <c r="M1255" s="686">
        <f t="shared" ref="M1255:M1318" si="36">L1255*K1255</f>
        <v>18.8</v>
      </c>
    </row>
    <row r="1256" spans="2:13" s="645" customFormat="1" ht="21.75" customHeight="1">
      <c r="B1256" s="661">
        <v>44409</v>
      </c>
      <c r="C1256" s="662" t="s">
        <v>819</v>
      </c>
      <c r="D1256" s="663" t="s">
        <v>855</v>
      </c>
      <c r="E1256" s="664" t="s">
        <v>831</v>
      </c>
      <c r="F1256" s="665"/>
      <c r="G1256" s="663">
        <v>20</v>
      </c>
      <c r="H1256" s="662" t="s">
        <v>807</v>
      </c>
      <c r="I1256" s="666" t="s">
        <v>859</v>
      </c>
      <c r="J1256" s="667" t="s">
        <v>805</v>
      </c>
      <c r="K1256" s="662">
        <v>1</v>
      </c>
      <c r="L1256" s="685">
        <f t="shared" si="35"/>
        <v>18.8</v>
      </c>
      <c r="M1256" s="686">
        <f t="shared" si="36"/>
        <v>18.8</v>
      </c>
    </row>
    <row r="1257" spans="2:13" s="645" customFormat="1" ht="21.75" customHeight="1">
      <c r="B1257" s="661">
        <v>44409</v>
      </c>
      <c r="C1257" s="662" t="s">
        <v>819</v>
      </c>
      <c r="D1257" s="663" t="s">
        <v>855</v>
      </c>
      <c r="E1257" s="664" t="s">
        <v>831</v>
      </c>
      <c r="F1257" s="665"/>
      <c r="G1257" s="663">
        <v>20</v>
      </c>
      <c r="H1257" s="662" t="s">
        <v>807</v>
      </c>
      <c r="I1257" s="666" t="s">
        <v>857</v>
      </c>
      <c r="J1257" s="667" t="s">
        <v>805</v>
      </c>
      <c r="K1257" s="662">
        <v>11</v>
      </c>
      <c r="L1257" s="685">
        <f t="shared" si="35"/>
        <v>18.8</v>
      </c>
      <c r="M1257" s="686">
        <f t="shared" si="36"/>
        <v>206.8</v>
      </c>
    </row>
    <row r="1258" spans="2:13" s="645" customFormat="1" ht="21.75" customHeight="1">
      <c r="B1258" s="661">
        <v>44409</v>
      </c>
      <c r="C1258" s="662" t="s">
        <v>837</v>
      </c>
      <c r="D1258" s="663" t="s">
        <v>849</v>
      </c>
      <c r="E1258" s="664" t="s">
        <v>831</v>
      </c>
      <c r="F1258" s="665"/>
      <c r="G1258" s="663">
        <v>20</v>
      </c>
      <c r="H1258" s="662" t="s">
        <v>807</v>
      </c>
      <c r="I1258" s="666" t="s">
        <v>859</v>
      </c>
      <c r="J1258" s="667" t="s">
        <v>805</v>
      </c>
      <c r="K1258" s="662">
        <v>8</v>
      </c>
      <c r="L1258" s="685">
        <f t="shared" si="35"/>
        <v>18.8</v>
      </c>
      <c r="M1258" s="686">
        <f t="shared" si="36"/>
        <v>150.4</v>
      </c>
    </row>
    <row r="1259" spans="2:13" s="645" customFormat="1" ht="21.75" customHeight="1">
      <c r="B1259" s="661">
        <v>44409</v>
      </c>
      <c r="C1259" s="662" t="s">
        <v>837</v>
      </c>
      <c r="D1259" s="663" t="s">
        <v>849</v>
      </c>
      <c r="E1259" s="664" t="s">
        <v>831</v>
      </c>
      <c r="F1259" s="665"/>
      <c r="G1259" s="663">
        <v>20</v>
      </c>
      <c r="H1259" s="662" t="s">
        <v>807</v>
      </c>
      <c r="I1259" s="666" t="s">
        <v>857</v>
      </c>
      <c r="J1259" s="667" t="s">
        <v>805</v>
      </c>
      <c r="K1259" s="662">
        <v>3</v>
      </c>
      <c r="L1259" s="685">
        <f t="shared" si="35"/>
        <v>18.8</v>
      </c>
      <c r="M1259" s="686">
        <f t="shared" si="36"/>
        <v>56.400000000000006</v>
      </c>
    </row>
    <row r="1260" spans="2:13" s="645" customFormat="1" ht="21.75" customHeight="1">
      <c r="B1260" s="661">
        <v>44409</v>
      </c>
      <c r="C1260" s="662" t="s">
        <v>837</v>
      </c>
      <c r="D1260" s="663" t="s">
        <v>835</v>
      </c>
      <c r="E1260" s="664" t="s">
        <v>831</v>
      </c>
      <c r="F1260" s="665"/>
      <c r="G1260" s="663">
        <v>20</v>
      </c>
      <c r="H1260" s="662" t="s">
        <v>807</v>
      </c>
      <c r="I1260" s="666" t="s">
        <v>859</v>
      </c>
      <c r="J1260" s="667" t="s">
        <v>805</v>
      </c>
      <c r="K1260" s="662">
        <v>12</v>
      </c>
      <c r="L1260" s="685">
        <f t="shared" si="35"/>
        <v>18.8</v>
      </c>
      <c r="M1260" s="686">
        <f t="shared" si="36"/>
        <v>225.60000000000002</v>
      </c>
    </row>
    <row r="1261" spans="2:13" s="645" customFormat="1" ht="21.75" customHeight="1">
      <c r="B1261" s="661">
        <v>44409</v>
      </c>
      <c r="C1261" s="662" t="s">
        <v>837</v>
      </c>
      <c r="D1261" s="663" t="s">
        <v>835</v>
      </c>
      <c r="E1261" s="664" t="s">
        <v>831</v>
      </c>
      <c r="F1261" s="665"/>
      <c r="G1261" s="663">
        <v>20</v>
      </c>
      <c r="H1261" s="662" t="s">
        <v>807</v>
      </c>
      <c r="I1261" s="666" t="s">
        <v>857</v>
      </c>
      <c r="J1261" s="667" t="s">
        <v>805</v>
      </c>
      <c r="K1261" s="662">
        <v>1</v>
      </c>
      <c r="L1261" s="685">
        <f t="shared" si="35"/>
        <v>18.8</v>
      </c>
      <c r="M1261" s="686">
        <f t="shared" si="36"/>
        <v>18.8</v>
      </c>
    </row>
    <row r="1262" spans="2:13" s="645" customFormat="1" ht="21.75" customHeight="1">
      <c r="B1262" s="661">
        <v>44409</v>
      </c>
      <c r="C1262" s="662" t="s">
        <v>837</v>
      </c>
      <c r="D1262" s="663" t="s">
        <v>841</v>
      </c>
      <c r="E1262" s="664" t="s">
        <v>831</v>
      </c>
      <c r="F1262" s="665"/>
      <c r="G1262" s="663">
        <v>20</v>
      </c>
      <c r="H1262" s="662" t="s">
        <v>807</v>
      </c>
      <c r="I1262" s="666" t="s">
        <v>859</v>
      </c>
      <c r="J1262" s="667" t="s">
        <v>805</v>
      </c>
      <c r="K1262" s="662">
        <v>12</v>
      </c>
      <c r="L1262" s="685">
        <f t="shared" si="35"/>
        <v>18.8</v>
      </c>
      <c r="M1262" s="686">
        <f t="shared" si="36"/>
        <v>225.60000000000002</v>
      </c>
    </row>
    <row r="1263" spans="2:13" s="645" customFormat="1" ht="21.75" customHeight="1">
      <c r="B1263" s="661">
        <v>44409</v>
      </c>
      <c r="C1263" s="662" t="s">
        <v>837</v>
      </c>
      <c r="D1263" s="663" t="s">
        <v>841</v>
      </c>
      <c r="E1263" s="664" t="s">
        <v>831</v>
      </c>
      <c r="F1263" s="665"/>
      <c r="G1263" s="663">
        <v>20</v>
      </c>
      <c r="H1263" s="662" t="s">
        <v>807</v>
      </c>
      <c r="I1263" s="666" t="s">
        <v>857</v>
      </c>
      <c r="J1263" s="667" t="s">
        <v>805</v>
      </c>
      <c r="K1263" s="662">
        <v>1</v>
      </c>
      <c r="L1263" s="685">
        <f t="shared" si="35"/>
        <v>18.8</v>
      </c>
      <c r="M1263" s="686">
        <f t="shared" si="36"/>
        <v>18.8</v>
      </c>
    </row>
    <row r="1264" spans="2:13" s="645" customFormat="1" ht="21.75" customHeight="1">
      <c r="B1264" s="661">
        <v>44409</v>
      </c>
      <c r="C1264" s="662" t="s">
        <v>837</v>
      </c>
      <c r="D1264" s="663" t="s">
        <v>834</v>
      </c>
      <c r="E1264" s="664" t="s">
        <v>831</v>
      </c>
      <c r="F1264" s="665"/>
      <c r="G1264" s="663">
        <v>20</v>
      </c>
      <c r="H1264" s="662" t="s">
        <v>807</v>
      </c>
      <c r="I1264" s="666" t="s">
        <v>859</v>
      </c>
      <c r="J1264" s="667" t="s">
        <v>805</v>
      </c>
      <c r="K1264" s="662">
        <v>10</v>
      </c>
      <c r="L1264" s="685">
        <f t="shared" si="35"/>
        <v>18.8</v>
      </c>
      <c r="M1264" s="686">
        <f t="shared" si="36"/>
        <v>188</v>
      </c>
    </row>
    <row r="1265" spans="2:13" s="645" customFormat="1" ht="21.75" customHeight="1">
      <c r="B1265" s="661">
        <v>44409</v>
      </c>
      <c r="C1265" s="662" t="s">
        <v>837</v>
      </c>
      <c r="D1265" s="663" t="s">
        <v>834</v>
      </c>
      <c r="E1265" s="664" t="s">
        <v>831</v>
      </c>
      <c r="F1265" s="665"/>
      <c r="G1265" s="663">
        <v>20</v>
      </c>
      <c r="H1265" s="662" t="s">
        <v>807</v>
      </c>
      <c r="I1265" s="666" t="s">
        <v>857</v>
      </c>
      <c r="J1265" s="667" t="s">
        <v>805</v>
      </c>
      <c r="K1265" s="662">
        <v>3</v>
      </c>
      <c r="L1265" s="685">
        <f t="shared" si="35"/>
        <v>18.8</v>
      </c>
      <c r="M1265" s="686">
        <f t="shared" si="36"/>
        <v>56.400000000000006</v>
      </c>
    </row>
    <row r="1266" spans="2:13" s="645" customFormat="1" ht="21.75" customHeight="1">
      <c r="B1266" s="661">
        <v>44409</v>
      </c>
      <c r="C1266" s="662" t="s">
        <v>837</v>
      </c>
      <c r="D1266" s="663" t="s">
        <v>848</v>
      </c>
      <c r="E1266" s="664" t="s">
        <v>831</v>
      </c>
      <c r="F1266" s="665"/>
      <c r="G1266" s="663">
        <v>20</v>
      </c>
      <c r="H1266" s="662" t="s">
        <v>807</v>
      </c>
      <c r="I1266" s="666" t="s">
        <v>859</v>
      </c>
      <c r="J1266" s="667" t="s">
        <v>805</v>
      </c>
      <c r="K1266" s="662">
        <v>1</v>
      </c>
      <c r="L1266" s="685">
        <f t="shared" si="35"/>
        <v>18.8</v>
      </c>
      <c r="M1266" s="686">
        <f t="shared" si="36"/>
        <v>18.8</v>
      </c>
    </row>
    <row r="1267" spans="2:13" s="645" customFormat="1" ht="21.75" customHeight="1">
      <c r="B1267" s="661">
        <v>44409</v>
      </c>
      <c r="C1267" s="662" t="s">
        <v>837</v>
      </c>
      <c r="D1267" s="663" t="s">
        <v>839</v>
      </c>
      <c r="E1267" s="664" t="s">
        <v>831</v>
      </c>
      <c r="F1267" s="665"/>
      <c r="G1267" s="663">
        <v>15</v>
      </c>
      <c r="H1267" s="662" t="s">
        <v>807</v>
      </c>
      <c r="I1267" s="666" t="s">
        <v>859</v>
      </c>
      <c r="J1267" s="667" t="s">
        <v>805</v>
      </c>
      <c r="K1267" s="662">
        <v>9</v>
      </c>
      <c r="L1267" s="685">
        <f t="shared" si="35"/>
        <v>14.1</v>
      </c>
      <c r="M1267" s="686">
        <f t="shared" si="36"/>
        <v>126.89999999999999</v>
      </c>
    </row>
    <row r="1268" spans="2:13" s="645" customFormat="1" ht="21.75" customHeight="1">
      <c r="B1268" s="661">
        <v>44409</v>
      </c>
      <c r="C1268" s="662" t="s">
        <v>837</v>
      </c>
      <c r="D1268" s="663" t="s">
        <v>839</v>
      </c>
      <c r="E1268" s="664" t="s">
        <v>831</v>
      </c>
      <c r="F1268" s="665"/>
      <c r="G1268" s="663">
        <v>15</v>
      </c>
      <c r="H1268" s="662" t="s">
        <v>807</v>
      </c>
      <c r="I1268" s="666" t="s">
        <v>857</v>
      </c>
      <c r="J1268" s="667" t="s">
        <v>805</v>
      </c>
      <c r="K1268" s="662">
        <v>3</v>
      </c>
      <c r="L1268" s="685">
        <f t="shared" si="35"/>
        <v>14.1</v>
      </c>
      <c r="M1268" s="686">
        <f t="shared" si="36"/>
        <v>42.3</v>
      </c>
    </row>
    <row r="1269" spans="2:13" s="645" customFormat="1" ht="21.75" customHeight="1">
      <c r="B1269" s="661">
        <v>44409</v>
      </c>
      <c r="C1269" s="662" t="s">
        <v>837</v>
      </c>
      <c r="D1269" s="663" t="s">
        <v>845</v>
      </c>
      <c r="E1269" s="664" t="s">
        <v>831</v>
      </c>
      <c r="F1269" s="665"/>
      <c r="G1269" s="663">
        <v>15</v>
      </c>
      <c r="H1269" s="662" t="s">
        <v>807</v>
      </c>
      <c r="I1269" s="666" t="s">
        <v>859</v>
      </c>
      <c r="J1269" s="667" t="s">
        <v>805</v>
      </c>
      <c r="K1269" s="662">
        <v>10</v>
      </c>
      <c r="L1269" s="685">
        <f t="shared" si="35"/>
        <v>14.1</v>
      </c>
      <c r="M1269" s="686">
        <f t="shared" si="36"/>
        <v>141</v>
      </c>
    </row>
    <row r="1270" spans="2:13" s="645" customFormat="1" ht="21.75" customHeight="1">
      <c r="B1270" s="661">
        <v>44409</v>
      </c>
      <c r="C1270" s="662" t="s">
        <v>837</v>
      </c>
      <c r="D1270" s="663" t="s">
        <v>845</v>
      </c>
      <c r="E1270" s="664" t="s">
        <v>831</v>
      </c>
      <c r="F1270" s="665"/>
      <c r="G1270" s="663">
        <v>15</v>
      </c>
      <c r="H1270" s="662" t="s">
        <v>807</v>
      </c>
      <c r="I1270" s="666" t="s">
        <v>857</v>
      </c>
      <c r="J1270" s="667" t="s">
        <v>805</v>
      </c>
      <c r="K1270" s="662">
        <v>3</v>
      </c>
      <c r="L1270" s="685">
        <f t="shared" si="35"/>
        <v>14.1</v>
      </c>
      <c r="M1270" s="686">
        <f t="shared" si="36"/>
        <v>42.3</v>
      </c>
    </row>
    <row r="1271" spans="2:13" s="645" customFormat="1" ht="21.75" customHeight="1">
      <c r="B1271" s="661">
        <v>44409</v>
      </c>
      <c r="C1271" s="662" t="s">
        <v>837</v>
      </c>
      <c r="D1271" s="663" t="s">
        <v>847</v>
      </c>
      <c r="E1271" s="664" t="s">
        <v>831</v>
      </c>
      <c r="F1271" s="665"/>
      <c r="G1271" s="663">
        <v>17</v>
      </c>
      <c r="H1271" s="662" t="s">
        <v>807</v>
      </c>
      <c r="I1271" s="666" t="s">
        <v>859</v>
      </c>
      <c r="J1271" s="667" t="s">
        <v>805</v>
      </c>
      <c r="K1271" s="662">
        <v>9</v>
      </c>
      <c r="L1271" s="685">
        <f t="shared" si="35"/>
        <v>15.98</v>
      </c>
      <c r="M1271" s="686">
        <f t="shared" si="36"/>
        <v>143.82</v>
      </c>
    </row>
    <row r="1272" spans="2:13" s="645" customFormat="1" ht="21.75" customHeight="1">
      <c r="B1272" s="661">
        <v>44409</v>
      </c>
      <c r="C1272" s="662" t="s">
        <v>837</v>
      </c>
      <c r="D1272" s="663" t="s">
        <v>847</v>
      </c>
      <c r="E1272" s="664" t="s">
        <v>831</v>
      </c>
      <c r="F1272" s="665"/>
      <c r="G1272" s="663">
        <v>17</v>
      </c>
      <c r="H1272" s="662" t="s">
        <v>807</v>
      </c>
      <c r="I1272" s="666" t="s">
        <v>857</v>
      </c>
      <c r="J1272" s="667" t="s">
        <v>805</v>
      </c>
      <c r="K1272" s="662">
        <v>3</v>
      </c>
      <c r="L1272" s="685">
        <f t="shared" si="35"/>
        <v>15.98</v>
      </c>
      <c r="M1272" s="686">
        <f t="shared" si="36"/>
        <v>47.94</v>
      </c>
    </row>
    <row r="1273" spans="2:13" s="645" customFormat="1" ht="21.75" customHeight="1">
      <c r="B1273" s="661">
        <v>44409</v>
      </c>
      <c r="C1273" s="662" t="s">
        <v>837</v>
      </c>
      <c r="D1273" s="663" t="s">
        <v>856</v>
      </c>
      <c r="E1273" s="664" t="s">
        <v>831</v>
      </c>
      <c r="F1273" s="665"/>
      <c r="G1273" s="663">
        <v>20</v>
      </c>
      <c r="H1273" s="662" t="s">
        <v>807</v>
      </c>
      <c r="I1273" s="666" t="s">
        <v>859</v>
      </c>
      <c r="J1273" s="667" t="s">
        <v>805</v>
      </c>
      <c r="K1273" s="662">
        <v>12</v>
      </c>
      <c r="L1273" s="685">
        <f t="shared" si="35"/>
        <v>18.8</v>
      </c>
      <c r="M1273" s="686">
        <f t="shared" si="36"/>
        <v>225.60000000000002</v>
      </c>
    </row>
    <row r="1274" spans="2:13" s="645" customFormat="1" ht="21.75" customHeight="1">
      <c r="B1274" s="661">
        <v>44409</v>
      </c>
      <c r="C1274" s="662" t="s">
        <v>837</v>
      </c>
      <c r="D1274" s="663" t="s">
        <v>856</v>
      </c>
      <c r="E1274" s="664" t="s">
        <v>831</v>
      </c>
      <c r="F1274" s="665"/>
      <c r="G1274" s="663">
        <v>20</v>
      </c>
      <c r="H1274" s="662" t="s">
        <v>807</v>
      </c>
      <c r="I1274" s="666" t="s">
        <v>857</v>
      </c>
      <c r="J1274" s="667" t="s">
        <v>805</v>
      </c>
      <c r="K1274" s="662">
        <v>1</v>
      </c>
      <c r="L1274" s="685">
        <f t="shared" si="35"/>
        <v>18.8</v>
      </c>
      <c r="M1274" s="686">
        <f t="shared" si="36"/>
        <v>18.8</v>
      </c>
    </row>
    <row r="1275" spans="2:13" s="645" customFormat="1" ht="21.75" customHeight="1">
      <c r="B1275" s="661">
        <v>44409</v>
      </c>
      <c r="C1275" s="662" t="s">
        <v>837</v>
      </c>
      <c r="D1275" s="663" t="s">
        <v>855</v>
      </c>
      <c r="E1275" s="664" t="s">
        <v>831</v>
      </c>
      <c r="F1275" s="665"/>
      <c r="G1275" s="663">
        <v>20</v>
      </c>
      <c r="H1275" s="662" t="s">
        <v>807</v>
      </c>
      <c r="I1275" s="666" t="s">
        <v>859</v>
      </c>
      <c r="J1275" s="667" t="s">
        <v>805</v>
      </c>
      <c r="K1275" s="662">
        <v>11</v>
      </c>
      <c r="L1275" s="685">
        <f t="shared" si="35"/>
        <v>18.8</v>
      </c>
      <c r="M1275" s="686">
        <f t="shared" si="36"/>
        <v>206.8</v>
      </c>
    </row>
    <row r="1276" spans="2:13" s="645" customFormat="1" ht="21.75" customHeight="1">
      <c r="B1276" s="661">
        <v>44409</v>
      </c>
      <c r="C1276" s="662" t="s">
        <v>837</v>
      </c>
      <c r="D1276" s="663" t="s">
        <v>855</v>
      </c>
      <c r="E1276" s="664" t="s">
        <v>831</v>
      </c>
      <c r="F1276" s="665"/>
      <c r="G1276" s="663">
        <v>20</v>
      </c>
      <c r="H1276" s="662" t="s">
        <v>807</v>
      </c>
      <c r="I1276" s="666" t="s">
        <v>857</v>
      </c>
      <c r="J1276" s="667" t="s">
        <v>805</v>
      </c>
      <c r="K1276" s="662">
        <v>4</v>
      </c>
      <c r="L1276" s="685">
        <f t="shared" si="35"/>
        <v>18.8</v>
      </c>
      <c r="M1276" s="686">
        <f t="shared" si="36"/>
        <v>75.2</v>
      </c>
    </row>
    <row r="1277" spans="2:13" s="645" customFormat="1" ht="21.75" customHeight="1">
      <c r="B1277" s="670">
        <v>44410</v>
      </c>
      <c r="C1277" s="671" t="s">
        <v>819</v>
      </c>
      <c r="D1277" s="672" t="s">
        <v>840</v>
      </c>
      <c r="E1277" s="673" t="s">
        <v>831</v>
      </c>
      <c r="F1277" s="670"/>
      <c r="G1277" s="672">
        <v>20</v>
      </c>
      <c r="H1277" s="671" t="s">
        <v>807</v>
      </c>
      <c r="I1277" s="675" t="s">
        <v>854</v>
      </c>
      <c r="J1277" s="677" t="s">
        <v>804</v>
      </c>
      <c r="K1277" s="671">
        <v>2</v>
      </c>
      <c r="L1277" s="676">
        <f t="shared" si="35"/>
        <v>18.8</v>
      </c>
      <c r="M1277" s="676">
        <f t="shared" si="36"/>
        <v>37.6</v>
      </c>
    </row>
    <row r="1278" spans="2:13" s="645" customFormat="1" ht="21.75" customHeight="1">
      <c r="B1278" s="670">
        <v>44410</v>
      </c>
      <c r="C1278" s="671" t="s">
        <v>819</v>
      </c>
      <c r="D1278" s="672" t="s">
        <v>840</v>
      </c>
      <c r="E1278" s="673" t="s">
        <v>831</v>
      </c>
      <c r="F1278" s="670"/>
      <c r="G1278" s="672">
        <v>20</v>
      </c>
      <c r="H1278" s="671" t="s">
        <v>807</v>
      </c>
      <c r="I1278" s="675" t="s">
        <v>854</v>
      </c>
      <c r="J1278" s="677" t="s">
        <v>804</v>
      </c>
      <c r="K1278" s="671">
        <v>5</v>
      </c>
      <c r="L1278" s="676">
        <f t="shared" si="35"/>
        <v>18.8</v>
      </c>
      <c r="M1278" s="676">
        <f t="shared" si="36"/>
        <v>94</v>
      </c>
    </row>
    <row r="1279" spans="2:13" s="645" customFormat="1" ht="21.75" customHeight="1">
      <c r="B1279" s="670">
        <v>44410</v>
      </c>
      <c r="C1279" s="671" t="s">
        <v>819</v>
      </c>
      <c r="D1279" s="672" t="s">
        <v>841</v>
      </c>
      <c r="E1279" s="673" t="s">
        <v>831</v>
      </c>
      <c r="F1279" s="670"/>
      <c r="G1279" s="672">
        <v>20</v>
      </c>
      <c r="H1279" s="671" t="s">
        <v>807</v>
      </c>
      <c r="I1279" s="675" t="s">
        <v>854</v>
      </c>
      <c r="J1279" s="677" t="s">
        <v>804</v>
      </c>
      <c r="K1279" s="671">
        <v>3</v>
      </c>
      <c r="L1279" s="676">
        <f t="shared" si="35"/>
        <v>18.8</v>
      </c>
      <c r="M1279" s="676">
        <f t="shared" si="36"/>
        <v>56.400000000000006</v>
      </c>
    </row>
    <row r="1280" spans="2:13" s="645" customFormat="1" ht="21.75" customHeight="1">
      <c r="B1280" s="670">
        <v>44410</v>
      </c>
      <c r="C1280" s="671" t="s">
        <v>819</v>
      </c>
      <c r="D1280" s="672" t="s">
        <v>841</v>
      </c>
      <c r="E1280" s="673" t="s">
        <v>831</v>
      </c>
      <c r="F1280" s="670"/>
      <c r="G1280" s="672">
        <v>20</v>
      </c>
      <c r="H1280" s="671" t="s">
        <v>807</v>
      </c>
      <c r="I1280" s="675" t="s">
        <v>854</v>
      </c>
      <c r="J1280" s="677" t="s">
        <v>804</v>
      </c>
      <c r="K1280" s="671">
        <v>5</v>
      </c>
      <c r="L1280" s="676">
        <f t="shared" si="35"/>
        <v>18.8</v>
      </c>
      <c r="M1280" s="676">
        <f t="shared" si="36"/>
        <v>94</v>
      </c>
    </row>
    <row r="1281" spans="2:13" s="645" customFormat="1" ht="21.75" customHeight="1">
      <c r="B1281" s="670">
        <v>44410</v>
      </c>
      <c r="C1281" s="671" t="s">
        <v>819</v>
      </c>
      <c r="D1281" s="672" t="s">
        <v>834</v>
      </c>
      <c r="E1281" s="673" t="s">
        <v>831</v>
      </c>
      <c r="F1281" s="670"/>
      <c r="G1281" s="672">
        <v>20</v>
      </c>
      <c r="H1281" s="671" t="s">
        <v>807</v>
      </c>
      <c r="I1281" s="675" t="s">
        <v>854</v>
      </c>
      <c r="J1281" s="677" t="s">
        <v>804</v>
      </c>
      <c r="K1281" s="671">
        <v>3</v>
      </c>
      <c r="L1281" s="676">
        <f t="shared" si="35"/>
        <v>18.8</v>
      </c>
      <c r="M1281" s="676">
        <f t="shared" si="36"/>
        <v>56.400000000000006</v>
      </c>
    </row>
    <row r="1282" spans="2:13" s="645" customFormat="1" ht="21.75" customHeight="1">
      <c r="B1282" s="670">
        <v>44410</v>
      </c>
      <c r="C1282" s="671" t="s">
        <v>819</v>
      </c>
      <c r="D1282" s="672" t="s">
        <v>834</v>
      </c>
      <c r="E1282" s="673" t="s">
        <v>831</v>
      </c>
      <c r="F1282" s="670"/>
      <c r="G1282" s="672">
        <v>20</v>
      </c>
      <c r="H1282" s="671" t="s">
        <v>807</v>
      </c>
      <c r="I1282" s="675" t="s">
        <v>854</v>
      </c>
      <c r="J1282" s="677" t="s">
        <v>804</v>
      </c>
      <c r="K1282" s="671">
        <v>4</v>
      </c>
      <c r="L1282" s="676">
        <f t="shared" si="35"/>
        <v>18.8</v>
      </c>
      <c r="M1282" s="676">
        <f t="shared" si="36"/>
        <v>75.2</v>
      </c>
    </row>
    <row r="1283" spans="2:13" s="645" customFormat="1" ht="21.75" customHeight="1">
      <c r="B1283" s="670">
        <v>44410</v>
      </c>
      <c r="C1283" s="671" t="s">
        <v>819</v>
      </c>
      <c r="D1283" s="672" t="s">
        <v>844</v>
      </c>
      <c r="E1283" s="673" t="s">
        <v>831</v>
      </c>
      <c r="F1283" s="670"/>
      <c r="G1283" s="672">
        <v>15</v>
      </c>
      <c r="H1283" s="671" t="s">
        <v>807</v>
      </c>
      <c r="I1283" s="675" t="s">
        <v>854</v>
      </c>
      <c r="J1283" s="677" t="s">
        <v>804</v>
      </c>
      <c r="K1283" s="671">
        <v>3</v>
      </c>
      <c r="L1283" s="676">
        <f t="shared" si="35"/>
        <v>14.1</v>
      </c>
      <c r="M1283" s="676">
        <f t="shared" si="36"/>
        <v>42.3</v>
      </c>
    </row>
    <row r="1284" spans="2:13" s="645" customFormat="1" ht="21.75" customHeight="1">
      <c r="B1284" s="670">
        <v>44410</v>
      </c>
      <c r="C1284" s="671" t="s">
        <v>819</v>
      </c>
      <c r="D1284" s="672" t="s">
        <v>844</v>
      </c>
      <c r="E1284" s="673" t="s">
        <v>831</v>
      </c>
      <c r="F1284" s="670"/>
      <c r="G1284" s="672">
        <v>15</v>
      </c>
      <c r="H1284" s="671" t="s">
        <v>807</v>
      </c>
      <c r="I1284" s="675" t="s">
        <v>854</v>
      </c>
      <c r="J1284" s="677" t="s">
        <v>804</v>
      </c>
      <c r="K1284" s="671">
        <v>5</v>
      </c>
      <c r="L1284" s="676">
        <f t="shared" si="35"/>
        <v>14.1</v>
      </c>
      <c r="M1284" s="676">
        <f t="shared" si="36"/>
        <v>70.5</v>
      </c>
    </row>
    <row r="1285" spans="2:13" s="645" customFormat="1" ht="21.75" customHeight="1">
      <c r="B1285" s="670">
        <v>44410</v>
      </c>
      <c r="C1285" s="671" t="s">
        <v>819</v>
      </c>
      <c r="D1285" s="672" t="s">
        <v>850</v>
      </c>
      <c r="E1285" s="673" t="s">
        <v>831</v>
      </c>
      <c r="F1285" s="670"/>
      <c r="G1285" s="672">
        <v>15</v>
      </c>
      <c r="H1285" s="671" t="s">
        <v>807</v>
      </c>
      <c r="I1285" s="675" t="s">
        <v>854</v>
      </c>
      <c r="J1285" s="677" t="s">
        <v>804</v>
      </c>
      <c r="K1285" s="671">
        <v>2</v>
      </c>
      <c r="L1285" s="676">
        <f t="shared" si="35"/>
        <v>14.1</v>
      </c>
      <c r="M1285" s="676">
        <f t="shared" si="36"/>
        <v>28.2</v>
      </c>
    </row>
    <row r="1286" spans="2:13" s="645" customFormat="1" ht="21.75" customHeight="1">
      <c r="B1286" s="670">
        <v>44410</v>
      </c>
      <c r="C1286" s="671" t="s">
        <v>819</v>
      </c>
      <c r="D1286" s="672" t="s">
        <v>850</v>
      </c>
      <c r="E1286" s="673" t="s">
        <v>831</v>
      </c>
      <c r="F1286" s="670"/>
      <c r="G1286" s="672">
        <v>15</v>
      </c>
      <c r="H1286" s="671" t="s">
        <v>807</v>
      </c>
      <c r="I1286" s="675" t="s">
        <v>854</v>
      </c>
      <c r="J1286" s="677" t="s">
        <v>804</v>
      </c>
      <c r="K1286" s="671">
        <v>3</v>
      </c>
      <c r="L1286" s="676">
        <f t="shared" si="35"/>
        <v>14.1</v>
      </c>
      <c r="M1286" s="676">
        <f t="shared" si="36"/>
        <v>42.3</v>
      </c>
    </row>
    <row r="1287" spans="2:13" s="645" customFormat="1" ht="21.75" customHeight="1">
      <c r="B1287" s="670">
        <v>44410</v>
      </c>
      <c r="C1287" s="671" t="s">
        <v>819</v>
      </c>
      <c r="D1287" s="672" t="s">
        <v>839</v>
      </c>
      <c r="E1287" s="673" t="s">
        <v>831</v>
      </c>
      <c r="F1287" s="670"/>
      <c r="G1287" s="672">
        <v>15</v>
      </c>
      <c r="H1287" s="671" t="s">
        <v>807</v>
      </c>
      <c r="I1287" s="675" t="s">
        <v>854</v>
      </c>
      <c r="J1287" s="677" t="s">
        <v>804</v>
      </c>
      <c r="K1287" s="671">
        <v>3</v>
      </c>
      <c r="L1287" s="676">
        <f t="shared" si="35"/>
        <v>14.1</v>
      </c>
      <c r="M1287" s="676">
        <f t="shared" si="36"/>
        <v>42.3</v>
      </c>
    </row>
    <row r="1288" spans="2:13" s="645" customFormat="1" ht="21.75" customHeight="1">
      <c r="B1288" s="670">
        <v>44410</v>
      </c>
      <c r="C1288" s="671" t="s">
        <v>819</v>
      </c>
      <c r="D1288" s="672" t="s">
        <v>839</v>
      </c>
      <c r="E1288" s="673" t="s">
        <v>831</v>
      </c>
      <c r="F1288" s="670"/>
      <c r="G1288" s="672">
        <v>15</v>
      </c>
      <c r="H1288" s="671" t="s">
        <v>807</v>
      </c>
      <c r="I1288" s="675" t="s">
        <v>854</v>
      </c>
      <c r="J1288" s="677" t="s">
        <v>804</v>
      </c>
      <c r="K1288" s="671">
        <v>5</v>
      </c>
      <c r="L1288" s="676">
        <f t="shared" si="35"/>
        <v>14.1</v>
      </c>
      <c r="M1288" s="676">
        <f t="shared" si="36"/>
        <v>70.5</v>
      </c>
    </row>
    <row r="1289" spans="2:13" s="645" customFormat="1" ht="21.75" customHeight="1">
      <c r="B1289" s="661">
        <v>44410</v>
      </c>
      <c r="C1289" s="662" t="s">
        <v>819</v>
      </c>
      <c r="D1289" s="663" t="s">
        <v>835</v>
      </c>
      <c r="E1289" s="664" t="s">
        <v>831</v>
      </c>
      <c r="F1289" s="665"/>
      <c r="G1289" s="663">
        <v>20</v>
      </c>
      <c r="H1289" s="662" t="s">
        <v>807</v>
      </c>
      <c r="I1289" s="666" t="s">
        <v>859</v>
      </c>
      <c r="J1289" s="667" t="s">
        <v>805</v>
      </c>
      <c r="K1289" s="662">
        <v>4</v>
      </c>
      <c r="L1289" s="685">
        <f t="shared" ref="L1289:L1352" si="37">VLOOKUP(G1289,$Q$4:$V$7,6,FALSE)</f>
        <v>18.8</v>
      </c>
      <c r="M1289" s="686">
        <f t="shared" si="36"/>
        <v>75.2</v>
      </c>
    </row>
    <row r="1290" spans="2:13" s="645" customFormat="1" ht="21.75" customHeight="1">
      <c r="B1290" s="661">
        <v>44410</v>
      </c>
      <c r="C1290" s="662" t="s">
        <v>819</v>
      </c>
      <c r="D1290" s="663" t="s">
        <v>835</v>
      </c>
      <c r="E1290" s="664" t="s">
        <v>831</v>
      </c>
      <c r="F1290" s="665"/>
      <c r="G1290" s="663">
        <v>20</v>
      </c>
      <c r="H1290" s="662" t="s">
        <v>807</v>
      </c>
      <c r="I1290" s="666" t="s">
        <v>857</v>
      </c>
      <c r="J1290" s="667" t="s">
        <v>805</v>
      </c>
      <c r="K1290" s="662">
        <v>6</v>
      </c>
      <c r="L1290" s="685">
        <f t="shared" si="37"/>
        <v>18.8</v>
      </c>
      <c r="M1290" s="686">
        <f t="shared" si="36"/>
        <v>112.80000000000001</v>
      </c>
    </row>
    <row r="1291" spans="2:13" s="645" customFormat="1" ht="21.75" customHeight="1">
      <c r="B1291" s="661">
        <v>44410</v>
      </c>
      <c r="C1291" s="662" t="s">
        <v>819</v>
      </c>
      <c r="D1291" s="663" t="s">
        <v>848</v>
      </c>
      <c r="E1291" s="664" t="s">
        <v>831</v>
      </c>
      <c r="F1291" s="665"/>
      <c r="G1291" s="663">
        <v>20</v>
      </c>
      <c r="H1291" s="662" t="s">
        <v>807</v>
      </c>
      <c r="I1291" s="666" t="s">
        <v>859</v>
      </c>
      <c r="J1291" s="667" t="s">
        <v>805</v>
      </c>
      <c r="K1291" s="662">
        <v>2</v>
      </c>
      <c r="L1291" s="685">
        <f t="shared" si="37"/>
        <v>18.8</v>
      </c>
      <c r="M1291" s="686">
        <f t="shared" si="36"/>
        <v>37.6</v>
      </c>
    </row>
    <row r="1292" spans="2:13" s="645" customFormat="1" ht="21.75" customHeight="1">
      <c r="B1292" s="661">
        <v>44410</v>
      </c>
      <c r="C1292" s="662" t="s">
        <v>819</v>
      </c>
      <c r="D1292" s="663" t="s">
        <v>848</v>
      </c>
      <c r="E1292" s="664" t="s">
        <v>831</v>
      </c>
      <c r="F1292" s="665"/>
      <c r="G1292" s="663">
        <v>20</v>
      </c>
      <c r="H1292" s="662" t="s">
        <v>807</v>
      </c>
      <c r="I1292" s="666" t="s">
        <v>857</v>
      </c>
      <c r="J1292" s="667" t="s">
        <v>805</v>
      </c>
      <c r="K1292" s="662">
        <v>6</v>
      </c>
      <c r="L1292" s="685">
        <f t="shared" si="37"/>
        <v>18.8</v>
      </c>
      <c r="M1292" s="686">
        <f t="shared" si="36"/>
        <v>112.80000000000001</v>
      </c>
    </row>
    <row r="1293" spans="2:13" s="645" customFormat="1" ht="21.75" customHeight="1">
      <c r="B1293" s="661">
        <v>44410</v>
      </c>
      <c r="C1293" s="662" t="s">
        <v>819</v>
      </c>
      <c r="D1293" s="663" t="s">
        <v>836</v>
      </c>
      <c r="E1293" s="664" t="s">
        <v>831</v>
      </c>
      <c r="F1293" s="665"/>
      <c r="G1293" s="663">
        <v>20</v>
      </c>
      <c r="H1293" s="662" t="s">
        <v>807</v>
      </c>
      <c r="I1293" s="666" t="s">
        <v>859</v>
      </c>
      <c r="J1293" s="667" t="s">
        <v>805</v>
      </c>
      <c r="K1293" s="662">
        <v>6</v>
      </c>
      <c r="L1293" s="685">
        <f t="shared" si="37"/>
        <v>18.8</v>
      </c>
      <c r="M1293" s="686">
        <f t="shared" si="36"/>
        <v>112.80000000000001</v>
      </c>
    </row>
    <row r="1294" spans="2:13" s="645" customFormat="1" ht="21.75" customHeight="1">
      <c r="B1294" s="661">
        <v>44410</v>
      </c>
      <c r="C1294" s="662" t="s">
        <v>819</v>
      </c>
      <c r="D1294" s="663" t="s">
        <v>836</v>
      </c>
      <c r="E1294" s="664" t="s">
        <v>831</v>
      </c>
      <c r="F1294" s="665"/>
      <c r="G1294" s="663">
        <v>20</v>
      </c>
      <c r="H1294" s="662" t="s">
        <v>807</v>
      </c>
      <c r="I1294" s="666" t="s">
        <v>857</v>
      </c>
      <c r="J1294" s="667" t="s">
        <v>805</v>
      </c>
      <c r="K1294" s="662">
        <v>4</v>
      </c>
      <c r="L1294" s="685">
        <f t="shared" si="37"/>
        <v>18.8</v>
      </c>
      <c r="M1294" s="686">
        <f t="shared" si="36"/>
        <v>75.2</v>
      </c>
    </row>
    <row r="1295" spans="2:13" s="645" customFormat="1" ht="21.75" customHeight="1">
      <c r="B1295" s="661">
        <v>44410</v>
      </c>
      <c r="C1295" s="662" t="s">
        <v>819</v>
      </c>
      <c r="D1295" s="663" t="s">
        <v>833</v>
      </c>
      <c r="E1295" s="664" t="s">
        <v>831</v>
      </c>
      <c r="F1295" s="665"/>
      <c r="G1295" s="663">
        <v>15</v>
      </c>
      <c r="H1295" s="662" t="s">
        <v>807</v>
      </c>
      <c r="I1295" s="666" t="s">
        <v>859</v>
      </c>
      <c r="J1295" s="667" t="s">
        <v>805</v>
      </c>
      <c r="K1295" s="662">
        <v>4</v>
      </c>
      <c r="L1295" s="685">
        <f t="shared" si="37"/>
        <v>14.1</v>
      </c>
      <c r="M1295" s="686">
        <f t="shared" si="36"/>
        <v>56.4</v>
      </c>
    </row>
    <row r="1296" spans="2:13" s="645" customFormat="1" ht="21.75" customHeight="1">
      <c r="B1296" s="661">
        <v>44410</v>
      </c>
      <c r="C1296" s="662" t="s">
        <v>819</v>
      </c>
      <c r="D1296" s="663" t="s">
        <v>833</v>
      </c>
      <c r="E1296" s="664" t="s">
        <v>831</v>
      </c>
      <c r="F1296" s="665"/>
      <c r="G1296" s="663">
        <v>15</v>
      </c>
      <c r="H1296" s="662" t="s">
        <v>807</v>
      </c>
      <c r="I1296" s="666" t="s">
        <v>857</v>
      </c>
      <c r="J1296" s="667" t="s">
        <v>805</v>
      </c>
      <c r="K1296" s="662">
        <v>7</v>
      </c>
      <c r="L1296" s="685">
        <f t="shared" si="37"/>
        <v>14.1</v>
      </c>
      <c r="M1296" s="686">
        <f t="shared" si="36"/>
        <v>98.7</v>
      </c>
    </row>
    <row r="1297" spans="2:13" s="645" customFormat="1" ht="21.75" customHeight="1">
      <c r="B1297" s="661">
        <v>44410</v>
      </c>
      <c r="C1297" s="662" t="s">
        <v>819</v>
      </c>
      <c r="D1297" s="663" t="s">
        <v>830</v>
      </c>
      <c r="E1297" s="664" t="s">
        <v>831</v>
      </c>
      <c r="F1297" s="665"/>
      <c r="G1297" s="663">
        <v>15</v>
      </c>
      <c r="H1297" s="662" t="s">
        <v>807</v>
      </c>
      <c r="I1297" s="666" t="s">
        <v>859</v>
      </c>
      <c r="J1297" s="667" t="s">
        <v>805</v>
      </c>
      <c r="K1297" s="662">
        <v>3</v>
      </c>
      <c r="L1297" s="685">
        <f t="shared" si="37"/>
        <v>14.1</v>
      </c>
      <c r="M1297" s="686">
        <f t="shared" si="36"/>
        <v>42.3</v>
      </c>
    </row>
    <row r="1298" spans="2:13" s="645" customFormat="1" ht="21.75" customHeight="1">
      <c r="B1298" s="661">
        <v>44410</v>
      </c>
      <c r="C1298" s="662" t="s">
        <v>819</v>
      </c>
      <c r="D1298" s="663" t="s">
        <v>830</v>
      </c>
      <c r="E1298" s="664" t="s">
        <v>831</v>
      </c>
      <c r="F1298" s="665"/>
      <c r="G1298" s="663">
        <v>15</v>
      </c>
      <c r="H1298" s="662" t="s">
        <v>807</v>
      </c>
      <c r="I1298" s="666" t="s">
        <v>857</v>
      </c>
      <c r="J1298" s="667" t="s">
        <v>805</v>
      </c>
      <c r="K1298" s="662">
        <v>6</v>
      </c>
      <c r="L1298" s="685">
        <f t="shared" si="37"/>
        <v>14.1</v>
      </c>
      <c r="M1298" s="686">
        <f t="shared" si="36"/>
        <v>84.6</v>
      </c>
    </row>
    <row r="1299" spans="2:13" s="645" customFormat="1" ht="21.75" customHeight="1">
      <c r="B1299" s="661">
        <v>44410</v>
      </c>
      <c r="C1299" s="662" t="s">
        <v>819</v>
      </c>
      <c r="D1299" s="663" t="s">
        <v>845</v>
      </c>
      <c r="E1299" s="664" t="s">
        <v>831</v>
      </c>
      <c r="F1299" s="665"/>
      <c r="G1299" s="663">
        <v>17</v>
      </c>
      <c r="H1299" s="662" t="s">
        <v>807</v>
      </c>
      <c r="I1299" s="666" t="s">
        <v>859</v>
      </c>
      <c r="J1299" s="667" t="s">
        <v>805</v>
      </c>
      <c r="K1299" s="662">
        <v>1</v>
      </c>
      <c r="L1299" s="685">
        <f t="shared" si="37"/>
        <v>15.98</v>
      </c>
      <c r="M1299" s="686">
        <f t="shared" si="36"/>
        <v>15.98</v>
      </c>
    </row>
    <row r="1300" spans="2:13" s="645" customFormat="1" ht="21.75" customHeight="1">
      <c r="B1300" s="661">
        <v>44410</v>
      </c>
      <c r="C1300" s="662" t="s">
        <v>819</v>
      </c>
      <c r="D1300" s="663" t="s">
        <v>845</v>
      </c>
      <c r="E1300" s="664" t="s">
        <v>831</v>
      </c>
      <c r="F1300" s="665"/>
      <c r="G1300" s="663">
        <v>17</v>
      </c>
      <c r="H1300" s="662" t="s">
        <v>807</v>
      </c>
      <c r="I1300" s="666" t="s">
        <v>857</v>
      </c>
      <c r="J1300" s="667" t="s">
        <v>805</v>
      </c>
      <c r="K1300" s="662">
        <v>10</v>
      </c>
      <c r="L1300" s="685">
        <f t="shared" si="37"/>
        <v>15.98</v>
      </c>
      <c r="M1300" s="686">
        <f t="shared" si="36"/>
        <v>159.80000000000001</v>
      </c>
    </row>
    <row r="1301" spans="2:13" s="645" customFormat="1" ht="21.75" customHeight="1">
      <c r="B1301" s="661">
        <v>44410</v>
      </c>
      <c r="C1301" s="662" t="s">
        <v>819</v>
      </c>
      <c r="D1301" s="663" t="s">
        <v>847</v>
      </c>
      <c r="E1301" s="664" t="s">
        <v>831</v>
      </c>
      <c r="F1301" s="665"/>
      <c r="G1301" s="663">
        <v>17</v>
      </c>
      <c r="H1301" s="662" t="s">
        <v>807</v>
      </c>
      <c r="I1301" s="666" t="s">
        <v>859</v>
      </c>
      <c r="J1301" s="667" t="s">
        <v>805</v>
      </c>
      <c r="K1301" s="662">
        <v>5</v>
      </c>
      <c r="L1301" s="685">
        <f t="shared" si="37"/>
        <v>15.98</v>
      </c>
      <c r="M1301" s="686">
        <f t="shared" si="36"/>
        <v>79.900000000000006</v>
      </c>
    </row>
    <row r="1302" spans="2:13" s="645" customFormat="1" ht="21.75" customHeight="1">
      <c r="B1302" s="661">
        <v>44410</v>
      </c>
      <c r="C1302" s="662" t="s">
        <v>819</v>
      </c>
      <c r="D1302" s="663" t="s">
        <v>847</v>
      </c>
      <c r="E1302" s="664" t="s">
        <v>831</v>
      </c>
      <c r="F1302" s="665"/>
      <c r="G1302" s="663">
        <v>17</v>
      </c>
      <c r="H1302" s="662" t="s">
        <v>807</v>
      </c>
      <c r="I1302" s="666" t="s">
        <v>857</v>
      </c>
      <c r="J1302" s="667" t="s">
        <v>805</v>
      </c>
      <c r="K1302" s="662">
        <v>4</v>
      </c>
      <c r="L1302" s="685">
        <f t="shared" si="37"/>
        <v>15.98</v>
      </c>
      <c r="M1302" s="686">
        <f t="shared" si="36"/>
        <v>63.92</v>
      </c>
    </row>
    <row r="1303" spans="2:13" s="645" customFormat="1" ht="21.75" customHeight="1">
      <c r="B1303" s="661">
        <v>44410</v>
      </c>
      <c r="C1303" s="662" t="s">
        <v>819</v>
      </c>
      <c r="D1303" s="663" t="s">
        <v>856</v>
      </c>
      <c r="E1303" s="664" t="s">
        <v>831</v>
      </c>
      <c r="F1303" s="665"/>
      <c r="G1303" s="663">
        <v>20</v>
      </c>
      <c r="H1303" s="662" t="s">
        <v>807</v>
      </c>
      <c r="I1303" s="666" t="s">
        <v>857</v>
      </c>
      <c r="J1303" s="667" t="s">
        <v>805</v>
      </c>
      <c r="K1303" s="662">
        <v>12</v>
      </c>
      <c r="L1303" s="685">
        <f t="shared" si="37"/>
        <v>18.8</v>
      </c>
      <c r="M1303" s="686">
        <f t="shared" si="36"/>
        <v>225.60000000000002</v>
      </c>
    </row>
    <row r="1304" spans="2:13" s="645" customFormat="1" ht="21.75" customHeight="1">
      <c r="B1304" s="661">
        <v>44410</v>
      </c>
      <c r="C1304" s="662" t="s">
        <v>819</v>
      </c>
      <c r="D1304" s="663" t="s">
        <v>855</v>
      </c>
      <c r="E1304" s="664" t="s">
        <v>831</v>
      </c>
      <c r="F1304" s="665"/>
      <c r="G1304" s="663">
        <v>20</v>
      </c>
      <c r="H1304" s="662" t="s">
        <v>807</v>
      </c>
      <c r="I1304" s="666" t="s">
        <v>857</v>
      </c>
      <c r="J1304" s="667" t="s">
        <v>805</v>
      </c>
      <c r="K1304" s="662">
        <v>9</v>
      </c>
      <c r="L1304" s="685">
        <f t="shared" si="37"/>
        <v>18.8</v>
      </c>
      <c r="M1304" s="686">
        <f t="shared" si="36"/>
        <v>169.20000000000002</v>
      </c>
    </row>
    <row r="1305" spans="2:13" s="645" customFormat="1" ht="21.75" customHeight="1">
      <c r="B1305" s="661">
        <v>44410</v>
      </c>
      <c r="C1305" s="662" t="s">
        <v>837</v>
      </c>
      <c r="D1305" s="663" t="s">
        <v>849</v>
      </c>
      <c r="E1305" s="664" t="s">
        <v>831</v>
      </c>
      <c r="F1305" s="665"/>
      <c r="G1305" s="663">
        <v>20</v>
      </c>
      <c r="H1305" s="662" t="s">
        <v>807</v>
      </c>
      <c r="I1305" s="666" t="s">
        <v>859</v>
      </c>
      <c r="J1305" s="667" t="s">
        <v>802</v>
      </c>
      <c r="K1305" s="662">
        <v>15</v>
      </c>
      <c r="L1305" s="685">
        <f t="shared" si="37"/>
        <v>18.8</v>
      </c>
      <c r="M1305" s="686">
        <f t="shared" si="36"/>
        <v>282</v>
      </c>
    </row>
    <row r="1306" spans="2:13" s="645" customFormat="1" ht="21.75" customHeight="1">
      <c r="B1306" s="661">
        <v>44410</v>
      </c>
      <c r="C1306" s="662" t="s">
        <v>837</v>
      </c>
      <c r="D1306" s="663" t="s">
        <v>841</v>
      </c>
      <c r="E1306" s="664" t="s">
        <v>831</v>
      </c>
      <c r="F1306" s="665"/>
      <c r="G1306" s="663">
        <v>20</v>
      </c>
      <c r="H1306" s="662" t="s">
        <v>807</v>
      </c>
      <c r="I1306" s="666" t="s">
        <v>859</v>
      </c>
      <c r="J1306" s="667" t="s">
        <v>802</v>
      </c>
      <c r="K1306" s="662">
        <v>13</v>
      </c>
      <c r="L1306" s="685">
        <f t="shared" si="37"/>
        <v>18.8</v>
      </c>
      <c r="M1306" s="686">
        <f t="shared" si="36"/>
        <v>244.4</v>
      </c>
    </row>
    <row r="1307" spans="2:13" s="645" customFormat="1" ht="21.75" customHeight="1">
      <c r="B1307" s="661">
        <v>44410</v>
      </c>
      <c r="C1307" s="662" t="s">
        <v>837</v>
      </c>
      <c r="D1307" s="663" t="s">
        <v>834</v>
      </c>
      <c r="E1307" s="664" t="s">
        <v>831</v>
      </c>
      <c r="F1307" s="665"/>
      <c r="G1307" s="663">
        <v>20</v>
      </c>
      <c r="H1307" s="662" t="s">
        <v>807</v>
      </c>
      <c r="I1307" s="666" t="s">
        <v>859</v>
      </c>
      <c r="J1307" s="667" t="s">
        <v>802</v>
      </c>
      <c r="K1307" s="662">
        <v>14</v>
      </c>
      <c r="L1307" s="685">
        <f t="shared" si="37"/>
        <v>18.8</v>
      </c>
      <c r="M1307" s="686">
        <f t="shared" si="36"/>
        <v>263.2</v>
      </c>
    </row>
    <row r="1308" spans="2:13" s="645" customFormat="1" ht="21.75" customHeight="1">
      <c r="B1308" s="661">
        <v>44410</v>
      </c>
      <c r="C1308" s="662" t="s">
        <v>837</v>
      </c>
      <c r="D1308" s="663" t="s">
        <v>848</v>
      </c>
      <c r="E1308" s="664" t="s">
        <v>831</v>
      </c>
      <c r="F1308" s="665"/>
      <c r="G1308" s="663">
        <v>20</v>
      </c>
      <c r="H1308" s="662" t="s">
        <v>807</v>
      </c>
      <c r="I1308" s="666" t="s">
        <v>859</v>
      </c>
      <c r="J1308" s="667" t="s">
        <v>802</v>
      </c>
      <c r="K1308" s="662">
        <v>15</v>
      </c>
      <c r="L1308" s="685">
        <f t="shared" si="37"/>
        <v>18.8</v>
      </c>
      <c r="M1308" s="686">
        <f t="shared" si="36"/>
        <v>282</v>
      </c>
    </row>
    <row r="1309" spans="2:13" s="645" customFormat="1" ht="21.75" customHeight="1">
      <c r="B1309" s="661">
        <v>44410</v>
      </c>
      <c r="C1309" s="662" t="s">
        <v>837</v>
      </c>
      <c r="D1309" s="663" t="s">
        <v>833</v>
      </c>
      <c r="E1309" s="664" t="s">
        <v>831</v>
      </c>
      <c r="F1309" s="665"/>
      <c r="G1309" s="663">
        <v>15</v>
      </c>
      <c r="H1309" s="662" t="s">
        <v>807</v>
      </c>
      <c r="I1309" s="666" t="s">
        <v>859</v>
      </c>
      <c r="J1309" s="667" t="s">
        <v>802</v>
      </c>
      <c r="K1309" s="662">
        <v>11</v>
      </c>
      <c r="L1309" s="685">
        <f t="shared" si="37"/>
        <v>14.1</v>
      </c>
      <c r="M1309" s="686">
        <f t="shared" si="36"/>
        <v>155.1</v>
      </c>
    </row>
    <row r="1310" spans="2:13" s="645" customFormat="1" ht="21.75" customHeight="1">
      <c r="B1310" s="661">
        <v>44410</v>
      </c>
      <c r="C1310" s="662" t="s">
        <v>837</v>
      </c>
      <c r="D1310" s="663" t="s">
        <v>845</v>
      </c>
      <c r="E1310" s="664" t="s">
        <v>831</v>
      </c>
      <c r="F1310" s="665"/>
      <c r="G1310" s="663">
        <v>15</v>
      </c>
      <c r="H1310" s="662" t="s">
        <v>807</v>
      </c>
      <c r="I1310" s="666" t="s">
        <v>859</v>
      </c>
      <c r="J1310" s="667" t="s">
        <v>802</v>
      </c>
      <c r="K1310" s="662">
        <v>14</v>
      </c>
      <c r="L1310" s="685">
        <f t="shared" si="37"/>
        <v>14.1</v>
      </c>
      <c r="M1310" s="686">
        <f t="shared" si="36"/>
        <v>197.4</v>
      </c>
    </row>
    <row r="1311" spans="2:13" s="645" customFormat="1" ht="21.75" customHeight="1">
      <c r="B1311" s="661">
        <v>44410</v>
      </c>
      <c r="C1311" s="662" t="s">
        <v>837</v>
      </c>
      <c r="D1311" s="663" t="s">
        <v>847</v>
      </c>
      <c r="E1311" s="664" t="s">
        <v>831</v>
      </c>
      <c r="F1311" s="665"/>
      <c r="G1311" s="663">
        <v>17</v>
      </c>
      <c r="H1311" s="662" t="s">
        <v>807</v>
      </c>
      <c r="I1311" s="666" t="s">
        <v>859</v>
      </c>
      <c r="J1311" s="667" t="s">
        <v>802</v>
      </c>
      <c r="K1311" s="662">
        <v>13</v>
      </c>
      <c r="L1311" s="685">
        <f t="shared" si="37"/>
        <v>15.98</v>
      </c>
      <c r="M1311" s="686">
        <f t="shared" si="36"/>
        <v>207.74</v>
      </c>
    </row>
    <row r="1312" spans="2:13" s="645" customFormat="1" ht="21.75" customHeight="1">
      <c r="B1312" s="661">
        <v>44410</v>
      </c>
      <c r="C1312" s="662" t="s">
        <v>837</v>
      </c>
      <c r="D1312" s="663" t="s">
        <v>856</v>
      </c>
      <c r="E1312" s="664" t="s">
        <v>831</v>
      </c>
      <c r="F1312" s="665"/>
      <c r="G1312" s="663">
        <v>20</v>
      </c>
      <c r="H1312" s="662" t="s">
        <v>807</v>
      </c>
      <c r="I1312" s="666" t="s">
        <v>859</v>
      </c>
      <c r="J1312" s="667" t="s">
        <v>802</v>
      </c>
      <c r="K1312" s="662">
        <v>15</v>
      </c>
      <c r="L1312" s="685">
        <f t="shared" si="37"/>
        <v>18.8</v>
      </c>
      <c r="M1312" s="686">
        <f t="shared" si="36"/>
        <v>282</v>
      </c>
    </row>
    <row r="1313" spans="2:13" s="645" customFormat="1" ht="21.75" customHeight="1">
      <c r="B1313" s="661">
        <v>44410</v>
      </c>
      <c r="C1313" s="662" t="s">
        <v>837</v>
      </c>
      <c r="D1313" s="663" t="s">
        <v>855</v>
      </c>
      <c r="E1313" s="664" t="s">
        <v>831</v>
      </c>
      <c r="F1313" s="665"/>
      <c r="G1313" s="663">
        <v>20</v>
      </c>
      <c r="H1313" s="662" t="s">
        <v>807</v>
      </c>
      <c r="I1313" s="666" t="s">
        <v>859</v>
      </c>
      <c r="J1313" s="667" t="s">
        <v>802</v>
      </c>
      <c r="K1313" s="662">
        <v>13</v>
      </c>
      <c r="L1313" s="685">
        <f t="shared" si="37"/>
        <v>18.8</v>
      </c>
      <c r="M1313" s="686">
        <f t="shared" si="36"/>
        <v>244.4</v>
      </c>
    </row>
    <row r="1314" spans="2:13" s="645" customFormat="1" ht="21.75" customHeight="1">
      <c r="B1314" s="661">
        <v>44411</v>
      </c>
      <c r="C1314" s="662" t="s">
        <v>819</v>
      </c>
      <c r="D1314" s="663" t="s">
        <v>835</v>
      </c>
      <c r="E1314" s="664" t="s">
        <v>831</v>
      </c>
      <c r="F1314" s="665"/>
      <c r="G1314" s="663">
        <v>20</v>
      </c>
      <c r="H1314" s="662" t="s">
        <v>807</v>
      </c>
      <c r="I1314" s="666" t="s">
        <v>859</v>
      </c>
      <c r="J1314" s="667" t="s">
        <v>805</v>
      </c>
      <c r="K1314" s="662">
        <v>7</v>
      </c>
      <c r="L1314" s="685">
        <f t="shared" si="37"/>
        <v>18.8</v>
      </c>
      <c r="M1314" s="686">
        <f t="shared" si="36"/>
        <v>131.6</v>
      </c>
    </row>
    <row r="1315" spans="2:13" s="645" customFormat="1" ht="21.75" customHeight="1">
      <c r="B1315" s="661">
        <v>44411</v>
      </c>
      <c r="C1315" s="662" t="s">
        <v>819</v>
      </c>
      <c r="D1315" s="663" t="s">
        <v>841</v>
      </c>
      <c r="E1315" s="664" t="s">
        <v>831</v>
      </c>
      <c r="F1315" s="665"/>
      <c r="G1315" s="663">
        <v>20</v>
      </c>
      <c r="H1315" s="662" t="s">
        <v>807</v>
      </c>
      <c r="I1315" s="666" t="s">
        <v>859</v>
      </c>
      <c r="J1315" s="667" t="s">
        <v>805</v>
      </c>
      <c r="K1315" s="662">
        <v>8</v>
      </c>
      <c r="L1315" s="685">
        <f t="shared" si="37"/>
        <v>18.8</v>
      </c>
      <c r="M1315" s="686">
        <f t="shared" si="36"/>
        <v>150.4</v>
      </c>
    </row>
    <row r="1316" spans="2:13" s="645" customFormat="1" ht="21.75" customHeight="1">
      <c r="B1316" s="661">
        <v>44411</v>
      </c>
      <c r="C1316" s="662" t="s">
        <v>819</v>
      </c>
      <c r="D1316" s="663" t="s">
        <v>841</v>
      </c>
      <c r="E1316" s="664" t="s">
        <v>831</v>
      </c>
      <c r="F1316" s="665"/>
      <c r="G1316" s="663">
        <v>20</v>
      </c>
      <c r="H1316" s="662" t="s">
        <v>807</v>
      </c>
      <c r="I1316" s="666" t="s">
        <v>857</v>
      </c>
      <c r="J1316" s="667" t="s">
        <v>805</v>
      </c>
      <c r="K1316" s="662">
        <v>1</v>
      </c>
      <c r="L1316" s="685">
        <f t="shared" si="37"/>
        <v>18.8</v>
      </c>
      <c r="M1316" s="686">
        <f t="shared" si="36"/>
        <v>18.8</v>
      </c>
    </row>
    <row r="1317" spans="2:13" s="645" customFormat="1" ht="21.75" customHeight="1">
      <c r="B1317" s="661">
        <v>44411</v>
      </c>
      <c r="C1317" s="662" t="s">
        <v>819</v>
      </c>
      <c r="D1317" s="663" t="s">
        <v>848</v>
      </c>
      <c r="E1317" s="664" t="s">
        <v>831</v>
      </c>
      <c r="F1317" s="665"/>
      <c r="G1317" s="663">
        <v>20</v>
      </c>
      <c r="H1317" s="662" t="s">
        <v>807</v>
      </c>
      <c r="I1317" s="666" t="s">
        <v>859</v>
      </c>
      <c r="J1317" s="667" t="s">
        <v>805</v>
      </c>
      <c r="K1317" s="662">
        <v>9</v>
      </c>
      <c r="L1317" s="685">
        <f t="shared" si="37"/>
        <v>18.8</v>
      </c>
      <c r="M1317" s="686">
        <f t="shared" si="36"/>
        <v>169.20000000000002</v>
      </c>
    </row>
    <row r="1318" spans="2:13" s="645" customFormat="1" ht="21.75" customHeight="1">
      <c r="B1318" s="661">
        <v>44411</v>
      </c>
      <c r="C1318" s="662" t="s">
        <v>819</v>
      </c>
      <c r="D1318" s="663" t="s">
        <v>836</v>
      </c>
      <c r="E1318" s="664" t="s">
        <v>831</v>
      </c>
      <c r="F1318" s="665"/>
      <c r="G1318" s="663">
        <v>20</v>
      </c>
      <c r="H1318" s="662" t="s">
        <v>807</v>
      </c>
      <c r="I1318" s="666" t="s">
        <v>859</v>
      </c>
      <c r="J1318" s="667" t="s">
        <v>805</v>
      </c>
      <c r="K1318" s="662">
        <v>10</v>
      </c>
      <c r="L1318" s="685">
        <f t="shared" si="37"/>
        <v>18.8</v>
      </c>
      <c r="M1318" s="686">
        <f t="shared" si="36"/>
        <v>188</v>
      </c>
    </row>
    <row r="1319" spans="2:13" s="645" customFormat="1" ht="21.75" customHeight="1">
      <c r="B1319" s="661">
        <v>44411</v>
      </c>
      <c r="C1319" s="662" t="s">
        <v>819</v>
      </c>
      <c r="D1319" s="663" t="s">
        <v>833</v>
      </c>
      <c r="E1319" s="664" t="s">
        <v>831</v>
      </c>
      <c r="F1319" s="665"/>
      <c r="G1319" s="663">
        <v>15</v>
      </c>
      <c r="H1319" s="662" t="s">
        <v>807</v>
      </c>
      <c r="I1319" s="666" t="s">
        <v>859</v>
      </c>
      <c r="J1319" s="667" t="s">
        <v>805</v>
      </c>
      <c r="K1319" s="662">
        <v>5</v>
      </c>
      <c r="L1319" s="685">
        <f t="shared" si="37"/>
        <v>14.1</v>
      </c>
      <c r="M1319" s="686">
        <f t="shared" ref="M1319:M1382" si="38">L1319*K1319</f>
        <v>70.5</v>
      </c>
    </row>
    <row r="1320" spans="2:13" s="645" customFormat="1" ht="21.75" customHeight="1">
      <c r="B1320" s="661">
        <v>44411</v>
      </c>
      <c r="C1320" s="662" t="s">
        <v>819</v>
      </c>
      <c r="D1320" s="663" t="s">
        <v>833</v>
      </c>
      <c r="E1320" s="664" t="s">
        <v>831</v>
      </c>
      <c r="F1320" s="665"/>
      <c r="G1320" s="663">
        <v>15</v>
      </c>
      <c r="H1320" s="662" t="s">
        <v>807</v>
      </c>
      <c r="I1320" s="666" t="s">
        <v>857</v>
      </c>
      <c r="J1320" s="667" t="s">
        <v>805</v>
      </c>
      <c r="K1320" s="662">
        <v>2</v>
      </c>
      <c r="L1320" s="685">
        <f t="shared" si="37"/>
        <v>14.1</v>
      </c>
      <c r="M1320" s="686">
        <f t="shared" si="38"/>
        <v>28.2</v>
      </c>
    </row>
    <row r="1321" spans="2:13" s="645" customFormat="1" ht="21.75" customHeight="1">
      <c r="B1321" s="661">
        <v>44411</v>
      </c>
      <c r="C1321" s="662" t="s">
        <v>819</v>
      </c>
      <c r="D1321" s="663" t="s">
        <v>830</v>
      </c>
      <c r="E1321" s="664" t="s">
        <v>831</v>
      </c>
      <c r="F1321" s="665"/>
      <c r="G1321" s="663">
        <v>15</v>
      </c>
      <c r="H1321" s="662" t="s">
        <v>807</v>
      </c>
      <c r="I1321" s="666" t="s">
        <v>859</v>
      </c>
      <c r="J1321" s="667" t="s">
        <v>805</v>
      </c>
      <c r="K1321" s="662">
        <v>7</v>
      </c>
      <c r="L1321" s="685">
        <f t="shared" si="37"/>
        <v>14.1</v>
      </c>
      <c r="M1321" s="686">
        <f t="shared" si="38"/>
        <v>98.7</v>
      </c>
    </row>
    <row r="1322" spans="2:13" s="645" customFormat="1" ht="21.75" customHeight="1">
      <c r="B1322" s="661">
        <v>44411</v>
      </c>
      <c r="C1322" s="662" t="s">
        <v>819</v>
      </c>
      <c r="D1322" s="663" t="s">
        <v>830</v>
      </c>
      <c r="E1322" s="664" t="s">
        <v>831</v>
      </c>
      <c r="F1322" s="665"/>
      <c r="G1322" s="663">
        <v>15</v>
      </c>
      <c r="H1322" s="662" t="s">
        <v>807</v>
      </c>
      <c r="I1322" s="666" t="s">
        <v>857</v>
      </c>
      <c r="J1322" s="667" t="s">
        <v>805</v>
      </c>
      <c r="K1322" s="662">
        <v>2</v>
      </c>
      <c r="L1322" s="685">
        <f t="shared" si="37"/>
        <v>14.1</v>
      </c>
      <c r="M1322" s="686">
        <f t="shared" si="38"/>
        <v>28.2</v>
      </c>
    </row>
    <row r="1323" spans="2:13" s="645" customFormat="1" ht="21.75" customHeight="1">
      <c r="B1323" s="661">
        <v>44411</v>
      </c>
      <c r="C1323" s="662" t="s">
        <v>819</v>
      </c>
      <c r="D1323" s="663" t="s">
        <v>845</v>
      </c>
      <c r="E1323" s="664" t="s">
        <v>831</v>
      </c>
      <c r="F1323" s="665"/>
      <c r="G1323" s="663">
        <v>17</v>
      </c>
      <c r="H1323" s="662" t="s">
        <v>807</v>
      </c>
      <c r="I1323" s="666" t="s">
        <v>859</v>
      </c>
      <c r="J1323" s="667" t="s">
        <v>805</v>
      </c>
      <c r="K1323" s="662">
        <v>8</v>
      </c>
      <c r="L1323" s="685">
        <f t="shared" si="37"/>
        <v>15.98</v>
      </c>
      <c r="M1323" s="686">
        <f t="shared" si="38"/>
        <v>127.84</v>
      </c>
    </row>
    <row r="1324" spans="2:13" s="645" customFormat="1" ht="21.75" customHeight="1">
      <c r="B1324" s="661">
        <v>44411</v>
      </c>
      <c r="C1324" s="662" t="s">
        <v>819</v>
      </c>
      <c r="D1324" s="663" t="s">
        <v>845</v>
      </c>
      <c r="E1324" s="664" t="s">
        <v>831</v>
      </c>
      <c r="F1324" s="665"/>
      <c r="G1324" s="663">
        <v>17</v>
      </c>
      <c r="H1324" s="662" t="s">
        <v>807</v>
      </c>
      <c r="I1324" s="666" t="s">
        <v>857</v>
      </c>
      <c r="J1324" s="667" t="s">
        <v>805</v>
      </c>
      <c r="K1324" s="662">
        <v>1</v>
      </c>
      <c r="L1324" s="685">
        <f t="shared" si="37"/>
        <v>15.98</v>
      </c>
      <c r="M1324" s="686">
        <f t="shared" si="38"/>
        <v>15.98</v>
      </c>
    </row>
    <row r="1325" spans="2:13" s="645" customFormat="1" ht="21.75" customHeight="1">
      <c r="B1325" s="661">
        <v>44411</v>
      </c>
      <c r="C1325" s="662" t="s">
        <v>819</v>
      </c>
      <c r="D1325" s="663" t="s">
        <v>847</v>
      </c>
      <c r="E1325" s="664" t="s">
        <v>831</v>
      </c>
      <c r="F1325" s="665"/>
      <c r="G1325" s="663">
        <v>17</v>
      </c>
      <c r="H1325" s="662" t="s">
        <v>807</v>
      </c>
      <c r="I1325" s="666" t="s">
        <v>857</v>
      </c>
      <c r="J1325" s="667" t="s">
        <v>805</v>
      </c>
      <c r="K1325" s="662">
        <v>5</v>
      </c>
      <c r="L1325" s="685">
        <f t="shared" si="37"/>
        <v>15.98</v>
      </c>
      <c r="M1325" s="686">
        <f t="shared" si="38"/>
        <v>79.900000000000006</v>
      </c>
    </row>
    <row r="1326" spans="2:13" s="645" customFormat="1" ht="21.75" customHeight="1">
      <c r="B1326" s="661">
        <v>44411</v>
      </c>
      <c r="C1326" s="662" t="s">
        <v>819</v>
      </c>
      <c r="D1326" s="663" t="s">
        <v>856</v>
      </c>
      <c r="E1326" s="664" t="s">
        <v>831</v>
      </c>
      <c r="F1326" s="665"/>
      <c r="G1326" s="663">
        <v>20</v>
      </c>
      <c r="H1326" s="662" t="s">
        <v>807</v>
      </c>
      <c r="I1326" s="666" t="s">
        <v>859</v>
      </c>
      <c r="J1326" s="667" t="s">
        <v>805</v>
      </c>
      <c r="K1326" s="662">
        <v>8</v>
      </c>
      <c r="L1326" s="685">
        <f t="shared" si="37"/>
        <v>18.8</v>
      </c>
      <c r="M1326" s="686">
        <f t="shared" si="38"/>
        <v>150.4</v>
      </c>
    </row>
    <row r="1327" spans="2:13" s="645" customFormat="1" ht="21.75" customHeight="1">
      <c r="B1327" s="661">
        <v>44411</v>
      </c>
      <c r="C1327" s="662" t="s">
        <v>819</v>
      </c>
      <c r="D1327" s="663" t="s">
        <v>856</v>
      </c>
      <c r="E1327" s="664" t="s">
        <v>831</v>
      </c>
      <c r="F1327" s="665"/>
      <c r="G1327" s="663">
        <v>20</v>
      </c>
      <c r="H1327" s="662" t="s">
        <v>807</v>
      </c>
      <c r="I1327" s="666" t="s">
        <v>857</v>
      </c>
      <c r="J1327" s="667" t="s">
        <v>805</v>
      </c>
      <c r="K1327" s="662">
        <v>2</v>
      </c>
      <c r="L1327" s="685">
        <f t="shared" si="37"/>
        <v>18.8</v>
      </c>
      <c r="M1327" s="686">
        <f t="shared" si="38"/>
        <v>37.6</v>
      </c>
    </row>
    <row r="1328" spans="2:13" s="645" customFormat="1" ht="21.75" customHeight="1">
      <c r="B1328" s="661">
        <v>44411</v>
      </c>
      <c r="C1328" s="662" t="s">
        <v>819</v>
      </c>
      <c r="D1328" s="663" t="s">
        <v>855</v>
      </c>
      <c r="E1328" s="664" t="s">
        <v>831</v>
      </c>
      <c r="F1328" s="665"/>
      <c r="G1328" s="663">
        <v>20</v>
      </c>
      <c r="H1328" s="662" t="s">
        <v>807</v>
      </c>
      <c r="I1328" s="666" t="s">
        <v>859</v>
      </c>
      <c r="J1328" s="667" t="s">
        <v>805</v>
      </c>
      <c r="K1328" s="662">
        <v>5</v>
      </c>
      <c r="L1328" s="685">
        <f t="shared" si="37"/>
        <v>18.8</v>
      </c>
      <c r="M1328" s="686">
        <f t="shared" si="38"/>
        <v>94</v>
      </c>
    </row>
    <row r="1329" spans="2:13" s="645" customFormat="1" ht="21.75" customHeight="1">
      <c r="B1329" s="661">
        <v>44411</v>
      </c>
      <c r="C1329" s="662" t="s">
        <v>819</v>
      </c>
      <c r="D1329" s="663" t="s">
        <v>855</v>
      </c>
      <c r="E1329" s="664" t="s">
        <v>831</v>
      </c>
      <c r="F1329" s="665"/>
      <c r="G1329" s="663">
        <v>20</v>
      </c>
      <c r="H1329" s="662" t="s">
        <v>807</v>
      </c>
      <c r="I1329" s="666" t="s">
        <v>857</v>
      </c>
      <c r="J1329" s="667" t="s">
        <v>805</v>
      </c>
      <c r="K1329" s="662">
        <v>4</v>
      </c>
      <c r="L1329" s="685">
        <f t="shared" si="37"/>
        <v>18.8</v>
      </c>
      <c r="M1329" s="686">
        <f t="shared" si="38"/>
        <v>75.2</v>
      </c>
    </row>
    <row r="1330" spans="2:13" s="645" customFormat="1" ht="21.75" customHeight="1">
      <c r="B1330" s="661">
        <v>44411</v>
      </c>
      <c r="C1330" s="662" t="s">
        <v>819</v>
      </c>
      <c r="D1330" s="663" t="s">
        <v>849</v>
      </c>
      <c r="E1330" s="664" t="s">
        <v>831</v>
      </c>
      <c r="F1330" s="665"/>
      <c r="G1330" s="663">
        <v>20</v>
      </c>
      <c r="H1330" s="662" t="s">
        <v>807</v>
      </c>
      <c r="I1330" s="666" t="s">
        <v>859</v>
      </c>
      <c r="J1330" s="667" t="s">
        <v>802</v>
      </c>
      <c r="K1330" s="662">
        <v>6</v>
      </c>
      <c r="L1330" s="685">
        <f t="shared" si="37"/>
        <v>18.8</v>
      </c>
      <c r="M1330" s="686">
        <f t="shared" si="38"/>
        <v>112.80000000000001</v>
      </c>
    </row>
    <row r="1331" spans="2:13" s="645" customFormat="1" ht="21.75" customHeight="1">
      <c r="B1331" s="661">
        <v>44411</v>
      </c>
      <c r="C1331" s="662" t="s">
        <v>819</v>
      </c>
      <c r="D1331" s="663" t="s">
        <v>840</v>
      </c>
      <c r="E1331" s="664" t="s">
        <v>831</v>
      </c>
      <c r="F1331" s="665"/>
      <c r="G1331" s="663">
        <v>20</v>
      </c>
      <c r="H1331" s="662" t="s">
        <v>807</v>
      </c>
      <c r="I1331" s="666" t="s">
        <v>859</v>
      </c>
      <c r="J1331" s="667" t="s">
        <v>802</v>
      </c>
      <c r="K1331" s="662">
        <v>4</v>
      </c>
      <c r="L1331" s="685">
        <f t="shared" si="37"/>
        <v>18.8</v>
      </c>
      <c r="M1331" s="686">
        <f t="shared" si="38"/>
        <v>75.2</v>
      </c>
    </row>
    <row r="1332" spans="2:13" s="645" customFormat="1" ht="21.75" customHeight="1">
      <c r="B1332" s="661">
        <v>44411</v>
      </c>
      <c r="C1332" s="662" t="s">
        <v>819</v>
      </c>
      <c r="D1332" s="663" t="s">
        <v>840</v>
      </c>
      <c r="E1332" s="664" t="s">
        <v>831</v>
      </c>
      <c r="F1332" s="665"/>
      <c r="G1332" s="663">
        <v>20</v>
      </c>
      <c r="H1332" s="662" t="s">
        <v>807</v>
      </c>
      <c r="I1332" s="666" t="s">
        <v>857</v>
      </c>
      <c r="J1332" s="667" t="s">
        <v>802</v>
      </c>
      <c r="K1332" s="662">
        <v>4</v>
      </c>
      <c r="L1332" s="685">
        <f t="shared" si="37"/>
        <v>18.8</v>
      </c>
      <c r="M1332" s="686">
        <f t="shared" si="38"/>
        <v>75.2</v>
      </c>
    </row>
    <row r="1333" spans="2:13" s="645" customFormat="1" ht="21.75" customHeight="1">
      <c r="B1333" s="661">
        <v>44411</v>
      </c>
      <c r="C1333" s="662" t="s">
        <v>819</v>
      </c>
      <c r="D1333" s="663" t="s">
        <v>834</v>
      </c>
      <c r="E1333" s="664" t="s">
        <v>831</v>
      </c>
      <c r="F1333" s="665"/>
      <c r="G1333" s="663">
        <v>20</v>
      </c>
      <c r="H1333" s="662" t="s">
        <v>807</v>
      </c>
      <c r="I1333" s="666" t="s">
        <v>859</v>
      </c>
      <c r="J1333" s="667" t="s">
        <v>802</v>
      </c>
      <c r="K1333" s="662">
        <v>10</v>
      </c>
      <c r="L1333" s="685">
        <f t="shared" si="37"/>
        <v>18.8</v>
      </c>
      <c r="M1333" s="686">
        <f t="shared" si="38"/>
        <v>188</v>
      </c>
    </row>
    <row r="1334" spans="2:13" s="645" customFormat="1" ht="21.75" customHeight="1">
      <c r="B1334" s="661">
        <v>44411</v>
      </c>
      <c r="C1334" s="662" t="s">
        <v>819</v>
      </c>
      <c r="D1334" s="663" t="s">
        <v>844</v>
      </c>
      <c r="E1334" s="664" t="s">
        <v>831</v>
      </c>
      <c r="F1334" s="665"/>
      <c r="G1334" s="663">
        <v>15</v>
      </c>
      <c r="H1334" s="662" t="s">
        <v>807</v>
      </c>
      <c r="I1334" s="666" t="s">
        <v>859</v>
      </c>
      <c r="J1334" s="667" t="s">
        <v>802</v>
      </c>
      <c r="K1334" s="662">
        <v>10</v>
      </c>
      <c r="L1334" s="685">
        <f t="shared" si="37"/>
        <v>14.1</v>
      </c>
      <c r="M1334" s="686">
        <f t="shared" si="38"/>
        <v>141</v>
      </c>
    </row>
    <row r="1335" spans="2:13" s="645" customFormat="1" ht="21.75" customHeight="1">
      <c r="B1335" s="661">
        <v>44411</v>
      </c>
      <c r="C1335" s="662" t="s">
        <v>819</v>
      </c>
      <c r="D1335" s="663" t="s">
        <v>850</v>
      </c>
      <c r="E1335" s="664" t="s">
        <v>831</v>
      </c>
      <c r="F1335" s="665"/>
      <c r="G1335" s="663">
        <v>15</v>
      </c>
      <c r="H1335" s="662" t="s">
        <v>807</v>
      </c>
      <c r="I1335" s="666" t="s">
        <v>859</v>
      </c>
      <c r="J1335" s="667" t="s">
        <v>802</v>
      </c>
      <c r="K1335" s="662">
        <v>7</v>
      </c>
      <c r="L1335" s="685">
        <f t="shared" si="37"/>
        <v>14.1</v>
      </c>
      <c r="M1335" s="686">
        <f t="shared" si="38"/>
        <v>98.7</v>
      </c>
    </row>
    <row r="1336" spans="2:13" s="645" customFormat="1" ht="21.75" customHeight="1">
      <c r="B1336" s="661">
        <v>44411</v>
      </c>
      <c r="C1336" s="662" t="s">
        <v>819</v>
      </c>
      <c r="D1336" s="663" t="s">
        <v>850</v>
      </c>
      <c r="E1336" s="664" t="s">
        <v>831</v>
      </c>
      <c r="F1336" s="665"/>
      <c r="G1336" s="663">
        <v>15</v>
      </c>
      <c r="H1336" s="662" t="s">
        <v>807</v>
      </c>
      <c r="I1336" s="666" t="s">
        <v>857</v>
      </c>
      <c r="J1336" s="667" t="s">
        <v>802</v>
      </c>
      <c r="K1336" s="662">
        <v>1</v>
      </c>
      <c r="L1336" s="685">
        <f t="shared" si="37"/>
        <v>14.1</v>
      </c>
      <c r="M1336" s="686">
        <f t="shared" si="38"/>
        <v>14.1</v>
      </c>
    </row>
    <row r="1337" spans="2:13" s="645" customFormat="1" ht="21.75" customHeight="1">
      <c r="B1337" s="661">
        <v>44411</v>
      </c>
      <c r="C1337" s="662" t="s">
        <v>819</v>
      </c>
      <c r="D1337" s="663" t="s">
        <v>839</v>
      </c>
      <c r="E1337" s="664" t="s">
        <v>831</v>
      </c>
      <c r="F1337" s="665"/>
      <c r="G1337" s="663">
        <v>15</v>
      </c>
      <c r="H1337" s="662" t="s">
        <v>807</v>
      </c>
      <c r="I1337" s="666" t="s">
        <v>859</v>
      </c>
      <c r="J1337" s="667" t="s">
        <v>802</v>
      </c>
      <c r="K1337" s="662">
        <v>7</v>
      </c>
      <c r="L1337" s="685">
        <f t="shared" si="37"/>
        <v>14.1</v>
      </c>
      <c r="M1337" s="686">
        <f t="shared" si="38"/>
        <v>98.7</v>
      </c>
    </row>
    <row r="1338" spans="2:13" s="645" customFormat="1" ht="21.75" customHeight="1">
      <c r="B1338" s="661">
        <v>44411</v>
      </c>
      <c r="C1338" s="662" t="s">
        <v>819</v>
      </c>
      <c r="D1338" s="663" t="s">
        <v>839</v>
      </c>
      <c r="E1338" s="664" t="s">
        <v>831</v>
      </c>
      <c r="F1338" s="665"/>
      <c r="G1338" s="663">
        <v>15</v>
      </c>
      <c r="H1338" s="662" t="s">
        <v>807</v>
      </c>
      <c r="I1338" s="666" t="s">
        <v>857</v>
      </c>
      <c r="J1338" s="667" t="s">
        <v>802</v>
      </c>
      <c r="K1338" s="662">
        <v>1</v>
      </c>
      <c r="L1338" s="685">
        <f t="shared" si="37"/>
        <v>14.1</v>
      </c>
      <c r="M1338" s="686">
        <f t="shared" si="38"/>
        <v>14.1</v>
      </c>
    </row>
    <row r="1339" spans="2:13" s="645" customFormat="1" ht="21.75" customHeight="1">
      <c r="B1339" s="661">
        <v>44411</v>
      </c>
      <c r="C1339" s="662" t="s">
        <v>819</v>
      </c>
      <c r="D1339" s="663" t="s">
        <v>847</v>
      </c>
      <c r="E1339" s="664" t="s">
        <v>831</v>
      </c>
      <c r="F1339" s="665"/>
      <c r="G1339" s="663">
        <v>17</v>
      </c>
      <c r="H1339" s="662" t="s">
        <v>807</v>
      </c>
      <c r="I1339" s="666" t="s">
        <v>859</v>
      </c>
      <c r="J1339" s="667" t="s">
        <v>802</v>
      </c>
      <c r="K1339" s="662">
        <v>3</v>
      </c>
      <c r="L1339" s="685">
        <f t="shared" si="37"/>
        <v>15.98</v>
      </c>
      <c r="M1339" s="686">
        <f t="shared" si="38"/>
        <v>47.94</v>
      </c>
    </row>
    <row r="1340" spans="2:13" s="645" customFormat="1" ht="21.75" customHeight="1">
      <c r="B1340" s="661">
        <v>44411</v>
      </c>
      <c r="C1340" s="662" t="s">
        <v>837</v>
      </c>
      <c r="D1340" s="663" t="s">
        <v>849</v>
      </c>
      <c r="E1340" s="664" t="s">
        <v>831</v>
      </c>
      <c r="F1340" s="665"/>
      <c r="G1340" s="663">
        <v>20</v>
      </c>
      <c r="H1340" s="662" t="s">
        <v>807</v>
      </c>
      <c r="I1340" s="666" t="s">
        <v>859</v>
      </c>
      <c r="J1340" s="667" t="s">
        <v>802</v>
      </c>
      <c r="K1340" s="662">
        <v>8</v>
      </c>
      <c r="L1340" s="685">
        <f t="shared" si="37"/>
        <v>18.8</v>
      </c>
      <c r="M1340" s="686">
        <f t="shared" si="38"/>
        <v>150.4</v>
      </c>
    </row>
    <row r="1341" spans="2:13" s="645" customFormat="1" ht="21.75" customHeight="1">
      <c r="B1341" s="661">
        <v>44411</v>
      </c>
      <c r="C1341" s="662" t="s">
        <v>837</v>
      </c>
      <c r="D1341" s="663" t="s">
        <v>849</v>
      </c>
      <c r="E1341" s="664" t="s">
        <v>831</v>
      </c>
      <c r="F1341" s="665"/>
      <c r="G1341" s="663">
        <v>20</v>
      </c>
      <c r="H1341" s="662" t="s">
        <v>807</v>
      </c>
      <c r="I1341" s="666" t="s">
        <v>857</v>
      </c>
      <c r="J1341" s="667" t="s">
        <v>802</v>
      </c>
      <c r="K1341" s="662">
        <v>5</v>
      </c>
      <c r="L1341" s="685">
        <f t="shared" si="37"/>
        <v>18.8</v>
      </c>
      <c r="M1341" s="686">
        <f t="shared" si="38"/>
        <v>94</v>
      </c>
    </row>
    <row r="1342" spans="2:13" s="645" customFormat="1" ht="21.75" customHeight="1">
      <c r="B1342" s="661">
        <v>44411</v>
      </c>
      <c r="C1342" s="662" t="s">
        <v>837</v>
      </c>
      <c r="D1342" s="663" t="s">
        <v>835</v>
      </c>
      <c r="E1342" s="664" t="s">
        <v>831</v>
      </c>
      <c r="F1342" s="665"/>
      <c r="G1342" s="663">
        <v>20</v>
      </c>
      <c r="H1342" s="662" t="s">
        <v>807</v>
      </c>
      <c r="I1342" s="666" t="s">
        <v>859</v>
      </c>
      <c r="J1342" s="667" t="s">
        <v>802</v>
      </c>
      <c r="K1342" s="662">
        <v>2</v>
      </c>
      <c r="L1342" s="685">
        <f t="shared" si="37"/>
        <v>18.8</v>
      </c>
      <c r="M1342" s="686">
        <f t="shared" si="38"/>
        <v>37.6</v>
      </c>
    </row>
    <row r="1343" spans="2:13" s="645" customFormat="1" ht="21.75" customHeight="1">
      <c r="B1343" s="661">
        <v>44411</v>
      </c>
      <c r="C1343" s="662" t="s">
        <v>837</v>
      </c>
      <c r="D1343" s="663" t="s">
        <v>835</v>
      </c>
      <c r="E1343" s="664" t="s">
        <v>831</v>
      </c>
      <c r="F1343" s="665"/>
      <c r="G1343" s="663">
        <v>20</v>
      </c>
      <c r="H1343" s="662" t="s">
        <v>807</v>
      </c>
      <c r="I1343" s="666" t="s">
        <v>857</v>
      </c>
      <c r="J1343" s="667" t="s">
        <v>802</v>
      </c>
      <c r="K1343" s="662">
        <v>12</v>
      </c>
      <c r="L1343" s="685">
        <f t="shared" si="37"/>
        <v>18.8</v>
      </c>
      <c r="M1343" s="686">
        <f t="shared" si="38"/>
        <v>225.60000000000002</v>
      </c>
    </row>
    <row r="1344" spans="2:13" s="645" customFormat="1" ht="21.75" customHeight="1">
      <c r="B1344" s="661">
        <v>44411</v>
      </c>
      <c r="C1344" s="662" t="s">
        <v>837</v>
      </c>
      <c r="D1344" s="663" t="s">
        <v>841</v>
      </c>
      <c r="E1344" s="664" t="s">
        <v>831</v>
      </c>
      <c r="F1344" s="665"/>
      <c r="G1344" s="663">
        <v>20</v>
      </c>
      <c r="H1344" s="662" t="s">
        <v>807</v>
      </c>
      <c r="I1344" s="666" t="s">
        <v>859</v>
      </c>
      <c r="J1344" s="667" t="s">
        <v>802</v>
      </c>
      <c r="K1344" s="662">
        <v>13</v>
      </c>
      <c r="L1344" s="685">
        <f t="shared" si="37"/>
        <v>18.8</v>
      </c>
      <c r="M1344" s="686">
        <f t="shared" si="38"/>
        <v>244.4</v>
      </c>
    </row>
    <row r="1345" spans="2:13" s="645" customFormat="1" ht="21.75" customHeight="1">
      <c r="B1345" s="661">
        <v>44411</v>
      </c>
      <c r="C1345" s="662" t="s">
        <v>837</v>
      </c>
      <c r="D1345" s="663" t="s">
        <v>841</v>
      </c>
      <c r="E1345" s="664" t="s">
        <v>831</v>
      </c>
      <c r="F1345" s="665"/>
      <c r="G1345" s="663">
        <v>20</v>
      </c>
      <c r="H1345" s="662" t="s">
        <v>807</v>
      </c>
      <c r="I1345" s="666" t="s">
        <v>857</v>
      </c>
      <c r="J1345" s="667" t="s">
        <v>802</v>
      </c>
      <c r="K1345" s="662">
        <v>1</v>
      </c>
      <c r="L1345" s="685">
        <f t="shared" si="37"/>
        <v>18.8</v>
      </c>
      <c r="M1345" s="686">
        <f t="shared" si="38"/>
        <v>18.8</v>
      </c>
    </row>
    <row r="1346" spans="2:13" s="645" customFormat="1" ht="21.75" customHeight="1">
      <c r="B1346" s="661">
        <v>44411</v>
      </c>
      <c r="C1346" s="662" t="s">
        <v>837</v>
      </c>
      <c r="D1346" s="663" t="s">
        <v>834</v>
      </c>
      <c r="E1346" s="664" t="s">
        <v>831</v>
      </c>
      <c r="F1346" s="665"/>
      <c r="G1346" s="663">
        <v>20</v>
      </c>
      <c r="H1346" s="662" t="s">
        <v>807</v>
      </c>
      <c r="I1346" s="666" t="s">
        <v>859</v>
      </c>
      <c r="J1346" s="667" t="s">
        <v>802</v>
      </c>
      <c r="K1346" s="662">
        <v>10</v>
      </c>
      <c r="L1346" s="685">
        <f t="shared" si="37"/>
        <v>18.8</v>
      </c>
      <c r="M1346" s="686">
        <f t="shared" si="38"/>
        <v>188</v>
      </c>
    </row>
    <row r="1347" spans="2:13" s="645" customFormat="1" ht="21.75" customHeight="1">
      <c r="B1347" s="661">
        <v>44411</v>
      </c>
      <c r="C1347" s="662" t="s">
        <v>837</v>
      </c>
      <c r="D1347" s="663" t="s">
        <v>834</v>
      </c>
      <c r="E1347" s="664" t="s">
        <v>831</v>
      </c>
      <c r="F1347" s="665"/>
      <c r="G1347" s="663">
        <v>20</v>
      </c>
      <c r="H1347" s="662" t="s">
        <v>807</v>
      </c>
      <c r="I1347" s="666" t="s">
        <v>857</v>
      </c>
      <c r="J1347" s="667" t="s">
        <v>802</v>
      </c>
      <c r="K1347" s="662">
        <v>3</v>
      </c>
      <c r="L1347" s="685">
        <f t="shared" si="37"/>
        <v>18.8</v>
      </c>
      <c r="M1347" s="686">
        <f t="shared" si="38"/>
        <v>56.400000000000006</v>
      </c>
    </row>
    <row r="1348" spans="2:13" s="645" customFormat="1" ht="21.75" customHeight="1">
      <c r="B1348" s="661">
        <v>44411</v>
      </c>
      <c r="C1348" s="662" t="s">
        <v>837</v>
      </c>
      <c r="D1348" s="663" t="s">
        <v>848</v>
      </c>
      <c r="E1348" s="664" t="s">
        <v>831</v>
      </c>
      <c r="F1348" s="665"/>
      <c r="G1348" s="663">
        <v>20</v>
      </c>
      <c r="H1348" s="662" t="s">
        <v>807</v>
      </c>
      <c r="I1348" s="666" t="s">
        <v>859</v>
      </c>
      <c r="J1348" s="667" t="s">
        <v>802</v>
      </c>
      <c r="K1348" s="662">
        <v>3</v>
      </c>
      <c r="L1348" s="685">
        <f t="shared" si="37"/>
        <v>18.8</v>
      </c>
      <c r="M1348" s="686">
        <f t="shared" si="38"/>
        <v>56.400000000000006</v>
      </c>
    </row>
    <row r="1349" spans="2:13" s="645" customFormat="1" ht="21.75" customHeight="1">
      <c r="B1349" s="661">
        <v>44411</v>
      </c>
      <c r="C1349" s="662" t="s">
        <v>837</v>
      </c>
      <c r="D1349" s="663" t="s">
        <v>848</v>
      </c>
      <c r="E1349" s="664" t="s">
        <v>831</v>
      </c>
      <c r="F1349" s="665"/>
      <c r="G1349" s="663">
        <v>20</v>
      </c>
      <c r="H1349" s="662" t="s">
        <v>807</v>
      </c>
      <c r="I1349" s="666" t="s">
        <v>857</v>
      </c>
      <c r="J1349" s="667" t="s">
        <v>802</v>
      </c>
      <c r="K1349" s="662">
        <v>11</v>
      </c>
      <c r="L1349" s="685">
        <f t="shared" si="37"/>
        <v>18.8</v>
      </c>
      <c r="M1349" s="686">
        <f t="shared" si="38"/>
        <v>206.8</v>
      </c>
    </row>
    <row r="1350" spans="2:13" s="645" customFormat="1" ht="21.75" customHeight="1">
      <c r="B1350" s="661">
        <v>44411</v>
      </c>
      <c r="C1350" s="662" t="s">
        <v>837</v>
      </c>
      <c r="D1350" s="663" t="s">
        <v>845</v>
      </c>
      <c r="E1350" s="664" t="s">
        <v>831</v>
      </c>
      <c r="F1350" s="665"/>
      <c r="G1350" s="663">
        <v>15</v>
      </c>
      <c r="H1350" s="662" t="s">
        <v>807</v>
      </c>
      <c r="I1350" s="666" t="s">
        <v>859</v>
      </c>
      <c r="J1350" s="667" t="s">
        <v>802</v>
      </c>
      <c r="K1350" s="662">
        <v>7</v>
      </c>
      <c r="L1350" s="685">
        <f t="shared" si="37"/>
        <v>14.1</v>
      </c>
      <c r="M1350" s="686">
        <f t="shared" si="38"/>
        <v>98.7</v>
      </c>
    </row>
    <row r="1351" spans="2:13" s="645" customFormat="1" ht="21.75" customHeight="1">
      <c r="B1351" s="661">
        <v>44411</v>
      </c>
      <c r="C1351" s="662" t="s">
        <v>837</v>
      </c>
      <c r="D1351" s="663" t="s">
        <v>845</v>
      </c>
      <c r="E1351" s="664" t="s">
        <v>831</v>
      </c>
      <c r="F1351" s="665"/>
      <c r="G1351" s="663">
        <v>15</v>
      </c>
      <c r="H1351" s="662" t="s">
        <v>807</v>
      </c>
      <c r="I1351" s="666" t="s">
        <v>857</v>
      </c>
      <c r="J1351" s="667" t="s">
        <v>802</v>
      </c>
      <c r="K1351" s="662">
        <v>8</v>
      </c>
      <c r="L1351" s="685">
        <f t="shared" si="37"/>
        <v>14.1</v>
      </c>
      <c r="M1351" s="686">
        <f t="shared" si="38"/>
        <v>112.8</v>
      </c>
    </row>
    <row r="1352" spans="2:13" s="645" customFormat="1" ht="21.75" customHeight="1">
      <c r="B1352" s="661">
        <v>44411</v>
      </c>
      <c r="C1352" s="662" t="s">
        <v>837</v>
      </c>
      <c r="D1352" s="663" t="s">
        <v>847</v>
      </c>
      <c r="E1352" s="664" t="s">
        <v>831</v>
      </c>
      <c r="F1352" s="665"/>
      <c r="G1352" s="663">
        <v>17</v>
      </c>
      <c r="H1352" s="662" t="s">
        <v>807</v>
      </c>
      <c r="I1352" s="666" t="s">
        <v>859</v>
      </c>
      <c r="J1352" s="667" t="s">
        <v>802</v>
      </c>
      <c r="K1352" s="662">
        <v>9</v>
      </c>
      <c r="L1352" s="685">
        <f t="shared" si="37"/>
        <v>15.98</v>
      </c>
      <c r="M1352" s="686">
        <f t="shared" si="38"/>
        <v>143.82</v>
      </c>
    </row>
    <row r="1353" spans="2:13" s="645" customFormat="1" ht="21.75" customHeight="1">
      <c r="B1353" s="661">
        <v>44411</v>
      </c>
      <c r="C1353" s="662" t="s">
        <v>837</v>
      </c>
      <c r="D1353" s="663" t="s">
        <v>847</v>
      </c>
      <c r="E1353" s="664" t="s">
        <v>831</v>
      </c>
      <c r="F1353" s="665"/>
      <c r="G1353" s="663">
        <v>17</v>
      </c>
      <c r="H1353" s="662" t="s">
        <v>807</v>
      </c>
      <c r="I1353" s="666" t="s">
        <v>857</v>
      </c>
      <c r="J1353" s="667" t="s">
        <v>802</v>
      </c>
      <c r="K1353" s="662">
        <v>5</v>
      </c>
      <c r="L1353" s="685">
        <f t="shared" ref="L1353:L1416" si="39">VLOOKUP(G1353,$Q$4:$V$7,6,FALSE)</f>
        <v>15.98</v>
      </c>
      <c r="M1353" s="686">
        <f t="shared" si="38"/>
        <v>79.900000000000006</v>
      </c>
    </row>
    <row r="1354" spans="2:13" s="645" customFormat="1" ht="21.75" customHeight="1">
      <c r="B1354" s="661">
        <v>44411</v>
      </c>
      <c r="C1354" s="662" t="s">
        <v>837</v>
      </c>
      <c r="D1354" s="663" t="s">
        <v>856</v>
      </c>
      <c r="E1354" s="664" t="s">
        <v>831</v>
      </c>
      <c r="F1354" s="665"/>
      <c r="G1354" s="663">
        <v>20</v>
      </c>
      <c r="H1354" s="662" t="s">
        <v>807</v>
      </c>
      <c r="I1354" s="666" t="s">
        <v>859</v>
      </c>
      <c r="J1354" s="667" t="s">
        <v>802</v>
      </c>
      <c r="K1354" s="662">
        <v>2</v>
      </c>
      <c r="L1354" s="685">
        <f t="shared" si="39"/>
        <v>18.8</v>
      </c>
      <c r="M1354" s="686">
        <f t="shared" si="38"/>
        <v>37.6</v>
      </c>
    </row>
    <row r="1355" spans="2:13" s="645" customFormat="1" ht="21.75" customHeight="1">
      <c r="B1355" s="661">
        <v>44411</v>
      </c>
      <c r="C1355" s="662" t="s">
        <v>837</v>
      </c>
      <c r="D1355" s="663" t="s">
        <v>856</v>
      </c>
      <c r="E1355" s="664" t="s">
        <v>831</v>
      </c>
      <c r="F1355" s="665"/>
      <c r="G1355" s="663">
        <v>20</v>
      </c>
      <c r="H1355" s="662" t="s">
        <v>807</v>
      </c>
      <c r="I1355" s="666" t="s">
        <v>857</v>
      </c>
      <c r="J1355" s="667" t="s">
        <v>802</v>
      </c>
      <c r="K1355" s="662">
        <v>12</v>
      </c>
      <c r="L1355" s="685">
        <f t="shared" si="39"/>
        <v>18.8</v>
      </c>
      <c r="M1355" s="686">
        <f t="shared" si="38"/>
        <v>225.60000000000002</v>
      </c>
    </row>
    <row r="1356" spans="2:13" s="645" customFormat="1" ht="21.75" customHeight="1">
      <c r="B1356" s="661">
        <v>44411</v>
      </c>
      <c r="C1356" s="662" t="s">
        <v>837</v>
      </c>
      <c r="D1356" s="663" t="s">
        <v>855</v>
      </c>
      <c r="E1356" s="664" t="s">
        <v>831</v>
      </c>
      <c r="F1356" s="665"/>
      <c r="G1356" s="663">
        <v>20</v>
      </c>
      <c r="H1356" s="662" t="s">
        <v>807</v>
      </c>
      <c r="I1356" s="666" t="s">
        <v>859</v>
      </c>
      <c r="J1356" s="667" t="s">
        <v>802</v>
      </c>
      <c r="K1356" s="662">
        <v>4</v>
      </c>
      <c r="L1356" s="685">
        <f t="shared" si="39"/>
        <v>18.8</v>
      </c>
      <c r="M1356" s="686">
        <f t="shared" si="38"/>
        <v>75.2</v>
      </c>
    </row>
    <row r="1357" spans="2:13" s="645" customFormat="1" ht="21.75" customHeight="1">
      <c r="B1357" s="661">
        <v>44411</v>
      </c>
      <c r="C1357" s="662" t="s">
        <v>837</v>
      </c>
      <c r="D1357" s="663" t="s">
        <v>855</v>
      </c>
      <c r="E1357" s="664" t="s">
        <v>831</v>
      </c>
      <c r="F1357" s="665"/>
      <c r="G1357" s="663">
        <v>20</v>
      </c>
      <c r="H1357" s="662" t="s">
        <v>807</v>
      </c>
      <c r="I1357" s="666" t="s">
        <v>857</v>
      </c>
      <c r="J1357" s="667" t="s">
        <v>802</v>
      </c>
      <c r="K1357" s="662">
        <v>11</v>
      </c>
      <c r="L1357" s="685">
        <f t="shared" si="39"/>
        <v>18.8</v>
      </c>
      <c r="M1357" s="686">
        <f t="shared" si="38"/>
        <v>206.8</v>
      </c>
    </row>
    <row r="1358" spans="2:13" s="645" customFormat="1" ht="21.75" customHeight="1">
      <c r="B1358" s="661">
        <v>44412</v>
      </c>
      <c r="C1358" s="662" t="s">
        <v>819</v>
      </c>
      <c r="D1358" s="663" t="s">
        <v>849</v>
      </c>
      <c r="E1358" s="664" t="s">
        <v>831</v>
      </c>
      <c r="F1358" s="665"/>
      <c r="G1358" s="663">
        <v>20</v>
      </c>
      <c r="H1358" s="662" t="s">
        <v>807</v>
      </c>
      <c r="I1358" s="666" t="s">
        <v>857</v>
      </c>
      <c r="J1358" s="667" t="s">
        <v>805</v>
      </c>
      <c r="K1358" s="662">
        <v>2</v>
      </c>
      <c r="L1358" s="685">
        <f t="shared" si="39"/>
        <v>18.8</v>
      </c>
      <c r="M1358" s="686">
        <f t="shared" si="38"/>
        <v>37.6</v>
      </c>
    </row>
    <row r="1359" spans="2:13" s="645" customFormat="1" ht="21.75" customHeight="1">
      <c r="B1359" s="661">
        <v>44412</v>
      </c>
      <c r="C1359" s="662" t="s">
        <v>819</v>
      </c>
      <c r="D1359" s="663" t="s">
        <v>840</v>
      </c>
      <c r="E1359" s="664" t="s">
        <v>831</v>
      </c>
      <c r="F1359" s="665"/>
      <c r="G1359" s="663">
        <v>20</v>
      </c>
      <c r="H1359" s="662" t="s">
        <v>807</v>
      </c>
      <c r="I1359" s="666" t="s">
        <v>859</v>
      </c>
      <c r="J1359" s="667" t="s">
        <v>884</v>
      </c>
      <c r="K1359" s="662">
        <v>2</v>
      </c>
      <c r="L1359" s="685">
        <f t="shared" si="39"/>
        <v>18.8</v>
      </c>
      <c r="M1359" s="686">
        <f t="shared" si="38"/>
        <v>37.6</v>
      </c>
    </row>
    <row r="1360" spans="2:13" s="645" customFormat="1" ht="21.75" customHeight="1">
      <c r="B1360" s="661">
        <v>44412</v>
      </c>
      <c r="C1360" s="662" t="s">
        <v>819</v>
      </c>
      <c r="D1360" s="663" t="s">
        <v>840</v>
      </c>
      <c r="E1360" s="664" t="s">
        <v>831</v>
      </c>
      <c r="F1360" s="665"/>
      <c r="G1360" s="663">
        <v>20</v>
      </c>
      <c r="H1360" s="662" t="s">
        <v>807</v>
      </c>
      <c r="I1360" s="666" t="s">
        <v>857</v>
      </c>
      <c r="J1360" s="667" t="s">
        <v>884</v>
      </c>
      <c r="K1360" s="662">
        <v>2</v>
      </c>
      <c r="L1360" s="685">
        <f t="shared" si="39"/>
        <v>18.8</v>
      </c>
      <c r="M1360" s="686">
        <f t="shared" si="38"/>
        <v>37.6</v>
      </c>
    </row>
    <row r="1361" spans="2:13" s="645" customFormat="1" ht="21.75" customHeight="1">
      <c r="B1361" s="661">
        <v>44412</v>
      </c>
      <c r="C1361" s="662" t="s">
        <v>819</v>
      </c>
      <c r="D1361" s="663" t="s">
        <v>835</v>
      </c>
      <c r="E1361" s="664" t="s">
        <v>831</v>
      </c>
      <c r="F1361" s="665"/>
      <c r="G1361" s="663">
        <v>20</v>
      </c>
      <c r="H1361" s="662" t="s">
        <v>807</v>
      </c>
      <c r="I1361" s="666" t="s">
        <v>859</v>
      </c>
      <c r="J1361" s="667" t="s">
        <v>805</v>
      </c>
      <c r="K1361" s="662">
        <v>1</v>
      </c>
      <c r="L1361" s="685">
        <f t="shared" si="39"/>
        <v>18.8</v>
      </c>
      <c r="M1361" s="686">
        <f t="shared" si="38"/>
        <v>18.8</v>
      </c>
    </row>
    <row r="1362" spans="2:13" s="645" customFormat="1" ht="21.75" customHeight="1">
      <c r="B1362" s="661">
        <v>44412</v>
      </c>
      <c r="C1362" s="662" t="s">
        <v>819</v>
      </c>
      <c r="D1362" s="663" t="s">
        <v>835</v>
      </c>
      <c r="E1362" s="664" t="s">
        <v>831</v>
      </c>
      <c r="F1362" s="665"/>
      <c r="G1362" s="663">
        <v>20</v>
      </c>
      <c r="H1362" s="662" t="s">
        <v>807</v>
      </c>
      <c r="I1362" s="666" t="s">
        <v>859</v>
      </c>
      <c r="J1362" s="667" t="s">
        <v>884</v>
      </c>
      <c r="K1362" s="662">
        <v>1</v>
      </c>
      <c r="L1362" s="685">
        <f t="shared" si="39"/>
        <v>18.8</v>
      </c>
      <c r="M1362" s="686">
        <f t="shared" si="38"/>
        <v>18.8</v>
      </c>
    </row>
    <row r="1363" spans="2:13" s="645" customFormat="1" ht="21.75" customHeight="1">
      <c r="B1363" s="661">
        <v>44412</v>
      </c>
      <c r="C1363" s="662" t="s">
        <v>819</v>
      </c>
      <c r="D1363" s="663" t="s">
        <v>841</v>
      </c>
      <c r="E1363" s="664" t="s">
        <v>831</v>
      </c>
      <c r="F1363" s="665"/>
      <c r="G1363" s="663">
        <v>20</v>
      </c>
      <c r="H1363" s="662" t="s">
        <v>807</v>
      </c>
      <c r="I1363" s="666" t="s">
        <v>857</v>
      </c>
      <c r="J1363" s="667" t="s">
        <v>884</v>
      </c>
      <c r="K1363" s="662">
        <v>1</v>
      </c>
      <c r="L1363" s="685">
        <f t="shared" si="39"/>
        <v>18.8</v>
      </c>
      <c r="M1363" s="686">
        <f t="shared" si="38"/>
        <v>18.8</v>
      </c>
    </row>
    <row r="1364" spans="2:13" s="645" customFormat="1" ht="21.75" customHeight="1">
      <c r="B1364" s="661">
        <v>44412</v>
      </c>
      <c r="C1364" s="662" t="s">
        <v>819</v>
      </c>
      <c r="D1364" s="663" t="s">
        <v>848</v>
      </c>
      <c r="E1364" s="664" t="s">
        <v>831</v>
      </c>
      <c r="F1364" s="665"/>
      <c r="G1364" s="663">
        <v>20</v>
      </c>
      <c r="H1364" s="662" t="s">
        <v>807</v>
      </c>
      <c r="I1364" s="666" t="s">
        <v>857</v>
      </c>
      <c r="J1364" s="667" t="s">
        <v>884</v>
      </c>
      <c r="K1364" s="662">
        <v>4</v>
      </c>
      <c r="L1364" s="685">
        <f t="shared" si="39"/>
        <v>18.8</v>
      </c>
      <c r="M1364" s="686">
        <f t="shared" si="38"/>
        <v>75.2</v>
      </c>
    </row>
    <row r="1365" spans="2:13" s="645" customFormat="1" ht="21.75" customHeight="1">
      <c r="B1365" s="661">
        <v>44412</v>
      </c>
      <c r="C1365" s="662" t="s">
        <v>819</v>
      </c>
      <c r="D1365" s="663" t="s">
        <v>833</v>
      </c>
      <c r="E1365" s="664" t="s">
        <v>831</v>
      </c>
      <c r="F1365" s="665"/>
      <c r="G1365" s="663">
        <v>15</v>
      </c>
      <c r="H1365" s="662" t="s">
        <v>807</v>
      </c>
      <c r="I1365" s="666" t="s">
        <v>859</v>
      </c>
      <c r="J1365" s="667" t="s">
        <v>805</v>
      </c>
      <c r="K1365" s="662">
        <v>4</v>
      </c>
      <c r="L1365" s="685">
        <f t="shared" si="39"/>
        <v>14.1</v>
      </c>
      <c r="M1365" s="686">
        <f t="shared" si="38"/>
        <v>56.4</v>
      </c>
    </row>
    <row r="1366" spans="2:13" s="645" customFormat="1" ht="21.75" customHeight="1">
      <c r="B1366" s="661">
        <v>44412</v>
      </c>
      <c r="C1366" s="662" t="s">
        <v>819</v>
      </c>
      <c r="D1366" s="663" t="s">
        <v>830</v>
      </c>
      <c r="E1366" s="664" t="s">
        <v>831</v>
      </c>
      <c r="F1366" s="665"/>
      <c r="G1366" s="663">
        <v>15</v>
      </c>
      <c r="H1366" s="662" t="s">
        <v>807</v>
      </c>
      <c r="I1366" s="666" t="s">
        <v>859</v>
      </c>
      <c r="J1366" s="667" t="s">
        <v>805</v>
      </c>
      <c r="K1366" s="662">
        <v>7</v>
      </c>
      <c r="L1366" s="685">
        <f t="shared" si="39"/>
        <v>14.1</v>
      </c>
      <c r="M1366" s="686">
        <f t="shared" si="38"/>
        <v>98.7</v>
      </c>
    </row>
    <row r="1367" spans="2:13" s="645" customFormat="1" ht="21.75" customHeight="1">
      <c r="B1367" s="661">
        <v>44412</v>
      </c>
      <c r="C1367" s="662" t="s">
        <v>819</v>
      </c>
      <c r="D1367" s="663" t="s">
        <v>830</v>
      </c>
      <c r="E1367" s="664" t="s">
        <v>831</v>
      </c>
      <c r="F1367" s="665"/>
      <c r="G1367" s="663">
        <v>15</v>
      </c>
      <c r="H1367" s="662" t="s">
        <v>807</v>
      </c>
      <c r="I1367" s="666" t="s">
        <v>857</v>
      </c>
      <c r="J1367" s="667" t="s">
        <v>805</v>
      </c>
      <c r="K1367" s="662">
        <v>1</v>
      </c>
      <c r="L1367" s="685">
        <f t="shared" si="39"/>
        <v>14.1</v>
      </c>
      <c r="M1367" s="686">
        <f t="shared" si="38"/>
        <v>14.1</v>
      </c>
    </row>
    <row r="1368" spans="2:13" s="645" customFormat="1" ht="21.75" customHeight="1">
      <c r="B1368" s="661">
        <v>44412</v>
      </c>
      <c r="C1368" s="662" t="s">
        <v>819</v>
      </c>
      <c r="D1368" s="663" t="s">
        <v>844</v>
      </c>
      <c r="E1368" s="664" t="s">
        <v>831</v>
      </c>
      <c r="F1368" s="665"/>
      <c r="G1368" s="663">
        <v>15</v>
      </c>
      <c r="H1368" s="662" t="s">
        <v>807</v>
      </c>
      <c r="I1368" s="666" t="s">
        <v>859</v>
      </c>
      <c r="J1368" s="667" t="s">
        <v>884</v>
      </c>
      <c r="K1368" s="662">
        <v>4</v>
      </c>
      <c r="L1368" s="685">
        <f t="shared" si="39"/>
        <v>14.1</v>
      </c>
      <c r="M1368" s="686">
        <f t="shared" si="38"/>
        <v>56.4</v>
      </c>
    </row>
    <row r="1369" spans="2:13" s="645" customFormat="1" ht="21.75" customHeight="1">
      <c r="B1369" s="661">
        <v>44412</v>
      </c>
      <c r="C1369" s="662" t="s">
        <v>819</v>
      </c>
      <c r="D1369" s="663" t="s">
        <v>844</v>
      </c>
      <c r="E1369" s="664" t="s">
        <v>831</v>
      </c>
      <c r="F1369" s="665"/>
      <c r="G1369" s="663">
        <v>15</v>
      </c>
      <c r="H1369" s="662" t="s">
        <v>807</v>
      </c>
      <c r="I1369" s="666" t="s">
        <v>857</v>
      </c>
      <c r="J1369" s="667" t="s">
        <v>884</v>
      </c>
      <c r="K1369" s="662">
        <v>2</v>
      </c>
      <c r="L1369" s="685">
        <f t="shared" si="39"/>
        <v>14.1</v>
      </c>
      <c r="M1369" s="686">
        <f t="shared" si="38"/>
        <v>28.2</v>
      </c>
    </row>
    <row r="1370" spans="2:13" s="645" customFormat="1" ht="21.75" customHeight="1">
      <c r="B1370" s="661">
        <v>44412</v>
      </c>
      <c r="C1370" s="662" t="s">
        <v>819</v>
      </c>
      <c r="D1370" s="663" t="s">
        <v>850</v>
      </c>
      <c r="E1370" s="664" t="s">
        <v>831</v>
      </c>
      <c r="F1370" s="665"/>
      <c r="G1370" s="663">
        <v>15</v>
      </c>
      <c r="H1370" s="662" t="s">
        <v>807</v>
      </c>
      <c r="I1370" s="666" t="s">
        <v>859</v>
      </c>
      <c r="J1370" s="667" t="s">
        <v>805</v>
      </c>
      <c r="K1370" s="662">
        <v>8</v>
      </c>
      <c r="L1370" s="685">
        <f t="shared" si="39"/>
        <v>14.1</v>
      </c>
      <c r="M1370" s="686">
        <f t="shared" si="38"/>
        <v>112.8</v>
      </c>
    </row>
    <row r="1371" spans="2:13" s="645" customFormat="1" ht="21.75" customHeight="1">
      <c r="B1371" s="661">
        <v>44412</v>
      </c>
      <c r="C1371" s="662" t="s">
        <v>819</v>
      </c>
      <c r="D1371" s="663" t="s">
        <v>850</v>
      </c>
      <c r="E1371" s="664" t="s">
        <v>831</v>
      </c>
      <c r="F1371" s="665"/>
      <c r="G1371" s="663">
        <v>15</v>
      </c>
      <c r="H1371" s="662" t="s">
        <v>807</v>
      </c>
      <c r="I1371" s="666" t="s">
        <v>857</v>
      </c>
      <c r="J1371" s="667" t="s">
        <v>884</v>
      </c>
      <c r="K1371" s="662">
        <v>2</v>
      </c>
      <c r="L1371" s="685">
        <f t="shared" si="39"/>
        <v>14.1</v>
      </c>
      <c r="M1371" s="686">
        <f t="shared" si="38"/>
        <v>28.2</v>
      </c>
    </row>
    <row r="1372" spans="2:13" s="645" customFormat="1" ht="21.75" customHeight="1">
      <c r="B1372" s="661">
        <v>44412</v>
      </c>
      <c r="C1372" s="662" t="s">
        <v>819</v>
      </c>
      <c r="D1372" s="663" t="s">
        <v>839</v>
      </c>
      <c r="E1372" s="664" t="s">
        <v>831</v>
      </c>
      <c r="F1372" s="665"/>
      <c r="G1372" s="663">
        <v>15</v>
      </c>
      <c r="H1372" s="662" t="s">
        <v>807</v>
      </c>
      <c r="I1372" s="666" t="s">
        <v>859</v>
      </c>
      <c r="J1372" s="667" t="s">
        <v>884</v>
      </c>
      <c r="K1372" s="662">
        <v>8</v>
      </c>
      <c r="L1372" s="685">
        <f t="shared" si="39"/>
        <v>14.1</v>
      </c>
      <c r="M1372" s="686">
        <f t="shared" si="38"/>
        <v>112.8</v>
      </c>
    </row>
    <row r="1373" spans="2:13" s="645" customFormat="1" ht="21.75" customHeight="1">
      <c r="B1373" s="661">
        <v>44412</v>
      </c>
      <c r="C1373" s="662" t="s">
        <v>819</v>
      </c>
      <c r="D1373" s="663" t="s">
        <v>839</v>
      </c>
      <c r="E1373" s="664" t="s">
        <v>831</v>
      </c>
      <c r="F1373" s="665"/>
      <c r="G1373" s="663">
        <v>15</v>
      </c>
      <c r="H1373" s="662" t="s">
        <v>807</v>
      </c>
      <c r="I1373" s="666" t="s">
        <v>857</v>
      </c>
      <c r="J1373" s="667" t="s">
        <v>884</v>
      </c>
      <c r="K1373" s="662">
        <v>1</v>
      </c>
      <c r="L1373" s="685">
        <f t="shared" si="39"/>
        <v>14.1</v>
      </c>
      <c r="M1373" s="686">
        <f t="shared" si="38"/>
        <v>14.1</v>
      </c>
    </row>
    <row r="1374" spans="2:13" s="645" customFormat="1" ht="21.75" customHeight="1">
      <c r="B1374" s="661">
        <v>44412</v>
      </c>
      <c r="C1374" s="662" t="s">
        <v>819</v>
      </c>
      <c r="D1374" s="663" t="s">
        <v>847</v>
      </c>
      <c r="E1374" s="664" t="s">
        <v>831</v>
      </c>
      <c r="F1374" s="665"/>
      <c r="G1374" s="663">
        <v>17</v>
      </c>
      <c r="H1374" s="662" t="s">
        <v>807</v>
      </c>
      <c r="I1374" s="666" t="s">
        <v>857</v>
      </c>
      <c r="J1374" s="667" t="s">
        <v>884</v>
      </c>
      <c r="K1374" s="662">
        <v>9</v>
      </c>
      <c r="L1374" s="685">
        <f t="shared" si="39"/>
        <v>15.98</v>
      </c>
      <c r="M1374" s="686">
        <f t="shared" si="38"/>
        <v>143.82</v>
      </c>
    </row>
    <row r="1375" spans="2:13" s="645" customFormat="1" ht="21.75" customHeight="1">
      <c r="B1375" s="661">
        <v>44412</v>
      </c>
      <c r="C1375" s="662" t="s">
        <v>819</v>
      </c>
      <c r="D1375" s="663" t="s">
        <v>849</v>
      </c>
      <c r="E1375" s="664" t="s">
        <v>831</v>
      </c>
      <c r="F1375" s="665"/>
      <c r="G1375" s="663">
        <v>20</v>
      </c>
      <c r="H1375" s="662" t="s">
        <v>807</v>
      </c>
      <c r="I1375" s="666" t="s">
        <v>859</v>
      </c>
      <c r="J1375" s="667" t="s">
        <v>802</v>
      </c>
      <c r="K1375" s="662">
        <v>6</v>
      </c>
      <c r="L1375" s="685">
        <f t="shared" si="39"/>
        <v>18.8</v>
      </c>
      <c r="M1375" s="686">
        <f t="shared" si="38"/>
        <v>112.80000000000001</v>
      </c>
    </row>
    <row r="1376" spans="2:13" s="645" customFormat="1" ht="21.75" customHeight="1">
      <c r="B1376" s="661">
        <v>44412</v>
      </c>
      <c r="C1376" s="662" t="s">
        <v>819</v>
      </c>
      <c r="D1376" s="663" t="s">
        <v>840</v>
      </c>
      <c r="E1376" s="664" t="s">
        <v>831</v>
      </c>
      <c r="F1376" s="665"/>
      <c r="G1376" s="663">
        <v>20</v>
      </c>
      <c r="H1376" s="662" t="s">
        <v>807</v>
      </c>
      <c r="I1376" s="666" t="s">
        <v>859</v>
      </c>
      <c r="J1376" s="667" t="s">
        <v>802</v>
      </c>
      <c r="K1376" s="662">
        <v>5</v>
      </c>
      <c r="L1376" s="685">
        <f t="shared" si="39"/>
        <v>18.8</v>
      </c>
      <c r="M1376" s="686">
        <f t="shared" si="38"/>
        <v>94</v>
      </c>
    </row>
    <row r="1377" spans="2:13" s="645" customFormat="1" ht="21.75" customHeight="1">
      <c r="B1377" s="661">
        <v>44412</v>
      </c>
      <c r="C1377" s="662" t="s">
        <v>819</v>
      </c>
      <c r="D1377" s="663" t="s">
        <v>835</v>
      </c>
      <c r="E1377" s="664" t="s">
        <v>831</v>
      </c>
      <c r="F1377" s="665"/>
      <c r="G1377" s="663">
        <v>20</v>
      </c>
      <c r="H1377" s="662" t="s">
        <v>807</v>
      </c>
      <c r="I1377" s="666" t="s">
        <v>857</v>
      </c>
      <c r="J1377" s="667" t="s">
        <v>802</v>
      </c>
      <c r="K1377" s="662">
        <v>7</v>
      </c>
      <c r="L1377" s="685">
        <f t="shared" si="39"/>
        <v>18.8</v>
      </c>
      <c r="M1377" s="686">
        <f t="shared" si="38"/>
        <v>131.6</v>
      </c>
    </row>
    <row r="1378" spans="2:13" s="645" customFormat="1" ht="21.75" customHeight="1">
      <c r="B1378" s="661">
        <v>44412</v>
      </c>
      <c r="C1378" s="662" t="s">
        <v>819</v>
      </c>
      <c r="D1378" s="663" t="s">
        <v>841</v>
      </c>
      <c r="E1378" s="664" t="s">
        <v>831</v>
      </c>
      <c r="F1378" s="665"/>
      <c r="G1378" s="663">
        <v>20</v>
      </c>
      <c r="H1378" s="662" t="s">
        <v>807</v>
      </c>
      <c r="I1378" s="666" t="s">
        <v>859</v>
      </c>
      <c r="J1378" s="667" t="s">
        <v>802</v>
      </c>
      <c r="K1378" s="662">
        <v>1</v>
      </c>
      <c r="L1378" s="685">
        <f t="shared" si="39"/>
        <v>18.8</v>
      </c>
      <c r="M1378" s="686">
        <f t="shared" si="38"/>
        <v>18.8</v>
      </c>
    </row>
    <row r="1379" spans="2:13" s="645" customFormat="1" ht="21.75" customHeight="1">
      <c r="B1379" s="661">
        <v>44412</v>
      </c>
      <c r="C1379" s="662" t="s">
        <v>819</v>
      </c>
      <c r="D1379" s="663" t="s">
        <v>841</v>
      </c>
      <c r="E1379" s="664" t="s">
        <v>831</v>
      </c>
      <c r="F1379" s="665"/>
      <c r="G1379" s="663">
        <v>20</v>
      </c>
      <c r="H1379" s="662" t="s">
        <v>807</v>
      </c>
      <c r="I1379" s="666" t="s">
        <v>857</v>
      </c>
      <c r="J1379" s="667" t="s">
        <v>802</v>
      </c>
      <c r="K1379" s="662">
        <v>7</v>
      </c>
      <c r="L1379" s="685">
        <f t="shared" si="39"/>
        <v>18.8</v>
      </c>
      <c r="M1379" s="686">
        <f t="shared" si="38"/>
        <v>131.6</v>
      </c>
    </row>
    <row r="1380" spans="2:13" s="645" customFormat="1" ht="21.75" customHeight="1">
      <c r="B1380" s="661">
        <v>44412</v>
      </c>
      <c r="C1380" s="662" t="s">
        <v>819</v>
      </c>
      <c r="D1380" s="663" t="s">
        <v>834</v>
      </c>
      <c r="E1380" s="664" t="s">
        <v>831</v>
      </c>
      <c r="F1380" s="665"/>
      <c r="G1380" s="663">
        <v>20</v>
      </c>
      <c r="H1380" s="662" t="s">
        <v>807</v>
      </c>
      <c r="I1380" s="666" t="s">
        <v>859</v>
      </c>
      <c r="J1380" s="667" t="s">
        <v>802</v>
      </c>
      <c r="K1380" s="662">
        <v>6</v>
      </c>
      <c r="L1380" s="685">
        <f t="shared" si="39"/>
        <v>18.8</v>
      </c>
      <c r="M1380" s="686">
        <f t="shared" si="38"/>
        <v>112.80000000000001</v>
      </c>
    </row>
    <row r="1381" spans="2:13" s="645" customFormat="1" ht="21.75" customHeight="1">
      <c r="B1381" s="661">
        <v>44412</v>
      </c>
      <c r="C1381" s="662" t="s">
        <v>819</v>
      </c>
      <c r="D1381" s="663" t="s">
        <v>834</v>
      </c>
      <c r="E1381" s="664" t="s">
        <v>831</v>
      </c>
      <c r="F1381" s="665"/>
      <c r="G1381" s="663">
        <v>20</v>
      </c>
      <c r="H1381" s="662" t="s">
        <v>807</v>
      </c>
      <c r="I1381" s="666" t="s">
        <v>857</v>
      </c>
      <c r="J1381" s="667" t="s">
        <v>802</v>
      </c>
      <c r="K1381" s="662">
        <v>4</v>
      </c>
      <c r="L1381" s="685">
        <f t="shared" si="39"/>
        <v>18.8</v>
      </c>
      <c r="M1381" s="686">
        <f t="shared" si="38"/>
        <v>75.2</v>
      </c>
    </row>
    <row r="1382" spans="2:13" s="645" customFormat="1" ht="21.75" customHeight="1">
      <c r="B1382" s="661">
        <v>44412</v>
      </c>
      <c r="C1382" s="662" t="s">
        <v>819</v>
      </c>
      <c r="D1382" s="663" t="s">
        <v>848</v>
      </c>
      <c r="E1382" s="664" t="s">
        <v>831</v>
      </c>
      <c r="F1382" s="665"/>
      <c r="G1382" s="663">
        <v>20</v>
      </c>
      <c r="H1382" s="662" t="s">
        <v>807</v>
      </c>
      <c r="I1382" s="666" t="s">
        <v>859</v>
      </c>
      <c r="J1382" s="667" t="s">
        <v>802</v>
      </c>
      <c r="K1382" s="662">
        <v>5</v>
      </c>
      <c r="L1382" s="685">
        <f t="shared" si="39"/>
        <v>18.8</v>
      </c>
      <c r="M1382" s="686">
        <f t="shared" si="38"/>
        <v>94</v>
      </c>
    </row>
    <row r="1383" spans="2:13" s="645" customFormat="1" ht="21.75" customHeight="1">
      <c r="B1383" s="661">
        <v>44412</v>
      </c>
      <c r="C1383" s="662" t="s">
        <v>819</v>
      </c>
      <c r="D1383" s="663" t="s">
        <v>836</v>
      </c>
      <c r="E1383" s="664" t="s">
        <v>831</v>
      </c>
      <c r="F1383" s="665"/>
      <c r="G1383" s="663">
        <v>20</v>
      </c>
      <c r="H1383" s="662" t="s">
        <v>807</v>
      </c>
      <c r="I1383" s="666" t="s">
        <v>859</v>
      </c>
      <c r="J1383" s="667" t="s">
        <v>802</v>
      </c>
      <c r="K1383" s="662">
        <v>7</v>
      </c>
      <c r="L1383" s="685">
        <f t="shared" si="39"/>
        <v>18.8</v>
      </c>
      <c r="M1383" s="686">
        <f t="shared" ref="M1383:M1446" si="40">L1383*K1383</f>
        <v>131.6</v>
      </c>
    </row>
    <row r="1384" spans="2:13" s="645" customFormat="1" ht="21.75" customHeight="1">
      <c r="B1384" s="661">
        <v>44412</v>
      </c>
      <c r="C1384" s="662" t="s">
        <v>819</v>
      </c>
      <c r="D1384" s="663" t="s">
        <v>836</v>
      </c>
      <c r="E1384" s="664" t="s">
        <v>831</v>
      </c>
      <c r="F1384" s="665"/>
      <c r="G1384" s="663">
        <v>20</v>
      </c>
      <c r="H1384" s="662" t="s">
        <v>807</v>
      </c>
      <c r="I1384" s="666" t="s">
        <v>857</v>
      </c>
      <c r="J1384" s="667" t="s">
        <v>802</v>
      </c>
      <c r="K1384" s="662">
        <v>3</v>
      </c>
      <c r="L1384" s="685">
        <f t="shared" si="39"/>
        <v>18.8</v>
      </c>
      <c r="M1384" s="686">
        <f t="shared" si="40"/>
        <v>56.400000000000006</v>
      </c>
    </row>
    <row r="1385" spans="2:13" s="645" customFormat="1" ht="21.75" customHeight="1">
      <c r="B1385" s="661">
        <v>44412</v>
      </c>
      <c r="C1385" s="662" t="s">
        <v>819</v>
      </c>
      <c r="D1385" s="663" t="s">
        <v>833</v>
      </c>
      <c r="E1385" s="664" t="s">
        <v>831</v>
      </c>
      <c r="F1385" s="665"/>
      <c r="G1385" s="663">
        <v>15</v>
      </c>
      <c r="H1385" s="662" t="s">
        <v>807</v>
      </c>
      <c r="I1385" s="666" t="s">
        <v>859</v>
      </c>
      <c r="J1385" s="667" t="s">
        <v>802</v>
      </c>
      <c r="K1385" s="662">
        <v>5</v>
      </c>
      <c r="L1385" s="685">
        <f t="shared" si="39"/>
        <v>14.1</v>
      </c>
      <c r="M1385" s="686">
        <f t="shared" si="40"/>
        <v>70.5</v>
      </c>
    </row>
    <row r="1386" spans="2:13" s="645" customFormat="1" ht="21.75" customHeight="1">
      <c r="B1386" s="661">
        <v>44412</v>
      </c>
      <c r="C1386" s="662" t="s">
        <v>819</v>
      </c>
      <c r="D1386" s="663" t="s">
        <v>844</v>
      </c>
      <c r="E1386" s="664" t="s">
        <v>831</v>
      </c>
      <c r="F1386" s="665"/>
      <c r="G1386" s="663">
        <v>15</v>
      </c>
      <c r="H1386" s="662" t="s">
        <v>807</v>
      </c>
      <c r="I1386" s="666" t="s">
        <v>859</v>
      </c>
      <c r="J1386" s="667" t="s">
        <v>802</v>
      </c>
      <c r="K1386" s="662">
        <v>3</v>
      </c>
      <c r="L1386" s="685">
        <f t="shared" si="39"/>
        <v>14.1</v>
      </c>
      <c r="M1386" s="686">
        <f t="shared" si="40"/>
        <v>42.3</v>
      </c>
    </row>
    <row r="1387" spans="2:13" s="645" customFormat="1" ht="21.75" customHeight="1">
      <c r="B1387" s="661">
        <v>44412</v>
      </c>
      <c r="C1387" s="662" t="s">
        <v>819</v>
      </c>
      <c r="D1387" s="663" t="s">
        <v>845</v>
      </c>
      <c r="E1387" s="664" t="s">
        <v>831</v>
      </c>
      <c r="F1387" s="665"/>
      <c r="G1387" s="663">
        <v>17</v>
      </c>
      <c r="H1387" s="662" t="s">
        <v>807</v>
      </c>
      <c r="I1387" s="666" t="s">
        <v>859</v>
      </c>
      <c r="J1387" s="667" t="s">
        <v>802</v>
      </c>
      <c r="K1387" s="662">
        <v>6</v>
      </c>
      <c r="L1387" s="685">
        <f t="shared" si="39"/>
        <v>15.98</v>
      </c>
      <c r="M1387" s="686">
        <f t="shared" si="40"/>
        <v>95.88</v>
      </c>
    </row>
    <row r="1388" spans="2:13" s="645" customFormat="1" ht="21.75" customHeight="1">
      <c r="B1388" s="661">
        <v>44412</v>
      </c>
      <c r="C1388" s="662" t="s">
        <v>819</v>
      </c>
      <c r="D1388" s="663" t="s">
        <v>845</v>
      </c>
      <c r="E1388" s="664" t="s">
        <v>831</v>
      </c>
      <c r="F1388" s="665"/>
      <c r="G1388" s="663">
        <v>17</v>
      </c>
      <c r="H1388" s="662" t="s">
        <v>807</v>
      </c>
      <c r="I1388" s="666" t="s">
        <v>857</v>
      </c>
      <c r="J1388" s="667" t="s">
        <v>802</v>
      </c>
      <c r="K1388" s="662">
        <v>4</v>
      </c>
      <c r="L1388" s="685">
        <f t="shared" si="39"/>
        <v>15.98</v>
      </c>
      <c r="M1388" s="686">
        <f t="shared" si="40"/>
        <v>63.92</v>
      </c>
    </row>
    <row r="1389" spans="2:13" s="645" customFormat="1" ht="21.75" customHeight="1">
      <c r="B1389" s="661">
        <v>44412</v>
      </c>
      <c r="C1389" s="662" t="s">
        <v>819</v>
      </c>
      <c r="D1389" s="663" t="s">
        <v>856</v>
      </c>
      <c r="E1389" s="664" t="s">
        <v>831</v>
      </c>
      <c r="F1389" s="665"/>
      <c r="G1389" s="663">
        <v>20</v>
      </c>
      <c r="H1389" s="662" t="s">
        <v>807</v>
      </c>
      <c r="I1389" s="666" t="s">
        <v>859</v>
      </c>
      <c r="J1389" s="667" t="s">
        <v>802</v>
      </c>
      <c r="K1389" s="662">
        <v>5</v>
      </c>
      <c r="L1389" s="685">
        <f t="shared" si="39"/>
        <v>18.8</v>
      </c>
      <c r="M1389" s="686">
        <f t="shared" si="40"/>
        <v>94</v>
      </c>
    </row>
    <row r="1390" spans="2:13" s="645" customFormat="1" ht="21.75" customHeight="1">
      <c r="B1390" s="661">
        <v>44412</v>
      </c>
      <c r="C1390" s="662" t="s">
        <v>819</v>
      </c>
      <c r="D1390" s="663" t="s">
        <v>856</v>
      </c>
      <c r="E1390" s="664" t="s">
        <v>831</v>
      </c>
      <c r="F1390" s="665"/>
      <c r="G1390" s="663">
        <v>20</v>
      </c>
      <c r="H1390" s="662" t="s">
        <v>807</v>
      </c>
      <c r="I1390" s="666" t="s">
        <v>857</v>
      </c>
      <c r="J1390" s="667" t="s">
        <v>802</v>
      </c>
      <c r="K1390" s="662">
        <v>5</v>
      </c>
      <c r="L1390" s="685">
        <f t="shared" si="39"/>
        <v>18.8</v>
      </c>
      <c r="M1390" s="686">
        <f t="shared" si="40"/>
        <v>94</v>
      </c>
    </row>
    <row r="1391" spans="2:13" s="645" customFormat="1" ht="21.75" customHeight="1">
      <c r="B1391" s="661">
        <v>44412</v>
      </c>
      <c r="C1391" s="662" t="s">
        <v>819</v>
      </c>
      <c r="D1391" s="663" t="s">
        <v>855</v>
      </c>
      <c r="E1391" s="664" t="s">
        <v>831</v>
      </c>
      <c r="F1391" s="665"/>
      <c r="G1391" s="663">
        <v>20</v>
      </c>
      <c r="H1391" s="662" t="s">
        <v>807</v>
      </c>
      <c r="I1391" s="666" t="s">
        <v>859</v>
      </c>
      <c r="J1391" s="667" t="s">
        <v>802</v>
      </c>
      <c r="K1391" s="662">
        <v>7</v>
      </c>
      <c r="L1391" s="685">
        <f t="shared" si="39"/>
        <v>18.8</v>
      </c>
      <c r="M1391" s="686">
        <f t="shared" si="40"/>
        <v>131.6</v>
      </c>
    </row>
    <row r="1392" spans="2:13" s="645" customFormat="1" ht="21.75" customHeight="1">
      <c r="B1392" s="661">
        <v>44412</v>
      </c>
      <c r="C1392" s="662" t="s">
        <v>819</v>
      </c>
      <c r="D1392" s="663" t="s">
        <v>855</v>
      </c>
      <c r="E1392" s="664" t="s">
        <v>831</v>
      </c>
      <c r="F1392" s="665"/>
      <c r="G1392" s="663">
        <v>20</v>
      </c>
      <c r="H1392" s="662" t="s">
        <v>807</v>
      </c>
      <c r="I1392" s="666" t="s">
        <v>857</v>
      </c>
      <c r="J1392" s="667" t="s">
        <v>802</v>
      </c>
      <c r="K1392" s="662">
        <v>2</v>
      </c>
      <c r="L1392" s="685">
        <f t="shared" si="39"/>
        <v>18.8</v>
      </c>
      <c r="M1392" s="686">
        <f t="shared" si="40"/>
        <v>37.6</v>
      </c>
    </row>
    <row r="1393" spans="2:13" s="645" customFormat="1" ht="21.75" customHeight="1">
      <c r="B1393" s="661">
        <v>44412</v>
      </c>
      <c r="C1393" s="662" t="s">
        <v>837</v>
      </c>
      <c r="D1393" s="663" t="s">
        <v>849</v>
      </c>
      <c r="E1393" s="664" t="s">
        <v>831</v>
      </c>
      <c r="F1393" s="665"/>
      <c r="G1393" s="663">
        <v>20</v>
      </c>
      <c r="H1393" s="662" t="s">
        <v>807</v>
      </c>
      <c r="I1393" s="666" t="s">
        <v>857</v>
      </c>
      <c r="J1393" s="667" t="s">
        <v>802</v>
      </c>
      <c r="K1393" s="662">
        <v>4</v>
      </c>
      <c r="L1393" s="685">
        <f t="shared" si="39"/>
        <v>18.8</v>
      </c>
      <c r="M1393" s="686">
        <f t="shared" si="40"/>
        <v>75.2</v>
      </c>
    </row>
    <row r="1394" spans="2:13" s="645" customFormat="1" ht="21.75" customHeight="1">
      <c r="B1394" s="661">
        <v>44412</v>
      </c>
      <c r="C1394" s="662" t="s">
        <v>837</v>
      </c>
      <c r="D1394" s="663" t="s">
        <v>849</v>
      </c>
      <c r="E1394" s="664" t="s">
        <v>831</v>
      </c>
      <c r="F1394" s="665"/>
      <c r="G1394" s="663">
        <v>20</v>
      </c>
      <c r="H1394" s="662" t="s">
        <v>807</v>
      </c>
      <c r="I1394" s="666" t="s">
        <v>857</v>
      </c>
      <c r="J1394" s="667" t="s">
        <v>802</v>
      </c>
      <c r="K1394" s="662">
        <v>9</v>
      </c>
      <c r="L1394" s="685">
        <f t="shared" si="39"/>
        <v>18.8</v>
      </c>
      <c r="M1394" s="686">
        <f t="shared" si="40"/>
        <v>169.20000000000002</v>
      </c>
    </row>
    <row r="1395" spans="2:13" s="645" customFormat="1" ht="21.75" customHeight="1">
      <c r="B1395" s="661">
        <v>44412</v>
      </c>
      <c r="C1395" s="662" t="s">
        <v>837</v>
      </c>
      <c r="D1395" s="663" t="s">
        <v>840</v>
      </c>
      <c r="E1395" s="664" t="s">
        <v>831</v>
      </c>
      <c r="F1395" s="665"/>
      <c r="G1395" s="663">
        <v>20</v>
      </c>
      <c r="H1395" s="662" t="s">
        <v>807</v>
      </c>
      <c r="I1395" s="666" t="s">
        <v>857</v>
      </c>
      <c r="J1395" s="667" t="s">
        <v>802</v>
      </c>
      <c r="K1395" s="662">
        <v>7</v>
      </c>
      <c r="L1395" s="685">
        <f t="shared" si="39"/>
        <v>18.8</v>
      </c>
      <c r="M1395" s="686">
        <f t="shared" si="40"/>
        <v>131.6</v>
      </c>
    </row>
    <row r="1396" spans="2:13" s="645" customFormat="1" ht="21.75" customHeight="1">
      <c r="B1396" s="661">
        <v>44412</v>
      </c>
      <c r="C1396" s="662" t="s">
        <v>837</v>
      </c>
      <c r="D1396" s="663" t="s">
        <v>835</v>
      </c>
      <c r="E1396" s="664" t="s">
        <v>831</v>
      </c>
      <c r="F1396" s="665"/>
      <c r="G1396" s="663">
        <v>20</v>
      </c>
      <c r="H1396" s="662" t="s">
        <v>807</v>
      </c>
      <c r="I1396" s="666" t="s">
        <v>857</v>
      </c>
      <c r="J1396" s="667" t="s">
        <v>802</v>
      </c>
      <c r="K1396" s="662">
        <v>6</v>
      </c>
      <c r="L1396" s="685">
        <f t="shared" si="39"/>
        <v>18.8</v>
      </c>
      <c r="M1396" s="686">
        <f t="shared" si="40"/>
        <v>112.80000000000001</v>
      </c>
    </row>
    <row r="1397" spans="2:13" s="645" customFormat="1" ht="21.75" customHeight="1">
      <c r="B1397" s="661">
        <v>44412</v>
      </c>
      <c r="C1397" s="662" t="s">
        <v>837</v>
      </c>
      <c r="D1397" s="663" t="s">
        <v>841</v>
      </c>
      <c r="E1397" s="664" t="s">
        <v>831</v>
      </c>
      <c r="F1397" s="665"/>
      <c r="G1397" s="663">
        <v>20</v>
      </c>
      <c r="H1397" s="662" t="s">
        <v>807</v>
      </c>
      <c r="I1397" s="666" t="s">
        <v>857</v>
      </c>
      <c r="J1397" s="667" t="s">
        <v>802</v>
      </c>
      <c r="K1397" s="662">
        <v>13</v>
      </c>
      <c r="L1397" s="685">
        <f t="shared" si="39"/>
        <v>18.8</v>
      </c>
      <c r="M1397" s="686">
        <f t="shared" si="40"/>
        <v>244.4</v>
      </c>
    </row>
    <row r="1398" spans="2:13" s="645" customFormat="1" ht="21.75" customHeight="1">
      <c r="B1398" s="661">
        <v>44412</v>
      </c>
      <c r="C1398" s="662" t="s">
        <v>837</v>
      </c>
      <c r="D1398" s="663" t="s">
        <v>834</v>
      </c>
      <c r="E1398" s="664" t="s">
        <v>831</v>
      </c>
      <c r="F1398" s="665"/>
      <c r="G1398" s="663">
        <v>20</v>
      </c>
      <c r="H1398" s="662" t="s">
        <v>807</v>
      </c>
      <c r="I1398" s="666" t="s">
        <v>857</v>
      </c>
      <c r="J1398" s="667" t="s">
        <v>802</v>
      </c>
      <c r="K1398" s="662">
        <v>5</v>
      </c>
      <c r="L1398" s="685">
        <f t="shared" si="39"/>
        <v>18.8</v>
      </c>
      <c r="M1398" s="686">
        <f t="shared" si="40"/>
        <v>94</v>
      </c>
    </row>
    <row r="1399" spans="2:13" s="645" customFormat="1" ht="21.75" customHeight="1">
      <c r="B1399" s="661">
        <v>44412</v>
      </c>
      <c r="C1399" s="662" t="s">
        <v>837</v>
      </c>
      <c r="D1399" s="663" t="s">
        <v>834</v>
      </c>
      <c r="E1399" s="664" t="s">
        <v>831</v>
      </c>
      <c r="F1399" s="665"/>
      <c r="G1399" s="663">
        <v>20</v>
      </c>
      <c r="H1399" s="662" t="s">
        <v>807</v>
      </c>
      <c r="I1399" s="666" t="s">
        <v>857</v>
      </c>
      <c r="J1399" s="667" t="s">
        <v>802</v>
      </c>
      <c r="K1399" s="662">
        <v>9</v>
      </c>
      <c r="L1399" s="685">
        <f t="shared" si="39"/>
        <v>18.8</v>
      </c>
      <c r="M1399" s="686">
        <f t="shared" si="40"/>
        <v>169.20000000000002</v>
      </c>
    </row>
    <row r="1400" spans="2:13" s="645" customFormat="1" ht="21.75" customHeight="1">
      <c r="B1400" s="661">
        <v>44412</v>
      </c>
      <c r="C1400" s="662" t="s">
        <v>837</v>
      </c>
      <c r="D1400" s="663" t="s">
        <v>848</v>
      </c>
      <c r="E1400" s="664" t="s">
        <v>831</v>
      </c>
      <c r="F1400" s="665"/>
      <c r="G1400" s="663">
        <v>20</v>
      </c>
      <c r="H1400" s="662" t="s">
        <v>807</v>
      </c>
      <c r="I1400" s="666" t="s">
        <v>857</v>
      </c>
      <c r="J1400" s="667" t="s">
        <v>802</v>
      </c>
      <c r="K1400" s="662">
        <v>8</v>
      </c>
      <c r="L1400" s="685">
        <f t="shared" si="39"/>
        <v>18.8</v>
      </c>
      <c r="M1400" s="686">
        <f t="shared" si="40"/>
        <v>150.4</v>
      </c>
    </row>
    <row r="1401" spans="2:13" s="645" customFormat="1" ht="21.75" customHeight="1">
      <c r="B1401" s="661">
        <v>44412</v>
      </c>
      <c r="C1401" s="662" t="s">
        <v>837</v>
      </c>
      <c r="D1401" s="663" t="s">
        <v>848</v>
      </c>
      <c r="E1401" s="664" t="s">
        <v>831</v>
      </c>
      <c r="F1401" s="665"/>
      <c r="G1401" s="663">
        <v>20</v>
      </c>
      <c r="H1401" s="662" t="s">
        <v>807</v>
      </c>
      <c r="I1401" s="666" t="s">
        <v>857</v>
      </c>
      <c r="J1401" s="667" t="s">
        <v>802</v>
      </c>
      <c r="K1401" s="662">
        <v>6</v>
      </c>
      <c r="L1401" s="685">
        <f t="shared" si="39"/>
        <v>18.8</v>
      </c>
      <c r="M1401" s="686">
        <f t="shared" si="40"/>
        <v>112.80000000000001</v>
      </c>
    </row>
    <row r="1402" spans="2:13" s="645" customFormat="1" ht="21.75" customHeight="1">
      <c r="B1402" s="661">
        <v>44412</v>
      </c>
      <c r="C1402" s="662" t="s">
        <v>837</v>
      </c>
      <c r="D1402" s="663" t="s">
        <v>845</v>
      </c>
      <c r="E1402" s="664" t="s">
        <v>831</v>
      </c>
      <c r="F1402" s="665"/>
      <c r="G1402" s="663">
        <v>15</v>
      </c>
      <c r="H1402" s="662" t="s">
        <v>807</v>
      </c>
      <c r="I1402" s="666" t="s">
        <v>857</v>
      </c>
      <c r="J1402" s="667" t="s">
        <v>802</v>
      </c>
      <c r="K1402" s="662">
        <v>4</v>
      </c>
      <c r="L1402" s="685">
        <f t="shared" si="39"/>
        <v>14.1</v>
      </c>
      <c r="M1402" s="686">
        <f t="shared" si="40"/>
        <v>56.4</v>
      </c>
    </row>
    <row r="1403" spans="2:13" s="645" customFormat="1" ht="21.75" customHeight="1">
      <c r="B1403" s="661">
        <v>44412</v>
      </c>
      <c r="C1403" s="662" t="s">
        <v>837</v>
      </c>
      <c r="D1403" s="663" t="s">
        <v>845</v>
      </c>
      <c r="E1403" s="664" t="s">
        <v>831</v>
      </c>
      <c r="F1403" s="665"/>
      <c r="G1403" s="663">
        <v>15</v>
      </c>
      <c r="H1403" s="662" t="s">
        <v>807</v>
      </c>
      <c r="I1403" s="666" t="s">
        <v>857</v>
      </c>
      <c r="J1403" s="667" t="s">
        <v>802</v>
      </c>
      <c r="K1403" s="662">
        <v>9</v>
      </c>
      <c r="L1403" s="685">
        <f t="shared" si="39"/>
        <v>14.1</v>
      </c>
      <c r="M1403" s="686">
        <f t="shared" si="40"/>
        <v>126.89999999999999</v>
      </c>
    </row>
    <row r="1404" spans="2:13" s="645" customFormat="1" ht="21.75" customHeight="1">
      <c r="B1404" s="661">
        <v>44412</v>
      </c>
      <c r="C1404" s="662" t="s">
        <v>837</v>
      </c>
      <c r="D1404" s="663" t="s">
        <v>847</v>
      </c>
      <c r="E1404" s="664" t="s">
        <v>831</v>
      </c>
      <c r="F1404" s="665"/>
      <c r="G1404" s="663">
        <v>17</v>
      </c>
      <c r="H1404" s="662" t="s">
        <v>807</v>
      </c>
      <c r="I1404" s="666" t="s">
        <v>857</v>
      </c>
      <c r="J1404" s="667" t="s">
        <v>802</v>
      </c>
      <c r="K1404" s="662">
        <v>3</v>
      </c>
      <c r="L1404" s="685">
        <f t="shared" si="39"/>
        <v>15.98</v>
      </c>
      <c r="M1404" s="686">
        <f t="shared" si="40"/>
        <v>47.94</v>
      </c>
    </row>
    <row r="1405" spans="2:13" s="645" customFormat="1" ht="21.75" customHeight="1">
      <c r="B1405" s="661">
        <v>44412</v>
      </c>
      <c r="C1405" s="662" t="s">
        <v>837</v>
      </c>
      <c r="D1405" s="663" t="s">
        <v>847</v>
      </c>
      <c r="E1405" s="664" t="s">
        <v>831</v>
      </c>
      <c r="F1405" s="665"/>
      <c r="G1405" s="663">
        <v>17</v>
      </c>
      <c r="H1405" s="662" t="s">
        <v>807</v>
      </c>
      <c r="I1405" s="666" t="s">
        <v>857</v>
      </c>
      <c r="J1405" s="667" t="s">
        <v>802</v>
      </c>
      <c r="K1405" s="662">
        <v>10</v>
      </c>
      <c r="L1405" s="685">
        <f t="shared" si="39"/>
        <v>15.98</v>
      </c>
      <c r="M1405" s="686">
        <f t="shared" si="40"/>
        <v>159.80000000000001</v>
      </c>
    </row>
    <row r="1406" spans="2:13" s="645" customFormat="1" ht="21.75" customHeight="1">
      <c r="B1406" s="661">
        <v>44412</v>
      </c>
      <c r="C1406" s="662" t="s">
        <v>837</v>
      </c>
      <c r="D1406" s="663" t="s">
        <v>856</v>
      </c>
      <c r="E1406" s="664" t="s">
        <v>831</v>
      </c>
      <c r="F1406" s="665"/>
      <c r="G1406" s="663">
        <v>20</v>
      </c>
      <c r="H1406" s="662" t="s">
        <v>807</v>
      </c>
      <c r="I1406" s="666" t="s">
        <v>857</v>
      </c>
      <c r="J1406" s="667" t="s">
        <v>802</v>
      </c>
      <c r="K1406" s="662">
        <v>13</v>
      </c>
      <c r="L1406" s="685">
        <f t="shared" si="39"/>
        <v>18.8</v>
      </c>
      <c r="M1406" s="686">
        <f t="shared" si="40"/>
        <v>244.4</v>
      </c>
    </row>
    <row r="1407" spans="2:13" s="645" customFormat="1" ht="21.75" customHeight="1">
      <c r="B1407" s="661">
        <v>44412</v>
      </c>
      <c r="C1407" s="662" t="s">
        <v>837</v>
      </c>
      <c r="D1407" s="663" t="s">
        <v>855</v>
      </c>
      <c r="E1407" s="664" t="s">
        <v>831</v>
      </c>
      <c r="F1407" s="665"/>
      <c r="G1407" s="663">
        <v>20</v>
      </c>
      <c r="H1407" s="662" t="s">
        <v>807</v>
      </c>
      <c r="I1407" s="666" t="s">
        <v>857</v>
      </c>
      <c r="J1407" s="667" t="s">
        <v>802</v>
      </c>
      <c r="K1407" s="662">
        <v>5</v>
      </c>
      <c r="L1407" s="685">
        <f t="shared" si="39"/>
        <v>18.8</v>
      </c>
      <c r="M1407" s="686">
        <f t="shared" si="40"/>
        <v>94</v>
      </c>
    </row>
    <row r="1408" spans="2:13" s="645" customFormat="1" ht="21.75" customHeight="1">
      <c r="B1408" s="661">
        <v>44412</v>
      </c>
      <c r="C1408" s="662" t="s">
        <v>837</v>
      </c>
      <c r="D1408" s="663" t="s">
        <v>855</v>
      </c>
      <c r="E1408" s="664" t="s">
        <v>831</v>
      </c>
      <c r="F1408" s="665"/>
      <c r="G1408" s="663">
        <v>20</v>
      </c>
      <c r="H1408" s="662" t="s">
        <v>807</v>
      </c>
      <c r="I1408" s="666" t="s">
        <v>857</v>
      </c>
      <c r="J1408" s="667" t="s">
        <v>802</v>
      </c>
      <c r="K1408" s="662">
        <v>10</v>
      </c>
      <c r="L1408" s="685">
        <f t="shared" si="39"/>
        <v>18.8</v>
      </c>
      <c r="M1408" s="686">
        <f t="shared" si="40"/>
        <v>188</v>
      </c>
    </row>
    <row r="1409" spans="2:13" s="645" customFormat="1" ht="21.75" customHeight="1">
      <c r="B1409" s="661">
        <v>44413</v>
      </c>
      <c r="C1409" s="662" t="s">
        <v>819</v>
      </c>
      <c r="D1409" s="663" t="s">
        <v>840</v>
      </c>
      <c r="E1409" s="664" t="s">
        <v>831</v>
      </c>
      <c r="F1409" s="665"/>
      <c r="G1409" s="663">
        <v>20</v>
      </c>
      <c r="H1409" s="662" t="s">
        <v>807</v>
      </c>
      <c r="I1409" s="666" t="s">
        <v>857</v>
      </c>
      <c r="J1409" s="667" t="s">
        <v>805</v>
      </c>
      <c r="K1409" s="662">
        <v>3</v>
      </c>
      <c r="L1409" s="685">
        <f t="shared" si="39"/>
        <v>18.8</v>
      </c>
      <c r="M1409" s="686">
        <f t="shared" si="40"/>
        <v>56.400000000000006</v>
      </c>
    </row>
    <row r="1410" spans="2:13" s="645" customFormat="1" ht="21.75" customHeight="1">
      <c r="B1410" s="661">
        <v>44413</v>
      </c>
      <c r="C1410" s="662" t="s">
        <v>819</v>
      </c>
      <c r="D1410" s="663" t="s">
        <v>840</v>
      </c>
      <c r="E1410" s="664" t="s">
        <v>831</v>
      </c>
      <c r="F1410" s="665"/>
      <c r="G1410" s="663">
        <v>20</v>
      </c>
      <c r="H1410" s="662" t="s">
        <v>807</v>
      </c>
      <c r="I1410" s="666" t="s">
        <v>859</v>
      </c>
      <c r="J1410" s="667" t="s">
        <v>884</v>
      </c>
      <c r="K1410" s="662">
        <v>1</v>
      </c>
      <c r="L1410" s="685">
        <f t="shared" si="39"/>
        <v>18.8</v>
      </c>
      <c r="M1410" s="686">
        <f t="shared" si="40"/>
        <v>18.8</v>
      </c>
    </row>
    <row r="1411" spans="2:13" s="645" customFormat="1" ht="21.75" customHeight="1">
      <c r="B1411" s="661">
        <v>44413</v>
      </c>
      <c r="C1411" s="662" t="s">
        <v>819</v>
      </c>
      <c r="D1411" s="663" t="s">
        <v>835</v>
      </c>
      <c r="E1411" s="664" t="s">
        <v>831</v>
      </c>
      <c r="F1411" s="665"/>
      <c r="G1411" s="663">
        <v>20</v>
      </c>
      <c r="H1411" s="662" t="s">
        <v>807</v>
      </c>
      <c r="I1411" s="666" t="s">
        <v>859</v>
      </c>
      <c r="J1411" s="667" t="s">
        <v>805</v>
      </c>
      <c r="K1411" s="662">
        <v>7</v>
      </c>
      <c r="L1411" s="685">
        <f t="shared" si="39"/>
        <v>18.8</v>
      </c>
      <c r="M1411" s="686">
        <f t="shared" si="40"/>
        <v>131.6</v>
      </c>
    </row>
    <row r="1412" spans="2:13" s="645" customFormat="1" ht="21.75" customHeight="1">
      <c r="B1412" s="661">
        <v>44413</v>
      </c>
      <c r="C1412" s="662" t="s">
        <v>819</v>
      </c>
      <c r="D1412" s="663" t="s">
        <v>841</v>
      </c>
      <c r="E1412" s="664" t="s">
        <v>831</v>
      </c>
      <c r="F1412" s="665"/>
      <c r="G1412" s="663">
        <v>20</v>
      </c>
      <c r="H1412" s="662" t="s">
        <v>807</v>
      </c>
      <c r="I1412" s="666" t="s">
        <v>859</v>
      </c>
      <c r="J1412" s="667" t="s">
        <v>805</v>
      </c>
      <c r="K1412" s="662">
        <v>3</v>
      </c>
      <c r="L1412" s="685">
        <f t="shared" si="39"/>
        <v>18.8</v>
      </c>
      <c r="M1412" s="686">
        <f t="shared" si="40"/>
        <v>56.400000000000006</v>
      </c>
    </row>
    <row r="1413" spans="2:13" s="645" customFormat="1" ht="21.75" customHeight="1">
      <c r="B1413" s="661">
        <v>44413</v>
      </c>
      <c r="C1413" s="662" t="s">
        <v>819</v>
      </c>
      <c r="D1413" s="663" t="s">
        <v>841</v>
      </c>
      <c r="E1413" s="664" t="s">
        <v>831</v>
      </c>
      <c r="F1413" s="665"/>
      <c r="G1413" s="663">
        <v>20</v>
      </c>
      <c r="H1413" s="662" t="s">
        <v>807</v>
      </c>
      <c r="I1413" s="666" t="s">
        <v>857</v>
      </c>
      <c r="J1413" s="667" t="s">
        <v>805</v>
      </c>
      <c r="K1413" s="662">
        <v>6</v>
      </c>
      <c r="L1413" s="685">
        <f t="shared" si="39"/>
        <v>18.8</v>
      </c>
      <c r="M1413" s="686">
        <f t="shared" si="40"/>
        <v>112.80000000000001</v>
      </c>
    </row>
    <row r="1414" spans="2:13" s="645" customFormat="1" ht="21.75" customHeight="1">
      <c r="B1414" s="661">
        <v>44413</v>
      </c>
      <c r="C1414" s="662" t="s">
        <v>819</v>
      </c>
      <c r="D1414" s="663" t="s">
        <v>834</v>
      </c>
      <c r="E1414" s="664" t="s">
        <v>831</v>
      </c>
      <c r="F1414" s="665"/>
      <c r="G1414" s="663">
        <v>20</v>
      </c>
      <c r="H1414" s="662" t="s">
        <v>807</v>
      </c>
      <c r="I1414" s="666" t="s">
        <v>859</v>
      </c>
      <c r="J1414" s="667" t="s">
        <v>805</v>
      </c>
      <c r="K1414" s="662">
        <v>6</v>
      </c>
      <c r="L1414" s="685">
        <f t="shared" si="39"/>
        <v>18.8</v>
      </c>
      <c r="M1414" s="686">
        <f t="shared" si="40"/>
        <v>112.80000000000001</v>
      </c>
    </row>
    <row r="1415" spans="2:13" s="645" customFormat="1" ht="21.75" customHeight="1">
      <c r="B1415" s="661">
        <v>44413</v>
      </c>
      <c r="C1415" s="662" t="s">
        <v>819</v>
      </c>
      <c r="D1415" s="663" t="s">
        <v>834</v>
      </c>
      <c r="E1415" s="664" t="s">
        <v>831</v>
      </c>
      <c r="F1415" s="665"/>
      <c r="G1415" s="663">
        <v>20</v>
      </c>
      <c r="H1415" s="662" t="s">
        <v>807</v>
      </c>
      <c r="I1415" s="666" t="s">
        <v>857</v>
      </c>
      <c r="J1415" s="667" t="s">
        <v>805</v>
      </c>
      <c r="K1415" s="662">
        <v>3</v>
      </c>
      <c r="L1415" s="685">
        <f t="shared" si="39"/>
        <v>18.8</v>
      </c>
      <c r="M1415" s="686">
        <f t="shared" si="40"/>
        <v>56.400000000000006</v>
      </c>
    </row>
    <row r="1416" spans="2:13" s="645" customFormat="1" ht="21.75" customHeight="1">
      <c r="B1416" s="661">
        <v>44413</v>
      </c>
      <c r="C1416" s="662" t="s">
        <v>819</v>
      </c>
      <c r="D1416" s="663" t="s">
        <v>848</v>
      </c>
      <c r="E1416" s="664" t="s">
        <v>831</v>
      </c>
      <c r="F1416" s="665"/>
      <c r="G1416" s="663">
        <v>20</v>
      </c>
      <c r="H1416" s="662" t="s">
        <v>807</v>
      </c>
      <c r="I1416" s="666" t="s">
        <v>859</v>
      </c>
      <c r="J1416" s="667" t="s">
        <v>805</v>
      </c>
      <c r="K1416" s="662">
        <v>4</v>
      </c>
      <c r="L1416" s="685">
        <f t="shared" si="39"/>
        <v>18.8</v>
      </c>
      <c r="M1416" s="686">
        <f t="shared" si="40"/>
        <v>75.2</v>
      </c>
    </row>
    <row r="1417" spans="2:13" s="645" customFormat="1" ht="21.75" customHeight="1">
      <c r="B1417" s="661">
        <v>44413</v>
      </c>
      <c r="C1417" s="662" t="s">
        <v>819</v>
      </c>
      <c r="D1417" s="663" t="s">
        <v>848</v>
      </c>
      <c r="E1417" s="664" t="s">
        <v>831</v>
      </c>
      <c r="F1417" s="665"/>
      <c r="G1417" s="663">
        <v>20</v>
      </c>
      <c r="H1417" s="662" t="s">
        <v>807</v>
      </c>
      <c r="I1417" s="666" t="s">
        <v>857</v>
      </c>
      <c r="J1417" s="667" t="s">
        <v>805</v>
      </c>
      <c r="K1417" s="662">
        <v>4</v>
      </c>
      <c r="L1417" s="685">
        <f t="shared" ref="L1417:L1480" si="41">VLOOKUP(G1417,$Q$4:$V$7,6,FALSE)</f>
        <v>18.8</v>
      </c>
      <c r="M1417" s="686">
        <f t="shared" si="40"/>
        <v>75.2</v>
      </c>
    </row>
    <row r="1418" spans="2:13" s="645" customFormat="1" ht="21.75" customHeight="1">
      <c r="B1418" s="661">
        <v>44413</v>
      </c>
      <c r="C1418" s="662" t="s">
        <v>819</v>
      </c>
      <c r="D1418" s="663" t="s">
        <v>833</v>
      </c>
      <c r="E1418" s="664" t="s">
        <v>831</v>
      </c>
      <c r="F1418" s="665"/>
      <c r="G1418" s="663">
        <v>15</v>
      </c>
      <c r="H1418" s="662" t="s">
        <v>807</v>
      </c>
      <c r="I1418" s="666" t="s">
        <v>859</v>
      </c>
      <c r="J1418" s="667" t="s">
        <v>884</v>
      </c>
      <c r="K1418" s="662">
        <v>1</v>
      </c>
      <c r="L1418" s="685">
        <f t="shared" si="41"/>
        <v>14.1</v>
      </c>
      <c r="M1418" s="686">
        <f t="shared" si="40"/>
        <v>14.1</v>
      </c>
    </row>
    <row r="1419" spans="2:13" s="645" customFormat="1" ht="21.75" customHeight="1">
      <c r="B1419" s="661">
        <v>44413</v>
      </c>
      <c r="C1419" s="662" t="s">
        <v>819</v>
      </c>
      <c r="D1419" s="663" t="s">
        <v>833</v>
      </c>
      <c r="E1419" s="664" t="s">
        <v>831</v>
      </c>
      <c r="F1419" s="665"/>
      <c r="G1419" s="663">
        <v>15</v>
      </c>
      <c r="H1419" s="662" t="s">
        <v>807</v>
      </c>
      <c r="I1419" s="666" t="s">
        <v>857</v>
      </c>
      <c r="J1419" s="667" t="s">
        <v>884</v>
      </c>
      <c r="K1419" s="662">
        <v>2</v>
      </c>
      <c r="L1419" s="685">
        <f t="shared" si="41"/>
        <v>14.1</v>
      </c>
      <c r="M1419" s="686">
        <f t="shared" si="40"/>
        <v>28.2</v>
      </c>
    </row>
    <row r="1420" spans="2:13" s="645" customFormat="1" ht="21.75" customHeight="1">
      <c r="B1420" s="661">
        <v>44413</v>
      </c>
      <c r="C1420" s="662" t="s">
        <v>819</v>
      </c>
      <c r="D1420" s="663" t="s">
        <v>830</v>
      </c>
      <c r="E1420" s="664" t="s">
        <v>831</v>
      </c>
      <c r="F1420" s="665"/>
      <c r="G1420" s="663">
        <v>15</v>
      </c>
      <c r="H1420" s="662" t="s">
        <v>807</v>
      </c>
      <c r="I1420" s="666" t="s">
        <v>859</v>
      </c>
      <c r="J1420" s="667" t="s">
        <v>805</v>
      </c>
      <c r="K1420" s="662">
        <v>3</v>
      </c>
      <c r="L1420" s="685">
        <f t="shared" si="41"/>
        <v>14.1</v>
      </c>
      <c r="M1420" s="686">
        <f t="shared" si="40"/>
        <v>42.3</v>
      </c>
    </row>
    <row r="1421" spans="2:13" s="645" customFormat="1" ht="21.75" customHeight="1">
      <c r="B1421" s="661">
        <v>44413</v>
      </c>
      <c r="C1421" s="662" t="s">
        <v>819</v>
      </c>
      <c r="D1421" s="663" t="s">
        <v>830</v>
      </c>
      <c r="E1421" s="664" t="s">
        <v>831</v>
      </c>
      <c r="F1421" s="665"/>
      <c r="G1421" s="663">
        <v>15</v>
      </c>
      <c r="H1421" s="662" t="s">
        <v>807</v>
      </c>
      <c r="I1421" s="666" t="s">
        <v>857</v>
      </c>
      <c r="J1421" s="667" t="s">
        <v>805</v>
      </c>
      <c r="K1421" s="662">
        <v>2</v>
      </c>
      <c r="L1421" s="685">
        <f t="shared" si="41"/>
        <v>14.1</v>
      </c>
      <c r="M1421" s="686">
        <f t="shared" si="40"/>
        <v>28.2</v>
      </c>
    </row>
    <row r="1422" spans="2:13" s="645" customFormat="1" ht="21.75" customHeight="1">
      <c r="B1422" s="661">
        <v>44413</v>
      </c>
      <c r="C1422" s="662" t="s">
        <v>819</v>
      </c>
      <c r="D1422" s="663" t="s">
        <v>844</v>
      </c>
      <c r="E1422" s="664" t="s">
        <v>831</v>
      </c>
      <c r="F1422" s="665"/>
      <c r="G1422" s="663">
        <v>15</v>
      </c>
      <c r="H1422" s="662" t="s">
        <v>807</v>
      </c>
      <c r="I1422" s="666" t="s">
        <v>859</v>
      </c>
      <c r="J1422" s="667" t="s">
        <v>805</v>
      </c>
      <c r="K1422" s="662">
        <v>1</v>
      </c>
      <c r="L1422" s="685">
        <f t="shared" si="41"/>
        <v>14.1</v>
      </c>
      <c r="M1422" s="686">
        <f t="shared" si="40"/>
        <v>14.1</v>
      </c>
    </row>
    <row r="1423" spans="2:13" s="645" customFormat="1" ht="21.75" customHeight="1">
      <c r="B1423" s="661">
        <v>44413</v>
      </c>
      <c r="C1423" s="662" t="s">
        <v>819</v>
      </c>
      <c r="D1423" s="663" t="s">
        <v>850</v>
      </c>
      <c r="E1423" s="664" t="s">
        <v>831</v>
      </c>
      <c r="F1423" s="665"/>
      <c r="G1423" s="663">
        <v>15</v>
      </c>
      <c r="H1423" s="662" t="s">
        <v>807</v>
      </c>
      <c r="I1423" s="666" t="s">
        <v>859</v>
      </c>
      <c r="J1423" s="667" t="s">
        <v>805</v>
      </c>
      <c r="K1423" s="662">
        <v>7</v>
      </c>
      <c r="L1423" s="685">
        <f t="shared" si="41"/>
        <v>14.1</v>
      </c>
      <c r="M1423" s="686">
        <f t="shared" si="40"/>
        <v>98.7</v>
      </c>
    </row>
    <row r="1424" spans="2:13" s="645" customFormat="1" ht="21.75" customHeight="1">
      <c r="B1424" s="661">
        <v>44413</v>
      </c>
      <c r="C1424" s="662" t="s">
        <v>819</v>
      </c>
      <c r="D1424" s="663" t="s">
        <v>850</v>
      </c>
      <c r="E1424" s="664" t="s">
        <v>831</v>
      </c>
      <c r="F1424" s="665"/>
      <c r="G1424" s="663">
        <v>15</v>
      </c>
      <c r="H1424" s="662" t="s">
        <v>807</v>
      </c>
      <c r="I1424" s="666" t="s">
        <v>857</v>
      </c>
      <c r="J1424" s="667" t="s">
        <v>805</v>
      </c>
      <c r="K1424" s="662">
        <v>4</v>
      </c>
      <c r="L1424" s="685">
        <f t="shared" si="41"/>
        <v>14.1</v>
      </c>
      <c r="M1424" s="686">
        <f t="shared" si="40"/>
        <v>56.4</v>
      </c>
    </row>
    <row r="1425" spans="2:13" s="645" customFormat="1" ht="21.75" customHeight="1">
      <c r="B1425" s="661">
        <v>44413</v>
      </c>
      <c r="C1425" s="662" t="s">
        <v>819</v>
      </c>
      <c r="D1425" s="663" t="s">
        <v>839</v>
      </c>
      <c r="E1425" s="664" t="s">
        <v>831</v>
      </c>
      <c r="F1425" s="665"/>
      <c r="G1425" s="663">
        <v>15</v>
      </c>
      <c r="H1425" s="662" t="s">
        <v>807</v>
      </c>
      <c r="I1425" s="666" t="s">
        <v>859</v>
      </c>
      <c r="J1425" s="667" t="s">
        <v>805</v>
      </c>
      <c r="K1425" s="662">
        <v>3</v>
      </c>
      <c r="L1425" s="685">
        <f t="shared" si="41"/>
        <v>14.1</v>
      </c>
      <c r="M1425" s="686">
        <f t="shared" si="40"/>
        <v>42.3</v>
      </c>
    </row>
    <row r="1426" spans="2:13" s="645" customFormat="1" ht="21.75" customHeight="1">
      <c r="B1426" s="661">
        <v>44413</v>
      </c>
      <c r="C1426" s="662" t="s">
        <v>819</v>
      </c>
      <c r="D1426" s="663" t="s">
        <v>845</v>
      </c>
      <c r="E1426" s="664" t="s">
        <v>831</v>
      </c>
      <c r="F1426" s="665"/>
      <c r="G1426" s="663">
        <v>17</v>
      </c>
      <c r="H1426" s="662" t="s">
        <v>807</v>
      </c>
      <c r="I1426" s="666" t="s">
        <v>859</v>
      </c>
      <c r="J1426" s="667" t="s">
        <v>805</v>
      </c>
      <c r="K1426" s="662">
        <v>4</v>
      </c>
      <c r="L1426" s="685">
        <f t="shared" si="41"/>
        <v>15.98</v>
      </c>
      <c r="M1426" s="686">
        <f t="shared" si="40"/>
        <v>63.92</v>
      </c>
    </row>
    <row r="1427" spans="2:13" s="645" customFormat="1" ht="21.75" customHeight="1">
      <c r="B1427" s="661">
        <v>44413</v>
      </c>
      <c r="C1427" s="662" t="s">
        <v>819</v>
      </c>
      <c r="D1427" s="663" t="s">
        <v>845</v>
      </c>
      <c r="E1427" s="664" t="s">
        <v>831</v>
      </c>
      <c r="F1427" s="665"/>
      <c r="G1427" s="663">
        <v>17</v>
      </c>
      <c r="H1427" s="662" t="s">
        <v>807</v>
      </c>
      <c r="I1427" s="666" t="s">
        <v>857</v>
      </c>
      <c r="J1427" s="667" t="s">
        <v>805</v>
      </c>
      <c r="K1427" s="662">
        <v>1</v>
      </c>
      <c r="L1427" s="685">
        <f t="shared" si="41"/>
        <v>15.98</v>
      </c>
      <c r="M1427" s="686">
        <f t="shared" si="40"/>
        <v>15.98</v>
      </c>
    </row>
    <row r="1428" spans="2:13" s="645" customFormat="1" ht="21.75" customHeight="1">
      <c r="B1428" s="661">
        <v>44413</v>
      </c>
      <c r="C1428" s="662" t="s">
        <v>819</v>
      </c>
      <c r="D1428" s="663" t="s">
        <v>847</v>
      </c>
      <c r="E1428" s="664" t="s">
        <v>831</v>
      </c>
      <c r="F1428" s="665"/>
      <c r="G1428" s="663">
        <v>17</v>
      </c>
      <c r="H1428" s="662" t="s">
        <v>807</v>
      </c>
      <c r="I1428" s="666" t="s">
        <v>859</v>
      </c>
      <c r="J1428" s="667" t="s">
        <v>805</v>
      </c>
      <c r="K1428" s="662">
        <v>5</v>
      </c>
      <c r="L1428" s="685">
        <f t="shared" si="41"/>
        <v>15.98</v>
      </c>
      <c r="M1428" s="686">
        <f t="shared" si="40"/>
        <v>79.900000000000006</v>
      </c>
    </row>
    <row r="1429" spans="2:13" s="645" customFormat="1" ht="21.75" customHeight="1">
      <c r="B1429" s="661">
        <v>44413</v>
      </c>
      <c r="C1429" s="662" t="s">
        <v>819</v>
      </c>
      <c r="D1429" s="663" t="s">
        <v>847</v>
      </c>
      <c r="E1429" s="664" t="s">
        <v>831</v>
      </c>
      <c r="F1429" s="665"/>
      <c r="G1429" s="663">
        <v>17</v>
      </c>
      <c r="H1429" s="662" t="s">
        <v>807</v>
      </c>
      <c r="I1429" s="666" t="s">
        <v>857</v>
      </c>
      <c r="J1429" s="667" t="s">
        <v>805</v>
      </c>
      <c r="K1429" s="662">
        <v>5</v>
      </c>
      <c r="L1429" s="685">
        <f t="shared" si="41"/>
        <v>15.98</v>
      </c>
      <c r="M1429" s="686">
        <f t="shared" si="40"/>
        <v>79.900000000000006</v>
      </c>
    </row>
    <row r="1430" spans="2:13" s="645" customFormat="1" ht="21.75" customHeight="1">
      <c r="B1430" s="661">
        <v>44413</v>
      </c>
      <c r="C1430" s="662" t="s">
        <v>819</v>
      </c>
      <c r="D1430" s="663" t="s">
        <v>856</v>
      </c>
      <c r="E1430" s="664" t="s">
        <v>831</v>
      </c>
      <c r="F1430" s="665"/>
      <c r="G1430" s="663">
        <v>20</v>
      </c>
      <c r="H1430" s="662" t="s">
        <v>807</v>
      </c>
      <c r="I1430" s="666" t="s">
        <v>859</v>
      </c>
      <c r="J1430" s="667" t="s">
        <v>805</v>
      </c>
      <c r="K1430" s="662">
        <v>5</v>
      </c>
      <c r="L1430" s="685">
        <f t="shared" si="41"/>
        <v>18.8</v>
      </c>
      <c r="M1430" s="686">
        <f t="shared" si="40"/>
        <v>94</v>
      </c>
    </row>
    <row r="1431" spans="2:13" s="645" customFormat="1" ht="21.75" customHeight="1">
      <c r="B1431" s="661">
        <v>44413</v>
      </c>
      <c r="C1431" s="662" t="s">
        <v>819</v>
      </c>
      <c r="D1431" s="663" t="s">
        <v>856</v>
      </c>
      <c r="E1431" s="664" t="s">
        <v>831</v>
      </c>
      <c r="F1431" s="665"/>
      <c r="G1431" s="663">
        <v>20</v>
      </c>
      <c r="H1431" s="662" t="s">
        <v>807</v>
      </c>
      <c r="I1431" s="666" t="s">
        <v>857</v>
      </c>
      <c r="J1431" s="667" t="s">
        <v>805</v>
      </c>
      <c r="K1431" s="662">
        <v>5</v>
      </c>
      <c r="L1431" s="685">
        <f t="shared" si="41"/>
        <v>18.8</v>
      </c>
      <c r="M1431" s="686">
        <f t="shared" si="40"/>
        <v>94</v>
      </c>
    </row>
    <row r="1432" spans="2:13" s="645" customFormat="1" ht="21.75" customHeight="1">
      <c r="B1432" s="661">
        <v>44413</v>
      </c>
      <c r="C1432" s="662" t="s">
        <v>819</v>
      </c>
      <c r="D1432" s="663" t="s">
        <v>855</v>
      </c>
      <c r="E1432" s="664" t="s">
        <v>831</v>
      </c>
      <c r="F1432" s="665"/>
      <c r="G1432" s="663">
        <v>20</v>
      </c>
      <c r="H1432" s="662" t="s">
        <v>807</v>
      </c>
      <c r="I1432" s="666" t="s">
        <v>859</v>
      </c>
      <c r="J1432" s="667" t="s">
        <v>805</v>
      </c>
      <c r="K1432" s="662">
        <v>7</v>
      </c>
      <c r="L1432" s="685">
        <f t="shared" si="41"/>
        <v>18.8</v>
      </c>
      <c r="M1432" s="686">
        <f t="shared" si="40"/>
        <v>131.6</v>
      </c>
    </row>
    <row r="1433" spans="2:13" s="645" customFormat="1" ht="21.75" customHeight="1">
      <c r="B1433" s="661">
        <v>44413</v>
      </c>
      <c r="C1433" s="662" t="s">
        <v>819</v>
      </c>
      <c r="D1433" s="663" t="s">
        <v>855</v>
      </c>
      <c r="E1433" s="664" t="s">
        <v>831</v>
      </c>
      <c r="F1433" s="665"/>
      <c r="G1433" s="663">
        <v>20</v>
      </c>
      <c r="H1433" s="662" t="s">
        <v>807</v>
      </c>
      <c r="I1433" s="666" t="s">
        <v>857</v>
      </c>
      <c r="J1433" s="667" t="s">
        <v>805</v>
      </c>
      <c r="K1433" s="662">
        <v>3</v>
      </c>
      <c r="L1433" s="685">
        <f t="shared" si="41"/>
        <v>18.8</v>
      </c>
      <c r="M1433" s="686">
        <f t="shared" si="40"/>
        <v>56.400000000000006</v>
      </c>
    </row>
    <row r="1434" spans="2:13" s="645" customFormat="1" ht="21.75" customHeight="1">
      <c r="B1434" s="661">
        <v>44414</v>
      </c>
      <c r="C1434" s="662" t="s">
        <v>819</v>
      </c>
      <c r="D1434" s="663" t="s">
        <v>849</v>
      </c>
      <c r="E1434" s="664" t="s">
        <v>831</v>
      </c>
      <c r="F1434" s="665"/>
      <c r="G1434" s="663">
        <v>20</v>
      </c>
      <c r="H1434" s="662" t="s">
        <v>807</v>
      </c>
      <c r="I1434" s="666" t="s">
        <v>859</v>
      </c>
      <c r="J1434" s="667" t="s">
        <v>805</v>
      </c>
      <c r="K1434" s="662">
        <v>5</v>
      </c>
      <c r="L1434" s="685">
        <f t="shared" si="41"/>
        <v>18.8</v>
      </c>
      <c r="M1434" s="686">
        <f t="shared" si="40"/>
        <v>94</v>
      </c>
    </row>
    <row r="1435" spans="2:13" s="645" customFormat="1" ht="21.75" customHeight="1">
      <c r="B1435" s="661">
        <v>44414</v>
      </c>
      <c r="C1435" s="662" t="s">
        <v>819</v>
      </c>
      <c r="D1435" s="663" t="s">
        <v>840</v>
      </c>
      <c r="E1435" s="664" t="s">
        <v>831</v>
      </c>
      <c r="F1435" s="665"/>
      <c r="G1435" s="663">
        <v>20</v>
      </c>
      <c r="H1435" s="662" t="s">
        <v>807</v>
      </c>
      <c r="I1435" s="666" t="s">
        <v>859</v>
      </c>
      <c r="J1435" s="667" t="s">
        <v>805</v>
      </c>
      <c r="K1435" s="662">
        <v>7</v>
      </c>
      <c r="L1435" s="685">
        <f t="shared" si="41"/>
        <v>18.8</v>
      </c>
      <c r="M1435" s="686">
        <f t="shared" si="40"/>
        <v>131.6</v>
      </c>
    </row>
    <row r="1436" spans="2:13" s="645" customFormat="1" ht="21.75" customHeight="1">
      <c r="B1436" s="661">
        <v>44414</v>
      </c>
      <c r="C1436" s="662" t="s">
        <v>819</v>
      </c>
      <c r="D1436" s="663" t="s">
        <v>840</v>
      </c>
      <c r="E1436" s="664" t="s">
        <v>831</v>
      </c>
      <c r="F1436" s="665"/>
      <c r="G1436" s="663">
        <v>20</v>
      </c>
      <c r="H1436" s="662" t="s">
        <v>807</v>
      </c>
      <c r="I1436" s="666" t="s">
        <v>857</v>
      </c>
      <c r="J1436" s="667" t="s">
        <v>805</v>
      </c>
      <c r="K1436" s="662">
        <v>1</v>
      </c>
      <c r="L1436" s="685">
        <f t="shared" si="41"/>
        <v>18.8</v>
      </c>
      <c r="M1436" s="686">
        <f t="shared" si="40"/>
        <v>18.8</v>
      </c>
    </row>
    <row r="1437" spans="2:13" s="645" customFormat="1" ht="21.75" customHeight="1">
      <c r="B1437" s="661">
        <v>44414</v>
      </c>
      <c r="C1437" s="662" t="s">
        <v>819</v>
      </c>
      <c r="D1437" s="663" t="s">
        <v>835</v>
      </c>
      <c r="E1437" s="664" t="s">
        <v>831</v>
      </c>
      <c r="F1437" s="665"/>
      <c r="G1437" s="663">
        <v>20</v>
      </c>
      <c r="H1437" s="662" t="s">
        <v>807</v>
      </c>
      <c r="I1437" s="666" t="s">
        <v>859</v>
      </c>
      <c r="J1437" s="667" t="s">
        <v>805</v>
      </c>
      <c r="K1437" s="662">
        <v>6</v>
      </c>
      <c r="L1437" s="685">
        <f t="shared" si="41"/>
        <v>18.8</v>
      </c>
      <c r="M1437" s="686">
        <f t="shared" si="40"/>
        <v>112.80000000000001</v>
      </c>
    </row>
    <row r="1438" spans="2:13" s="645" customFormat="1" ht="21.75" customHeight="1">
      <c r="B1438" s="661">
        <v>44414</v>
      </c>
      <c r="C1438" s="662" t="s">
        <v>819</v>
      </c>
      <c r="D1438" s="663" t="s">
        <v>835</v>
      </c>
      <c r="E1438" s="664" t="s">
        <v>831</v>
      </c>
      <c r="F1438" s="665"/>
      <c r="G1438" s="663">
        <v>20</v>
      </c>
      <c r="H1438" s="662" t="s">
        <v>807</v>
      </c>
      <c r="I1438" s="666" t="s">
        <v>857</v>
      </c>
      <c r="J1438" s="667" t="s">
        <v>805</v>
      </c>
      <c r="K1438" s="662">
        <v>4</v>
      </c>
      <c r="L1438" s="685">
        <f t="shared" si="41"/>
        <v>18.8</v>
      </c>
      <c r="M1438" s="686">
        <f t="shared" si="40"/>
        <v>75.2</v>
      </c>
    </row>
    <row r="1439" spans="2:13" s="645" customFormat="1" ht="21.75" customHeight="1">
      <c r="B1439" s="661">
        <v>44414</v>
      </c>
      <c r="C1439" s="662" t="s">
        <v>819</v>
      </c>
      <c r="D1439" s="663" t="s">
        <v>841</v>
      </c>
      <c r="E1439" s="664" t="s">
        <v>831</v>
      </c>
      <c r="F1439" s="665"/>
      <c r="G1439" s="663">
        <v>20</v>
      </c>
      <c r="H1439" s="662" t="s">
        <v>807</v>
      </c>
      <c r="I1439" s="666" t="s">
        <v>859</v>
      </c>
      <c r="J1439" s="667" t="s">
        <v>805</v>
      </c>
      <c r="K1439" s="662">
        <v>7</v>
      </c>
      <c r="L1439" s="685">
        <f t="shared" si="41"/>
        <v>18.8</v>
      </c>
      <c r="M1439" s="686">
        <f t="shared" si="40"/>
        <v>131.6</v>
      </c>
    </row>
    <row r="1440" spans="2:13" s="645" customFormat="1" ht="21.75" customHeight="1">
      <c r="B1440" s="661">
        <v>44414</v>
      </c>
      <c r="C1440" s="662" t="s">
        <v>819</v>
      </c>
      <c r="D1440" s="663" t="s">
        <v>841</v>
      </c>
      <c r="E1440" s="664" t="s">
        <v>831</v>
      </c>
      <c r="F1440" s="665"/>
      <c r="G1440" s="663">
        <v>20</v>
      </c>
      <c r="H1440" s="662" t="s">
        <v>807</v>
      </c>
      <c r="I1440" s="666" t="s">
        <v>857</v>
      </c>
      <c r="J1440" s="667" t="s">
        <v>805</v>
      </c>
      <c r="K1440" s="662">
        <v>2</v>
      </c>
      <c r="L1440" s="685">
        <f t="shared" si="41"/>
        <v>18.8</v>
      </c>
      <c r="M1440" s="686">
        <f t="shared" si="40"/>
        <v>37.6</v>
      </c>
    </row>
    <row r="1441" spans="2:13" s="645" customFormat="1" ht="21.75" customHeight="1">
      <c r="B1441" s="661">
        <v>44414</v>
      </c>
      <c r="C1441" s="662" t="s">
        <v>819</v>
      </c>
      <c r="D1441" s="663" t="s">
        <v>834</v>
      </c>
      <c r="E1441" s="664" t="s">
        <v>831</v>
      </c>
      <c r="F1441" s="665"/>
      <c r="G1441" s="663">
        <v>20</v>
      </c>
      <c r="H1441" s="662" t="s">
        <v>807</v>
      </c>
      <c r="I1441" s="666" t="s">
        <v>859</v>
      </c>
      <c r="J1441" s="667" t="s">
        <v>805</v>
      </c>
      <c r="K1441" s="662">
        <v>9</v>
      </c>
      <c r="L1441" s="685">
        <f t="shared" si="41"/>
        <v>18.8</v>
      </c>
      <c r="M1441" s="686">
        <f t="shared" si="40"/>
        <v>169.20000000000002</v>
      </c>
    </row>
    <row r="1442" spans="2:13" s="645" customFormat="1" ht="21.75" customHeight="1">
      <c r="B1442" s="661">
        <v>44414</v>
      </c>
      <c r="C1442" s="662" t="s">
        <v>819</v>
      </c>
      <c r="D1442" s="663" t="s">
        <v>834</v>
      </c>
      <c r="E1442" s="664" t="s">
        <v>831</v>
      </c>
      <c r="F1442" s="665"/>
      <c r="G1442" s="663">
        <v>20</v>
      </c>
      <c r="H1442" s="662" t="s">
        <v>807</v>
      </c>
      <c r="I1442" s="666" t="s">
        <v>857</v>
      </c>
      <c r="J1442" s="667" t="s">
        <v>805</v>
      </c>
      <c r="K1442" s="662">
        <v>2</v>
      </c>
      <c r="L1442" s="685">
        <f t="shared" si="41"/>
        <v>18.8</v>
      </c>
      <c r="M1442" s="686">
        <f t="shared" si="40"/>
        <v>37.6</v>
      </c>
    </row>
    <row r="1443" spans="2:13" s="645" customFormat="1" ht="21.75" customHeight="1">
      <c r="B1443" s="661">
        <v>44414</v>
      </c>
      <c r="C1443" s="662" t="s">
        <v>819</v>
      </c>
      <c r="D1443" s="663" t="s">
        <v>848</v>
      </c>
      <c r="E1443" s="664" t="s">
        <v>831</v>
      </c>
      <c r="F1443" s="665"/>
      <c r="G1443" s="663">
        <v>20</v>
      </c>
      <c r="H1443" s="662" t="s">
        <v>807</v>
      </c>
      <c r="I1443" s="666" t="s">
        <v>859</v>
      </c>
      <c r="J1443" s="667" t="s">
        <v>805</v>
      </c>
      <c r="K1443" s="662">
        <v>6</v>
      </c>
      <c r="L1443" s="685">
        <f t="shared" si="41"/>
        <v>18.8</v>
      </c>
      <c r="M1443" s="686">
        <f t="shared" si="40"/>
        <v>112.80000000000001</v>
      </c>
    </row>
    <row r="1444" spans="2:13" s="645" customFormat="1" ht="21.75" customHeight="1">
      <c r="B1444" s="661">
        <v>44414</v>
      </c>
      <c r="C1444" s="662" t="s">
        <v>819</v>
      </c>
      <c r="D1444" s="663" t="s">
        <v>848</v>
      </c>
      <c r="E1444" s="664" t="s">
        <v>831</v>
      </c>
      <c r="F1444" s="665"/>
      <c r="G1444" s="663">
        <v>20</v>
      </c>
      <c r="H1444" s="662" t="s">
        <v>807</v>
      </c>
      <c r="I1444" s="666" t="s">
        <v>857</v>
      </c>
      <c r="J1444" s="667" t="s">
        <v>805</v>
      </c>
      <c r="K1444" s="662">
        <v>2</v>
      </c>
      <c r="L1444" s="685">
        <f t="shared" si="41"/>
        <v>18.8</v>
      </c>
      <c r="M1444" s="686">
        <f t="shared" si="40"/>
        <v>37.6</v>
      </c>
    </row>
    <row r="1445" spans="2:13" s="645" customFormat="1" ht="21.75" customHeight="1">
      <c r="B1445" s="661">
        <v>44414</v>
      </c>
      <c r="C1445" s="662" t="s">
        <v>819</v>
      </c>
      <c r="D1445" s="663" t="s">
        <v>836</v>
      </c>
      <c r="E1445" s="664" t="s">
        <v>831</v>
      </c>
      <c r="F1445" s="665"/>
      <c r="G1445" s="663">
        <v>20</v>
      </c>
      <c r="H1445" s="662" t="s">
        <v>807</v>
      </c>
      <c r="I1445" s="666" t="s">
        <v>859</v>
      </c>
      <c r="J1445" s="667" t="s">
        <v>805</v>
      </c>
      <c r="K1445" s="662">
        <v>5</v>
      </c>
      <c r="L1445" s="685">
        <f t="shared" si="41"/>
        <v>18.8</v>
      </c>
      <c r="M1445" s="686">
        <f t="shared" si="40"/>
        <v>94</v>
      </c>
    </row>
    <row r="1446" spans="2:13" s="645" customFormat="1" ht="21.75" customHeight="1">
      <c r="B1446" s="661">
        <v>44414</v>
      </c>
      <c r="C1446" s="662" t="s">
        <v>819</v>
      </c>
      <c r="D1446" s="663" t="s">
        <v>836</v>
      </c>
      <c r="E1446" s="664" t="s">
        <v>831</v>
      </c>
      <c r="F1446" s="665"/>
      <c r="G1446" s="663">
        <v>20</v>
      </c>
      <c r="H1446" s="662" t="s">
        <v>807</v>
      </c>
      <c r="I1446" s="666" t="s">
        <v>857</v>
      </c>
      <c r="J1446" s="667" t="s">
        <v>805</v>
      </c>
      <c r="K1446" s="662">
        <v>1</v>
      </c>
      <c r="L1446" s="685">
        <f t="shared" si="41"/>
        <v>18.8</v>
      </c>
      <c r="M1446" s="686">
        <f t="shared" si="40"/>
        <v>18.8</v>
      </c>
    </row>
    <row r="1447" spans="2:13" s="645" customFormat="1" ht="21.75" customHeight="1">
      <c r="B1447" s="661">
        <v>44414</v>
      </c>
      <c r="C1447" s="662" t="s">
        <v>819</v>
      </c>
      <c r="D1447" s="663" t="s">
        <v>833</v>
      </c>
      <c r="E1447" s="664" t="s">
        <v>831</v>
      </c>
      <c r="F1447" s="665"/>
      <c r="G1447" s="663">
        <v>15</v>
      </c>
      <c r="H1447" s="662" t="s">
        <v>807</v>
      </c>
      <c r="I1447" s="666" t="s">
        <v>857</v>
      </c>
      <c r="J1447" s="667" t="s">
        <v>805</v>
      </c>
      <c r="K1447" s="662">
        <v>1</v>
      </c>
      <c r="L1447" s="685">
        <f t="shared" si="41"/>
        <v>14.1</v>
      </c>
      <c r="M1447" s="686">
        <f t="shared" ref="M1447:M1510" si="42">L1447*K1447</f>
        <v>14.1</v>
      </c>
    </row>
    <row r="1448" spans="2:13" s="645" customFormat="1" ht="21.75" customHeight="1">
      <c r="B1448" s="661">
        <v>44414</v>
      </c>
      <c r="C1448" s="662" t="s">
        <v>819</v>
      </c>
      <c r="D1448" s="663" t="s">
        <v>833</v>
      </c>
      <c r="E1448" s="664" t="s">
        <v>831</v>
      </c>
      <c r="F1448" s="665"/>
      <c r="G1448" s="663">
        <v>15</v>
      </c>
      <c r="H1448" s="662" t="s">
        <v>807</v>
      </c>
      <c r="I1448" s="666" t="s">
        <v>859</v>
      </c>
      <c r="J1448" s="667" t="s">
        <v>805</v>
      </c>
      <c r="K1448" s="662">
        <v>5</v>
      </c>
      <c r="L1448" s="685">
        <f t="shared" si="41"/>
        <v>14.1</v>
      </c>
      <c r="M1448" s="686">
        <f t="shared" si="42"/>
        <v>70.5</v>
      </c>
    </row>
    <row r="1449" spans="2:13" s="645" customFormat="1" ht="21.75" customHeight="1">
      <c r="B1449" s="661">
        <v>44414</v>
      </c>
      <c r="C1449" s="662" t="s">
        <v>819</v>
      </c>
      <c r="D1449" s="663" t="s">
        <v>833</v>
      </c>
      <c r="E1449" s="664" t="s">
        <v>831</v>
      </c>
      <c r="F1449" s="665"/>
      <c r="G1449" s="663">
        <v>15</v>
      </c>
      <c r="H1449" s="662" t="s">
        <v>807</v>
      </c>
      <c r="I1449" s="666" t="s">
        <v>857</v>
      </c>
      <c r="J1449" s="667" t="s">
        <v>805</v>
      </c>
      <c r="K1449" s="662">
        <v>1</v>
      </c>
      <c r="L1449" s="685">
        <f t="shared" si="41"/>
        <v>14.1</v>
      </c>
      <c r="M1449" s="686">
        <f t="shared" si="42"/>
        <v>14.1</v>
      </c>
    </row>
    <row r="1450" spans="2:13" s="645" customFormat="1" ht="21.75" customHeight="1">
      <c r="B1450" s="661">
        <v>44414</v>
      </c>
      <c r="C1450" s="662" t="s">
        <v>819</v>
      </c>
      <c r="D1450" s="663" t="s">
        <v>830</v>
      </c>
      <c r="E1450" s="664" t="s">
        <v>831</v>
      </c>
      <c r="F1450" s="665"/>
      <c r="G1450" s="663">
        <v>15</v>
      </c>
      <c r="H1450" s="662" t="s">
        <v>807</v>
      </c>
      <c r="I1450" s="666" t="s">
        <v>859</v>
      </c>
      <c r="J1450" s="667" t="s">
        <v>805</v>
      </c>
      <c r="K1450" s="662">
        <v>7</v>
      </c>
      <c r="L1450" s="685">
        <f t="shared" si="41"/>
        <v>14.1</v>
      </c>
      <c r="M1450" s="686">
        <f t="shared" si="42"/>
        <v>98.7</v>
      </c>
    </row>
    <row r="1451" spans="2:13" s="645" customFormat="1" ht="21.75" customHeight="1">
      <c r="B1451" s="661">
        <v>44414</v>
      </c>
      <c r="C1451" s="662" t="s">
        <v>819</v>
      </c>
      <c r="D1451" s="663" t="s">
        <v>830</v>
      </c>
      <c r="E1451" s="664" t="s">
        <v>831</v>
      </c>
      <c r="F1451" s="665"/>
      <c r="G1451" s="663">
        <v>15</v>
      </c>
      <c r="H1451" s="662" t="s">
        <v>807</v>
      </c>
      <c r="I1451" s="666" t="s">
        <v>857</v>
      </c>
      <c r="J1451" s="667" t="s">
        <v>805</v>
      </c>
      <c r="K1451" s="662">
        <v>1</v>
      </c>
      <c r="L1451" s="685">
        <f t="shared" si="41"/>
        <v>14.1</v>
      </c>
      <c r="M1451" s="686">
        <f t="shared" si="42"/>
        <v>14.1</v>
      </c>
    </row>
    <row r="1452" spans="2:13" s="645" customFormat="1" ht="21.75" customHeight="1">
      <c r="B1452" s="661">
        <v>44414</v>
      </c>
      <c r="C1452" s="662" t="s">
        <v>819</v>
      </c>
      <c r="D1452" s="663" t="s">
        <v>844</v>
      </c>
      <c r="E1452" s="664" t="s">
        <v>831</v>
      </c>
      <c r="F1452" s="665"/>
      <c r="G1452" s="663">
        <v>15</v>
      </c>
      <c r="H1452" s="662" t="s">
        <v>807</v>
      </c>
      <c r="I1452" s="666" t="s">
        <v>859</v>
      </c>
      <c r="J1452" s="667" t="s">
        <v>805</v>
      </c>
      <c r="K1452" s="662">
        <v>7</v>
      </c>
      <c r="L1452" s="685">
        <f t="shared" si="41"/>
        <v>14.1</v>
      </c>
      <c r="M1452" s="686">
        <f t="shared" si="42"/>
        <v>98.7</v>
      </c>
    </row>
    <row r="1453" spans="2:13" s="645" customFormat="1" ht="21.75" customHeight="1">
      <c r="B1453" s="661">
        <v>44414</v>
      </c>
      <c r="C1453" s="662" t="s">
        <v>819</v>
      </c>
      <c r="D1453" s="663" t="s">
        <v>844</v>
      </c>
      <c r="E1453" s="664" t="s">
        <v>831</v>
      </c>
      <c r="F1453" s="665"/>
      <c r="G1453" s="663">
        <v>15</v>
      </c>
      <c r="H1453" s="662" t="s">
        <v>807</v>
      </c>
      <c r="I1453" s="666" t="s">
        <v>857</v>
      </c>
      <c r="J1453" s="667" t="s">
        <v>805</v>
      </c>
      <c r="K1453" s="662">
        <v>1</v>
      </c>
      <c r="L1453" s="685">
        <f t="shared" si="41"/>
        <v>14.1</v>
      </c>
      <c r="M1453" s="686">
        <f t="shared" si="42"/>
        <v>14.1</v>
      </c>
    </row>
    <row r="1454" spans="2:13" s="645" customFormat="1" ht="21.75" customHeight="1">
      <c r="B1454" s="661">
        <v>44414</v>
      </c>
      <c r="C1454" s="662" t="s">
        <v>819</v>
      </c>
      <c r="D1454" s="663" t="s">
        <v>850</v>
      </c>
      <c r="E1454" s="664" t="s">
        <v>831</v>
      </c>
      <c r="F1454" s="665"/>
      <c r="G1454" s="663">
        <v>15</v>
      </c>
      <c r="H1454" s="662" t="s">
        <v>807</v>
      </c>
      <c r="I1454" s="666" t="s">
        <v>859</v>
      </c>
      <c r="J1454" s="667" t="s">
        <v>805</v>
      </c>
      <c r="K1454" s="662">
        <v>6</v>
      </c>
      <c r="L1454" s="685">
        <f t="shared" si="41"/>
        <v>14.1</v>
      </c>
      <c r="M1454" s="686">
        <f t="shared" si="42"/>
        <v>84.6</v>
      </c>
    </row>
    <row r="1455" spans="2:13" s="645" customFormat="1" ht="21.75" customHeight="1">
      <c r="B1455" s="661">
        <v>44414</v>
      </c>
      <c r="C1455" s="662" t="s">
        <v>819</v>
      </c>
      <c r="D1455" s="663" t="s">
        <v>850</v>
      </c>
      <c r="E1455" s="664" t="s">
        <v>831</v>
      </c>
      <c r="F1455" s="665"/>
      <c r="G1455" s="663">
        <v>15</v>
      </c>
      <c r="H1455" s="662" t="s">
        <v>807</v>
      </c>
      <c r="I1455" s="666" t="s">
        <v>857</v>
      </c>
      <c r="J1455" s="667" t="s">
        <v>805</v>
      </c>
      <c r="K1455" s="662">
        <v>3</v>
      </c>
      <c r="L1455" s="685">
        <f t="shared" si="41"/>
        <v>14.1</v>
      </c>
      <c r="M1455" s="686">
        <f t="shared" si="42"/>
        <v>42.3</v>
      </c>
    </row>
    <row r="1456" spans="2:13" s="645" customFormat="1" ht="21.75" customHeight="1">
      <c r="B1456" s="661">
        <v>44414</v>
      </c>
      <c r="C1456" s="662" t="s">
        <v>819</v>
      </c>
      <c r="D1456" s="663" t="s">
        <v>839</v>
      </c>
      <c r="E1456" s="664" t="s">
        <v>831</v>
      </c>
      <c r="F1456" s="665"/>
      <c r="G1456" s="663">
        <v>15</v>
      </c>
      <c r="H1456" s="662" t="s">
        <v>807</v>
      </c>
      <c r="I1456" s="666" t="s">
        <v>859</v>
      </c>
      <c r="J1456" s="667" t="s">
        <v>805</v>
      </c>
      <c r="K1456" s="662">
        <v>9</v>
      </c>
      <c r="L1456" s="685">
        <f t="shared" si="41"/>
        <v>14.1</v>
      </c>
      <c r="M1456" s="686">
        <f t="shared" si="42"/>
        <v>126.89999999999999</v>
      </c>
    </row>
    <row r="1457" spans="2:13" s="645" customFormat="1" ht="21.75" customHeight="1">
      <c r="B1457" s="661">
        <v>44414</v>
      </c>
      <c r="C1457" s="662" t="s">
        <v>819</v>
      </c>
      <c r="D1457" s="663" t="s">
        <v>839</v>
      </c>
      <c r="E1457" s="664" t="s">
        <v>831</v>
      </c>
      <c r="F1457" s="665"/>
      <c r="G1457" s="663">
        <v>15</v>
      </c>
      <c r="H1457" s="662" t="s">
        <v>807</v>
      </c>
      <c r="I1457" s="666" t="s">
        <v>859</v>
      </c>
      <c r="J1457" s="667" t="s">
        <v>805</v>
      </c>
      <c r="K1457" s="662">
        <v>1</v>
      </c>
      <c r="L1457" s="685">
        <f t="shared" si="41"/>
        <v>14.1</v>
      </c>
      <c r="M1457" s="686">
        <f t="shared" si="42"/>
        <v>14.1</v>
      </c>
    </row>
    <row r="1458" spans="2:13" s="645" customFormat="1" ht="21.75" customHeight="1">
      <c r="B1458" s="661">
        <v>44414</v>
      </c>
      <c r="C1458" s="662" t="s">
        <v>819</v>
      </c>
      <c r="D1458" s="663" t="s">
        <v>845</v>
      </c>
      <c r="E1458" s="664" t="s">
        <v>831</v>
      </c>
      <c r="F1458" s="665"/>
      <c r="G1458" s="663">
        <v>17</v>
      </c>
      <c r="H1458" s="662" t="s">
        <v>807</v>
      </c>
      <c r="I1458" s="666" t="s">
        <v>859</v>
      </c>
      <c r="J1458" s="667" t="s">
        <v>805</v>
      </c>
      <c r="K1458" s="662">
        <v>6</v>
      </c>
      <c r="L1458" s="685">
        <f t="shared" si="41"/>
        <v>15.98</v>
      </c>
      <c r="M1458" s="686">
        <f t="shared" si="42"/>
        <v>95.88</v>
      </c>
    </row>
    <row r="1459" spans="2:13" s="645" customFormat="1" ht="21.75" customHeight="1">
      <c r="B1459" s="661">
        <v>44414</v>
      </c>
      <c r="C1459" s="662" t="s">
        <v>819</v>
      </c>
      <c r="D1459" s="663" t="s">
        <v>845</v>
      </c>
      <c r="E1459" s="664" t="s">
        <v>831</v>
      </c>
      <c r="F1459" s="665"/>
      <c r="G1459" s="663">
        <v>17</v>
      </c>
      <c r="H1459" s="662" t="s">
        <v>807</v>
      </c>
      <c r="I1459" s="666" t="s">
        <v>857</v>
      </c>
      <c r="J1459" s="667" t="s">
        <v>805</v>
      </c>
      <c r="K1459" s="662">
        <v>4</v>
      </c>
      <c r="L1459" s="685">
        <f t="shared" si="41"/>
        <v>15.98</v>
      </c>
      <c r="M1459" s="686">
        <f t="shared" si="42"/>
        <v>63.92</v>
      </c>
    </row>
    <row r="1460" spans="2:13" s="645" customFormat="1" ht="21.75" customHeight="1">
      <c r="B1460" s="661">
        <v>44414</v>
      </c>
      <c r="C1460" s="662" t="s">
        <v>819</v>
      </c>
      <c r="D1460" s="663" t="s">
        <v>847</v>
      </c>
      <c r="E1460" s="664" t="s">
        <v>831</v>
      </c>
      <c r="F1460" s="665"/>
      <c r="G1460" s="663">
        <v>17</v>
      </c>
      <c r="H1460" s="662" t="s">
        <v>807</v>
      </c>
      <c r="I1460" s="666" t="s">
        <v>859</v>
      </c>
      <c r="J1460" s="667" t="s">
        <v>805</v>
      </c>
      <c r="K1460" s="662">
        <v>3</v>
      </c>
      <c r="L1460" s="685">
        <f t="shared" si="41"/>
        <v>15.98</v>
      </c>
      <c r="M1460" s="686">
        <f t="shared" si="42"/>
        <v>47.94</v>
      </c>
    </row>
    <row r="1461" spans="2:13" s="645" customFormat="1" ht="21.75" customHeight="1">
      <c r="B1461" s="661">
        <v>44414</v>
      </c>
      <c r="C1461" s="662" t="s">
        <v>819</v>
      </c>
      <c r="D1461" s="663" t="s">
        <v>847</v>
      </c>
      <c r="E1461" s="664" t="s">
        <v>831</v>
      </c>
      <c r="F1461" s="665"/>
      <c r="G1461" s="663">
        <v>17</v>
      </c>
      <c r="H1461" s="662" t="s">
        <v>807</v>
      </c>
      <c r="I1461" s="666" t="s">
        <v>857</v>
      </c>
      <c r="J1461" s="667" t="s">
        <v>805</v>
      </c>
      <c r="K1461" s="662">
        <v>4</v>
      </c>
      <c r="L1461" s="685">
        <f t="shared" si="41"/>
        <v>15.98</v>
      </c>
      <c r="M1461" s="686">
        <f t="shared" si="42"/>
        <v>63.92</v>
      </c>
    </row>
    <row r="1462" spans="2:13" s="645" customFormat="1" ht="21.75" customHeight="1">
      <c r="B1462" s="661">
        <v>44414</v>
      </c>
      <c r="C1462" s="662" t="s">
        <v>819</v>
      </c>
      <c r="D1462" s="663" t="s">
        <v>856</v>
      </c>
      <c r="E1462" s="664" t="s">
        <v>831</v>
      </c>
      <c r="F1462" s="665"/>
      <c r="G1462" s="663">
        <v>20</v>
      </c>
      <c r="H1462" s="662" t="s">
        <v>807</v>
      </c>
      <c r="I1462" s="666" t="s">
        <v>859</v>
      </c>
      <c r="J1462" s="667" t="s">
        <v>805</v>
      </c>
      <c r="K1462" s="662">
        <v>5</v>
      </c>
      <c r="L1462" s="685">
        <f t="shared" si="41"/>
        <v>18.8</v>
      </c>
      <c r="M1462" s="686">
        <f t="shared" si="42"/>
        <v>94</v>
      </c>
    </row>
    <row r="1463" spans="2:13" s="645" customFormat="1" ht="21.75" customHeight="1">
      <c r="B1463" s="661">
        <v>44414</v>
      </c>
      <c r="C1463" s="662" t="s">
        <v>819</v>
      </c>
      <c r="D1463" s="663" t="s">
        <v>856</v>
      </c>
      <c r="E1463" s="664" t="s">
        <v>831</v>
      </c>
      <c r="F1463" s="665"/>
      <c r="G1463" s="663">
        <v>20</v>
      </c>
      <c r="H1463" s="662" t="s">
        <v>807</v>
      </c>
      <c r="I1463" s="666" t="s">
        <v>857</v>
      </c>
      <c r="J1463" s="667" t="s">
        <v>805</v>
      </c>
      <c r="K1463" s="662">
        <v>2</v>
      </c>
      <c r="L1463" s="685">
        <f t="shared" si="41"/>
        <v>18.8</v>
      </c>
      <c r="M1463" s="686">
        <f t="shared" si="42"/>
        <v>37.6</v>
      </c>
    </row>
    <row r="1464" spans="2:13" s="645" customFormat="1" ht="21.75" customHeight="1">
      <c r="B1464" s="661">
        <v>44414</v>
      </c>
      <c r="C1464" s="662" t="s">
        <v>819</v>
      </c>
      <c r="D1464" s="663" t="s">
        <v>855</v>
      </c>
      <c r="E1464" s="664" t="s">
        <v>831</v>
      </c>
      <c r="F1464" s="665"/>
      <c r="G1464" s="663">
        <v>20</v>
      </c>
      <c r="H1464" s="662" t="s">
        <v>807</v>
      </c>
      <c r="I1464" s="666" t="s">
        <v>859</v>
      </c>
      <c r="J1464" s="667" t="s">
        <v>805</v>
      </c>
      <c r="K1464" s="662">
        <v>4</v>
      </c>
      <c r="L1464" s="685">
        <f t="shared" si="41"/>
        <v>18.8</v>
      </c>
      <c r="M1464" s="686">
        <f t="shared" si="42"/>
        <v>75.2</v>
      </c>
    </row>
    <row r="1465" spans="2:13" s="645" customFormat="1" ht="21.75" customHeight="1">
      <c r="B1465" s="661">
        <v>44414</v>
      </c>
      <c r="C1465" s="662" t="s">
        <v>819</v>
      </c>
      <c r="D1465" s="663" t="s">
        <v>855</v>
      </c>
      <c r="E1465" s="664" t="s">
        <v>831</v>
      </c>
      <c r="F1465" s="665"/>
      <c r="G1465" s="663">
        <v>20</v>
      </c>
      <c r="H1465" s="662" t="s">
        <v>807</v>
      </c>
      <c r="I1465" s="666" t="s">
        <v>857</v>
      </c>
      <c r="J1465" s="667" t="s">
        <v>805</v>
      </c>
      <c r="K1465" s="662">
        <v>2</v>
      </c>
      <c r="L1465" s="685">
        <f t="shared" si="41"/>
        <v>18.8</v>
      </c>
      <c r="M1465" s="686">
        <f t="shared" si="42"/>
        <v>37.6</v>
      </c>
    </row>
    <row r="1466" spans="2:13" s="645" customFormat="1" ht="21.75" customHeight="1">
      <c r="B1466" s="661">
        <v>44414</v>
      </c>
      <c r="C1466" s="662" t="s">
        <v>819</v>
      </c>
      <c r="D1466" s="663" t="s">
        <v>849</v>
      </c>
      <c r="E1466" s="664" t="s">
        <v>831</v>
      </c>
      <c r="F1466" s="665"/>
      <c r="G1466" s="663">
        <v>20</v>
      </c>
      <c r="H1466" s="662" t="s">
        <v>807</v>
      </c>
      <c r="I1466" s="666" t="s">
        <v>857</v>
      </c>
      <c r="J1466" s="667" t="s">
        <v>802</v>
      </c>
      <c r="K1466" s="662">
        <v>2</v>
      </c>
      <c r="L1466" s="685">
        <f t="shared" si="41"/>
        <v>18.8</v>
      </c>
      <c r="M1466" s="686">
        <f t="shared" si="42"/>
        <v>37.6</v>
      </c>
    </row>
    <row r="1467" spans="2:13" s="645" customFormat="1" ht="21.75" customHeight="1">
      <c r="B1467" s="661">
        <v>44414</v>
      </c>
      <c r="C1467" s="662" t="s">
        <v>819</v>
      </c>
      <c r="D1467" s="663" t="s">
        <v>830</v>
      </c>
      <c r="E1467" s="664" t="s">
        <v>831</v>
      </c>
      <c r="F1467" s="665"/>
      <c r="G1467" s="663">
        <v>15</v>
      </c>
      <c r="H1467" s="662" t="s">
        <v>807</v>
      </c>
      <c r="I1467" s="666" t="s">
        <v>857</v>
      </c>
      <c r="J1467" s="667" t="s">
        <v>802</v>
      </c>
      <c r="K1467" s="662">
        <v>1</v>
      </c>
      <c r="L1467" s="685">
        <f t="shared" si="41"/>
        <v>14.1</v>
      </c>
      <c r="M1467" s="686">
        <f t="shared" si="42"/>
        <v>14.1</v>
      </c>
    </row>
    <row r="1468" spans="2:13" s="645" customFormat="1" ht="21.75" customHeight="1">
      <c r="B1468" s="661">
        <v>44415</v>
      </c>
      <c r="C1468" s="662" t="s">
        <v>819</v>
      </c>
      <c r="D1468" s="663" t="s">
        <v>849</v>
      </c>
      <c r="E1468" s="664" t="s">
        <v>831</v>
      </c>
      <c r="F1468" s="665"/>
      <c r="G1468" s="663">
        <v>20</v>
      </c>
      <c r="H1468" s="662" t="s">
        <v>807</v>
      </c>
      <c r="I1468" s="666" t="s">
        <v>859</v>
      </c>
      <c r="J1468" s="667" t="s">
        <v>805</v>
      </c>
      <c r="K1468" s="662">
        <v>7</v>
      </c>
      <c r="L1468" s="685">
        <f t="shared" si="41"/>
        <v>18.8</v>
      </c>
      <c r="M1468" s="686">
        <f t="shared" si="42"/>
        <v>131.6</v>
      </c>
    </row>
    <row r="1469" spans="2:13" s="645" customFormat="1" ht="21.75" customHeight="1">
      <c r="B1469" s="661">
        <v>44415</v>
      </c>
      <c r="C1469" s="662" t="s">
        <v>819</v>
      </c>
      <c r="D1469" s="663" t="s">
        <v>840</v>
      </c>
      <c r="E1469" s="664" t="s">
        <v>831</v>
      </c>
      <c r="F1469" s="665"/>
      <c r="G1469" s="663">
        <v>20</v>
      </c>
      <c r="H1469" s="662" t="s">
        <v>807</v>
      </c>
      <c r="I1469" s="666" t="s">
        <v>859</v>
      </c>
      <c r="J1469" s="667" t="s">
        <v>805</v>
      </c>
      <c r="K1469" s="662">
        <v>5</v>
      </c>
      <c r="L1469" s="685">
        <f t="shared" si="41"/>
        <v>18.8</v>
      </c>
      <c r="M1469" s="686">
        <f t="shared" si="42"/>
        <v>94</v>
      </c>
    </row>
    <row r="1470" spans="2:13" s="645" customFormat="1" ht="21.75" customHeight="1">
      <c r="B1470" s="661">
        <v>44415</v>
      </c>
      <c r="C1470" s="662" t="s">
        <v>819</v>
      </c>
      <c r="D1470" s="663" t="s">
        <v>835</v>
      </c>
      <c r="E1470" s="664" t="s">
        <v>831</v>
      </c>
      <c r="F1470" s="665"/>
      <c r="G1470" s="663">
        <v>20</v>
      </c>
      <c r="H1470" s="662" t="s">
        <v>807</v>
      </c>
      <c r="I1470" s="666" t="s">
        <v>859</v>
      </c>
      <c r="J1470" s="667" t="s">
        <v>805</v>
      </c>
      <c r="K1470" s="662">
        <v>4</v>
      </c>
      <c r="L1470" s="685">
        <f t="shared" si="41"/>
        <v>18.8</v>
      </c>
      <c r="M1470" s="686">
        <f t="shared" si="42"/>
        <v>75.2</v>
      </c>
    </row>
    <row r="1471" spans="2:13" s="645" customFormat="1" ht="21.75" customHeight="1">
      <c r="B1471" s="661">
        <v>44415</v>
      </c>
      <c r="C1471" s="662" t="s">
        <v>819</v>
      </c>
      <c r="D1471" s="663" t="s">
        <v>841</v>
      </c>
      <c r="E1471" s="664" t="s">
        <v>831</v>
      </c>
      <c r="F1471" s="665"/>
      <c r="G1471" s="663">
        <v>20</v>
      </c>
      <c r="H1471" s="662" t="s">
        <v>807</v>
      </c>
      <c r="I1471" s="666" t="s">
        <v>859</v>
      </c>
      <c r="J1471" s="667" t="s">
        <v>805</v>
      </c>
      <c r="K1471" s="662">
        <v>4</v>
      </c>
      <c r="L1471" s="685">
        <f t="shared" si="41"/>
        <v>18.8</v>
      </c>
      <c r="M1471" s="686">
        <f t="shared" si="42"/>
        <v>75.2</v>
      </c>
    </row>
    <row r="1472" spans="2:13" s="645" customFormat="1" ht="21.75" customHeight="1">
      <c r="B1472" s="661">
        <v>44415</v>
      </c>
      <c r="C1472" s="662" t="s">
        <v>819</v>
      </c>
      <c r="D1472" s="663" t="s">
        <v>834</v>
      </c>
      <c r="E1472" s="664" t="s">
        <v>831</v>
      </c>
      <c r="F1472" s="665"/>
      <c r="G1472" s="663">
        <v>20</v>
      </c>
      <c r="H1472" s="662" t="s">
        <v>807</v>
      </c>
      <c r="I1472" s="666" t="s">
        <v>859</v>
      </c>
      <c r="J1472" s="667" t="s">
        <v>805</v>
      </c>
      <c r="K1472" s="662">
        <v>4</v>
      </c>
      <c r="L1472" s="685">
        <f t="shared" si="41"/>
        <v>18.8</v>
      </c>
      <c r="M1472" s="686">
        <f t="shared" si="42"/>
        <v>75.2</v>
      </c>
    </row>
    <row r="1473" spans="2:13" s="645" customFormat="1" ht="21.75" customHeight="1">
      <c r="B1473" s="661">
        <v>44415</v>
      </c>
      <c r="C1473" s="662" t="s">
        <v>819</v>
      </c>
      <c r="D1473" s="663" t="s">
        <v>848</v>
      </c>
      <c r="E1473" s="664" t="s">
        <v>831</v>
      </c>
      <c r="F1473" s="665"/>
      <c r="G1473" s="663">
        <v>20</v>
      </c>
      <c r="H1473" s="662" t="s">
        <v>807</v>
      </c>
      <c r="I1473" s="666" t="s">
        <v>859</v>
      </c>
      <c r="J1473" s="667" t="s">
        <v>805</v>
      </c>
      <c r="K1473" s="662">
        <v>6</v>
      </c>
      <c r="L1473" s="685">
        <f t="shared" si="41"/>
        <v>18.8</v>
      </c>
      <c r="M1473" s="686">
        <f t="shared" si="42"/>
        <v>112.80000000000001</v>
      </c>
    </row>
    <row r="1474" spans="2:13" s="645" customFormat="1" ht="21.75" customHeight="1">
      <c r="B1474" s="661">
        <v>44415</v>
      </c>
      <c r="C1474" s="662" t="s">
        <v>819</v>
      </c>
      <c r="D1474" s="663" t="s">
        <v>836</v>
      </c>
      <c r="E1474" s="664" t="s">
        <v>831</v>
      </c>
      <c r="F1474" s="665"/>
      <c r="G1474" s="663">
        <v>20</v>
      </c>
      <c r="H1474" s="662" t="s">
        <v>807</v>
      </c>
      <c r="I1474" s="666" t="s">
        <v>859</v>
      </c>
      <c r="J1474" s="667" t="s">
        <v>805</v>
      </c>
      <c r="K1474" s="662">
        <v>5</v>
      </c>
      <c r="L1474" s="685">
        <f t="shared" si="41"/>
        <v>18.8</v>
      </c>
      <c r="M1474" s="686">
        <f t="shared" si="42"/>
        <v>94</v>
      </c>
    </row>
    <row r="1475" spans="2:13" s="645" customFormat="1" ht="21.75" customHeight="1">
      <c r="B1475" s="661">
        <v>44415</v>
      </c>
      <c r="C1475" s="662" t="s">
        <v>819</v>
      </c>
      <c r="D1475" s="663" t="s">
        <v>833</v>
      </c>
      <c r="E1475" s="664" t="s">
        <v>831</v>
      </c>
      <c r="F1475" s="665"/>
      <c r="G1475" s="663">
        <v>15</v>
      </c>
      <c r="H1475" s="662" t="s">
        <v>807</v>
      </c>
      <c r="I1475" s="666" t="s">
        <v>859</v>
      </c>
      <c r="J1475" s="667" t="s">
        <v>805</v>
      </c>
      <c r="K1475" s="662">
        <v>6</v>
      </c>
      <c r="L1475" s="685">
        <f t="shared" si="41"/>
        <v>14.1</v>
      </c>
      <c r="M1475" s="686">
        <f t="shared" si="42"/>
        <v>84.6</v>
      </c>
    </row>
    <row r="1476" spans="2:13" s="645" customFormat="1" ht="21.75" customHeight="1">
      <c r="B1476" s="661">
        <v>44415</v>
      </c>
      <c r="C1476" s="662" t="s">
        <v>819</v>
      </c>
      <c r="D1476" s="663" t="s">
        <v>830</v>
      </c>
      <c r="E1476" s="664" t="s">
        <v>831</v>
      </c>
      <c r="F1476" s="665"/>
      <c r="G1476" s="663">
        <v>15</v>
      </c>
      <c r="H1476" s="662" t="s">
        <v>807</v>
      </c>
      <c r="I1476" s="666" t="s">
        <v>859</v>
      </c>
      <c r="J1476" s="667" t="s">
        <v>805</v>
      </c>
      <c r="K1476" s="662">
        <v>3</v>
      </c>
      <c r="L1476" s="685">
        <f t="shared" si="41"/>
        <v>14.1</v>
      </c>
      <c r="M1476" s="686">
        <f t="shared" si="42"/>
        <v>42.3</v>
      </c>
    </row>
    <row r="1477" spans="2:13" s="645" customFormat="1" ht="21.75" customHeight="1">
      <c r="B1477" s="661">
        <v>44415</v>
      </c>
      <c r="C1477" s="662" t="s">
        <v>819</v>
      </c>
      <c r="D1477" s="663" t="s">
        <v>844</v>
      </c>
      <c r="E1477" s="664" t="s">
        <v>831</v>
      </c>
      <c r="F1477" s="665"/>
      <c r="G1477" s="663">
        <v>15</v>
      </c>
      <c r="H1477" s="662" t="s">
        <v>807</v>
      </c>
      <c r="I1477" s="666" t="s">
        <v>859</v>
      </c>
      <c r="J1477" s="667" t="s">
        <v>805</v>
      </c>
      <c r="K1477" s="662">
        <v>5</v>
      </c>
      <c r="L1477" s="685">
        <f t="shared" si="41"/>
        <v>14.1</v>
      </c>
      <c r="M1477" s="686">
        <f t="shared" si="42"/>
        <v>70.5</v>
      </c>
    </row>
    <row r="1478" spans="2:13" s="645" customFormat="1" ht="21.75" customHeight="1">
      <c r="B1478" s="661">
        <v>44415</v>
      </c>
      <c r="C1478" s="662" t="s">
        <v>819</v>
      </c>
      <c r="D1478" s="663" t="s">
        <v>850</v>
      </c>
      <c r="E1478" s="664" t="s">
        <v>831</v>
      </c>
      <c r="F1478" s="665"/>
      <c r="G1478" s="663">
        <v>15</v>
      </c>
      <c r="H1478" s="662" t="s">
        <v>807</v>
      </c>
      <c r="I1478" s="666" t="s">
        <v>859</v>
      </c>
      <c r="J1478" s="667" t="s">
        <v>805</v>
      </c>
      <c r="K1478" s="662">
        <v>5</v>
      </c>
      <c r="L1478" s="685">
        <f t="shared" si="41"/>
        <v>14.1</v>
      </c>
      <c r="M1478" s="686">
        <f t="shared" si="42"/>
        <v>70.5</v>
      </c>
    </row>
    <row r="1479" spans="2:13" s="645" customFormat="1" ht="21.75" customHeight="1">
      <c r="B1479" s="661">
        <v>44415</v>
      </c>
      <c r="C1479" s="662" t="s">
        <v>819</v>
      </c>
      <c r="D1479" s="663" t="s">
        <v>839</v>
      </c>
      <c r="E1479" s="664" t="s">
        <v>831</v>
      </c>
      <c r="F1479" s="665"/>
      <c r="G1479" s="663">
        <v>15</v>
      </c>
      <c r="H1479" s="662" t="s">
        <v>807</v>
      </c>
      <c r="I1479" s="666" t="s">
        <v>859</v>
      </c>
      <c r="J1479" s="667" t="s">
        <v>805</v>
      </c>
      <c r="K1479" s="662">
        <v>2</v>
      </c>
      <c r="L1479" s="685">
        <f t="shared" si="41"/>
        <v>14.1</v>
      </c>
      <c r="M1479" s="686">
        <f t="shared" si="42"/>
        <v>28.2</v>
      </c>
    </row>
    <row r="1480" spans="2:13" s="645" customFormat="1" ht="21.75" customHeight="1">
      <c r="B1480" s="661">
        <v>44415</v>
      </c>
      <c r="C1480" s="662" t="s">
        <v>819</v>
      </c>
      <c r="D1480" s="663" t="s">
        <v>845</v>
      </c>
      <c r="E1480" s="664" t="s">
        <v>831</v>
      </c>
      <c r="F1480" s="665"/>
      <c r="G1480" s="663">
        <v>17</v>
      </c>
      <c r="H1480" s="662" t="s">
        <v>807</v>
      </c>
      <c r="I1480" s="666" t="s">
        <v>859</v>
      </c>
      <c r="J1480" s="667" t="s">
        <v>805</v>
      </c>
      <c r="K1480" s="662">
        <v>5</v>
      </c>
      <c r="L1480" s="685">
        <f t="shared" si="41"/>
        <v>15.98</v>
      </c>
      <c r="M1480" s="686">
        <f t="shared" si="42"/>
        <v>79.900000000000006</v>
      </c>
    </row>
    <row r="1481" spans="2:13" s="645" customFormat="1" ht="21.75" customHeight="1">
      <c r="B1481" s="661">
        <v>44415</v>
      </c>
      <c r="C1481" s="662" t="s">
        <v>819</v>
      </c>
      <c r="D1481" s="663" t="s">
        <v>847</v>
      </c>
      <c r="E1481" s="664" t="s">
        <v>831</v>
      </c>
      <c r="F1481" s="665"/>
      <c r="G1481" s="663">
        <v>17</v>
      </c>
      <c r="H1481" s="662" t="s">
        <v>807</v>
      </c>
      <c r="I1481" s="666" t="s">
        <v>859</v>
      </c>
      <c r="J1481" s="667" t="s">
        <v>805</v>
      </c>
      <c r="K1481" s="662">
        <v>4</v>
      </c>
      <c r="L1481" s="685">
        <f t="shared" ref="L1481:L1544" si="43">VLOOKUP(G1481,$Q$4:$V$7,6,FALSE)</f>
        <v>15.98</v>
      </c>
      <c r="M1481" s="686">
        <f t="shared" si="42"/>
        <v>63.92</v>
      </c>
    </row>
    <row r="1482" spans="2:13" s="645" customFormat="1" ht="21.75" customHeight="1">
      <c r="B1482" s="661">
        <v>44415</v>
      </c>
      <c r="C1482" s="662" t="s">
        <v>819</v>
      </c>
      <c r="D1482" s="663" t="s">
        <v>856</v>
      </c>
      <c r="E1482" s="664" t="s">
        <v>831</v>
      </c>
      <c r="F1482" s="665"/>
      <c r="G1482" s="663">
        <v>20</v>
      </c>
      <c r="H1482" s="662" t="s">
        <v>807</v>
      </c>
      <c r="I1482" s="666" t="s">
        <v>859</v>
      </c>
      <c r="J1482" s="667" t="s">
        <v>805</v>
      </c>
      <c r="K1482" s="662">
        <v>3</v>
      </c>
      <c r="L1482" s="685">
        <f t="shared" si="43"/>
        <v>18.8</v>
      </c>
      <c r="M1482" s="686">
        <f t="shared" si="42"/>
        <v>56.400000000000006</v>
      </c>
    </row>
    <row r="1483" spans="2:13" s="645" customFormat="1" ht="21.75" customHeight="1">
      <c r="B1483" s="661">
        <v>44415</v>
      </c>
      <c r="C1483" s="662" t="s">
        <v>819</v>
      </c>
      <c r="D1483" s="663" t="s">
        <v>855</v>
      </c>
      <c r="E1483" s="664" t="s">
        <v>831</v>
      </c>
      <c r="F1483" s="665"/>
      <c r="G1483" s="663">
        <v>20</v>
      </c>
      <c r="H1483" s="662" t="s">
        <v>807</v>
      </c>
      <c r="I1483" s="666" t="s">
        <v>859</v>
      </c>
      <c r="J1483" s="667" t="s">
        <v>805</v>
      </c>
      <c r="K1483" s="662">
        <v>4</v>
      </c>
      <c r="L1483" s="685">
        <f t="shared" si="43"/>
        <v>18.8</v>
      </c>
      <c r="M1483" s="686">
        <f t="shared" si="42"/>
        <v>75.2</v>
      </c>
    </row>
    <row r="1484" spans="2:13" s="645" customFormat="1" ht="21.75" customHeight="1">
      <c r="B1484" s="661">
        <v>44415</v>
      </c>
      <c r="C1484" s="662" t="s">
        <v>837</v>
      </c>
      <c r="D1484" s="663" t="s">
        <v>835</v>
      </c>
      <c r="E1484" s="664" t="s">
        <v>831</v>
      </c>
      <c r="F1484" s="665"/>
      <c r="G1484" s="663">
        <v>20</v>
      </c>
      <c r="H1484" s="662" t="s">
        <v>807</v>
      </c>
      <c r="I1484" s="666" t="s">
        <v>859</v>
      </c>
      <c r="J1484" s="667" t="s">
        <v>805</v>
      </c>
      <c r="K1484" s="662">
        <v>1</v>
      </c>
      <c r="L1484" s="685">
        <f t="shared" si="43"/>
        <v>18.8</v>
      </c>
      <c r="M1484" s="686">
        <f t="shared" si="42"/>
        <v>18.8</v>
      </c>
    </row>
    <row r="1485" spans="2:13" s="645" customFormat="1" ht="21.75" customHeight="1">
      <c r="B1485" s="661">
        <v>44415</v>
      </c>
      <c r="C1485" s="662" t="s">
        <v>837</v>
      </c>
      <c r="D1485" s="663" t="s">
        <v>835</v>
      </c>
      <c r="E1485" s="664" t="s">
        <v>831</v>
      </c>
      <c r="F1485" s="665"/>
      <c r="G1485" s="663">
        <v>20</v>
      </c>
      <c r="H1485" s="662" t="s">
        <v>807</v>
      </c>
      <c r="I1485" s="666" t="s">
        <v>857</v>
      </c>
      <c r="J1485" s="667" t="s">
        <v>805</v>
      </c>
      <c r="K1485" s="662">
        <v>3</v>
      </c>
      <c r="L1485" s="685">
        <f t="shared" si="43"/>
        <v>18.8</v>
      </c>
      <c r="M1485" s="686">
        <f t="shared" si="42"/>
        <v>56.400000000000006</v>
      </c>
    </row>
    <row r="1486" spans="2:13" s="645" customFormat="1" ht="21.75" customHeight="1">
      <c r="B1486" s="661">
        <v>44415</v>
      </c>
      <c r="C1486" s="662" t="s">
        <v>837</v>
      </c>
      <c r="D1486" s="663" t="s">
        <v>834</v>
      </c>
      <c r="E1486" s="664" t="s">
        <v>831</v>
      </c>
      <c r="F1486" s="665"/>
      <c r="G1486" s="663">
        <v>20</v>
      </c>
      <c r="H1486" s="662" t="s">
        <v>807</v>
      </c>
      <c r="I1486" s="666" t="s">
        <v>859</v>
      </c>
      <c r="J1486" s="667" t="s">
        <v>805</v>
      </c>
      <c r="K1486" s="662">
        <v>4</v>
      </c>
      <c r="L1486" s="685">
        <f t="shared" si="43"/>
        <v>18.8</v>
      </c>
      <c r="M1486" s="686">
        <f t="shared" si="42"/>
        <v>75.2</v>
      </c>
    </row>
    <row r="1487" spans="2:13" s="645" customFormat="1" ht="21.75" customHeight="1">
      <c r="B1487" s="661">
        <v>44415</v>
      </c>
      <c r="C1487" s="662" t="s">
        <v>837</v>
      </c>
      <c r="D1487" s="663" t="s">
        <v>848</v>
      </c>
      <c r="E1487" s="664" t="s">
        <v>831</v>
      </c>
      <c r="F1487" s="665"/>
      <c r="G1487" s="663">
        <v>20</v>
      </c>
      <c r="H1487" s="662" t="s">
        <v>807</v>
      </c>
      <c r="I1487" s="666" t="s">
        <v>859</v>
      </c>
      <c r="J1487" s="667" t="s">
        <v>805</v>
      </c>
      <c r="K1487" s="662">
        <v>13</v>
      </c>
      <c r="L1487" s="685">
        <f t="shared" si="43"/>
        <v>18.8</v>
      </c>
      <c r="M1487" s="686">
        <f t="shared" si="42"/>
        <v>244.4</v>
      </c>
    </row>
    <row r="1488" spans="2:13" s="645" customFormat="1" ht="21.75" customHeight="1">
      <c r="B1488" s="661">
        <v>44415</v>
      </c>
      <c r="C1488" s="662" t="s">
        <v>837</v>
      </c>
      <c r="D1488" s="663" t="s">
        <v>844</v>
      </c>
      <c r="E1488" s="664" t="s">
        <v>831</v>
      </c>
      <c r="F1488" s="665"/>
      <c r="G1488" s="663">
        <v>15</v>
      </c>
      <c r="H1488" s="662" t="s">
        <v>807</v>
      </c>
      <c r="I1488" s="666" t="s">
        <v>857</v>
      </c>
      <c r="J1488" s="667" t="s">
        <v>805</v>
      </c>
      <c r="K1488" s="662">
        <v>2</v>
      </c>
      <c r="L1488" s="685">
        <f t="shared" si="43"/>
        <v>14.1</v>
      </c>
      <c r="M1488" s="686">
        <f t="shared" si="42"/>
        <v>28.2</v>
      </c>
    </row>
    <row r="1489" spans="2:13" s="645" customFormat="1" ht="21.75" customHeight="1">
      <c r="B1489" s="661">
        <v>44415</v>
      </c>
      <c r="C1489" s="662" t="s">
        <v>837</v>
      </c>
      <c r="D1489" s="663" t="s">
        <v>845</v>
      </c>
      <c r="E1489" s="664" t="s">
        <v>831</v>
      </c>
      <c r="F1489" s="665"/>
      <c r="G1489" s="663">
        <v>17</v>
      </c>
      <c r="H1489" s="662" t="s">
        <v>807</v>
      </c>
      <c r="I1489" s="666" t="s">
        <v>857</v>
      </c>
      <c r="J1489" s="667" t="s">
        <v>805</v>
      </c>
      <c r="K1489" s="662">
        <v>3</v>
      </c>
      <c r="L1489" s="685">
        <f t="shared" si="43"/>
        <v>15.98</v>
      </c>
      <c r="M1489" s="686">
        <f t="shared" si="42"/>
        <v>47.94</v>
      </c>
    </row>
    <row r="1490" spans="2:13" s="645" customFormat="1" ht="21.75" customHeight="1">
      <c r="B1490" s="661">
        <v>44415</v>
      </c>
      <c r="C1490" s="662" t="s">
        <v>837</v>
      </c>
      <c r="D1490" s="663" t="s">
        <v>847</v>
      </c>
      <c r="E1490" s="664" t="s">
        <v>831</v>
      </c>
      <c r="F1490" s="665"/>
      <c r="G1490" s="663">
        <v>17</v>
      </c>
      <c r="H1490" s="662" t="s">
        <v>807</v>
      </c>
      <c r="I1490" s="666" t="s">
        <v>859</v>
      </c>
      <c r="J1490" s="667" t="s">
        <v>805</v>
      </c>
      <c r="K1490" s="662">
        <v>4</v>
      </c>
      <c r="L1490" s="685">
        <f t="shared" si="43"/>
        <v>15.98</v>
      </c>
      <c r="M1490" s="686">
        <f t="shared" si="42"/>
        <v>63.92</v>
      </c>
    </row>
    <row r="1491" spans="2:13" s="645" customFormat="1" ht="21.75" customHeight="1">
      <c r="B1491" s="661">
        <v>44415</v>
      </c>
      <c r="C1491" s="662" t="s">
        <v>837</v>
      </c>
      <c r="D1491" s="663" t="s">
        <v>856</v>
      </c>
      <c r="E1491" s="664" t="s">
        <v>831</v>
      </c>
      <c r="F1491" s="665"/>
      <c r="G1491" s="663">
        <v>20</v>
      </c>
      <c r="H1491" s="662" t="s">
        <v>807</v>
      </c>
      <c r="I1491" s="666" t="s">
        <v>859</v>
      </c>
      <c r="J1491" s="667" t="s">
        <v>805</v>
      </c>
      <c r="K1491" s="662">
        <v>4</v>
      </c>
      <c r="L1491" s="685">
        <f t="shared" si="43"/>
        <v>18.8</v>
      </c>
      <c r="M1491" s="686">
        <f t="shared" si="42"/>
        <v>75.2</v>
      </c>
    </row>
    <row r="1492" spans="2:13" s="645" customFormat="1" ht="21.75" customHeight="1">
      <c r="B1492" s="661">
        <v>44415</v>
      </c>
      <c r="C1492" s="662" t="s">
        <v>837</v>
      </c>
      <c r="D1492" s="663" t="s">
        <v>855</v>
      </c>
      <c r="E1492" s="664" t="s">
        <v>831</v>
      </c>
      <c r="F1492" s="665"/>
      <c r="G1492" s="663">
        <v>20</v>
      </c>
      <c r="H1492" s="662" t="s">
        <v>807</v>
      </c>
      <c r="I1492" s="666" t="s">
        <v>859</v>
      </c>
      <c r="J1492" s="667" t="s">
        <v>805</v>
      </c>
      <c r="K1492" s="662">
        <v>3</v>
      </c>
      <c r="L1492" s="685">
        <f t="shared" si="43"/>
        <v>18.8</v>
      </c>
      <c r="M1492" s="686">
        <f t="shared" si="42"/>
        <v>56.400000000000006</v>
      </c>
    </row>
    <row r="1493" spans="2:13" s="645" customFormat="1" ht="21.75" customHeight="1">
      <c r="B1493" s="661">
        <v>44415</v>
      </c>
      <c r="C1493" s="662" t="s">
        <v>819</v>
      </c>
      <c r="D1493" s="663" t="s">
        <v>849</v>
      </c>
      <c r="E1493" s="664" t="s">
        <v>831</v>
      </c>
      <c r="F1493" s="665"/>
      <c r="G1493" s="663">
        <v>20</v>
      </c>
      <c r="H1493" s="662" t="s">
        <v>807</v>
      </c>
      <c r="I1493" s="666" t="s">
        <v>859</v>
      </c>
      <c r="J1493" s="667" t="s">
        <v>802</v>
      </c>
      <c r="K1493" s="662">
        <v>2</v>
      </c>
      <c r="L1493" s="685">
        <f t="shared" si="43"/>
        <v>18.8</v>
      </c>
      <c r="M1493" s="686">
        <f t="shared" si="42"/>
        <v>37.6</v>
      </c>
    </row>
    <row r="1494" spans="2:13" s="645" customFormat="1" ht="21.75" customHeight="1">
      <c r="B1494" s="661">
        <v>44415</v>
      </c>
      <c r="C1494" s="662" t="s">
        <v>819</v>
      </c>
      <c r="D1494" s="663" t="s">
        <v>840</v>
      </c>
      <c r="E1494" s="664" t="s">
        <v>831</v>
      </c>
      <c r="F1494" s="665"/>
      <c r="G1494" s="663">
        <v>20</v>
      </c>
      <c r="H1494" s="662" t="s">
        <v>807</v>
      </c>
      <c r="I1494" s="666" t="s">
        <v>859</v>
      </c>
      <c r="J1494" s="667" t="s">
        <v>802</v>
      </c>
      <c r="K1494" s="662">
        <v>3</v>
      </c>
      <c r="L1494" s="685">
        <f t="shared" si="43"/>
        <v>18.8</v>
      </c>
      <c r="M1494" s="686">
        <f t="shared" si="42"/>
        <v>56.400000000000006</v>
      </c>
    </row>
    <row r="1495" spans="2:13" s="645" customFormat="1" ht="21.75" customHeight="1">
      <c r="B1495" s="661">
        <v>44415</v>
      </c>
      <c r="C1495" s="662" t="s">
        <v>819</v>
      </c>
      <c r="D1495" s="663" t="s">
        <v>835</v>
      </c>
      <c r="E1495" s="664" t="s">
        <v>831</v>
      </c>
      <c r="F1495" s="665"/>
      <c r="G1495" s="663">
        <v>20</v>
      </c>
      <c r="H1495" s="662" t="s">
        <v>807</v>
      </c>
      <c r="I1495" s="666" t="s">
        <v>859</v>
      </c>
      <c r="J1495" s="667" t="s">
        <v>802</v>
      </c>
      <c r="K1495" s="662">
        <v>5</v>
      </c>
      <c r="L1495" s="685">
        <f t="shared" si="43"/>
        <v>18.8</v>
      </c>
      <c r="M1495" s="686">
        <f t="shared" si="42"/>
        <v>94</v>
      </c>
    </row>
    <row r="1496" spans="2:13" s="645" customFormat="1" ht="21.75" customHeight="1">
      <c r="B1496" s="661">
        <v>44415</v>
      </c>
      <c r="C1496" s="662" t="s">
        <v>819</v>
      </c>
      <c r="D1496" s="663" t="s">
        <v>841</v>
      </c>
      <c r="E1496" s="664" t="s">
        <v>831</v>
      </c>
      <c r="F1496" s="665"/>
      <c r="G1496" s="663">
        <v>20</v>
      </c>
      <c r="H1496" s="662" t="s">
        <v>807</v>
      </c>
      <c r="I1496" s="666" t="s">
        <v>859</v>
      </c>
      <c r="J1496" s="667" t="s">
        <v>802</v>
      </c>
      <c r="K1496" s="662">
        <v>5</v>
      </c>
      <c r="L1496" s="685">
        <f t="shared" si="43"/>
        <v>18.8</v>
      </c>
      <c r="M1496" s="686">
        <f t="shared" si="42"/>
        <v>94</v>
      </c>
    </row>
    <row r="1497" spans="2:13" s="645" customFormat="1" ht="21.75" customHeight="1">
      <c r="B1497" s="661">
        <v>44415</v>
      </c>
      <c r="C1497" s="662" t="s">
        <v>819</v>
      </c>
      <c r="D1497" s="663" t="s">
        <v>834</v>
      </c>
      <c r="E1497" s="664" t="s">
        <v>831</v>
      </c>
      <c r="F1497" s="665"/>
      <c r="G1497" s="663">
        <v>20</v>
      </c>
      <c r="H1497" s="662" t="s">
        <v>807</v>
      </c>
      <c r="I1497" s="666" t="s">
        <v>859</v>
      </c>
      <c r="J1497" s="667" t="s">
        <v>802</v>
      </c>
      <c r="K1497" s="662">
        <v>5</v>
      </c>
      <c r="L1497" s="685">
        <f t="shared" si="43"/>
        <v>18.8</v>
      </c>
      <c r="M1497" s="686">
        <f t="shared" si="42"/>
        <v>94</v>
      </c>
    </row>
    <row r="1498" spans="2:13" s="645" customFormat="1" ht="21.75" customHeight="1">
      <c r="B1498" s="661">
        <v>44415</v>
      </c>
      <c r="C1498" s="662" t="s">
        <v>819</v>
      </c>
      <c r="D1498" s="663" t="s">
        <v>848</v>
      </c>
      <c r="E1498" s="664" t="s">
        <v>831</v>
      </c>
      <c r="F1498" s="665"/>
      <c r="G1498" s="663">
        <v>20</v>
      </c>
      <c r="H1498" s="662" t="s">
        <v>807</v>
      </c>
      <c r="I1498" s="666" t="s">
        <v>859</v>
      </c>
      <c r="J1498" s="667" t="s">
        <v>802</v>
      </c>
      <c r="K1498" s="662">
        <v>3</v>
      </c>
      <c r="L1498" s="685">
        <f t="shared" si="43"/>
        <v>18.8</v>
      </c>
      <c r="M1498" s="686">
        <f t="shared" si="42"/>
        <v>56.400000000000006</v>
      </c>
    </row>
    <row r="1499" spans="2:13" s="645" customFormat="1" ht="21.75" customHeight="1">
      <c r="B1499" s="661">
        <v>44415</v>
      </c>
      <c r="C1499" s="662" t="s">
        <v>819</v>
      </c>
      <c r="D1499" s="663" t="s">
        <v>836</v>
      </c>
      <c r="E1499" s="664" t="s">
        <v>831</v>
      </c>
      <c r="F1499" s="665"/>
      <c r="G1499" s="663">
        <v>20</v>
      </c>
      <c r="H1499" s="662" t="s">
        <v>807</v>
      </c>
      <c r="I1499" s="666" t="s">
        <v>859</v>
      </c>
      <c r="J1499" s="667" t="s">
        <v>802</v>
      </c>
      <c r="K1499" s="662">
        <v>4</v>
      </c>
      <c r="L1499" s="685">
        <f t="shared" si="43"/>
        <v>18.8</v>
      </c>
      <c r="M1499" s="686">
        <f t="shared" si="42"/>
        <v>75.2</v>
      </c>
    </row>
    <row r="1500" spans="2:13" s="645" customFormat="1" ht="21.75" customHeight="1">
      <c r="B1500" s="661">
        <v>44415</v>
      </c>
      <c r="C1500" s="662" t="s">
        <v>819</v>
      </c>
      <c r="D1500" s="663" t="s">
        <v>833</v>
      </c>
      <c r="E1500" s="664" t="s">
        <v>831</v>
      </c>
      <c r="F1500" s="665"/>
      <c r="G1500" s="663">
        <v>15</v>
      </c>
      <c r="H1500" s="662" t="s">
        <v>807</v>
      </c>
      <c r="I1500" s="666" t="s">
        <v>859</v>
      </c>
      <c r="J1500" s="667" t="s">
        <v>802</v>
      </c>
      <c r="K1500" s="662">
        <v>3</v>
      </c>
      <c r="L1500" s="685">
        <f t="shared" si="43"/>
        <v>14.1</v>
      </c>
      <c r="M1500" s="686">
        <f t="shared" si="42"/>
        <v>42.3</v>
      </c>
    </row>
    <row r="1501" spans="2:13" s="645" customFormat="1" ht="21.75" customHeight="1">
      <c r="B1501" s="661">
        <v>44415</v>
      </c>
      <c r="C1501" s="662" t="s">
        <v>819</v>
      </c>
      <c r="D1501" s="663" t="s">
        <v>830</v>
      </c>
      <c r="E1501" s="664" t="s">
        <v>831</v>
      </c>
      <c r="F1501" s="665"/>
      <c r="G1501" s="663">
        <v>15</v>
      </c>
      <c r="H1501" s="662" t="s">
        <v>807</v>
      </c>
      <c r="I1501" s="666" t="s">
        <v>859</v>
      </c>
      <c r="J1501" s="667" t="s">
        <v>802</v>
      </c>
      <c r="K1501" s="662">
        <v>6</v>
      </c>
      <c r="L1501" s="685">
        <f t="shared" si="43"/>
        <v>14.1</v>
      </c>
      <c r="M1501" s="686">
        <f t="shared" si="42"/>
        <v>84.6</v>
      </c>
    </row>
    <row r="1502" spans="2:13" s="645" customFormat="1" ht="21.75" customHeight="1">
      <c r="B1502" s="661">
        <v>44415</v>
      </c>
      <c r="C1502" s="662" t="s">
        <v>819</v>
      </c>
      <c r="D1502" s="663" t="s">
        <v>844</v>
      </c>
      <c r="E1502" s="664" t="s">
        <v>831</v>
      </c>
      <c r="F1502" s="665"/>
      <c r="G1502" s="663">
        <v>15</v>
      </c>
      <c r="H1502" s="662" t="s">
        <v>807</v>
      </c>
      <c r="I1502" s="666" t="s">
        <v>859</v>
      </c>
      <c r="J1502" s="667" t="s">
        <v>802</v>
      </c>
      <c r="K1502" s="662">
        <v>4</v>
      </c>
      <c r="L1502" s="685">
        <f t="shared" si="43"/>
        <v>14.1</v>
      </c>
      <c r="M1502" s="686">
        <f t="shared" si="42"/>
        <v>56.4</v>
      </c>
    </row>
    <row r="1503" spans="2:13" s="645" customFormat="1" ht="21.75" customHeight="1">
      <c r="B1503" s="661">
        <v>44415</v>
      </c>
      <c r="C1503" s="662" t="s">
        <v>819</v>
      </c>
      <c r="D1503" s="663" t="s">
        <v>850</v>
      </c>
      <c r="E1503" s="664" t="s">
        <v>831</v>
      </c>
      <c r="F1503" s="665"/>
      <c r="G1503" s="663">
        <v>15</v>
      </c>
      <c r="H1503" s="662" t="s">
        <v>807</v>
      </c>
      <c r="I1503" s="666" t="s">
        <v>859</v>
      </c>
      <c r="J1503" s="667" t="s">
        <v>802</v>
      </c>
      <c r="K1503" s="662">
        <v>4</v>
      </c>
      <c r="L1503" s="685">
        <f t="shared" si="43"/>
        <v>14.1</v>
      </c>
      <c r="M1503" s="686">
        <f t="shared" si="42"/>
        <v>56.4</v>
      </c>
    </row>
    <row r="1504" spans="2:13" s="645" customFormat="1" ht="21.75" customHeight="1">
      <c r="B1504" s="661">
        <v>44415</v>
      </c>
      <c r="C1504" s="662" t="s">
        <v>819</v>
      </c>
      <c r="D1504" s="663" t="s">
        <v>839</v>
      </c>
      <c r="E1504" s="664" t="s">
        <v>831</v>
      </c>
      <c r="F1504" s="665"/>
      <c r="G1504" s="663">
        <v>15</v>
      </c>
      <c r="H1504" s="662" t="s">
        <v>807</v>
      </c>
      <c r="I1504" s="666" t="s">
        <v>859</v>
      </c>
      <c r="J1504" s="667" t="s">
        <v>802</v>
      </c>
      <c r="K1504" s="662">
        <v>7</v>
      </c>
      <c r="L1504" s="685">
        <f t="shared" si="43"/>
        <v>14.1</v>
      </c>
      <c r="M1504" s="686">
        <f t="shared" si="42"/>
        <v>98.7</v>
      </c>
    </row>
    <row r="1505" spans="2:13" s="645" customFormat="1" ht="21.75" customHeight="1">
      <c r="B1505" s="661">
        <v>44415</v>
      </c>
      <c r="C1505" s="662" t="s">
        <v>819</v>
      </c>
      <c r="D1505" s="663" t="s">
        <v>845</v>
      </c>
      <c r="E1505" s="664" t="s">
        <v>831</v>
      </c>
      <c r="F1505" s="665"/>
      <c r="G1505" s="663">
        <v>17</v>
      </c>
      <c r="H1505" s="662" t="s">
        <v>807</v>
      </c>
      <c r="I1505" s="666" t="s">
        <v>859</v>
      </c>
      <c r="J1505" s="667" t="s">
        <v>802</v>
      </c>
      <c r="K1505" s="662">
        <v>4</v>
      </c>
      <c r="L1505" s="685">
        <f t="shared" si="43"/>
        <v>15.98</v>
      </c>
      <c r="M1505" s="686">
        <f t="shared" si="42"/>
        <v>63.92</v>
      </c>
    </row>
    <row r="1506" spans="2:13" s="645" customFormat="1" ht="21.75" customHeight="1">
      <c r="B1506" s="661">
        <v>44415</v>
      </c>
      <c r="C1506" s="662" t="s">
        <v>819</v>
      </c>
      <c r="D1506" s="663" t="s">
        <v>847</v>
      </c>
      <c r="E1506" s="664" t="s">
        <v>831</v>
      </c>
      <c r="F1506" s="665"/>
      <c r="G1506" s="663">
        <v>17</v>
      </c>
      <c r="H1506" s="662" t="s">
        <v>807</v>
      </c>
      <c r="I1506" s="666" t="s">
        <v>859</v>
      </c>
      <c r="J1506" s="667" t="s">
        <v>802</v>
      </c>
      <c r="K1506" s="662">
        <v>5</v>
      </c>
      <c r="L1506" s="685">
        <f t="shared" si="43"/>
        <v>15.98</v>
      </c>
      <c r="M1506" s="686">
        <f t="shared" si="42"/>
        <v>79.900000000000006</v>
      </c>
    </row>
    <row r="1507" spans="2:13" s="645" customFormat="1" ht="21.75" customHeight="1">
      <c r="B1507" s="661">
        <v>44415</v>
      </c>
      <c r="C1507" s="662" t="s">
        <v>819</v>
      </c>
      <c r="D1507" s="663" t="s">
        <v>856</v>
      </c>
      <c r="E1507" s="664" t="s">
        <v>831</v>
      </c>
      <c r="F1507" s="665"/>
      <c r="G1507" s="663">
        <v>20</v>
      </c>
      <c r="H1507" s="662" t="s">
        <v>807</v>
      </c>
      <c r="I1507" s="666" t="s">
        <v>859</v>
      </c>
      <c r="J1507" s="667" t="s">
        <v>802</v>
      </c>
      <c r="K1507" s="662">
        <v>5</v>
      </c>
      <c r="L1507" s="685">
        <f t="shared" si="43"/>
        <v>18.8</v>
      </c>
      <c r="M1507" s="686">
        <f t="shared" si="42"/>
        <v>94</v>
      </c>
    </row>
    <row r="1508" spans="2:13" s="645" customFormat="1" ht="21.75" customHeight="1">
      <c r="B1508" s="661">
        <v>44415</v>
      </c>
      <c r="C1508" s="662" t="s">
        <v>819</v>
      </c>
      <c r="D1508" s="663" t="s">
        <v>855</v>
      </c>
      <c r="E1508" s="664" t="s">
        <v>831</v>
      </c>
      <c r="F1508" s="665"/>
      <c r="G1508" s="663">
        <v>20</v>
      </c>
      <c r="H1508" s="662" t="s">
        <v>807</v>
      </c>
      <c r="I1508" s="666" t="s">
        <v>859</v>
      </c>
      <c r="J1508" s="667" t="s">
        <v>802</v>
      </c>
      <c r="K1508" s="662">
        <v>5</v>
      </c>
      <c r="L1508" s="685">
        <f t="shared" si="43"/>
        <v>18.8</v>
      </c>
      <c r="M1508" s="686">
        <f t="shared" si="42"/>
        <v>94</v>
      </c>
    </row>
    <row r="1509" spans="2:13" s="645" customFormat="1" ht="21.75" customHeight="1">
      <c r="B1509" s="661">
        <v>44415</v>
      </c>
      <c r="C1509" s="662" t="s">
        <v>837</v>
      </c>
      <c r="D1509" s="663" t="s">
        <v>840</v>
      </c>
      <c r="E1509" s="664" t="s">
        <v>831</v>
      </c>
      <c r="F1509" s="665"/>
      <c r="G1509" s="663">
        <v>20</v>
      </c>
      <c r="H1509" s="662" t="s">
        <v>807</v>
      </c>
      <c r="I1509" s="666" t="s">
        <v>859</v>
      </c>
      <c r="J1509" s="667" t="s">
        <v>802</v>
      </c>
      <c r="K1509" s="662">
        <v>13</v>
      </c>
      <c r="L1509" s="685">
        <f t="shared" si="43"/>
        <v>18.8</v>
      </c>
      <c r="M1509" s="686">
        <f t="shared" si="42"/>
        <v>244.4</v>
      </c>
    </row>
    <row r="1510" spans="2:13" s="645" customFormat="1" ht="21.75" customHeight="1">
      <c r="B1510" s="661">
        <v>44415</v>
      </c>
      <c r="C1510" s="662" t="s">
        <v>837</v>
      </c>
      <c r="D1510" s="663" t="s">
        <v>835</v>
      </c>
      <c r="E1510" s="664" t="s">
        <v>831</v>
      </c>
      <c r="F1510" s="665"/>
      <c r="G1510" s="663">
        <v>20</v>
      </c>
      <c r="H1510" s="662" t="s">
        <v>807</v>
      </c>
      <c r="I1510" s="666" t="s">
        <v>859</v>
      </c>
      <c r="J1510" s="667" t="s">
        <v>802</v>
      </c>
      <c r="K1510" s="662">
        <v>7</v>
      </c>
      <c r="L1510" s="685">
        <f t="shared" si="43"/>
        <v>18.8</v>
      </c>
      <c r="M1510" s="686">
        <f t="shared" si="42"/>
        <v>131.6</v>
      </c>
    </row>
    <row r="1511" spans="2:13" s="645" customFormat="1" ht="21.75" customHeight="1">
      <c r="B1511" s="661">
        <v>44415</v>
      </c>
      <c r="C1511" s="662" t="s">
        <v>837</v>
      </c>
      <c r="D1511" s="663" t="s">
        <v>835</v>
      </c>
      <c r="E1511" s="664" t="s">
        <v>831</v>
      </c>
      <c r="F1511" s="665"/>
      <c r="G1511" s="663">
        <v>20</v>
      </c>
      <c r="H1511" s="662" t="s">
        <v>807</v>
      </c>
      <c r="I1511" s="666" t="s">
        <v>857</v>
      </c>
      <c r="J1511" s="667" t="s">
        <v>802</v>
      </c>
      <c r="K1511" s="662">
        <v>1</v>
      </c>
      <c r="L1511" s="685">
        <f t="shared" si="43"/>
        <v>18.8</v>
      </c>
      <c r="M1511" s="686">
        <f t="shared" ref="M1511:M1574" si="44">L1511*K1511</f>
        <v>18.8</v>
      </c>
    </row>
    <row r="1512" spans="2:13" s="645" customFormat="1" ht="21.75" customHeight="1">
      <c r="B1512" s="661">
        <v>44415</v>
      </c>
      <c r="C1512" s="662" t="s">
        <v>837</v>
      </c>
      <c r="D1512" s="663" t="s">
        <v>841</v>
      </c>
      <c r="E1512" s="664" t="s">
        <v>831</v>
      </c>
      <c r="F1512" s="665"/>
      <c r="G1512" s="663">
        <v>20</v>
      </c>
      <c r="H1512" s="662" t="s">
        <v>807</v>
      </c>
      <c r="I1512" s="666" t="s">
        <v>859</v>
      </c>
      <c r="J1512" s="667" t="s">
        <v>802</v>
      </c>
      <c r="K1512" s="662">
        <v>12</v>
      </c>
      <c r="L1512" s="685">
        <f t="shared" si="43"/>
        <v>18.8</v>
      </c>
      <c r="M1512" s="686">
        <f t="shared" si="44"/>
        <v>225.60000000000002</v>
      </c>
    </row>
    <row r="1513" spans="2:13" s="645" customFormat="1" ht="21.75" customHeight="1">
      <c r="B1513" s="661">
        <v>44415</v>
      </c>
      <c r="C1513" s="662" t="s">
        <v>837</v>
      </c>
      <c r="D1513" s="663" t="s">
        <v>834</v>
      </c>
      <c r="E1513" s="664" t="s">
        <v>831</v>
      </c>
      <c r="F1513" s="665"/>
      <c r="G1513" s="663">
        <v>20</v>
      </c>
      <c r="H1513" s="662" t="s">
        <v>807</v>
      </c>
      <c r="I1513" s="666" t="s">
        <v>859</v>
      </c>
      <c r="J1513" s="667" t="s">
        <v>802</v>
      </c>
      <c r="K1513" s="662">
        <v>9</v>
      </c>
      <c r="L1513" s="685">
        <f t="shared" si="43"/>
        <v>18.8</v>
      </c>
      <c r="M1513" s="686">
        <f t="shared" si="44"/>
        <v>169.20000000000002</v>
      </c>
    </row>
    <row r="1514" spans="2:13" s="645" customFormat="1" ht="21.75" customHeight="1">
      <c r="B1514" s="661">
        <v>44415</v>
      </c>
      <c r="C1514" s="662" t="s">
        <v>837</v>
      </c>
      <c r="D1514" s="663" t="s">
        <v>830</v>
      </c>
      <c r="E1514" s="664" t="s">
        <v>831</v>
      </c>
      <c r="F1514" s="665"/>
      <c r="G1514" s="663">
        <v>15</v>
      </c>
      <c r="H1514" s="662" t="s">
        <v>807</v>
      </c>
      <c r="I1514" s="666" t="s">
        <v>859</v>
      </c>
      <c r="J1514" s="667" t="s">
        <v>802</v>
      </c>
      <c r="K1514" s="662">
        <v>4</v>
      </c>
      <c r="L1514" s="685">
        <f t="shared" si="43"/>
        <v>14.1</v>
      </c>
      <c r="M1514" s="686">
        <f t="shared" si="44"/>
        <v>56.4</v>
      </c>
    </row>
    <row r="1515" spans="2:13" s="645" customFormat="1" ht="21.75" customHeight="1">
      <c r="B1515" s="661">
        <v>44415</v>
      </c>
      <c r="C1515" s="662" t="s">
        <v>837</v>
      </c>
      <c r="D1515" s="663" t="s">
        <v>844</v>
      </c>
      <c r="E1515" s="664" t="s">
        <v>831</v>
      </c>
      <c r="F1515" s="665"/>
      <c r="G1515" s="663">
        <v>15</v>
      </c>
      <c r="H1515" s="662" t="s">
        <v>807</v>
      </c>
      <c r="I1515" s="666" t="s">
        <v>857</v>
      </c>
      <c r="J1515" s="667" t="s">
        <v>802</v>
      </c>
      <c r="K1515" s="662">
        <v>2</v>
      </c>
      <c r="L1515" s="685">
        <f t="shared" si="43"/>
        <v>14.1</v>
      </c>
      <c r="M1515" s="686">
        <f t="shared" si="44"/>
        <v>28.2</v>
      </c>
    </row>
    <row r="1516" spans="2:13" s="645" customFormat="1" ht="21.75" customHeight="1">
      <c r="B1516" s="661">
        <v>44415</v>
      </c>
      <c r="C1516" s="662" t="s">
        <v>837</v>
      </c>
      <c r="D1516" s="663" t="s">
        <v>845</v>
      </c>
      <c r="E1516" s="664" t="s">
        <v>831</v>
      </c>
      <c r="F1516" s="665"/>
      <c r="G1516" s="663">
        <v>17</v>
      </c>
      <c r="H1516" s="662" t="s">
        <v>807</v>
      </c>
      <c r="I1516" s="666" t="s">
        <v>857</v>
      </c>
      <c r="J1516" s="667" t="s">
        <v>802</v>
      </c>
      <c r="K1516" s="662">
        <v>1</v>
      </c>
      <c r="L1516" s="685">
        <f t="shared" si="43"/>
        <v>15.98</v>
      </c>
      <c r="M1516" s="686">
        <f t="shared" si="44"/>
        <v>15.98</v>
      </c>
    </row>
    <row r="1517" spans="2:13" s="645" customFormat="1" ht="21.75" customHeight="1">
      <c r="B1517" s="661">
        <v>44415</v>
      </c>
      <c r="C1517" s="662" t="s">
        <v>837</v>
      </c>
      <c r="D1517" s="663" t="s">
        <v>856</v>
      </c>
      <c r="E1517" s="664" t="s">
        <v>831</v>
      </c>
      <c r="F1517" s="665"/>
      <c r="G1517" s="663">
        <v>20</v>
      </c>
      <c r="H1517" s="662" t="s">
        <v>807</v>
      </c>
      <c r="I1517" s="666" t="s">
        <v>859</v>
      </c>
      <c r="J1517" s="667" t="s">
        <v>802</v>
      </c>
      <c r="K1517" s="662">
        <v>10</v>
      </c>
      <c r="L1517" s="685">
        <f t="shared" si="43"/>
        <v>18.8</v>
      </c>
      <c r="M1517" s="686">
        <f t="shared" si="44"/>
        <v>188</v>
      </c>
    </row>
    <row r="1518" spans="2:13" s="645" customFormat="1" ht="21.75" customHeight="1">
      <c r="B1518" s="661">
        <v>44415</v>
      </c>
      <c r="C1518" s="662" t="s">
        <v>837</v>
      </c>
      <c r="D1518" s="663" t="s">
        <v>855</v>
      </c>
      <c r="E1518" s="664" t="s">
        <v>831</v>
      </c>
      <c r="F1518" s="665"/>
      <c r="G1518" s="663">
        <v>20</v>
      </c>
      <c r="H1518" s="662" t="s">
        <v>807</v>
      </c>
      <c r="I1518" s="666" t="s">
        <v>859</v>
      </c>
      <c r="J1518" s="667" t="s">
        <v>802</v>
      </c>
      <c r="K1518" s="662">
        <v>9</v>
      </c>
      <c r="L1518" s="685">
        <f t="shared" si="43"/>
        <v>18.8</v>
      </c>
      <c r="M1518" s="686">
        <f t="shared" si="44"/>
        <v>169.20000000000002</v>
      </c>
    </row>
    <row r="1519" spans="2:13" s="645" customFormat="1" ht="21.75" customHeight="1">
      <c r="B1519" s="661">
        <v>44415</v>
      </c>
      <c r="C1519" s="662" t="s">
        <v>837</v>
      </c>
      <c r="D1519" s="663" t="s">
        <v>855</v>
      </c>
      <c r="E1519" s="664" t="s">
        <v>831</v>
      </c>
      <c r="F1519" s="665"/>
      <c r="G1519" s="663">
        <v>20</v>
      </c>
      <c r="H1519" s="662" t="s">
        <v>807</v>
      </c>
      <c r="I1519" s="666" t="s">
        <v>857</v>
      </c>
      <c r="J1519" s="667" t="s">
        <v>802</v>
      </c>
      <c r="K1519" s="662">
        <v>1</v>
      </c>
      <c r="L1519" s="685">
        <f t="shared" si="43"/>
        <v>18.8</v>
      </c>
      <c r="M1519" s="686">
        <f t="shared" si="44"/>
        <v>18.8</v>
      </c>
    </row>
    <row r="1520" spans="2:13" s="645" customFormat="1" ht="21.75" customHeight="1">
      <c r="B1520" s="661">
        <v>44416</v>
      </c>
      <c r="C1520" s="662" t="s">
        <v>819</v>
      </c>
      <c r="D1520" s="663" t="s">
        <v>849</v>
      </c>
      <c r="E1520" s="664" t="s">
        <v>831</v>
      </c>
      <c r="F1520" s="665"/>
      <c r="G1520" s="663">
        <v>20</v>
      </c>
      <c r="H1520" s="662" t="s">
        <v>807</v>
      </c>
      <c r="I1520" s="666" t="s">
        <v>859</v>
      </c>
      <c r="J1520" s="667" t="s">
        <v>805</v>
      </c>
      <c r="K1520" s="662">
        <v>2</v>
      </c>
      <c r="L1520" s="685">
        <f t="shared" si="43"/>
        <v>18.8</v>
      </c>
      <c r="M1520" s="686">
        <f t="shared" si="44"/>
        <v>37.6</v>
      </c>
    </row>
    <row r="1521" spans="2:13" s="645" customFormat="1" ht="21.75" customHeight="1">
      <c r="B1521" s="661">
        <v>44416</v>
      </c>
      <c r="C1521" s="662" t="s">
        <v>819</v>
      </c>
      <c r="D1521" s="663" t="s">
        <v>849</v>
      </c>
      <c r="E1521" s="664" t="s">
        <v>831</v>
      </c>
      <c r="F1521" s="665"/>
      <c r="G1521" s="663">
        <v>20</v>
      </c>
      <c r="H1521" s="662" t="s">
        <v>807</v>
      </c>
      <c r="I1521" s="666" t="s">
        <v>857</v>
      </c>
      <c r="J1521" s="667" t="s">
        <v>805</v>
      </c>
      <c r="K1521" s="662">
        <v>4</v>
      </c>
      <c r="L1521" s="685">
        <f t="shared" si="43"/>
        <v>18.8</v>
      </c>
      <c r="M1521" s="686">
        <f t="shared" si="44"/>
        <v>75.2</v>
      </c>
    </row>
    <row r="1522" spans="2:13" s="645" customFormat="1" ht="21.75" customHeight="1">
      <c r="B1522" s="661">
        <v>44416</v>
      </c>
      <c r="C1522" s="662" t="s">
        <v>819</v>
      </c>
      <c r="D1522" s="663" t="s">
        <v>840</v>
      </c>
      <c r="E1522" s="664" t="s">
        <v>831</v>
      </c>
      <c r="F1522" s="665"/>
      <c r="G1522" s="663">
        <v>20</v>
      </c>
      <c r="H1522" s="662" t="s">
        <v>807</v>
      </c>
      <c r="I1522" s="666" t="s">
        <v>859</v>
      </c>
      <c r="J1522" s="667" t="s">
        <v>805</v>
      </c>
      <c r="K1522" s="662">
        <v>5</v>
      </c>
      <c r="L1522" s="685">
        <f t="shared" si="43"/>
        <v>18.8</v>
      </c>
      <c r="M1522" s="686">
        <f t="shared" si="44"/>
        <v>94</v>
      </c>
    </row>
    <row r="1523" spans="2:13" s="645" customFormat="1" ht="21.75" customHeight="1">
      <c r="B1523" s="661">
        <v>44416</v>
      </c>
      <c r="C1523" s="662" t="s">
        <v>819</v>
      </c>
      <c r="D1523" s="663" t="s">
        <v>840</v>
      </c>
      <c r="E1523" s="664" t="s">
        <v>831</v>
      </c>
      <c r="F1523" s="665"/>
      <c r="G1523" s="663">
        <v>20</v>
      </c>
      <c r="H1523" s="662" t="s">
        <v>807</v>
      </c>
      <c r="I1523" s="666" t="s">
        <v>857</v>
      </c>
      <c r="J1523" s="667" t="s">
        <v>805</v>
      </c>
      <c r="K1523" s="662">
        <v>5</v>
      </c>
      <c r="L1523" s="685">
        <f t="shared" si="43"/>
        <v>18.8</v>
      </c>
      <c r="M1523" s="686">
        <f t="shared" si="44"/>
        <v>94</v>
      </c>
    </row>
    <row r="1524" spans="2:13" s="645" customFormat="1" ht="21.75" customHeight="1">
      <c r="B1524" s="661">
        <v>44416</v>
      </c>
      <c r="C1524" s="662" t="s">
        <v>819</v>
      </c>
      <c r="D1524" s="663" t="s">
        <v>835</v>
      </c>
      <c r="E1524" s="664" t="s">
        <v>831</v>
      </c>
      <c r="F1524" s="665"/>
      <c r="G1524" s="663">
        <v>20</v>
      </c>
      <c r="H1524" s="662" t="s">
        <v>807</v>
      </c>
      <c r="I1524" s="666" t="s">
        <v>859</v>
      </c>
      <c r="J1524" s="667" t="s">
        <v>805</v>
      </c>
      <c r="K1524" s="662">
        <v>5</v>
      </c>
      <c r="L1524" s="685">
        <f t="shared" si="43"/>
        <v>18.8</v>
      </c>
      <c r="M1524" s="686">
        <f t="shared" si="44"/>
        <v>94</v>
      </c>
    </row>
    <row r="1525" spans="2:13" s="645" customFormat="1" ht="21.75" customHeight="1">
      <c r="B1525" s="661">
        <v>44416</v>
      </c>
      <c r="C1525" s="662" t="s">
        <v>819</v>
      </c>
      <c r="D1525" s="663" t="s">
        <v>835</v>
      </c>
      <c r="E1525" s="664" t="s">
        <v>831</v>
      </c>
      <c r="F1525" s="665"/>
      <c r="G1525" s="663">
        <v>20</v>
      </c>
      <c r="H1525" s="662" t="s">
        <v>807</v>
      </c>
      <c r="I1525" s="666" t="s">
        <v>857</v>
      </c>
      <c r="J1525" s="667" t="s">
        <v>805</v>
      </c>
      <c r="K1525" s="662">
        <v>5</v>
      </c>
      <c r="L1525" s="685">
        <f t="shared" si="43"/>
        <v>18.8</v>
      </c>
      <c r="M1525" s="686">
        <f t="shared" si="44"/>
        <v>94</v>
      </c>
    </row>
    <row r="1526" spans="2:13" s="645" customFormat="1" ht="21.75" customHeight="1">
      <c r="B1526" s="661">
        <v>44416</v>
      </c>
      <c r="C1526" s="662" t="s">
        <v>819</v>
      </c>
      <c r="D1526" s="663" t="s">
        <v>841</v>
      </c>
      <c r="E1526" s="664" t="s">
        <v>831</v>
      </c>
      <c r="F1526" s="665"/>
      <c r="G1526" s="663">
        <v>20</v>
      </c>
      <c r="H1526" s="662" t="s">
        <v>807</v>
      </c>
      <c r="I1526" s="666" t="s">
        <v>859</v>
      </c>
      <c r="J1526" s="667" t="s">
        <v>805</v>
      </c>
      <c r="K1526" s="662">
        <v>7</v>
      </c>
      <c r="L1526" s="685">
        <f t="shared" si="43"/>
        <v>18.8</v>
      </c>
      <c r="M1526" s="686">
        <f t="shared" si="44"/>
        <v>131.6</v>
      </c>
    </row>
    <row r="1527" spans="2:13" s="645" customFormat="1" ht="21.75" customHeight="1">
      <c r="B1527" s="661">
        <v>44416</v>
      </c>
      <c r="C1527" s="662" t="s">
        <v>819</v>
      </c>
      <c r="D1527" s="663" t="s">
        <v>834</v>
      </c>
      <c r="E1527" s="664" t="s">
        <v>831</v>
      </c>
      <c r="F1527" s="665"/>
      <c r="G1527" s="663">
        <v>20</v>
      </c>
      <c r="H1527" s="662" t="s">
        <v>807</v>
      </c>
      <c r="I1527" s="666" t="s">
        <v>857</v>
      </c>
      <c r="J1527" s="667" t="s">
        <v>805</v>
      </c>
      <c r="K1527" s="662">
        <v>2</v>
      </c>
      <c r="L1527" s="685">
        <f t="shared" si="43"/>
        <v>18.8</v>
      </c>
      <c r="M1527" s="686">
        <f t="shared" si="44"/>
        <v>37.6</v>
      </c>
    </row>
    <row r="1528" spans="2:13" s="645" customFormat="1" ht="21.75" customHeight="1">
      <c r="B1528" s="661">
        <v>44416</v>
      </c>
      <c r="C1528" s="662" t="s">
        <v>819</v>
      </c>
      <c r="D1528" s="663" t="s">
        <v>848</v>
      </c>
      <c r="E1528" s="664" t="s">
        <v>831</v>
      </c>
      <c r="F1528" s="665"/>
      <c r="G1528" s="663">
        <v>20</v>
      </c>
      <c r="H1528" s="662" t="s">
        <v>807</v>
      </c>
      <c r="I1528" s="666" t="s">
        <v>859</v>
      </c>
      <c r="J1528" s="667" t="s">
        <v>805</v>
      </c>
      <c r="K1528" s="662">
        <v>3</v>
      </c>
      <c r="L1528" s="685">
        <f t="shared" si="43"/>
        <v>18.8</v>
      </c>
      <c r="M1528" s="686">
        <f t="shared" si="44"/>
        <v>56.400000000000006</v>
      </c>
    </row>
    <row r="1529" spans="2:13" s="645" customFormat="1" ht="21.75" customHeight="1">
      <c r="B1529" s="661">
        <v>44416</v>
      </c>
      <c r="C1529" s="662" t="s">
        <v>819</v>
      </c>
      <c r="D1529" s="663" t="s">
        <v>836</v>
      </c>
      <c r="E1529" s="664" t="s">
        <v>831</v>
      </c>
      <c r="F1529" s="665"/>
      <c r="G1529" s="663">
        <v>20</v>
      </c>
      <c r="H1529" s="662" t="s">
        <v>807</v>
      </c>
      <c r="I1529" s="666" t="s">
        <v>859</v>
      </c>
      <c r="J1529" s="667" t="s">
        <v>805</v>
      </c>
      <c r="K1529" s="662">
        <v>2</v>
      </c>
      <c r="L1529" s="685">
        <f t="shared" si="43"/>
        <v>18.8</v>
      </c>
      <c r="M1529" s="686">
        <f t="shared" si="44"/>
        <v>37.6</v>
      </c>
    </row>
    <row r="1530" spans="2:13" s="645" customFormat="1" ht="21.75" customHeight="1">
      <c r="B1530" s="661">
        <v>44416</v>
      </c>
      <c r="C1530" s="662" t="s">
        <v>819</v>
      </c>
      <c r="D1530" s="663" t="s">
        <v>836</v>
      </c>
      <c r="E1530" s="664" t="s">
        <v>831</v>
      </c>
      <c r="F1530" s="665"/>
      <c r="G1530" s="663">
        <v>20</v>
      </c>
      <c r="H1530" s="662" t="s">
        <v>807</v>
      </c>
      <c r="I1530" s="666" t="s">
        <v>857</v>
      </c>
      <c r="J1530" s="667" t="s">
        <v>805</v>
      </c>
      <c r="K1530" s="662">
        <v>1</v>
      </c>
      <c r="L1530" s="685">
        <f t="shared" si="43"/>
        <v>18.8</v>
      </c>
      <c r="M1530" s="686">
        <f t="shared" si="44"/>
        <v>18.8</v>
      </c>
    </row>
    <row r="1531" spans="2:13" s="645" customFormat="1" ht="21.75" customHeight="1">
      <c r="B1531" s="661">
        <v>44416</v>
      </c>
      <c r="C1531" s="662" t="s">
        <v>819</v>
      </c>
      <c r="D1531" s="663" t="s">
        <v>830</v>
      </c>
      <c r="E1531" s="664" t="s">
        <v>831</v>
      </c>
      <c r="F1531" s="665"/>
      <c r="G1531" s="663">
        <v>15</v>
      </c>
      <c r="H1531" s="662" t="s">
        <v>807</v>
      </c>
      <c r="I1531" s="666" t="s">
        <v>859</v>
      </c>
      <c r="J1531" s="667" t="s">
        <v>805</v>
      </c>
      <c r="K1531" s="662">
        <v>6</v>
      </c>
      <c r="L1531" s="685">
        <f t="shared" si="43"/>
        <v>14.1</v>
      </c>
      <c r="M1531" s="686">
        <f t="shared" si="44"/>
        <v>84.6</v>
      </c>
    </row>
    <row r="1532" spans="2:13" s="645" customFormat="1" ht="21.75" customHeight="1">
      <c r="B1532" s="661">
        <v>44416</v>
      </c>
      <c r="C1532" s="662" t="s">
        <v>819</v>
      </c>
      <c r="D1532" s="663" t="s">
        <v>844</v>
      </c>
      <c r="E1532" s="664" t="s">
        <v>831</v>
      </c>
      <c r="F1532" s="665"/>
      <c r="G1532" s="663">
        <v>15</v>
      </c>
      <c r="H1532" s="662" t="s">
        <v>807</v>
      </c>
      <c r="I1532" s="666" t="s">
        <v>859</v>
      </c>
      <c r="J1532" s="667" t="s">
        <v>805</v>
      </c>
      <c r="K1532" s="662">
        <v>6</v>
      </c>
      <c r="L1532" s="685">
        <f t="shared" si="43"/>
        <v>14.1</v>
      </c>
      <c r="M1532" s="686">
        <f t="shared" si="44"/>
        <v>84.6</v>
      </c>
    </row>
    <row r="1533" spans="2:13" s="645" customFormat="1" ht="21.75" customHeight="1">
      <c r="B1533" s="661">
        <v>44416</v>
      </c>
      <c r="C1533" s="662" t="s">
        <v>819</v>
      </c>
      <c r="D1533" s="663" t="s">
        <v>850</v>
      </c>
      <c r="E1533" s="664" t="s">
        <v>831</v>
      </c>
      <c r="F1533" s="665"/>
      <c r="G1533" s="663">
        <v>15</v>
      </c>
      <c r="H1533" s="662" t="s">
        <v>807</v>
      </c>
      <c r="I1533" s="666" t="s">
        <v>859</v>
      </c>
      <c r="J1533" s="667" t="s">
        <v>805</v>
      </c>
      <c r="K1533" s="662">
        <v>3</v>
      </c>
      <c r="L1533" s="685">
        <f t="shared" si="43"/>
        <v>14.1</v>
      </c>
      <c r="M1533" s="686">
        <f t="shared" si="44"/>
        <v>42.3</v>
      </c>
    </row>
    <row r="1534" spans="2:13" s="645" customFormat="1" ht="21.75" customHeight="1">
      <c r="B1534" s="661">
        <v>44416</v>
      </c>
      <c r="C1534" s="662" t="s">
        <v>819</v>
      </c>
      <c r="D1534" s="663" t="s">
        <v>839</v>
      </c>
      <c r="E1534" s="664" t="s">
        <v>831</v>
      </c>
      <c r="F1534" s="665"/>
      <c r="G1534" s="663">
        <v>15</v>
      </c>
      <c r="H1534" s="662" t="s">
        <v>807</v>
      </c>
      <c r="I1534" s="666" t="s">
        <v>859</v>
      </c>
      <c r="J1534" s="667" t="s">
        <v>805</v>
      </c>
      <c r="K1534" s="662">
        <v>3</v>
      </c>
      <c r="L1534" s="685">
        <f t="shared" si="43"/>
        <v>14.1</v>
      </c>
      <c r="M1534" s="686">
        <f t="shared" si="44"/>
        <v>42.3</v>
      </c>
    </row>
    <row r="1535" spans="2:13" s="645" customFormat="1" ht="21.75" customHeight="1">
      <c r="B1535" s="661">
        <v>44416</v>
      </c>
      <c r="C1535" s="662" t="s">
        <v>819</v>
      </c>
      <c r="D1535" s="663" t="s">
        <v>839</v>
      </c>
      <c r="E1535" s="664" t="s">
        <v>831</v>
      </c>
      <c r="F1535" s="665"/>
      <c r="G1535" s="663">
        <v>15</v>
      </c>
      <c r="H1535" s="662" t="s">
        <v>807</v>
      </c>
      <c r="I1535" s="666" t="s">
        <v>857</v>
      </c>
      <c r="J1535" s="667" t="s">
        <v>805</v>
      </c>
      <c r="K1535" s="662">
        <v>2</v>
      </c>
      <c r="L1535" s="685">
        <f t="shared" si="43"/>
        <v>14.1</v>
      </c>
      <c r="M1535" s="686">
        <f t="shared" si="44"/>
        <v>28.2</v>
      </c>
    </row>
    <row r="1536" spans="2:13" s="645" customFormat="1" ht="21.75" customHeight="1">
      <c r="B1536" s="661">
        <v>44416</v>
      </c>
      <c r="C1536" s="662" t="s">
        <v>819</v>
      </c>
      <c r="D1536" s="663" t="s">
        <v>845</v>
      </c>
      <c r="E1536" s="664" t="s">
        <v>831</v>
      </c>
      <c r="F1536" s="665"/>
      <c r="G1536" s="663">
        <v>17</v>
      </c>
      <c r="H1536" s="662" t="s">
        <v>807</v>
      </c>
      <c r="I1536" s="666" t="s">
        <v>857</v>
      </c>
      <c r="J1536" s="667" t="s">
        <v>805</v>
      </c>
      <c r="K1536" s="662">
        <v>5</v>
      </c>
      <c r="L1536" s="685">
        <f t="shared" si="43"/>
        <v>15.98</v>
      </c>
      <c r="M1536" s="686">
        <f t="shared" si="44"/>
        <v>79.900000000000006</v>
      </c>
    </row>
    <row r="1537" spans="2:13" s="645" customFormat="1" ht="21.75" customHeight="1">
      <c r="B1537" s="661">
        <v>44416</v>
      </c>
      <c r="C1537" s="662" t="s">
        <v>819</v>
      </c>
      <c r="D1537" s="663" t="s">
        <v>847</v>
      </c>
      <c r="E1537" s="664" t="s">
        <v>831</v>
      </c>
      <c r="F1537" s="665"/>
      <c r="G1537" s="663">
        <v>17</v>
      </c>
      <c r="H1537" s="662" t="s">
        <v>807</v>
      </c>
      <c r="I1537" s="666" t="s">
        <v>859</v>
      </c>
      <c r="J1537" s="667" t="s">
        <v>805</v>
      </c>
      <c r="K1537" s="662">
        <v>4</v>
      </c>
      <c r="L1537" s="685">
        <f t="shared" si="43"/>
        <v>15.98</v>
      </c>
      <c r="M1537" s="686">
        <f t="shared" si="44"/>
        <v>63.92</v>
      </c>
    </row>
    <row r="1538" spans="2:13" s="645" customFormat="1" ht="21.75" customHeight="1">
      <c r="B1538" s="661">
        <v>44416</v>
      </c>
      <c r="C1538" s="662" t="s">
        <v>819</v>
      </c>
      <c r="D1538" s="663" t="s">
        <v>847</v>
      </c>
      <c r="E1538" s="664" t="s">
        <v>831</v>
      </c>
      <c r="F1538" s="665"/>
      <c r="G1538" s="663">
        <v>17</v>
      </c>
      <c r="H1538" s="662" t="s">
        <v>807</v>
      </c>
      <c r="I1538" s="666" t="s">
        <v>857</v>
      </c>
      <c r="J1538" s="667" t="s">
        <v>805</v>
      </c>
      <c r="K1538" s="662">
        <v>4</v>
      </c>
      <c r="L1538" s="685">
        <f t="shared" si="43"/>
        <v>15.98</v>
      </c>
      <c r="M1538" s="686">
        <f t="shared" si="44"/>
        <v>63.92</v>
      </c>
    </row>
    <row r="1539" spans="2:13" s="645" customFormat="1" ht="21.75" customHeight="1">
      <c r="B1539" s="661">
        <v>44416</v>
      </c>
      <c r="C1539" s="662" t="s">
        <v>819</v>
      </c>
      <c r="D1539" s="663" t="s">
        <v>856</v>
      </c>
      <c r="E1539" s="664" t="s">
        <v>831</v>
      </c>
      <c r="F1539" s="665"/>
      <c r="G1539" s="663">
        <v>20</v>
      </c>
      <c r="H1539" s="662" t="s">
        <v>807</v>
      </c>
      <c r="I1539" s="666" t="s">
        <v>859</v>
      </c>
      <c r="J1539" s="667" t="s">
        <v>805</v>
      </c>
      <c r="K1539" s="662">
        <v>3</v>
      </c>
      <c r="L1539" s="685">
        <f t="shared" si="43"/>
        <v>18.8</v>
      </c>
      <c r="M1539" s="686">
        <f t="shared" si="44"/>
        <v>56.400000000000006</v>
      </c>
    </row>
    <row r="1540" spans="2:13" s="645" customFormat="1" ht="21.75" customHeight="1">
      <c r="B1540" s="661">
        <v>44416</v>
      </c>
      <c r="C1540" s="662" t="s">
        <v>819</v>
      </c>
      <c r="D1540" s="663" t="s">
        <v>856</v>
      </c>
      <c r="E1540" s="664" t="s">
        <v>831</v>
      </c>
      <c r="F1540" s="665"/>
      <c r="G1540" s="663">
        <v>20</v>
      </c>
      <c r="H1540" s="662" t="s">
        <v>807</v>
      </c>
      <c r="I1540" s="666" t="s">
        <v>857</v>
      </c>
      <c r="J1540" s="667" t="s">
        <v>805</v>
      </c>
      <c r="K1540" s="662">
        <v>3</v>
      </c>
      <c r="L1540" s="685">
        <f t="shared" si="43"/>
        <v>18.8</v>
      </c>
      <c r="M1540" s="686">
        <f t="shared" si="44"/>
        <v>56.400000000000006</v>
      </c>
    </row>
    <row r="1541" spans="2:13" s="645" customFormat="1" ht="21.75" customHeight="1">
      <c r="B1541" s="661">
        <v>44416</v>
      </c>
      <c r="C1541" s="662" t="s">
        <v>819</v>
      </c>
      <c r="D1541" s="663" t="s">
        <v>855</v>
      </c>
      <c r="E1541" s="664" t="s">
        <v>831</v>
      </c>
      <c r="F1541" s="665"/>
      <c r="G1541" s="663">
        <v>20</v>
      </c>
      <c r="H1541" s="662" t="s">
        <v>807</v>
      </c>
      <c r="I1541" s="666" t="s">
        <v>859</v>
      </c>
      <c r="J1541" s="667" t="s">
        <v>805</v>
      </c>
      <c r="K1541" s="662">
        <v>3</v>
      </c>
      <c r="L1541" s="685">
        <f t="shared" si="43"/>
        <v>18.8</v>
      </c>
      <c r="M1541" s="686">
        <f t="shared" si="44"/>
        <v>56.400000000000006</v>
      </c>
    </row>
    <row r="1542" spans="2:13" s="645" customFormat="1" ht="21.75" customHeight="1">
      <c r="B1542" s="661">
        <v>44416</v>
      </c>
      <c r="C1542" s="662" t="s">
        <v>819</v>
      </c>
      <c r="D1542" s="663" t="s">
        <v>855</v>
      </c>
      <c r="E1542" s="664" t="s">
        <v>831</v>
      </c>
      <c r="F1542" s="665"/>
      <c r="G1542" s="663">
        <v>20</v>
      </c>
      <c r="H1542" s="662" t="s">
        <v>807</v>
      </c>
      <c r="I1542" s="666" t="s">
        <v>859</v>
      </c>
      <c r="J1542" s="667" t="s">
        <v>805</v>
      </c>
      <c r="K1542" s="662">
        <v>5</v>
      </c>
      <c r="L1542" s="685">
        <f t="shared" si="43"/>
        <v>18.8</v>
      </c>
      <c r="M1542" s="686">
        <f t="shared" si="44"/>
        <v>94</v>
      </c>
    </row>
    <row r="1543" spans="2:13" s="645" customFormat="1" ht="21.75" customHeight="1">
      <c r="B1543" s="661">
        <v>44416</v>
      </c>
      <c r="C1543" s="662" t="s">
        <v>837</v>
      </c>
      <c r="D1543" s="663" t="s">
        <v>848</v>
      </c>
      <c r="E1543" s="664" t="s">
        <v>831</v>
      </c>
      <c r="F1543" s="665"/>
      <c r="G1543" s="663">
        <v>20</v>
      </c>
      <c r="H1543" s="662" t="s">
        <v>807</v>
      </c>
      <c r="I1543" s="666" t="s">
        <v>859</v>
      </c>
      <c r="J1543" s="667" t="s">
        <v>805</v>
      </c>
      <c r="K1543" s="662">
        <v>9</v>
      </c>
      <c r="L1543" s="685">
        <f t="shared" si="43"/>
        <v>18.8</v>
      </c>
      <c r="M1543" s="686">
        <f t="shared" si="44"/>
        <v>169.20000000000002</v>
      </c>
    </row>
    <row r="1544" spans="2:13" s="645" customFormat="1" ht="21.75" customHeight="1">
      <c r="B1544" s="661">
        <v>44416</v>
      </c>
      <c r="C1544" s="662" t="s">
        <v>837</v>
      </c>
      <c r="D1544" s="663" t="s">
        <v>848</v>
      </c>
      <c r="E1544" s="664" t="s">
        <v>831</v>
      </c>
      <c r="F1544" s="665"/>
      <c r="G1544" s="663">
        <v>20</v>
      </c>
      <c r="H1544" s="662" t="s">
        <v>807</v>
      </c>
      <c r="I1544" s="666" t="s">
        <v>859</v>
      </c>
      <c r="J1544" s="667" t="s">
        <v>805</v>
      </c>
      <c r="K1544" s="662">
        <v>5</v>
      </c>
      <c r="L1544" s="685">
        <f t="shared" si="43"/>
        <v>18.8</v>
      </c>
      <c r="M1544" s="686">
        <f t="shared" si="44"/>
        <v>94</v>
      </c>
    </row>
    <row r="1545" spans="2:13" s="645" customFormat="1" ht="21.75" customHeight="1">
      <c r="B1545" s="661">
        <v>44416</v>
      </c>
      <c r="C1545" s="662" t="s">
        <v>837</v>
      </c>
      <c r="D1545" s="663" t="s">
        <v>833</v>
      </c>
      <c r="E1545" s="664" t="s">
        <v>831</v>
      </c>
      <c r="F1545" s="665"/>
      <c r="G1545" s="663">
        <v>15</v>
      </c>
      <c r="H1545" s="662" t="s">
        <v>807</v>
      </c>
      <c r="I1545" s="666" t="s">
        <v>859</v>
      </c>
      <c r="J1545" s="667" t="s">
        <v>805</v>
      </c>
      <c r="K1545" s="662">
        <v>3</v>
      </c>
      <c r="L1545" s="685">
        <f t="shared" ref="L1545:L1608" si="45">VLOOKUP(G1545,$Q$4:$V$7,6,FALSE)</f>
        <v>14.1</v>
      </c>
      <c r="M1545" s="686">
        <f t="shared" si="44"/>
        <v>42.3</v>
      </c>
    </row>
    <row r="1546" spans="2:13" s="645" customFormat="1" ht="21.75" customHeight="1">
      <c r="B1546" s="661">
        <v>44416</v>
      </c>
      <c r="C1546" s="662" t="s">
        <v>837</v>
      </c>
      <c r="D1546" s="663" t="s">
        <v>833</v>
      </c>
      <c r="E1546" s="664" t="s">
        <v>831</v>
      </c>
      <c r="F1546" s="665"/>
      <c r="G1546" s="663">
        <v>15</v>
      </c>
      <c r="H1546" s="662" t="s">
        <v>807</v>
      </c>
      <c r="I1546" s="666" t="s">
        <v>857</v>
      </c>
      <c r="J1546" s="667" t="s">
        <v>805</v>
      </c>
      <c r="K1546" s="662">
        <v>11</v>
      </c>
      <c r="L1546" s="685">
        <f t="shared" si="45"/>
        <v>14.1</v>
      </c>
      <c r="M1546" s="686">
        <f t="shared" si="44"/>
        <v>155.1</v>
      </c>
    </row>
    <row r="1547" spans="2:13" s="645" customFormat="1" ht="21.75" customHeight="1">
      <c r="B1547" s="661">
        <v>44416</v>
      </c>
      <c r="C1547" s="662" t="s">
        <v>837</v>
      </c>
      <c r="D1547" s="663" t="s">
        <v>844</v>
      </c>
      <c r="E1547" s="664" t="s">
        <v>831</v>
      </c>
      <c r="F1547" s="665"/>
      <c r="G1547" s="663">
        <v>15</v>
      </c>
      <c r="H1547" s="662" t="s">
        <v>807</v>
      </c>
      <c r="I1547" s="666" t="s">
        <v>859</v>
      </c>
      <c r="J1547" s="667" t="s">
        <v>805</v>
      </c>
      <c r="K1547" s="662">
        <v>1</v>
      </c>
      <c r="L1547" s="685">
        <f t="shared" si="45"/>
        <v>14.1</v>
      </c>
      <c r="M1547" s="686">
        <f t="shared" si="44"/>
        <v>14.1</v>
      </c>
    </row>
    <row r="1548" spans="2:13" s="645" customFormat="1" ht="21.75" customHeight="1">
      <c r="B1548" s="661">
        <v>44416</v>
      </c>
      <c r="C1548" s="662" t="s">
        <v>837</v>
      </c>
      <c r="D1548" s="663" t="s">
        <v>844</v>
      </c>
      <c r="E1548" s="664" t="s">
        <v>831</v>
      </c>
      <c r="F1548" s="665"/>
      <c r="G1548" s="663">
        <v>15</v>
      </c>
      <c r="H1548" s="662" t="s">
        <v>807</v>
      </c>
      <c r="I1548" s="666" t="s">
        <v>857</v>
      </c>
      <c r="J1548" s="667" t="s">
        <v>805</v>
      </c>
      <c r="K1548" s="662">
        <v>7</v>
      </c>
      <c r="L1548" s="685">
        <f t="shared" si="45"/>
        <v>14.1</v>
      </c>
      <c r="M1548" s="686">
        <f t="shared" si="44"/>
        <v>98.7</v>
      </c>
    </row>
    <row r="1549" spans="2:13" s="645" customFormat="1" ht="21.75" customHeight="1">
      <c r="B1549" s="661">
        <v>44416</v>
      </c>
      <c r="C1549" s="662" t="s">
        <v>837</v>
      </c>
      <c r="D1549" s="663" t="s">
        <v>839</v>
      </c>
      <c r="E1549" s="664" t="s">
        <v>831</v>
      </c>
      <c r="F1549" s="665"/>
      <c r="G1549" s="663">
        <v>15</v>
      </c>
      <c r="H1549" s="662" t="s">
        <v>807</v>
      </c>
      <c r="I1549" s="666" t="s">
        <v>857</v>
      </c>
      <c r="J1549" s="667" t="s">
        <v>805</v>
      </c>
      <c r="K1549" s="662">
        <v>1</v>
      </c>
      <c r="L1549" s="685">
        <f t="shared" si="45"/>
        <v>14.1</v>
      </c>
      <c r="M1549" s="686">
        <f t="shared" si="44"/>
        <v>14.1</v>
      </c>
    </row>
    <row r="1550" spans="2:13" s="645" customFormat="1" ht="21.75" customHeight="1">
      <c r="B1550" s="661">
        <v>44416</v>
      </c>
      <c r="C1550" s="662" t="s">
        <v>837</v>
      </c>
      <c r="D1550" s="663" t="s">
        <v>845</v>
      </c>
      <c r="E1550" s="664" t="s">
        <v>831</v>
      </c>
      <c r="F1550" s="665"/>
      <c r="G1550" s="663">
        <v>17</v>
      </c>
      <c r="H1550" s="662" t="s">
        <v>807</v>
      </c>
      <c r="I1550" s="666" t="s">
        <v>859</v>
      </c>
      <c r="J1550" s="667" t="s">
        <v>805</v>
      </c>
      <c r="K1550" s="662">
        <v>4</v>
      </c>
      <c r="L1550" s="685">
        <f t="shared" si="45"/>
        <v>15.98</v>
      </c>
      <c r="M1550" s="686">
        <f t="shared" si="44"/>
        <v>63.92</v>
      </c>
    </row>
    <row r="1551" spans="2:13" s="645" customFormat="1" ht="21.75" customHeight="1">
      <c r="B1551" s="661">
        <v>44416</v>
      </c>
      <c r="C1551" s="662" t="s">
        <v>837</v>
      </c>
      <c r="D1551" s="663" t="s">
        <v>845</v>
      </c>
      <c r="E1551" s="664" t="s">
        <v>831</v>
      </c>
      <c r="F1551" s="665"/>
      <c r="G1551" s="663">
        <v>17</v>
      </c>
      <c r="H1551" s="662" t="s">
        <v>807</v>
      </c>
      <c r="I1551" s="666" t="s">
        <v>857</v>
      </c>
      <c r="J1551" s="667" t="s">
        <v>805</v>
      </c>
      <c r="K1551" s="662">
        <v>9</v>
      </c>
      <c r="L1551" s="685">
        <f t="shared" si="45"/>
        <v>15.98</v>
      </c>
      <c r="M1551" s="686">
        <f t="shared" si="44"/>
        <v>143.82</v>
      </c>
    </row>
    <row r="1552" spans="2:13" s="645" customFormat="1" ht="21.75" customHeight="1">
      <c r="B1552" s="661">
        <v>44416</v>
      </c>
      <c r="C1552" s="662" t="s">
        <v>837</v>
      </c>
      <c r="D1552" s="663" t="s">
        <v>847</v>
      </c>
      <c r="E1552" s="664" t="s">
        <v>831</v>
      </c>
      <c r="F1552" s="665"/>
      <c r="G1552" s="663">
        <v>17</v>
      </c>
      <c r="H1552" s="662" t="s">
        <v>807</v>
      </c>
      <c r="I1552" s="666" t="s">
        <v>857</v>
      </c>
      <c r="J1552" s="667" t="s">
        <v>805</v>
      </c>
      <c r="K1552" s="662">
        <v>10</v>
      </c>
      <c r="L1552" s="685">
        <f t="shared" si="45"/>
        <v>15.98</v>
      </c>
      <c r="M1552" s="686">
        <f t="shared" si="44"/>
        <v>159.80000000000001</v>
      </c>
    </row>
    <row r="1553" spans="2:13" s="645" customFormat="1" ht="21.75" customHeight="1">
      <c r="B1553" s="661">
        <v>44416</v>
      </c>
      <c r="C1553" s="662" t="s">
        <v>837</v>
      </c>
      <c r="D1553" s="663" t="s">
        <v>856</v>
      </c>
      <c r="E1553" s="664" t="s">
        <v>831</v>
      </c>
      <c r="F1553" s="665"/>
      <c r="G1553" s="663">
        <v>20</v>
      </c>
      <c r="H1553" s="662" t="s">
        <v>807</v>
      </c>
      <c r="I1553" s="666" t="s">
        <v>859</v>
      </c>
      <c r="J1553" s="667" t="s">
        <v>805</v>
      </c>
      <c r="K1553" s="662">
        <v>3</v>
      </c>
      <c r="L1553" s="685">
        <f t="shared" si="45"/>
        <v>18.8</v>
      </c>
      <c r="M1553" s="686">
        <f t="shared" si="44"/>
        <v>56.400000000000006</v>
      </c>
    </row>
    <row r="1554" spans="2:13" s="645" customFormat="1" ht="21.75" customHeight="1">
      <c r="B1554" s="661">
        <v>44416</v>
      </c>
      <c r="C1554" s="662" t="s">
        <v>837</v>
      </c>
      <c r="D1554" s="663" t="s">
        <v>856</v>
      </c>
      <c r="E1554" s="664" t="s">
        <v>831</v>
      </c>
      <c r="F1554" s="665"/>
      <c r="G1554" s="663">
        <v>20</v>
      </c>
      <c r="H1554" s="662" t="s">
        <v>807</v>
      </c>
      <c r="I1554" s="666" t="s">
        <v>857</v>
      </c>
      <c r="J1554" s="667" t="s">
        <v>805</v>
      </c>
      <c r="K1554" s="662">
        <v>11</v>
      </c>
      <c r="L1554" s="685">
        <f t="shared" si="45"/>
        <v>18.8</v>
      </c>
      <c r="M1554" s="686">
        <f t="shared" si="44"/>
        <v>206.8</v>
      </c>
    </row>
    <row r="1555" spans="2:13" s="645" customFormat="1" ht="21.75" customHeight="1">
      <c r="B1555" s="661">
        <v>44416</v>
      </c>
      <c r="C1555" s="662" t="s">
        <v>837</v>
      </c>
      <c r="D1555" s="663" t="s">
        <v>855</v>
      </c>
      <c r="E1555" s="664" t="s">
        <v>831</v>
      </c>
      <c r="F1555" s="665"/>
      <c r="G1555" s="663">
        <v>20</v>
      </c>
      <c r="H1555" s="662" t="s">
        <v>807</v>
      </c>
      <c r="I1555" s="666" t="s">
        <v>859</v>
      </c>
      <c r="J1555" s="667" t="s">
        <v>805</v>
      </c>
      <c r="K1555" s="662">
        <v>5</v>
      </c>
      <c r="L1555" s="685">
        <f t="shared" si="45"/>
        <v>18.8</v>
      </c>
      <c r="M1555" s="686">
        <f t="shared" si="44"/>
        <v>94</v>
      </c>
    </row>
    <row r="1556" spans="2:13" s="645" customFormat="1" ht="21.75" customHeight="1">
      <c r="B1556" s="661">
        <v>44416</v>
      </c>
      <c r="C1556" s="662" t="s">
        <v>819</v>
      </c>
      <c r="D1556" s="663" t="s">
        <v>849</v>
      </c>
      <c r="E1556" s="664" t="s">
        <v>831</v>
      </c>
      <c r="F1556" s="665"/>
      <c r="G1556" s="663">
        <v>20</v>
      </c>
      <c r="H1556" s="662" t="s">
        <v>806</v>
      </c>
      <c r="I1556" s="666" t="s">
        <v>860</v>
      </c>
      <c r="J1556" s="667" t="s">
        <v>852</v>
      </c>
      <c r="K1556" s="662">
        <v>2</v>
      </c>
      <c r="L1556" s="685">
        <f t="shared" si="45"/>
        <v>18.8</v>
      </c>
      <c r="M1556" s="686">
        <f t="shared" si="44"/>
        <v>37.6</v>
      </c>
    </row>
    <row r="1557" spans="2:13" s="645" customFormat="1" ht="21.75" customHeight="1">
      <c r="B1557" s="661">
        <v>44416</v>
      </c>
      <c r="C1557" s="662" t="s">
        <v>819</v>
      </c>
      <c r="D1557" s="663" t="s">
        <v>840</v>
      </c>
      <c r="E1557" s="664" t="s">
        <v>831</v>
      </c>
      <c r="F1557" s="665"/>
      <c r="G1557" s="663">
        <v>20</v>
      </c>
      <c r="H1557" s="662" t="s">
        <v>806</v>
      </c>
      <c r="I1557" s="666" t="s">
        <v>860</v>
      </c>
      <c r="J1557" s="667" t="s">
        <v>852</v>
      </c>
      <c r="K1557" s="662">
        <v>1</v>
      </c>
      <c r="L1557" s="685">
        <f t="shared" si="45"/>
        <v>18.8</v>
      </c>
      <c r="M1557" s="686">
        <f t="shared" si="44"/>
        <v>18.8</v>
      </c>
    </row>
    <row r="1558" spans="2:13" s="645" customFormat="1" ht="21.75" customHeight="1">
      <c r="B1558" s="661">
        <v>44416</v>
      </c>
      <c r="C1558" s="662" t="s">
        <v>819</v>
      </c>
      <c r="D1558" s="663" t="s">
        <v>835</v>
      </c>
      <c r="E1558" s="664" t="s">
        <v>831</v>
      </c>
      <c r="F1558" s="665"/>
      <c r="G1558" s="663">
        <v>20</v>
      </c>
      <c r="H1558" s="662" t="s">
        <v>806</v>
      </c>
      <c r="I1558" s="666" t="s">
        <v>860</v>
      </c>
      <c r="J1558" s="667" t="s">
        <v>852</v>
      </c>
      <c r="K1558" s="662">
        <v>1</v>
      </c>
      <c r="L1558" s="685">
        <f t="shared" si="45"/>
        <v>18.8</v>
      </c>
      <c r="M1558" s="686">
        <f t="shared" si="44"/>
        <v>18.8</v>
      </c>
    </row>
    <row r="1559" spans="2:13" s="645" customFormat="1" ht="21.75" customHeight="1">
      <c r="B1559" s="661">
        <v>44416</v>
      </c>
      <c r="C1559" s="662" t="s">
        <v>819</v>
      </c>
      <c r="D1559" s="663" t="s">
        <v>841</v>
      </c>
      <c r="E1559" s="664" t="s">
        <v>831</v>
      </c>
      <c r="F1559" s="665"/>
      <c r="G1559" s="663">
        <v>20</v>
      </c>
      <c r="H1559" s="662" t="s">
        <v>806</v>
      </c>
      <c r="I1559" s="666" t="s">
        <v>860</v>
      </c>
      <c r="J1559" s="667" t="s">
        <v>852</v>
      </c>
      <c r="K1559" s="662">
        <v>1</v>
      </c>
      <c r="L1559" s="685">
        <f t="shared" si="45"/>
        <v>18.8</v>
      </c>
      <c r="M1559" s="686">
        <f t="shared" si="44"/>
        <v>18.8</v>
      </c>
    </row>
    <row r="1560" spans="2:13" s="645" customFormat="1" ht="21.75" customHeight="1">
      <c r="B1560" s="661">
        <v>44416</v>
      </c>
      <c r="C1560" s="662" t="s">
        <v>819</v>
      </c>
      <c r="D1560" s="663" t="s">
        <v>834</v>
      </c>
      <c r="E1560" s="664" t="s">
        <v>831</v>
      </c>
      <c r="F1560" s="665"/>
      <c r="G1560" s="663">
        <v>20</v>
      </c>
      <c r="H1560" s="662" t="s">
        <v>806</v>
      </c>
      <c r="I1560" s="666" t="s">
        <v>860</v>
      </c>
      <c r="J1560" s="667" t="s">
        <v>852</v>
      </c>
      <c r="K1560" s="662">
        <v>2</v>
      </c>
      <c r="L1560" s="685">
        <f t="shared" si="45"/>
        <v>18.8</v>
      </c>
      <c r="M1560" s="686">
        <f t="shared" si="44"/>
        <v>37.6</v>
      </c>
    </row>
    <row r="1561" spans="2:13" s="645" customFormat="1" ht="21.75" customHeight="1">
      <c r="B1561" s="661">
        <v>44416</v>
      </c>
      <c r="C1561" s="662" t="s">
        <v>819</v>
      </c>
      <c r="D1561" s="663" t="s">
        <v>848</v>
      </c>
      <c r="E1561" s="664" t="s">
        <v>831</v>
      </c>
      <c r="F1561" s="665"/>
      <c r="G1561" s="663">
        <v>20</v>
      </c>
      <c r="H1561" s="662" t="s">
        <v>806</v>
      </c>
      <c r="I1561" s="666" t="s">
        <v>860</v>
      </c>
      <c r="J1561" s="667" t="s">
        <v>852</v>
      </c>
      <c r="K1561" s="662">
        <v>2</v>
      </c>
      <c r="L1561" s="685">
        <f t="shared" si="45"/>
        <v>18.8</v>
      </c>
      <c r="M1561" s="686">
        <f t="shared" si="44"/>
        <v>37.6</v>
      </c>
    </row>
    <row r="1562" spans="2:13" s="645" customFormat="1" ht="21.75" customHeight="1">
      <c r="B1562" s="661">
        <v>44416</v>
      </c>
      <c r="C1562" s="662" t="s">
        <v>819</v>
      </c>
      <c r="D1562" s="663" t="s">
        <v>836</v>
      </c>
      <c r="E1562" s="664" t="s">
        <v>831</v>
      </c>
      <c r="F1562" s="665"/>
      <c r="G1562" s="663">
        <v>20</v>
      </c>
      <c r="H1562" s="662" t="s">
        <v>806</v>
      </c>
      <c r="I1562" s="666" t="s">
        <v>860</v>
      </c>
      <c r="J1562" s="667" t="s">
        <v>852</v>
      </c>
      <c r="K1562" s="662">
        <v>1</v>
      </c>
      <c r="L1562" s="685">
        <f t="shared" si="45"/>
        <v>18.8</v>
      </c>
      <c r="M1562" s="686">
        <f t="shared" si="44"/>
        <v>18.8</v>
      </c>
    </row>
    <row r="1563" spans="2:13" s="645" customFormat="1" ht="21.75" customHeight="1">
      <c r="B1563" s="661">
        <v>44416</v>
      </c>
      <c r="C1563" s="662" t="s">
        <v>819</v>
      </c>
      <c r="D1563" s="663" t="s">
        <v>850</v>
      </c>
      <c r="E1563" s="664" t="s">
        <v>831</v>
      </c>
      <c r="F1563" s="665"/>
      <c r="G1563" s="663">
        <v>15</v>
      </c>
      <c r="H1563" s="662" t="s">
        <v>806</v>
      </c>
      <c r="I1563" s="666" t="s">
        <v>860</v>
      </c>
      <c r="J1563" s="667" t="s">
        <v>852</v>
      </c>
      <c r="K1563" s="662">
        <v>2</v>
      </c>
      <c r="L1563" s="685">
        <f t="shared" si="45"/>
        <v>14.1</v>
      </c>
      <c r="M1563" s="686">
        <f t="shared" si="44"/>
        <v>28.2</v>
      </c>
    </row>
    <row r="1564" spans="2:13" s="645" customFormat="1" ht="21.75" customHeight="1">
      <c r="B1564" s="661">
        <v>44416</v>
      </c>
      <c r="C1564" s="662" t="s">
        <v>819</v>
      </c>
      <c r="D1564" s="663" t="s">
        <v>845</v>
      </c>
      <c r="E1564" s="664" t="s">
        <v>831</v>
      </c>
      <c r="F1564" s="665"/>
      <c r="G1564" s="663">
        <v>17</v>
      </c>
      <c r="H1564" s="662" t="s">
        <v>806</v>
      </c>
      <c r="I1564" s="666" t="s">
        <v>860</v>
      </c>
      <c r="J1564" s="667" t="s">
        <v>852</v>
      </c>
      <c r="K1564" s="662">
        <v>2</v>
      </c>
      <c r="L1564" s="685">
        <f t="shared" si="45"/>
        <v>15.98</v>
      </c>
      <c r="M1564" s="686">
        <f t="shared" si="44"/>
        <v>31.96</v>
      </c>
    </row>
    <row r="1565" spans="2:13" s="645" customFormat="1" ht="21.75" customHeight="1">
      <c r="B1565" s="661">
        <v>44416</v>
      </c>
      <c r="C1565" s="662" t="s">
        <v>819</v>
      </c>
      <c r="D1565" s="663" t="s">
        <v>847</v>
      </c>
      <c r="E1565" s="664" t="s">
        <v>831</v>
      </c>
      <c r="F1565" s="665"/>
      <c r="G1565" s="663">
        <v>17</v>
      </c>
      <c r="H1565" s="662" t="s">
        <v>806</v>
      </c>
      <c r="I1565" s="666" t="s">
        <v>860</v>
      </c>
      <c r="J1565" s="667" t="s">
        <v>852</v>
      </c>
      <c r="K1565" s="662">
        <v>1</v>
      </c>
      <c r="L1565" s="685">
        <f t="shared" si="45"/>
        <v>15.98</v>
      </c>
      <c r="M1565" s="686">
        <f t="shared" si="44"/>
        <v>15.98</v>
      </c>
    </row>
    <row r="1566" spans="2:13" s="645" customFormat="1" ht="21.75" customHeight="1">
      <c r="B1566" s="661">
        <v>44416</v>
      </c>
      <c r="C1566" s="662" t="s">
        <v>819</v>
      </c>
      <c r="D1566" s="663" t="s">
        <v>855</v>
      </c>
      <c r="E1566" s="664" t="s">
        <v>831</v>
      </c>
      <c r="F1566" s="665"/>
      <c r="G1566" s="663">
        <v>20</v>
      </c>
      <c r="H1566" s="662" t="s">
        <v>806</v>
      </c>
      <c r="I1566" s="666" t="s">
        <v>860</v>
      </c>
      <c r="J1566" s="667" t="s">
        <v>852</v>
      </c>
      <c r="K1566" s="662">
        <v>1</v>
      </c>
      <c r="L1566" s="685">
        <f t="shared" si="45"/>
        <v>18.8</v>
      </c>
      <c r="M1566" s="686">
        <f t="shared" si="44"/>
        <v>18.8</v>
      </c>
    </row>
    <row r="1567" spans="2:13" s="645" customFormat="1" ht="21.75" customHeight="1">
      <c r="B1567" s="661">
        <v>44416</v>
      </c>
      <c r="C1567" s="662" t="s">
        <v>819</v>
      </c>
      <c r="D1567" s="663" t="s">
        <v>849</v>
      </c>
      <c r="E1567" s="664" t="s">
        <v>831</v>
      </c>
      <c r="F1567" s="665"/>
      <c r="G1567" s="663">
        <v>20</v>
      </c>
      <c r="H1567" s="662" t="s">
        <v>807</v>
      </c>
      <c r="I1567" s="666" t="s">
        <v>859</v>
      </c>
      <c r="J1567" s="667" t="s">
        <v>802</v>
      </c>
      <c r="K1567" s="662">
        <v>1</v>
      </c>
      <c r="L1567" s="685">
        <f t="shared" si="45"/>
        <v>18.8</v>
      </c>
      <c r="M1567" s="686">
        <f t="shared" si="44"/>
        <v>18.8</v>
      </c>
    </row>
    <row r="1568" spans="2:13" s="645" customFormat="1" ht="21.75" customHeight="1">
      <c r="B1568" s="661">
        <v>44416</v>
      </c>
      <c r="C1568" s="662" t="s">
        <v>819</v>
      </c>
      <c r="D1568" s="663" t="s">
        <v>841</v>
      </c>
      <c r="E1568" s="664" t="s">
        <v>831</v>
      </c>
      <c r="F1568" s="665"/>
      <c r="G1568" s="663">
        <v>20</v>
      </c>
      <c r="H1568" s="662" t="s">
        <v>807</v>
      </c>
      <c r="I1568" s="666" t="s">
        <v>859</v>
      </c>
      <c r="J1568" s="667" t="s">
        <v>802</v>
      </c>
      <c r="K1568" s="662">
        <v>1</v>
      </c>
      <c r="L1568" s="685">
        <f t="shared" si="45"/>
        <v>18.8</v>
      </c>
      <c r="M1568" s="686">
        <f t="shared" si="44"/>
        <v>18.8</v>
      </c>
    </row>
    <row r="1569" spans="2:13" s="645" customFormat="1" ht="21.75" customHeight="1">
      <c r="B1569" s="661">
        <v>44416</v>
      </c>
      <c r="C1569" s="662" t="s">
        <v>819</v>
      </c>
      <c r="D1569" s="663" t="s">
        <v>834</v>
      </c>
      <c r="E1569" s="664" t="s">
        <v>831</v>
      </c>
      <c r="F1569" s="665"/>
      <c r="G1569" s="663">
        <v>20</v>
      </c>
      <c r="H1569" s="662" t="s">
        <v>807</v>
      </c>
      <c r="I1569" s="666" t="s">
        <v>859</v>
      </c>
      <c r="J1569" s="667" t="s">
        <v>802</v>
      </c>
      <c r="K1569" s="662">
        <v>1</v>
      </c>
      <c r="L1569" s="685">
        <f t="shared" si="45"/>
        <v>18.8</v>
      </c>
      <c r="M1569" s="686">
        <f t="shared" si="44"/>
        <v>18.8</v>
      </c>
    </row>
    <row r="1570" spans="2:13" s="645" customFormat="1" ht="21.75" customHeight="1">
      <c r="B1570" s="661">
        <v>44416</v>
      </c>
      <c r="C1570" s="662" t="s">
        <v>819</v>
      </c>
      <c r="D1570" s="663" t="s">
        <v>834</v>
      </c>
      <c r="E1570" s="664" t="s">
        <v>831</v>
      </c>
      <c r="F1570" s="665"/>
      <c r="G1570" s="663">
        <v>20</v>
      </c>
      <c r="H1570" s="662" t="s">
        <v>807</v>
      </c>
      <c r="I1570" s="666" t="s">
        <v>857</v>
      </c>
      <c r="J1570" s="667" t="s">
        <v>802</v>
      </c>
      <c r="K1570" s="662">
        <v>3</v>
      </c>
      <c r="L1570" s="685">
        <f t="shared" si="45"/>
        <v>18.8</v>
      </c>
      <c r="M1570" s="686">
        <f t="shared" si="44"/>
        <v>56.400000000000006</v>
      </c>
    </row>
    <row r="1571" spans="2:13" s="645" customFormat="1" ht="21.75" customHeight="1">
      <c r="B1571" s="661">
        <v>44416</v>
      </c>
      <c r="C1571" s="662" t="s">
        <v>819</v>
      </c>
      <c r="D1571" s="663" t="s">
        <v>848</v>
      </c>
      <c r="E1571" s="664" t="s">
        <v>831</v>
      </c>
      <c r="F1571" s="665"/>
      <c r="G1571" s="663">
        <v>20</v>
      </c>
      <c r="H1571" s="662" t="s">
        <v>807</v>
      </c>
      <c r="I1571" s="666" t="s">
        <v>857</v>
      </c>
      <c r="J1571" s="667" t="s">
        <v>802</v>
      </c>
      <c r="K1571" s="662">
        <v>4</v>
      </c>
      <c r="L1571" s="685">
        <f t="shared" si="45"/>
        <v>18.8</v>
      </c>
      <c r="M1571" s="686">
        <f t="shared" si="44"/>
        <v>75.2</v>
      </c>
    </row>
    <row r="1572" spans="2:13" s="645" customFormat="1" ht="21.75" customHeight="1">
      <c r="B1572" s="661">
        <v>44416</v>
      </c>
      <c r="C1572" s="662" t="s">
        <v>819</v>
      </c>
      <c r="D1572" s="663" t="s">
        <v>833</v>
      </c>
      <c r="E1572" s="664" t="s">
        <v>831</v>
      </c>
      <c r="F1572" s="665"/>
      <c r="G1572" s="663">
        <v>15</v>
      </c>
      <c r="H1572" s="662" t="s">
        <v>807</v>
      </c>
      <c r="I1572" s="666" t="s">
        <v>859</v>
      </c>
      <c r="J1572" s="667" t="s">
        <v>802</v>
      </c>
      <c r="K1572" s="662">
        <v>7</v>
      </c>
      <c r="L1572" s="685">
        <f t="shared" si="45"/>
        <v>14.1</v>
      </c>
      <c r="M1572" s="686">
        <f t="shared" si="44"/>
        <v>98.7</v>
      </c>
    </row>
    <row r="1573" spans="2:13" s="645" customFormat="1" ht="21.75" customHeight="1">
      <c r="B1573" s="661">
        <v>44416</v>
      </c>
      <c r="C1573" s="662" t="s">
        <v>819</v>
      </c>
      <c r="D1573" s="663" t="s">
        <v>833</v>
      </c>
      <c r="E1573" s="664" t="s">
        <v>831</v>
      </c>
      <c r="F1573" s="665"/>
      <c r="G1573" s="663">
        <v>15</v>
      </c>
      <c r="H1573" s="662" t="s">
        <v>807</v>
      </c>
      <c r="I1573" s="666" t="s">
        <v>857</v>
      </c>
      <c r="J1573" s="667" t="s">
        <v>802</v>
      </c>
      <c r="K1573" s="662">
        <v>2</v>
      </c>
      <c r="L1573" s="685">
        <f t="shared" si="45"/>
        <v>14.1</v>
      </c>
      <c r="M1573" s="686">
        <f t="shared" si="44"/>
        <v>28.2</v>
      </c>
    </row>
    <row r="1574" spans="2:13" s="645" customFormat="1" ht="21.75" customHeight="1">
      <c r="B1574" s="661">
        <v>44416</v>
      </c>
      <c r="C1574" s="662" t="s">
        <v>819</v>
      </c>
      <c r="D1574" s="663" t="s">
        <v>830</v>
      </c>
      <c r="E1574" s="664" t="s">
        <v>831</v>
      </c>
      <c r="F1574" s="665"/>
      <c r="G1574" s="663">
        <v>15</v>
      </c>
      <c r="H1574" s="662" t="s">
        <v>807</v>
      </c>
      <c r="I1574" s="666" t="s">
        <v>857</v>
      </c>
      <c r="J1574" s="667" t="s">
        <v>802</v>
      </c>
      <c r="K1574" s="662">
        <v>3</v>
      </c>
      <c r="L1574" s="685">
        <f t="shared" si="45"/>
        <v>14.1</v>
      </c>
      <c r="M1574" s="686">
        <f t="shared" si="44"/>
        <v>42.3</v>
      </c>
    </row>
    <row r="1575" spans="2:13" s="645" customFormat="1" ht="21.75" customHeight="1">
      <c r="B1575" s="661">
        <v>44416</v>
      </c>
      <c r="C1575" s="662" t="s">
        <v>819</v>
      </c>
      <c r="D1575" s="663" t="s">
        <v>844</v>
      </c>
      <c r="E1575" s="664" t="s">
        <v>831</v>
      </c>
      <c r="F1575" s="665"/>
      <c r="G1575" s="663">
        <v>15</v>
      </c>
      <c r="H1575" s="662" t="s">
        <v>807</v>
      </c>
      <c r="I1575" s="666" t="s">
        <v>857</v>
      </c>
      <c r="J1575" s="667" t="s">
        <v>802</v>
      </c>
      <c r="K1575" s="662">
        <v>4</v>
      </c>
      <c r="L1575" s="685">
        <f t="shared" si="45"/>
        <v>14.1</v>
      </c>
      <c r="M1575" s="686">
        <f t="shared" ref="M1575:M1638" si="46">L1575*K1575</f>
        <v>56.4</v>
      </c>
    </row>
    <row r="1576" spans="2:13" s="645" customFormat="1" ht="21.75" customHeight="1">
      <c r="B1576" s="661">
        <v>44416</v>
      </c>
      <c r="C1576" s="662" t="s">
        <v>819</v>
      </c>
      <c r="D1576" s="663" t="s">
        <v>850</v>
      </c>
      <c r="E1576" s="664" t="s">
        <v>831</v>
      </c>
      <c r="F1576" s="665"/>
      <c r="G1576" s="663">
        <v>15</v>
      </c>
      <c r="H1576" s="662" t="s">
        <v>807</v>
      </c>
      <c r="I1576" s="666" t="s">
        <v>859</v>
      </c>
      <c r="J1576" s="667" t="s">
        <v>802</v>
      </c>
      <c r="K1576" s="662">
        <v>1</v>
      </c>
      <c r="L1576" s="685">
        <f t="shared" si="45"/>
        <v>14.1</v>
      </c>
      <c r="M1576" s="686">
        <f t="shared" si="46"/>
        <v>14.1</v>
      </c>
    </row>
    <row r="1577" spans="2:13" s="645" customFormat="1" ht="21.75" customHeight="1">
      <c r="B1577" s="661">
        <v>44416</v>
      </c>
      <c r="C1577" s="662" t="s">
        <v>819</v>
      </c>
      <c r="D1577" s="663" t="s">
        <v>850</v>
      </c>
      <c r="E1577" s="664" t="s">
        <v>831</v>
      </c>
      <c r="F1577" s="665"/>
      <c r="G1577" s="663">
        <v>15</v>
      </c>
      <c r="H1577" s="662" t="s">
        <v>807</v>
      </c>
      <c r="I1577" s="666" t="s">
        <v>857</v>
      </c>
      <c r="J1577" s="667" t="s">
        <v>802</v>
      </c>
      <c r="K1577" s="662">
        <v>1</v>
      </c>
      <c r="L1577" s="685">
        <f t="shared" si="45"/>
        <v>14.1</v>
      </c>
      <c r="M1577" s="686">
        <f t="shared" si="46"/>
        <v>14.1</v>
      </c>
    </row>
    <row r="1578" spans="2:13" s="645" customFormat="1" ht="21.75" customHeight="1">
      <c r="B1578" s="661">
        <v>44416</v>
      </c>
      <c r="C1578" s="662" t="s">
        <v>819</v>
      </c>
      <c r="D1578" s="663" t="s">
        <v>839</v>
      </c>
      <c r="E1578" s="664" t="s">
        <v>831</v>
      </c>
      <c r="F1578" s="665"/>
      <c r="G1578" s="663">
        <v>15</v>
      </c>
      <c r="H1578" s="662" t="s">
        <v>807</v>
      </c>
      <c r="I1578" s="666" t="s">
        <v>857</v>
      </c>
      <c r="J1578" s="667" t="s">
        <v>802</v>
      </c>
      <c r="K1578" s="662">
        <v>3</v>
      </c>
      <c r="L1578" s="685">
        <f t="shared" si="45"/>
        <v>14.1</v>
      </c>
      <c r="M1578" s="686">
        <f t="shared" si="46"/>
        <v>42.3</v>
      </c>
    </row>
    <row r="1579" spans="2:13" s="645" customFormat="1" ht="21.75" customHeight="1">
      <c r="B1579" s="661">
        <v>44416</v>
      </c>
      <c r="C1579" s="662" t="s">
        <v>819</v>
      </c>
      <c r="D1579" s="663" t="s">
        <v>839</v>
      </c>
      <c r="E1579" s="664" t="s">
        <v>831</v>
      </c>
      <c r="F1579" s="665"/>
      <c r="G1579" s="663">
        <v>15</v>
      </c>
      <c r="H1579" s="662" t="s">
        <v>807</v>
      </c>
      <c r="I1579" s="666" t="s">
        <v>859</v>
      </c>
      <c r="J1579" s="667" t="s">
        <v>802</v>
      </c>
      <c r="K1579" s="662">
        <v>1</v>
      </c>
      <c r="L1579" s="685">
        <f t="shared" si="45"/>
        <v>14.1</v>
      </c>
      <c r="M1579" s="686">
        <f t="shared" si="46"/>
        <v>14.1</v>
      </c>
    </row>
    <row r="1580" spans="2:13" s="645" customFormat="1" ht="21.75" customHeight="1">
      <c r="B1580" s="661">
        <v>44416</v>
      </c>
      <c r="C1580" s="662" t="s">
        <v>819</v>
      </c>
      <c r="D1580" s="663" t="s">
        <v>845</v>
      </c>
      <c r="E1580" s="664" t="s">
        <v>831</v>
      </c>
      <c r="F1580" s="665"/>
      <c r="G1580" s="663">
        <v>17</v>
      </c>
      <c r="H1580" s="662" t="s">
        <v>807</v>
      </c>
      <c r="I1580" s="666" t="s">
        <v>859</v>
      </c>
      <c r="J1580" s="667" t="s">
        <v>802</v>
      </c>
      <c r="K1580" s="662">
        <v>3</v>
      </c>
      <c r="L1580" s="685">
        <f t="shared" si="45"/>
        <v>15.98</v>
      </c>
      <c r="M1580" s="686">
        <f t="shared" si="46"/>
        <v>47.94</v>
      </c>
    </row>
    <row r="1581" spans="2:13" s="645" customFormat="1" ht="21.75" customHeight="1">
      <c r="B1581" s="661">
        <v>44416</v>
      </c>
      <c r="C1581" s="662" t="s">
        <v>819</v>
      </c>
      <c r="D1581" s="663" t="s">
        <v>856</v>
      </c>
      <c r="E1581" s="664" t="s">
        <v>831</v>
      </c>
      <c r="F1581" s="665"/>
      <c r="G1581" s="663">
        <v>20</v>
      </c>
      <c r="H1581" s="662" t="s">
        <v>807</v>
      </c>
      <c r="I1581" s="666" t="s">
        <v>857</v>
      </c>
      <c r="J1581" s="667" t="s">
        <v>802</v>
      </c>
      <c r="K1581" s="662">
        <v>3</v>
      </c>
      <c r="L1581" s="685">
        <f t="shared" si="45"/>
        <v>18.8</v>
      </c>
      <c r="M1581" s="686">
        <f t="shared" si="46"/>
        <v>56.400000000000006</v>
      </c>
    </row>
    <row r="1582" spans="2:13" s="645" customFormat="1" ht="21.75" customHeight="1">
      <c r="B1582" s="661">
        <v>44416</v>
      </c>
      <c r="C1582" s="662" t="s">
        <v>837</v>
      </c>
      <c r="D1582" s="663" t="s">
        <v>849</v>
      </c>
      <c r="E1582" s="664" t="s">
        <v>831</v>
      </c>
      <c r="F1582" s="665"/>
      <c r="G1582" s="663">
        <v>20</v>
      </c>
      <c r="H1582" s="662" t="s">
        <v>807</v>
      </c>
      <c r="I1582" s="666" t="s">
        <v>859</v>
      </c>
      <c r="J1582" s="667" t="s">
        <v>802</v>
      </c>
      <c r="K1582" s="662">
        <v>8</v>
      </c>
      <c r="L1582" s="685">
        <f t="shared" si="45"/>
        <v>18.8</v>
      </c>
      <c r="M1582" s="686">
        <f t="shared" si="46"/>
        <v>150.4</v>
      </c>
    </row>
    <row r="1583" spans="2:13" s="645" customFormat="1" ht="21.75" customHeight="1">
      <c r="B1583" s="661">
        <v>44416</v>
      </c>
      <c r="C1583" s="662" t="s">
        <v>837</v>
      </c>
      <c r="D1583" s="663" t="s">
        <v>849</v>
      </c>
      <c r="E1583" s="664" t="s">
        <v>831</v>
      </c>
      <c r="F1583" s="665"/>
      <c r="G1583" s="663">
        <v>20</v>
      </c>
      <c r="H1583" s="662" t="s">
        <v>807</v>
      </c>
      <c r="I1583" s="666" t="s">
        <v>857</v>
      </c>
      <c r="J1583" s="667" t="s">
        <v>802</v>
      </c>
      <c r="K1583" s="662">
        <v>5</v>
      </c>
      <c r="L1583" s="685">
        <f t="shared" si="45"/>
        <v>18.8</v>
      </c>
      <c r="M1583" s="686">
        <f t="shared" si="46"/>
        <v>94</v>
      </c>
    </row>
    <row r="1584" spans="2:13" s="645" customFormat="1" ht="21.75" customHeight="1">
      <c r="B1584" s="661">
        <v>44416</v>
      </c>
      <c r="C1584" s="662" t="s">
        <v>837</v>
      </c>
      <c r="D1584" s="663" t="s">
        <v>835</v>
      </c>
      <c r="E1584" s="664" t="s">
        <v>831</v>
      </c>
      <c r="F1584" s="665"/>
      <c r="G1584" s="663">
        <v>20</v>
      </c>
      <c r="H1584" s="662" t="s">
        <v>807</v>
      </c>
      <c r="I1584" s="666" t="s">
        <v>859</v>
      </c>
      <c r="J1584" s="667" t="s">
        <v>802</v>
      </c>
      <c r="K1584" s="662">
        <v>7</v>
      </c>
      <c r="L1584" s="685">
        <f t="shared" si="45"/>
        <v>18.8</v>
      </c>
      <c r="M1584" s="686">
        <f t="shared" si="46"/>
        <v>131.6</v>
      </c>
    </row>
    <row r="1585" spans="2:13" s="645" customFormat="1" ht="21.75" customHeight="1">
      <c r="B1585" s="661">
        <v>44416</v>
      </c>
      <c r="C1585" s="662" t="s">
        <v>837</v>
      </c>
      <c r="D1585" s="663" t="s">
        <v>835</v>
      </c>
      <c r="E1585" s="664" t="s">
        <v>831</v>
      </c>
      <c r="F1585" s="665"/>
      <c r="G1585" s="663">
        <v>20</v>
      </c>
      <c r="H1585" s="662" t="s">
        <v>807</v>
      </c>
      <c r="I1585" s="666" t="s">
        <v>857</v>
      </c>
      <c r="J1585" s="667" t="s">
        <v>802</v>
      </c>
      <c r="K1585" s="662">
        <v>5</v>
      </c>
      <c r="L1585" s="685">
        <f t="shared" si="45"/>
        <v>18.8</v>
      </c>
      <c r="M1585" s="686">
        <f t="shared" si="46"/>
        <v>94</v>
      </c>
    </row>
    <row r="1586" spans="2:13" s="645" customFormat="1" ht="21.75" customHeight="1">
      <c r="B1586" s="661">
        <v>44416</v>
      </c>
      <c r="C1586" s="662" t="s">
        <v>837</v>
      </c>
      <c r="D1586" s="663" t="s">
        <v>841</v>
      </c>
      <c r="E1586" s="664" t="s">
        <v>831</v>
      </c>
      <c r="F1586" s="665"/>
      <c r="G1586" s="663">
        <v>20</v>
      </c>
      <c r="H1586" s="662" t="s">
        <v>807</v>
      </c>
      <c r="I1586" s="666" t="s">
        <v>859</v>
      </c>
      <c r="J1586" s="667" t="s">
        <v>802</v>
      </c>
      <c r="K1586" s="662">
        <v>10</v>
      </c>
      <c r="L1586" s="685">
        <f t="shared" si="45"/>
        <v>18.8</v>
      </c>
      <c r="M1586" s="686">
        <f t="shared" si="46"/>
        <v>188</v>
      </c>
    </row>
    <row r="1587" spans="2:13" s="645" customFormat="1" ht="21.75" customHeight="1">
      <c r="B1587" s="661">
        <v>44416</v>
      </c>
      <c r="C1587" s="662" t="s">
        <v>837</v>
      </c>
      <c r="D1587" s="663" t="s">
        <v>841</v>
      </c>
      <c r="E1587" s="664" t="s">
        <v>831</v>
      </c>
      <c r="F1587" s="665"/>
      <c r="G1587" s="663">
        <v>20</v>
      </c>
      <c r="H1587" s="662" t="s">
        <v>807</v>
      </c>
      <c r="I1587" s="666" t="s">
        <v>857</v>
      </c>
      <c r="J1587" s="667" t="s">
        <v>802</v>
      </c>
      <c r="K1587" s="662">
        <v>3</v>
      </c>
      <c r="L1587" s="685">
        <f t="shared" si="45"/>
        <v>18.8</v>
      </c>
      <c r="M1587" s="686">
        <f t="shared" si="46"/>
        <v>56.400000000000006</v>
      </c>
    </row>
    <row r="1588" spans="2:13" s="645" customFormat="1" ht="21.75" customHeight="1">
      <c r="B1588" s="661">
        <v>44416</v>
      </c>
      <c r="C1588" s="662" t="s">
        <v>837</v>
      </c>
      <c r="D1588" s="663" t="s">
        <v>834</v>
      </c>
      <c r="E1588" s="664" t="s">
        <v>831</v>
      </c>
      <c r="F1588" s="665"/>
      <c r="G1588" s="663">
        <v>20</v>
      </c>
      <c r="H1588" s="662" t="s">
        <v>807</v>
      </c>
      <c r="I1588" s="666" t="s">
        <v>859</v>
      </c>
      <c r="J1588" s="667" t="s">
        <v>802</v>
      </c>
      <c r="K1588" s="662">
        <v>4</v>
      </c>
      <c r="L1588" s="685">
        <f t="shared" si="45"/>
        <v>18.8</v>
      </c>
      <c r="M1588" s="686">
        <f t="shared" si="46"/>
        <v>75.2</v>
      </c>
    </row>
    <row r="1589" spans="2:13" s="645" customFormat="1" ht="21.75" customHeight="1">
      <c r="B1589" s="661">
        <v>44416</v>
      </c>
      <c r="C1589" s="662" t="s">
        <v>837</v>
      </c>
      <c r="D1589" s="663" t="s">
        <v>834</v>
      </c>
      <c r="E1589" s="664" t="s">
        <v>831</v>
      </c>
      <c r="F1589" s="665"/>
      <c r="G1589" s="663">
        <v>20</v>
      </c>
      <c r="H1589" s="662" t="s">
        <v>807</v>
      </c>
      <c r="I1589" s="666" t="s">
        <v>857</v>
      </c>
      <c r="J1589" s="667" t="s">
        <v>802</v>
      </c>
      <c r="K1589" s="662">
        <v>9</v>
      </c>
      <c r="L1589" s="685">
        <f t="shared" si="45"/>
        <v>18.8</v>
      </c>
      <c r="M1589" s="686">
        <f t="shared" si="46"/>
        <v>169.20000000000002</v>
      </c>
    </row>
    <row r="1590" spans="2:13" s="645" customFormat="1" ht="21.75" customHeight="1">
      <c r="B1590" s="661">
        <v>44416</v>
      </c>
      <c r="C1590" s="662" t="s">
        <v>837</v>
      </c>
      <c r="D1590" s="663" t="s">
        <v>839</v>
      </c>
      <c r="E1590" s="664" t="s">
        <v>831</v>
      </c>
      <c r="F1590" s="665"/>
      <c r="G1590" s="663">
        <v>15</v>
      </c>
      <c r="H1590" s="662" t="s">
        <v>807</v>
      </c>
      <c r="I1590" s="666" t="s">
        <v>859</v>
      </c>
      <c r="J1590" s="667" t="s">
        <v>802</v>
      </c>
      <c r="K1590" s="662">
        <v>1</v>
      </c>
      <c r="L1590" s="685">
        <f t="shared" si="45"/>
        <v>14.1</v>
      </c>
      <c r="M1590" s="686">
        <f t="shared" si="46"/>
        <v>14.1</v>
      </c>
    </row>
    <row r="1591" spans="2:13" s="645" customFormat="1" ht="21.75" customHeight="1">
      <c r="B1591" s="661">
        <v>44416</v>
      </c>
      <c r="C1591" s="662" t="s">
        <v>837</v>
      </c>
      <c r="D1591" s="663" t="s">
        <v>839</v>
      </c>
      <c r="E1591" s="664" t="s">
        <v>831</v>
      </c>
      <c r="F1591" s="665"/>
      <c r="G1591" s="663">
        <v>15</v>
      </c>
      <c r="H1591" s="662" t="s">
        <v>807</v>
      </c>
      <c r="I1591" s="666" t="s">
        <v>857</v>
      </c>
      <c r="J1591" s="667" t="s">
        <v>802</v>
      </c>
      <c r="K1591" s="662">
        <v>2</v>
      </c>
      <c r="L1591" s="685">
        <f t="shared" si="45"/>
        <v>14.1</v>
      </c>
      <c r="M1591" s="686">
        <f t="shared" si="46"/>
        <v>28.2</v>
      </c>
    </row>
    <row r="1592" spans="2:13" s="645" customFormat="1" ht="21.75" customHeight="1">
      <c r="B1592" s="661">
        <v>44416</v>
      </c>
      <c r="C1592" s="662" t="s">
        <v>837</v>
      </c>
      <c r="D1592" s="663" t="s">
        <v>847</v>
      </c>
      <c r="E1592" s="664" t="s">
        <v>831</v>
      </c>
      <c r="F1592" s="665"/>
      <c r="G1592" s="663">
        <v>17</v>
      </c>
      <c r="H1592" s="662" t="s">
        <v>807</v>
      </c>
      <c r="I1592" s="666" t="s">
        <v>859</v>
      </c>
      <c r="J1592" s="667" t="s">
        <v>802</v>
      </c>
      <c r="K1592" s="662">
        <v>4</v>
      </c>
      <c r="L1592" s="685">
        <f t="shared" si="45"/>
        <v>15.98</v>
      </c>
      <c r="M1592" s="686">
        <f t="shared" si="46"/>
        <v>63.92</v>
      </c>
    </row>
    <row r="1593" spans="2:13" s="645" customFormat="1" ht="21.75" customHeight="1">
      <c r="B1593" s="661">
        <v>44416</v>
      </c>
      <c r="C1593" s="662" t="s">
        <v>837</v>
      </c>
      <c r="D1593" s="663" t="s">
        <v>855</v>
      </c>
      <c r="E1593" s="664" t="s">
        <v>831</v>
      </c>
      <c r="F1593" s="665"/>
      <c r="G1593" s="663">
        <v>20</v>
      </c>
      <c r="H1593" s="662" t="s">
        <v>807</v>
      </c>
      <c r="I1593" s="666" t="s">
        <v>857</v>
      </c>
      <c r="J1593" s="667" t="s">
        <v>802</v>
      </c>
      <c r="K1593" s="662">
        <v>8</v>
      </c>
      <c r="L1593" s="685">
        <f t="shared" si="45"/>
        <v>18.8</v>
      </c>
      <c r="M1593" s="686">
        <f t="shared" si="46"/>
        <v>150.4</v>
      </c>
    </row>
    <row r="1594" spans="2:13" s="645" customFormat="1" ht="21.75" customHeight="1">
      <c r="B1594" s="661">
        <v>44417</v>
      </c>
      <c r="C1594" s="662" t="s">
        <v>819</v>
      </c>
      <c r="D1594" s="663" t="s">
        <v>849</v>
      </c>
      <c r="E1594" s="664" t="s">
        <v>831</v>
      </c>
      <c r="F1594" s="665"/>
      <c r="G1594" s="663">
        <v>20</v>
      </c>
      <c r="H1594" s="662" t="s">
        <v>807</v>
      </c>
      <c r="I1594" s="666" t="s">
        <v>857</v>
      </c>
      <c r="J1594" s="667" t="s">
        <v>805</v>
      </c>
      <c r="K1594" s="662">
        <v>1</v>
      </c>
      <c r="L1594" s="685">
        <f t="shared" si="45"/>
        <v>18.8</v>
      </c>
      <c r="M1594" s="686">
        <f t="shared" si="46"/>
        <v>18.8</v>
      </c>
    </row>
    <row r="1595" spans="2:13" s="645" customFormat="1" ht="21.75" customHeight="1">
      <c r="B1595" s="661">
        <v>44417</v>
      </c>
      <c r="C1595" s="662" t="s">
        <v>819</v>
      </c>
      <c r="D1595" s="663" t="s">
        <v>835</v>
      </c>
      <c r="E1595" s="664" t="s">
        <v>831</v>
      </c>
      <c r="F1595" s="665"/>
      <c r="G1595" s="663">
        <v>20</v>
      </c>
      <c r="H1595" s="662" t="s">
        <v>807</v>
      </c>
      <c r="I1595" s="666" t="s">
        <v>857</v>
      </c>
      <c r="J1595" s="667" t="s">
        <v>805</v>
      </c>
      <c r="K1595" s="662">
        <v>1</v>
      </c>
      <c r="L1595" s="685">
        <f t="shared" si="45"/>
        <v>18.8</v>
      </c>
      <c r="M1595" s="686">
        <f t="shared" si="46"/>
        <v>18.8</v>
      </c>
    </row>
    <row r="1596" spans="2:13" s="645" customFormat="1" ht="21.75" customHeight="1">
      <c r="B1596" s="661">
        <v>44417</v>
      </c>
      <c r="C1596" s="662" t="s">
        <v>819</v>
      </c>
      <c r="D1596" s="663" t="s">
        <v>841</v>
      </c>
      <c r="E1596" s="664" t="s">
        <v>831</v>
      </c>
      <c r="F1596" s="665"/>
      <c r="G1596" s="663">
        <v>20</v>
      </c>
      <c r="H1596" s="662" t="s">
        <v>807</v>
      </c>
      <c r="I1596" s="666" t="s">
        <v>857</v>
      </c>
      <c r="J1596" s="667" t="s">
        <v>805</v>
      </c>
      <c r="K1596" s="662">
        <v>1</v>
      </c>
      <c r="L1596" s="685">
        <f t="shared" si="45"/>
        <v>18.8</v>
      </c>
      <c r="M1596" s="686">
        <f t="shared" si="46"/>
        <v>18.8</v>
      </c>
    </row>
    <row r="1597" spans="2:13" s="645" customFormat="1" ht="21.75" customHeight="1">
      <c r="B1597" s="661">
        <v>44417</v>
      </c>
      <c r="C1597" s="662" t="s">
        <v>819</v>
      </c>
      <c r="D1597" s="663" t="s">
        <v>834</v>
      </c>
      <c r="E1597" s="664" t="s">
        <v>831</v>
      </c>
      <c r="F1597" s="665"/>
      <c r="G1597" s="663">
        <v>20</v>
      </c>
      <c r="H1597" s="662" t="s">
        <v>807</v>
      </c>
      <c r="I1597" s="666" t="s">
        <v>857</v>
      </c>
      <c r="J1597" s="667" t="s">
        <v>805</v>
      </c>
      <c r="K1597" s="662">
        <v>1</v>
      </c>
      <c r="L1597" s="685">
        <f t="shared" si="45"/>
        <v>18.8</v>
      </c>
      <c r="M1597" s="686">
        <f t="shared" si="46"/>
        <v>18.8</v>
      </c>
    </row>
    <row r="1598" spans="2:13" s="645" customFormat="1" ht="21.75" customHeight="1">
      <c r="B1598" s="661">
        <v>44417</v>
      </c>
      <c r="C1598" s="662" t="s">
        <v>819</v>
      </c>
      <c r="D1598" s="663" t="s">
        <v>836</v>
      </c>
      <c r="E1598" s="664" t="s">
        <v>831</v>
      </c>
      <c r="F1598" s="665"/>
      <c r="G1598" s="663">
        <v>20</v>
      </c>
      <c r="H1598" s="662" t="s">
        <v>807</v>
      </c>
      <c r="I1598" s="666" t="s">
        <v>857</v>
      </c>
      <c r="J1598" s="667" t="s">
        <v>805</v>
      </c>
      <c r="K1598" s="662">
        <v>1</v>
      </c>
      <c r="L1598" s="685">
        <f t="shared" si="45"/>
        <v>18.8</v>
      </c>
      <c r="M1598" s="686">
        <f t="shared" si="46"/>
        <v>18.8</v>
      </c>
    </row>
    <row r="1599" spans="2:13" s="645" customFormat="1" ht="21.75" customHeight="1">
      <c r="B1599" s="661">
        <v>44417</v>
      </c>
      <c r="C1599" s="662" t="s">
        <v>819</v>
      </c>
      <c r="D1599" s="663" t="s">
        <v>833</v>
      </c>
      <c r="E1599" s="664" t="s">
        <v>831</v>
      </c>
      <c r="F1599" s="665"/>
      <c r="G1599" s="663">
        <v>15</v>
      </c>
      <c r="H1599" s="662" t="s">
        <v>807</v>
      </c>
      <c r="I1599" s="666" t="s">
        <v>857</v>
      </c>
      <c r="J1599" s="667" t="s">
        <v>805</v>
      </c>
      <c r="K1599" s="662">
        <v>2</v>
      </c>
      <c r="L1599" s="685">
        <f t="shared" si="45"/>
        <v>14.1</v>
      </c>
      <c r="M1599" s="686">
        <f t="shared" si="46"/>
        <v>28.2</v>
      </c>
    </row>
    <row r="1600" spans="2:13" s="645" customFormat="1" ht="21.75" customHeight="1">
      <c r="B1600" s="661">
        <v>44417</v>
      </c>
      <c r="C1600" s="662" t="s">
        <v>819</v>
      </c>
      <c r="D1600" s="663" t="s">
        <v>830</v>
      </c>
      <c r="E1600" s="664" t="s">
        <v>831</v>
      </c>
      <c r="F1600" s="665"/>
      <c r="G1600" s="663">
        <v>15</v>
      </c>
      <c r="H1600" s="662" t="s">
        <v>807</v>
      </c>
      <c r="I1600" s="666" t="s">
        <v>857</v>
      </c>
      <c r="J1600" s="667" t="s">
        <v>805</v>
      </c>
      <c r="K1600" s="662">
        <v>1</v>
      </c>
      <c r="L1600" s="685">
        <f t="shared" si="45"/>
        <v>14.1</v>
      </c>
      <c r="M1600" s="686">
        <f t="shared" si="46"/>
        <v>14.1</v>
      </c>
    </row>
    <row r="1601" spans="2:13" s="645" customFormat="1" ht="21.75" customHeight="1">
      <c r="B1601" s="661">
        <v>44417</v>
      </c>
      <c r="C1601" s="662" t="s">
        <v>819</v>
      </c>
      <c r="D1601" s="663" t="s">
        <v>850</v>
      </c>
      <c r="E1601" s="664" t="s">
        <v>831</v>
      </c>
      <c r="F1601" s="665"/>
      <c r="G1601" s="663">
        <v>15</v>
      </c>
      <c r="H1601" s="662" t="s">
        <v>807</v>
      </c>
      <c r="I1601" s="666" t="s">
        <v>857</v>
      </c>
      <c r="J1601" s="667" t="s">
        <v>805</v>
      </c>
      <c r="K1601" s="662">
        <v>1</v>
      </c>
      <c r="L1601" s="685">
        <f t="shared" si="45"/>
        <v>14.1</v>
      </c>
      <c r="M1601" s="686">
        <f t="shared" si="46"/>
        <v>14.1</v>
      </c>
    </row>
    <row r="1602" spans="2:13" s="645" customFormat="1" ht="21.75" customHeight="1">
      <c r="B1602" s="661">
        <v>44417</v>
      </c>
      <c r="C1602" s="662" t="s">
        <v>819</v>
      </c>
      <c r="D1602" s="663" t="s">
        <v>839</v>
      </c>
      <c r="E1602" s="664" t="s">
        <v>831</v>
      </c>
      <c r="F1602" s="665"/>
      <c r="G1602" s="663">
        <v>15</v>
      </c>
      <c r="H1602" s="662" t="s">
        <v>807</v>
      </c>
      <c r="I1602" s="666" t="s">
        <v>857</v>
      </c>
      <c r="J1602" s="667" t="s">
        <v>805</v>
      </c>
      <c r="K1602" s="662">
        <v>2</v>
      </c>
      <c r="L1602" s="685">
        <f t="shared" si="45"/>
        <v>14.1</v>
      </c>
      <c r="M1602" s="686">
        <f t="shared" si="46"/>
        <v>28.2</v>
      </c>
    </row>
    <row r="1603" spans="2:13" s="645" customFormat="1" ht="21.75" customHeight="1">
      <c r="B1603" s="661">
        <v>44417</v>
      </c>
      <c r="C1603" s="662" t="s">
        <v>819</v>
      </c>
      <c r="D1603" s="663" t="s">
        <v>845</v>
      </c>
      <c r="E1603" s="664" t="s">
        <v>831</v>
      </c>
      <c r="F1603" s="665"/>
      <c r="G1603" s="663">
        <v>17</v>
      </c>
      <c r="H1603" s="662" t="s">
        <v>807</v>
      </c>
      <c r="I1603" s="666" t="s">
        <v>857</v>
      </c>
      <c r="J1603" s="667" t="s">
        <v>805</v>
      </c>
      <c r="K1603" s="662">
        <v>1</v>
      </c>
      <c r="L1603" s="685">
        <f t="shared" si="45"/>
        <v>15.98</v>
      </c>
      <c r="M1603" s="686">
        <f t="shared" si="46"/>
        <v>15.98</v>
      </c>
    </row>
    <row r="1604" spans="2:13" s="645" customFormat="1" ht="21.75" customHeight="1">
      <c r="B1604" s="661">
        <v>44417</v>
      </c>
      <c r="C1604" s="662" t="s">
        <v>819</v>
      </c>
      <c r="D1604" s="663" t="s">
        <v>847</v>
      </c>
      <c r="E1604" s="664" t="s">
        <v>831</v>
      </c>
      <c r="F1604" s="665"/>
      <c r="G1604" s="663">
        <v>17</v>
      </c>
      <c r="H1604" s="662" t="s">
        <v>807</v>
      </c>
      <c r="I1604" s="666" t="s">
        <v>857</v>
      </c>
      <c r="J1604" s="667" t="s">
        <v>805</v>
      </c>
      <c r="K1604" s="662">
        <v>1</v>
      </c>
      <c r="L1604" s="685">
        <f t="shared" si="45"/>
        <v>15.98</v>
      </c>
      <c r="M1604" s="686">
        <f t="shared" si="46"/>
        <v>15.98</v>
      </c>
    </row>
    <row r="1605" spans="2:13" s="645" customFormat="1" ht="21.75" customHeight="1">
      <c r="B1605" s="661">
        <v>44417</v>
      </c>
      <c r="C1605" s="662" t="s">
        <v>819</v>
      </c>
      <c r="D1605" s="663" t="s">
        <v>856</v>
      </c>
      <c r="E1605" s="664" t="s">
        <v>831</v>
      </c>
      <c r="F1605" s="665"/>
      <c r="G1605" s="663">
        <v>20</v>
      </c>
      <c r="H1605" s="662" t="s">
        <v>807</v>
      </c>
      <c r="I1605" s="666" t="s">
        <v>857</v>
      </c>
      <c r="J1605" s="667" t="s">
        <v>805</v>
      </c>
      <c r="K1605" s="662">
        <v>1</v>
      </c>
      <c r="L1605" s="685">
        <f t="shared" si="45"/>
        <v>18.8</v>
      </c>
      <c r="M1605" s="686">
        <f t="shared" si="46"/>
        <v>18.8</v>
      </c>
    </row>
    <row r="1606" spans="2:13" s="645" customFormat="1" ht="21.75" customHeight="1">
      <c r="B1606" s="661">
        <v>44417</v>
      </c>
      <c r="C1606" s="662" t="s">
        <v>837</v>
      </c>
      <c r="D1606" s="663" t="s">
        <v>849</v>
      </c>
      <c r="E1606" s="664" t="s">
        <v>831</v>
      </c>
      <c r="F1606" s="665"/>
      <c r="G1606" s="663">
        <v>20</v>
      </c>
      <c r="H1606" s="662" t="s">
        <v>807</v>
      </c>
      <c r="I1606" s="666" t="s">
        <v>859</v>
      </c>
      <c r="J1606" s="667" t="s">
        <v>805</v>
      </c>
      <c r="K1606" s="662">
        <v>6</v>
      </c>
      <c r="L1606" s="685">
        <f t="shared" si="45"/>
        <v>18.8</v>
      </c>
      <c r="M1606" s="686">
        <f t="shared" si="46"/>
        <v>112.80000000000001</v>
      </c>
    </row>
    <row r="1607" spans="2:13" s="645" customFormat="1" ht="21.75" customHeight="1">
      <c r="B1607" s="661">
        <v>44417</v>
      </c>
      <c r="C1607" s="662" t="s">
        <v>837</v>
      </c>
      <c r="D1607" s="663" t="s">
        <v>849</v>
      </c>
      <c r="E1607" s="664" t="s">
        <v>831</v>
      </c>
      <c r="F1607" s="665"/>
      <c r="G1607" s="663">
        <v>20</v>
      </c>
      <c r="H1607" s="662" t="s">
        <v>807</v>
      </c>
      <c r="I1607" s="666" t="s">
        <v>857</v>
      </c>
      <c r="J1607" s="667" t="s">
        <v>805</v>
      </c>
      <c r="K1607" s="662">
        <v>7</v>
      </c>
      <c r="L1607" s="685">
        <f t="shared" si="45"/>
        <v>18.8</v>
      </c>
      <c r="M1607" s="686">
        <f t="shared" si="46"/>
        <v>131.6</v>
      </c>
    </row>
    <row r="1608" spans="2:13" s="645" customFormat="1" ht="21.75" customHeight="1">
      <c r="B1608" s="661">
        <v>44417</v>
      </c>
      <c r="C1608" s="662" t="s">
        <v>837</v>
      </c>
      <c r="D1608" s="663" t="s">
        <v>840</v>
      </c>
      <c r="E1608" s="664" t="s">
        <v>831</v>
      </c>
      <c r="F1608" s="665"/>
      <c r="G1608" s="663">
        <v>20</v>
      </c>
      <c r="H1608" s="662" t="s">
        <v>807</v>
      </c>
      <c r="I1608" s="666" t="s">
        <v>859</v>
      </c>
      <c r="J1608" s="667" t="s">
        <v>805</v>
      </c>
      <c r="K1608" s="662">
        <v>5</v>
      </c>
      <c r="L1608" s="685">
        <f t="shared" si="45"/>
        <v>18.8</v>
      </c>
      <c r="M1608" s="686">
        <f t="shared" si="46"/>
        <v>94</v>
      </c>
    </row>
    <row r="1609" spans="2:13" s="645" customFormat="1" ht="21.75" customHeight="1">
      <c r="B1609" s="661">
        <v>44417</v>
      </c>
      <c r="C1609" s="662" t="s">
        <v>837</v>
      </c>
      <c r="D1609" s="663" t="s">
        <v>840</v>
      </c>
      <c r="E1609" s="664" t="s">
        <v>831</v>
      </c>
      <c r="F1609" s="665"/>
      <c r="G1609" s="663">
        <v>20</v>
      </c>
      <c r="H1609" s="662" t="s">
        <v>807</v>
      </c>
      <c r="I1609" s="666" t="s">
        <v>857</v>
      </c>
      <c r="J1609" s="667" t="s">
        <v>805</v>
      </c>
      <c r="K1609" s="662">
        <v>8</v>
      </c>
      <c r="L1609" s="685">
        <f t="shared" ref="L1609:L1672" si="47">VLOOKUP(G1609,$Q$4:$V$7,6,FALSE)</f>
        <v>18.8</v>
      </c>
      <c r="M1609" s="686">
        <f t="shared" si="46"/>
        <v>150.4</v>
      </c>
    </row>
    <row r="1610" spans="2:13" s="645" customFormat="1" ht="21.75" customHeight="1">
      <c r="B1610" s="661">
        <v>44417</v>
      </c>
      <c r="C1610" s="662" t="s">
        <v>837</v>
      </c>
      <c r="D1610" s="663" t="s">
        <v>835</v>
      </c>
      <c r="E1610" s="664" t="s">
        <v>831</v>
      </c>
      <c r="F1610" s="665"/>
      <c r="G1610" s="663">
        <v>20</v>
      </c>
      <c r="H1610" s="662" t="s">
        <v>807</v>
      </c>
      <c r="I1610" s="666" t="s">
        <v>859</v>
      </c>
      <c r="J1610" s="667" t="s">
        <v>805</v>
      </c>
      <c r="K1610" s="662">
        <v>8</v>
      </c>
      <c r="L1610" s="685">
        <f t="shared" si="47"/>
        <v>18.8</v>
      </c>
      <c r="M1610" s="686">
        <f t="shared" si="46"/>
        <v>150.4</v>
      </c>
    </row>
    <row r="1611" spans="2:13" s="645" customFormat="1" ht="21.75" customHeight="1">
      <c r="B1611" s="661">
        <v>44417</v>
      </c>
      <c r="C1611" s="662" t="s">
        <v>837</v>
      </c>
      <c r="D1611" s="663" t="s">
        <v>835</v>
      </c>
      <c r="E1611" s="664" t="s">
        <v>831</v>
      </c>
      <c r="F1611" s="665"/>
      <c r="G1611" s="663">
        <v>20</v>
      </c>
      <c r="H1611" s="662" t="s">
        <v>807</v>
      </c>
      <c r="I1611" s="666" t="s">
        <v>857</v>
      </c>
      <c r="J1611" s="667" t="s">
        <v>805</v>
      </c>
      <c r="K1611" s="662">
        <v>5</v>
      </c>
      <c r="L1611" s="685">
        <f t="shared" si="47"/>
        <v>18.8</v>
      </c>
      <c r="M1611" s="686">
        <f t="shared" si="46"/>
        <v>94</v>
      </c>
    </row>
    <row r="1612" spans="2:13" s="645" customFormat="1" ht="21.75" customHeight="1">
      <c r="B1612" s="661">
        <v>44417</v>
      </c>
      <c r="C1612" s="662" t="s">
        <v>837</v>
      </c>
      <c r="D1612" s="663" t="s">
        <v>841</v>
      </c>
      <c r="E1612" s="664" t="s">
        <v>831</v>
      </c>
      <c r="F1612" s="665"/>
      <c r="G1612" s="663">
        <v>20</v>
      </c>
      <c r="H1612" s="662" t="s">
        <v>807</v>
      </c>
      <c r="I1612" s="666" t="s">
        <v>859</v>
      </c>
      <c r="J1612" s="667" t="s">
        <v>805</v>
      </c>
      <c r="K1612" s="662">
        <v>2</v>
      </c>
      <c r="L1612" s="685">
        <f t="shared" si="47"/>
        <v>18.8</v>
      </c>
      <c r="M1612" s="686">
        <f t="shared" si="46"/>
        <v>37.6</v>
      </c>
    </row>
    <row r="1613" spans="2:13" s="645" customFormat="1" ht="21.75" customHeight="1">
      <c r="B1613" s="661">
        <v>44417</v>
      </c>
      <c r="C1613" s="662" t="s">
        <v>837</v>
      </c>
      <c r="D1613" s="663" t="s">
        <v>841</v>
      </c>
      <c r="E1613" s="664" t="s">
        <v>831</v>
      </c>
      <c r="F1613" s="665"/>
      <c r="G1613" s="663">
        <v>20</v>
      </c>
      <c r="H1613" s="662" t="s">
        <v>807</v>
      </c>
      <c r="I1613" s="666" t="s">
        <v>857</v>
      </c>
      <c r="J1613" s="667" t="s">
        <v>805</v>
      </c>
      <c r="K1613" s="662">
        <v>11</v>
      </c>
      <c r="L1613" s="685">
        <f t="shared" si="47"/>
        <v>18.8</v>
      </c>
      <c r="M1613" s="686">
        <f t="shared" si="46"/>
        <v>206.8</v>
      </c>
    </row>
    <row r="1614" spans="2:13" s="645" customFormat="1" ht="21.75" customHeight="1">
      <c r="B1614" s="661">
        <v>44417</v>
      </c>
      <c r="C1614" s="662" t="s">
        <v>837</v>
      </c>
      <c r="D1614" s="663" t="s">
        <v>834</v>
      </c>
      <c r="E1614" s="664" t="s">
        <v>831</v>
      </c>
      <c r="F1614" s="665"/>
      <c r="G1614" s="663">
        <v>20</v>
      </c>
      <c r="H1614" s="662" t="s">
        <v>807</v>
      </c>
      <c r="I1614" s="666" t="s">
        <v>859</v>
      </c>
      <c r="J1614" s="667" t="s">
        <v>805</v>
      </c>
      <c r="K1614" s="662">
        <v>7</v>
      </c>
      <c r="L1614" s="685">
        <f t="shared" si="47"/>
        <v>18.8</v>
      </c>
      <c r="M1614" s="686">
        <f t="shared" si="46"/>
        <v>131.6</v>
      </c>
    </row>
    <row r="1615" spans="2:13" s="645" customFormat="1" ht="21.75" customHeight="1">
      <c r="B1615" s="661">
        <v>44417</v>
      </c>
      <c r="C1615" s="662" t="s">
        <v>837</v>
      </c>
      <c r="D1615" s="663" t="s">
        <v>834</v>
      </c>
      <c r="E1615" s="664" t="s">
        <v>831</v>
      </c>
      <c r="F1615" s="665"/>
      <c r="G1615" s="663">
        <v>20</v>
      </c>
      <c r="H1615" s="662" t="s">
        <v>807</v>
      </c>
      <c r="I1615" s="666" t="s">
        <v>857</v>
      </c>
      <c r="J1615" s="667" t="s">
        <v>805</v>
      </c>
      <c r="K1615" s="662">
        <v>7</v>
      </c>
      <c r="L1615" s="685">
        <f t="shared" si="47"/>
        <v>18.8</v>
      </c>
      <c r="M1615" s="686">
        <f t="shared" si="46"/>
        <v>131.6</v>
      </c>
    </row>
    <row r="1616" spans="2:13" s="645" customFormat="1" ht="21.75" customHeight="1">
      <c r="B1616" s="661">
        <v>44417</v>
      </c>
      <c r="C1616" s="662" t="s">
        <v>837</v>
      </c>
      <c r="D1616" s="663" t="s">
        <v>848</v>
      </c>
      <c r="E1616" s="664" t="s">
        <v>831</v>
      </c>
      <c r="F1616" s="665"/>
      <c r="G1616" s="663">
        <v>20</v>
      </c>
      <c r="H1616" s="662" t="s">
        <v>807</v>
      </c>
      <c r="I1616" s="666" t="s">
        <v>859</v>
      </c>
      <c r="J1616" s="667" t="s">
        <v>805</v>
      </c>
      <c r="K1616" s="662">
        <v>4</v>
      </c>
      <c r="L1616" s="685">
        <f t="shared" si="47"/>
        <v>18.8</v>
      </c>
      <c r="M1616" s="686">
        <f t="shared" si="46"/>
        <v>75.2</v>
      </c>
    </row>
    <row r="1617" spans="2:13" s="645" customFormat="1" ht="21.75" customHeight="1">
      <c r="B1617" s="661">
        <v>44417</v>
      </c>
      <c r="C1617" s="662" t="s">
        <v>837</v>
      </c>
      <c r="D1617" s="663" t="s">
        <v>848</v>
      </c>
      <c r="E1617" s="664" t="s">
        <v>831</v>
      </c>
      <c r="F1617" s="665"/>
      <c r="G1617" s="663">
        <v>20</v>
      </c>
      <c r="H1617" s="662" t="s">
        <v>807</v>
      </c>
      <c r="I1617" s="666" t="s">
        <v>857</v>
      </c>
      <c r="J1617" s="667" t="s">
        <v>805</v>
      </c>
      <c r="K1617" s="662">
        <v>4</v>
      </c>
      <c r="L1617" s="685">
        <f t="shared" si="47"/>
        <v>18.8</v>
      </c>
      <c r="M1617" s="686">
        <f t="shared" si="46"/>
        <v>75.2</v>
      </c>
    </row>
    <row r="1618" spans="2:13" s="645" customFormat="1" ht="21.75" customHeight="1">
      <c r="B1618" s="661">
        <v>44417</v>
      </c>
      <c r="C1618" s="662" t="s">
        <v>837</v>
      </c>
      <c r="D1618" s="663" t="s">
        <v>836</v>
      </c>
      <c r="E1618" s="664" t="s">
        <v>831</v>
      </c>
      <c r="F1618" s="665"/>
      <c r="G1618" s="663">
        <v>20</v>
      </c>
      <c r="H1618" s="662" t="s">
        <v>807</v>
      </c>
      <c r="I1618" s="666" t="s">
        <v>857</v>
      </c>
      <c r="J1618" s="667" t="s">
        <v>805</v>
      </c>
      <c r="K1618" s="662">
        <v>5</v>
      </c>
      <c r="L1618" s="685">
        <f t="shared" si="47"/>
        <v>18.8</v>
      </c>
      <c r="M1618" s="686">
        <f t="shared" si="46"/>
        <v>94</v>
      </c>
    </row>
    <row r="1619" spans="2:13" s="645" customFormat="1" ht="21.75" customHeight="1">
      <c r="B1619" s="661">
        <v>44417</v>
      </c>
      <c r="C1619" s="662" t="s">
        <v>837</v>
      </c>
      <c r="D1619" s="663" t="s">
        <v>839</v>
      </c>
      <c r="E1619" s="664" t="s">
        <v>831</v>
      </c>
      <c r="F1619" s="665"/>
      <c r="G1619" s="663">
        <v>15</v>
      </c>
      <c r="H1619" s="662" t="s">
        <v>807</v>
      </c>
      <c r="I1619" s="666" t="s">
        <v>857</v>
      </c>
      <c r="J1619" s="667" t="s">
        <v>805</v>
      </c>
      <c r="K1619" s="662">
        <v>13</v>
      </c>
      <c r="L1619" s="685">
        <f t="shared" si="47"/>
        <v>14.1</v>
      </c>
      <c r="M1619" s="686">
        <f t="shared" si="46"/>
        <v>183.29999999999998</v>
      </c>
    </row>
    <row r="1620" spans="2:13" s="645" customFormat="1" ht="21.75" customHeight="1">
      <c r="B1620" s="661">
        <v>44417</v>
      </c>
      <c r="C1620" s="662" t="s">
        <v>837</v>
      </c>
      <c r="D1620" s="663" t="s">
        <v>845</v>
      </c>
      <c r="E1620" s="664" t="s">
        <v>831</v>
      </c>
      <c r="F1620" s="665"/>
      <c r="G1620" s="663">
        <v>17</v>
      </c>
      <c r="H1620" s="662" t="s">
        <v>807</v>
      </c>
      <c r="I1620" s="666" t="s">
        <v>859</v>
      </c>
      <c r="J1620" s="667" t="s">
        <v>805</v>
      </c>
      <c r="K1620" s="662">
        <v>7</v>
      </c>
      <c r="L1620" s="685">
        <f t="shared" si="47"/>
        <v>15.98</v>
      </c>
      <c r="M1620" s="686">
        <f t="shared" si="46"/>
        <v>111.86</v>
      </c>
    </row>
    <row r="1621" spans="2:13" s="645" customFormat="1" ht="21.75" customHeight="1">
      <c r="B1621" s="661">
        <v>44417</v>
      </c>
      <c r="C1621" s="662" t="s">
        <v>837</v>
      </c>
      <c r="D1621" s="663" t="s">
        <v>845</v>
      </c>
      <c r="E1621" s="664" t="s">
        <v>831</v>
      </c>
      <c r="F1621" s="665"/>
      <c r="G1621" s="663">
        <v>17</v>
      </c>
      <c r="H1621" s="662" t="s">
        <v>807</v>
      </c>
      <c r="I1621" s="666" t="s">
        <v>857</v>
      </c>
      <c r="J1621" s="667" t="s">
        <v>805</v>
      </c>
      <c r="K1621" s="662">
        <v>7</v>
      </c>
      <c r="L1621" s="685">
        <f t="shared" si="47"/>
        <v>15.98</v>
      </c>
      <c r="M1621" s="686">
        <f t="shared" si="46"/>
        <v>111.86</v>
      </c>
    </row>
    <row r="1622" spans="2:13" s="645" customFormat="1" ht="21.75" customHeight="1">
      <c r="B1622" s="661">
        <v>44417</v>
      </c>
      <c r="C1622" s="662" t="s">
        <v>837</v>
      </c>
      <c r="D1622" s="663" t="s">
        <v>847</v>
      </c>
      <c r="E1622" s="664" t="s">
        <v>831</v>
      </c>
      <c r="F1622" s="665"/>
      <c r="G1622" s="663">
        <v>17</v>
      </c>
      <c r="H1622" s="662" t="s">
        <v>807</v>
      </c>
      <c r="I1622" s="666" t="s">
        <v>859</v>
      </c>
      <c r="J1622" s="667" t="s">
        <v>805</v>
      </c>
      <c r="K1622" s="662">
        <v>9</v>
      </c>
      <c r="L1622" s="685">
        <f t="shared" si="47"/>
        <v>15.98</v>
      </c>
      <c r="M1622" s="686">
        <f t="shared" si="46"/>
        <v>143.82</v>
      </c>
    </row>
    <row r="1623" spans="2:13" s="645" customFormat="1" ht="21.75" customHeight="1">
      <c r="B1623" s="661">
        <v>44417</v>
      </c>
      <c r="C1623" s="662" t="s">
        <v>837</v>
      </c>
      <c r="D1623" s="663" t="s">
        <v>847</v>
      </c>
      <c r="E1623" s="664" t="s">
        <v>831</v>
      </c>
      <c r="F1623" s="665"/>
      <c r="G1623" s="663">
        <v>17</v>
      </c>
      <c r="H1623" s="662" t="s">
        <v>807</v>
      </c>
      <c r="I1623" s="666" t="s">
        <v>857</v>
      </c>
      <c r="J1623" s="667" t="s">
        <v>805</v>
      </c>
      <c r="K1623" s="662">
        <v>5</v>
      </c>
      <c r="L1623" s="685">
        <f t="shared" si="47"/>
        <v>15.98</v>
      </c>
      <c r="M1623" s="686">
        <f t="shared" si="46"/>
        <v>79.900000000000006</v>
      </c>
    </row>
    <row r="1624" spans="2:13" s="645" customFormat="1" ht="21.75" customHeight="1">
      <c r="B1624" s="661">
        <v>44417</v>
      </c>
      <c r="C1624" s="662" t="s">
        <v>837</v>
      </c>
      <c r="D1624" s="663" t="s">
        <v>856</v>
      </c>
      <c r="E1624" s="664" t="s">
        <v>831</v>
      </c>
      <c r="F1624" s="665"/>
      <c r="G1624" s="663">
        <v>20</v>
      </c>
      <c r="H1624" s="662" t="s">
        <v>807</v>
      </c>
      <c r="I1624" s="666" t="s">
        <v>859</v>
      </c>
      <c r="J1624" s="667" t="s">
        <v>805</v>
      </c>
      <c r="K1624" s="662">
        <v>9</v>
      </c>
      <c r="L1624" s="685">
        <f t="shared" si="47"/>
        <v>18.8</v>
      </c>
      <c r="M1624" s="686">
        <f t="shared" si="46"/>
        <v>169.20000000000002</v>
      </c>
    </row>
    <row r="1625" spans="2:13" s="645" customFormat="1" ht="21.75" customHeight="1">
      <c r="B1625" s="661">
        <v>44417</v>
      </c>
      <c r="C1625" s="662" t="s">
        <v>837</v>
      </c>
      <c r="D1625" s="663" t="s">
        <v>856</v>
      </c>
      <c r="E1625" s="664" t="s">
        <v>831</v>
      </c>
      <c r="F1625" s="665"/>
      <c r="G1625" s="663">
        <v>20</v>
      </c>
      <c r="H1625" s="662" t="s">
        <v>807</v>
      </c>
      <c r="I1625" s="666" t="s">
        <v>857</v>
      </c>
      <c r="J1625" s="667" t="s">
        <v>805</v>
      </c>
      <c r="K1625" s="662">
        <v>5</v>
      </c>
      <c r="L1625" s="685">
        <f t="shared" si="47"/>
        <v>18.8</v>
      </c>
      <c r="M1625" s="686">
        <f t="shared" si="46"/>
        <v>94</v>
      </c>
    </row>
    <row r="1626" spans="2:13" s="645" customFormat="1" ht="21.75" customHeight="1">
      <c r="B1626" s="661">
        <v>44417</v>
      </c>
      <c r="C1626" s="662" t="s">
        <v>837</v>
      </c>
      <c r="D1626" s="663" t="s">
        <v>855</v>
      </c>
      <c r="E1626" s="664" t="s">
        <v>831</v>
      </c>
      <c r="F1626" s="665"/>
      <c r="G1626" s="663">
        <v>20</v>
      </c>
      <c r="H1626" s="662" t="s">
        <v>807</v>
      </c>
      <c r="I1626" s="666" t="s">
        <v>859</v>
      </c>
      <c r="J1626" s="667" t="s">
        <v>805</v>
      </c>
      <c r="K1626" s="662">
        <v>5</v>
      </c>
      <c r="L1626" s="685">
        <f t="shared" si="47"/>
        <v>18.8</v>
      </c>
      <c r="M1626" s="686">
        <f t="shared" si="46"/>
        <v>94</v>
      </c>
    </row>
    <row r="1627" spans="2:13" s="645" customFormat="1" ht="21.75" customHeight="1">
      <c r="B1627" s="661">
        <v>44417</v>
      </c>
      <c r="C1627" s="662" t="s">
        <v>837</v>
      </c>
      <c r="D1627" s="663" t="s">
        <v>855</v>
      </c>
      <c r="E1627" s="664" t="s">
        <v>831</v>
      </c>
      <c r="F1627" s="665"/>
      <c r="G1627" s="663">
        <v>20</v>
      </c>
      <c r="H1627" s="662" t="s">
        <v>807</v>
      </c>
      <c r="I1627" s="666" t="s">
        <v>857</v>
      </c>
      <c r="J1627" s="667" t="s">
        <v>805</v>
      </c>
      <c r="K1627" s="662">
        <v>8</v>
      </c>
      <c r="L1627" s="685">
        <f t="shared" si="47"/>
        <v>18.8</v>
      </c>
      <c r="M1627" s="686">
        <f t="shared" si="46"/>
        <v>150.4</v>
      </c>
    </row>
    <row r="1628" spans="2:13" s="645" customFormat="1" ht="21.75" customHeight="1">
      <c r="B1628" s="661">
        <v>44417</v>
      </c>
      <c r="C1628" s="662" t="s">
        <v>819</v>
      </c>
      <c r="D1628" s="663" t="s">
        <v>835</v>
      </c>
      <c r="E1628" s="664" t="s">
        <v>831</v>
      </c>
      <c r="F1628" s="665"/>
      <c r="G1628" s="663">
        <v>20</v>
      </c>
      <c r="H1628" s="662" t="s">
        <v>806</v>
      </c>
      <c r="I1628" s="666" t="s">
        <v>860</v>
      </c>
      <c r="J1628" s="667" t="s">
        <v>852</v>
      </c>
      <c r="K1628" s="662">
        <v>6</v>
      </c>
      <c r="L1628" s="685">
        <f t="shared" si="47"/>
        <v>18.8</v>
      </c>
      <c r="M1628" s="686">
        <f t="shared" si="46"/>
        <v>112.80000000000001</v>
      </c>
    </row>
    <row r="1629" spans="2:13" s="645" customFormat="1" ht="21.75" customHeight="1">
      <c r="B1629" s="661">
        <v>44417</v>
      </c>
      <c r="C1629" s="662" t="s">
        <v>819</v>
      </c>
      <c r="D1629" s="663" t="s">
        <v>841</v>
      </c>
      <c r="E1629" s="664" t="s">
        <v>831</v>
      </c>
      <c r="F1629" s="665"/>
      <c r="G1629" s="663">
        <v>20</v>
      </c>
      <c r="H1629" s="662" t="s">
        <v>806</v>
      </c>
      <c r="I1629" s="666" t="s">
        <v>860</v>
      </c>
      <c r="J1629" s="667" t="s">
        <v>852</v>
      </c>
      <c r="K1629" s="662">
        <v>5</v>
      </c>
      <c r="L1629" s="685">
        <f t="shared" si="47"/>
        <v>18.8</v>
      </c>
      <c r="M1629" s="686">
        <f t="shared" si="46"/>
        <v>94</v>
      </c>
    </row>
    <row r="1630" spans="2:13" s="645" customFormat="1" ht="21.75" customHeight="1">
      <c r="B1630" s="661">
        <v>44417</v>
      </c>
      <c r="C1630" s="662" t="s">
        <v>819</v>
      </c>
      <c r="D1630" s="663" t="s">
        <v>834</v>
      </c>
      <c r="E1630" s="664" t="s">
        <v>831</v>
      </c>
      <c r="F1630" s="665"/>
      <c r="G1630" s="663">
        <v>20</v>
      </c>
      <c r="H1630" s="662" t="s">
        <v>806</v>
      </c>
      <c r="I1630" s="666" t="s">
        <v>860</v>
      </c>
      <c r="J1630" s="667" t="s">
        <v>852</v>
      </c>
      <c r="K1630" s="662">
        <v>5</v>
      </c>
      <c r="L1630" s="685">
        <f t="shared" si="47"/>
        <v>18.8</v>
      </c>
      <c r="M1630" s="686">
        <f t="shared" si="46"/>
        <v>94</v>
      </c>
    </row>
    <row r="1631" spans="2:13" s="645" customFormat="1" ht="21.75" customHeight="1">
      <c r="B1631" s="661">
        <v>44417</v>
      </c>
      <c r="C1631" s="662" t="s">
        <v>819</v>
      </c>
      <c r="D1631" s="663" t="s">
        <v>848</v>
      </c>
      <c r="E1631" s="664" t="s">
        <v>831</v>
      </c>
      <c r="F1631" s="665"/>
      <c r="G1631" s="663">
        <v>20</v>
      </c>
      <c r="H1631" s="662" t="s">
        <v>806</v>
      </c>
      <c r="I1631" s="666" t="s">
        <v>860</v>
      </c>
      <c r="J1631" s="667" t="s">
        <v>852</v>
      </c>
      <c r="K1631" s="662">
        <v>6</v>
      </c>
      <c r="L1631" s="685">
        <f t="shared" si="47"/>
        <v>18.8</v>
      </c>
      <c r="M1631" s="686">
        <f t="shared" si="46"/>
        <v>112.80000000000001</v>
      </c>
    </row>
    <row r="1632" spans="2:13" s="645" customFormat="1" ht="21.75" customHeight="1">
      <c r="B1632" s="661">
        <v>44417</v>
      </c>
      <c r="C1632" s="662" t="s">
        <v>819</v>
      </c>
      <c r="D1632" s="663" t="s">
        <v>845</v>
      </c>
      <c r="E1632" s="664" t="s">
        <v>831</v>
      </c>
      <c r="F1632" s="665"/>
      <c r="G1632" s="663">
        <v>17</v>
      </c>
      <c r="H1632" s="662" t="s">
        <v>806</v>
      </c>
      <c r="I1632" s="666" t="s">
        <v>860</v>
      </c>
      <c r="J1632" s="667" t="s">
        <v>852</v>
      </c>
      <c r="K1632" s="662">
        <v>6</v>
      </c>
      <c r="L1632" s="685">
        <f t="shared" si="47"/>
        <v>15.98</v>
      </c>
      <c r="M1632" s="686">
        <f t="shared" si="46"/>
        <v>95.88</v>
      </c>
    </row>
    <row r="1633" spans="2:13" s="645" customFormat="1" ht="21.75" customHeight="1">
      <c r="B1633" s="661">
        <v>44417</v>
      </c>
      <c r="C1633" s="662" t="s">
        <v>819</v>
      </c>
      <c r="D1633" s="663" t="s">
        <v>855</v>
      </c>
      <c r="E1633" s="664" t="s">
        <v>831</v>
      </c>
      <c r="F1633" s="665"/>
      <c r="G1633" s="663">
        <v>20</v>
      </c>
      <c r="H1633" s="662" t="s">
        <v>806</v>
      </c>
      <c r="I1633" s="666" t="s">
        <v>860</v>
      </c>
      <c r="J1633" s="667" t="s">
        <v>852</v>
      </c>
      <c r="K1633" s="662">
        <v>5</v>
      </c>
      <c r="L1633" s="685">
        <f t="shared" si="47"/>
        <v>18.8</v>
      </c>
      <c r="M1633" s="686">
        <f t="shared" si="46"/>
        <v>94</v>
      </c>
    </row>
    <row r="1634" spans="2:13" s="645" customFormat="1" ht="21.75" customHeight="1">
      <c r="B1634" s="661">
        <v>44417</v>
      </c>
      <c r="C1634" s="662" t="s">
        <v>819</v>
      </c>
      <c r="D1634" s="663" t="s">
        <v>849</v>
      </c>
      <c r="E1634" s="664" t="s">
        <v>831</v>
      </c>
      <c r="F1634" s="665"/>
      <c r="G1634" s="663">
        <v>20</v>
      </c>
      <c r="H1634" s="662" t="s">
        <v>807</v>
      </c>
      <c r="I1634" s="666" t="s">
        <v>857</v>
      </c>
      <c r="J1634" s="667" t="s">
        <v>802</v>
      </c>
      <c r="K1634" s="662">
        <v>11</v>
      </c>
      <c r="L1634" s="685">
        <f t="shared" si="47"/>
        <v>18.8</v>
      </c>
      <c r="M1634" s="686">
        <f t="shared" si="46"/>
        <v>206.8</v>
      </c>
    </row>
    <row r="1635" spans="2:13" s="645" customFormat="1" ht="21.75" customHeight="1">
      <c r="B1635" s="661">
        <v>44417</v>
      </c>
      <c r="C1635" s="662" t="s">
        <v>819</v>
      </c>
      <c r="D1635" s="663" t="s">
        <v>840</v>
      </c>
      <c r="E1635" s="664" t="s">
        <v>831</v>
      </c>
      <c r="F1635" s="665"/>
      <c r="G1635" s="663">
        <v>20</v>
      </c>
      <c r="H1635" s="662" t="s">
        <v>807</v>
      </c>
      <c r="I1635" s="666" t="s">
        <v>857</v>
      </c>
      <c r="J1635" s="667" t="s">
        <v>802</v>
      </c>
      <c r="K1635" s="662">
        <v>8</v>
      </c>
      <c r="L1635" s="685">
        <f t="shared" si="47"/>
        <v>18.8</v>
      </c>
      <c r="M1635" s="686">
        <f t="shared" si="46"/>
        <v>150.4</v>
      </c>
    </row>
    <row r="1636" spans="2:13" s="645" customFormat="1" ht="21.75" customHeight="1">
      <c r="B1636" s="661">
        <v>44417</v>
      </c>
      <c r="C1636" s="662" t="s">
        <v>819</v>
      </c>
      <c r="D1636" s="663" t="s">
        <v>835</v>
      </c>
      <c r="E1636" s="664" t="s">
        <v>831</v>
      </c>
      <c r="F1636" s="665"/>
      <c r="G1636" s="663">
        <v>20</v>
      </c>
      <c r="H1636" s="662" t="s">
        <v>807</v>
      </c>
      <c r="I1636" s="666" t="s">
        <v>857</v>
      </c>
      <c r="J1636" s="667" t="s">
        <v>802</v>
      </c>
      <c r="K1636" s="662">
        <v>2</v>
      </c>
      <c r="L1636" s="685">
        <f t="shared" si="47"/>
        <v>18.8</v>
      </c>
      <c r="M1636" s="686">
        <f t="shared" si="46"/>
        <v>37.6</v>
      </c>
    </row>
    <row r="1637" spans="2:13" s="645" customFormat="1" ht="21.75" customHeight="1">
      <c r="B1637" s="661">
        <v>44417</v>
      </c>
      <c r="C1637" s="662" t="s">
        <v>819</v>
      </c>
      <c r="D1637" s="663" t="s">
        <v>841</v>
      </c>
      <c r="E1637" s="664" t="s">
        <v>831</v>
      </c>
      <c r="F1637" s="665"/>
      <c r="G1637" s="663">
        <v>20</v>
      </c>
      <c r="H1637" s="662" t="s">
        <v>807</v>
      </c>
      <c r="I1637" s="666" t="s">
        <v>857</v>
      </c>
      <c r="J1637" s="667" t="s">
        <v>802</v>
      </c>
      <c r="K1637" s="662">
        <v>3</v>
      </c>
      <c r="L1637" s="685">
        <f t="shared" si="47"/>
        <v>18.8</v>
      </c>
      <c r="M1637" s="686">
        <f t="shared" si="46"/>
        <v>56.400000000000006</v>
      </c>
    </row>
    <row r="1638" spans="2:13" s="645" customFormat="1" ht="21.75" customHeight="1">
      <c r="B1638" s="661">
        <v>44417</v>
      </c>
      <c r="C1638" s="662" t="s">
        <v>819</v>
      </c>
      <c r="D1638" s="663" t="s">
        <v>834</v>
      </c>
      <c r="E1638" s="664" t="s">
        <v>831</v>
      </c>
      <c r="F1638" s="665"/>
      <c r="G1638" s="663">
        <v>20</v>
      </c>
      <c r="H1638" s="662" t="s">
        <v>807</v>
      </c>
      <c r="I1638" s="666" t="s">
        <v>857</v>
      </c>
      <c r="J1638" s="667" t="s">
        <v>802</v>
      </c>
      <c r="K1638" s="662">
        <v>3</v>
      </c>
      <c r="L1638" s="685">
        <f t="shared" si="47"/>
        <v>18.8</v>
      </c>
      <c r="M1638" s="686">
        <f t="shared" si="46"/>
        <v>56.400000000000006</v>
      </c>
    </row>
    <row r="1639" spans="2:13" s="645" customFormat="1" ht="21.75" customHeight="1">
      <c r="B1639" s="661">
        <v>44417</v>
      </c>
      <c r="C1639" s="662" t="s">
        <v>819</v>
      </c>
      <c r="D1639" s="663" t="s">
        <v>848</v>
      </c>
      <c r="E1639" s="664" t="s">
        <v>831</v>
      </c>
      <c r="F1639" s="665"/>
      <c r="G1639" s="663">
        <v>20</v>
      </c>
      <c r="H1639" s="662" t="s">
        <v>807</v>
      </c>
      <c r="I1639" s="666" t="s">
        <v>857</v>
      </c>
      <c r="J1639" s="667" t="s">
        <v>802</v>
      </c>
      <c r="K1639" s="662">
        <v>3</v>
      </c>
      <c r="L1639" s="685">
        <f t="shared" si="47"/>
        <v>18.8</v>
      </c>
      <c r="M1639" s="686">
        <f t="shared" ref="M1639:M1702" si="48">L1639*K1639</f>
        <v>56.400000000000006</v>
      </c>
    </row>
    <row r="1640" spans="2:13" s="645" customFormat="1" ht="21.75" customHeight="1">
      <c r="B1640" s="661">
        <v>44417</v>
      </c>
      <c r="C1640" s="662" t="s">
        <v>819</v>
      </c>
      <c r="D1640" s="663" t="s">
        <v>836</v>
      </c>
      <c r="E1640" s="664" t="s">
        <v>831</v>
      </c>
      <c r="F1640" s="665"/>
      <c r="G1640" s="663">
        <v>20</v>
      </c>
      <c r="H1640" s="662" t="s">
        <v>807</v>
      </c>
      <c r="I1640" s="666" t="s">
        <v>857</v>
      </c>
      <c r="J1640" s="667" t="s">
        <v>802</v>
      </c>
      <c r="K1640" s="662">
        <v>9</v>
      </c>
      <c r="L1640" s="685">
        <f t="shared" si="47"/>
        <v>18.8</v>
      </c>
      <c r="M1640" s="686">
        <f t="shared" si="48"/>
        <v>169.20000000000002</v>
      </c>
    </row>
    <row r="1641" spans="2:13" s="645" customFormat="1" ht="21.75" customHeight="1">
      <c r="B1641" s="661">
        <v>44417</v>
      </c>
      <c r="C1641" s="662" t="s">
        <v>819</v>
      </c>
      <c r="D1641" s="663" t="s">
        <v>833</v>
      </c>
      <c r="E1641" s="664" t="s">
        <v>831</v>
      </c>
      <c r="F1641" s="665"/>
      <c r="G1641" s="663">
        <v>15</v>
      </c>
      <c r="H1641" s="662" t="s">
        <v>807</v>
      </c>
      <c r="I1641" s="666" t="s">
        <v>857</v>
      </c>
      <c r="J1641" s="667" t="s">
        <v>802</v>
      </c>
      <c r="K1641" s="662">
        <v>8</v>
      </c>
      <c r="L1641" s="685">
        <f t="shared" si="47"/>
        <v>14.1</v>
      </c>
      <c r="M1641" s="686">
        <f t="shared" si="48"/>
        <v>112.8</v>
      </c>
    </row>
    <row r="1642" spans="2:13" s="645" customFormat="1" ht="21.75" customHeight="1">
      <c r="B1642" s="661">
        <v>44417</v>
      </c>
      <c r="C1642" s="662" t="s">
        <v>819</v>
      </c>
      <c r="D1642" s="663" t="s">
        <v>830</v>
      </c>
      <c r="E1642" s="664" t="s">
        <v>831</v>
      </c>
      <c r="F1642" s="665"/>
      <c r="G1642" s="663">
        <v>15</v>
      </c>
      <c r="H1642" s="662" t="s">
        <v>807</v>
      </c>
      <c r="I1642" s="666" t="s">
        <v>857</v>
      </c>
      <c r="J1642" s="667" t="s">
        <v>802</v>
      </c>
      <c r="K1642" s="662">
        <v>10</v>
      </c>
      <c r="L1642" s="685">
        <f t="shared" si="47"/>
        <v>14.1</v>
      </c>
      <c r="M1642" s="686">
        <f t="shared" si="48"/>
        <v>141</v>
      </c>
    </row>
    <row r="1643" spans="2:13" s="645" customFormat="1" ht="21.75" customHeight="1">
      <c r="B1643" s="661">
        <v>44417</v>
      </c>
      <c r="C1643" s="662" t="s">
        <v>819</v>
      </c>
      <c r="D1643" s="663" t="s">
        <v>844</v>
      </c>
      <c r="E1643" s="664" t="s">
        <v>831</v>
      </c>
      <c r="F1643" s="665"/>
      <c r="G1643" s="663">
        <v>15</v>
      </c>
      <c r="H1643" s="662" t="s">
        <v>807</v>
      </c>
      <c r="I1643" s="666" t="s">
        <v>857</v>
      </c>
      <c r="J1643" s="667" t="s">
        <v>802</v>
      </c>
      <c r="K1643" s="662">
        <v>2</v>
      </c>
      <c r="L1643" s="685">
        <f t="shared" si="47"/>
        <v>14.1</v>
      </c>
      <c r="M1643" s="686">
        <f t="shared" si="48"/>
        <v>28.2</v>
      </c>
    </row>
    <row r="1644" spans="2:13" s="645" customFormat="1" ht="21.75" customHeight="1">
      <c r="B1644" s="661">
        <v>44417</v>
      </c>
      <c r="C1644" s="662" t="s">
        <v>819</v>
      </c>
      <c r="D1644" s="663" t="s">
        <v>850</v>
      </c>
      <c r="E1644" s="664" t="s">
        <v>831</v>
      </c>
      <c r="F1644" s="665"/>
      <c r="G1644" s="663">
        <v>15</v>
      </c>
      <c r="H1644" s="662" t="s">
        <v>807</v>
      </c>
      <c r="I1644" s="666" t="s">
        <v>857</v>
      </c>
      <c r="J1644" s="667" t="s">
        <v>802</v>
      </c>
      <c r="K1644" s="662">
        <v>9</v>
      </c>
      <c r="L1644" s="685">
        <f t="shared" si="47"/>
        <v>14.1</v>
      </c>
      <c r="M1644" s="686">
        <f t="shared" si="48"/>
        <v>126.89999999999999</v>
      </c>
    </row>
    <row r="1645" spans="2:13" s="645" customFormat="1" ht="21.75" customHeight="1">
      <c r="B1645" s="661">
        <v>44417</v>
      </c>
      <c r="C1645" s="662" t="s">
        <v>819</v>
      </c>
      <c r="D1645" s="663" t="s">
        <v>839</v>
      </c>
      <c r="E1645" s="664" t="s">
        <v>831</v>
      </c>
      <c r="F1645" s="665"/>
      <c r="G1645" s="663">
        <v>15</v>
      </c>
      <c r="H1645" s="662" t="s">
        <v>807</v>
      </c>
      <c r="I1645" s="666" t="s">
        <v>857</v>
      </c>
      <c r="J1645" s="667" t="s">
        <v>802</v>
      </c>
      <c r="K1645" s="662">
        <v>9</v>
      </c>
      <c r="L1645" s="685">
        <f t="shared" si="47"/>
        <v>14.1</v>
      </c>
      <c r="M1645" s="686">
        <f t="shared" si="48"/>
        <v>126.89999999999999</v>
      </c>
    </row>
    <row r="1646" spans="2:13" s="645" customFormat="1" ht="21.75" customHeight="1">
      <c r="B1646" s="661">
        <v>44417</v>
      </c>
      <c r="C1646" s="662" t="s">
        <v>819</v>
      </c>
      <c r="D1646" s="663" t="s">
        <v>845</v>
      </c>
      <c r="E1646" s="664" t="s">
        <v>831</v>
      </c>
      <c r="F1646" s="665"/>
      <c r="G1646" s="663">
        <v>17</v>
      </c>
      <c r="H1646" s="662" t="s">
        <v>807</v>
      </c>
      <c r="I1646" s="666" t="s">
        <v>857</v>
      </c>
      <c r="J1646" s="667" t="s">
        <v>802</v>
      </c>
      <c r="K1646" s="662">
        <v>1</v>
      </c>
      <c r="L1646" s="685">
        <f t="shared" si="47"/>
        <v>15.98</v>
      </c>
      <c r="M1646" s="686">
        <f t="shared" si="48"/>
        <v>15.98</v>
      </c>
    </row>
    <row r="1647" spans="2:13" s="645" customFormat="1" ht="21.75" customHeight="1">
      <c r="B1647" s="661">
        <v>44417</v>
      </c>
      <c r="C1647" s="662" t="s">
        <v>819</v>
      </c>
      <c r="D1647" s="663" t="s">
        <v>847</v>
      </c>
      <c r="E1647" s="664" t="s">
        <v>831</v>
      </c>
      <c r="F1647" s="665"/>
      <c r="G1647" s="663">
        <v>17</v>
      </c>
      <c r="H1647" s="662" t="s">
        <v>807</v>
      </c>
      <c r="I1647" s="666" t="s">
        <v>857</v>
      </c>
      <c r="J1647" s="667" t="s">
        <v>802</v>
      </c>
      <c r="K1647" s="662">
        <v>10</v>
      </c>
      <c r="L1647" s="685">
        <f t="shared" si="47"/>
        <v>15.98</v>
      </c>
      <c r="M1647" s="686">
        <f t="shared" si="48"/>
        <v>159.80000000000001</v>
      </c>
    </row>
    <row r="1648" spans="2:13" s="645" customFormat="1" ht="21.75" customHeight="1">
      <c r="B1648" s="661">
        <v>44417</v>
      </c>
      <c r="C1648" s="662" t="s">
        <v>819</v>
      </c>
      <c r="D1648" s="663" t="s">
        <v>856</v>
      </c>
      <c r="E1648" s="664" t="s">
        <v>831</v>
      </c>
      <c r="F1648" s="665"/>
      <c r="G1648" s="663">
        <v>20</v>
      </c>
      <c r="H1648" s="662" t="s">
        <v>807</v>
      </c>
      <c r="I1648" s="666" t="s">
        <v>857</v>
      </c>
      <c r="J1648" s="667" t="s">
        <v>802</v>
      </c>
      <c r="K1648" s="662">
        <v>10</v>
      </c>
      <c r="L1648" s="685">
        <f t="shared" si="47"/>
        <v>18.8</v>
      </c>
      <c r="M1648" s="686">
        <f t="shared" si="48"/>
        <v>188</v>
      </c>
    </row>
    <row r="1649" spans="2:13" s="645" customFormat="1" ht="21.75" customHeight="1">
      <c r="B1649" s="661">
        <v>44417</v>
      </c>
      <c r="C1649" s="662" t="s">
        <v>819</v>
      </c>
      <c r="D1649" s="663" t="s">
        <v>855</v>
      </c>
      <c r="E1649" s="664" t="s">
        <v>831</v>
      </c>
      <c r="F1649" s="665"/>
      <c r="G1649" s="663">
        <v>20</v>
      </c>
      <c r="H1649" s="662" t="s">
        <v>807</v>
      </c>
      <c r="I1649" s="666" t="s">
        <v>857</v>
      </c>
      <c r="J1649" s="667" t="s">
        <v>802</v>
      </c>
      <c r="K1649" s="662">
        <v>3</v>
      </c>
      <c r="L1649" s="685">
        <f t="shared" si="47"/>
        <v>18.8</v>
      </c>
      <c r="M1649" s="686">
        <f t="shared" si="48"/>
        <v>56.400000000000006</v>
      </c>
    </row>
    <row r="1650" spans="2:13" s="645" customFormat="1" ht="21.75" customHeight="1">
      <c r="B1650" s="661">
        <v>44418</v>
      </c>
      <c r="C1650" s="662" t="s">
        <v>819</v>
      </c>
      <c r="D1650" s="663" t="s">
        <v>849</v>
      </c>
      <c r="E1650" s="664" t="s">
        <v>831</v>
      </c>
      <c r="F1650" s="665"/>
      <c r="G1650" s="663">
        <v>20</v>
      </c>
      <c r="H1650" s="662" t="s">
        <v>807</v>
      </c>
      <c r="I1650" s="666" t="s">
        <v>859</v>
      </c>
      <c r="J1650" s="667" t="s">
        <v>805</v>
      </c>
      <c r="K1650" s="662">
        <v>4</v>
      </c>
      <c r="L1650" s="685">
        <f t="shared" si="47"/>
        <v>18.8</v>
      </c>
      <c r="M1650" s="686">
        <f t="shared" si="48"/>
        <v>75.2</v>
      </c>
    </row>
    <row r="1651" spans="2:13" s="645" customFormat="1" ht="21.75" customHeight="1">
      <c r="B1651" s="661">
        <v>44418</v>
      </c>
      <c r="C1651" s="662" t="s">
        <v>819</v>
      </c>
      <c r="D1651" s="663" t="s">
        <v>849</v>
      </c>
      <c r="E1651" s="664" t="s">
        <v>831</v>
      </c>
      <c r="F1651" s="665"/>
      <c r="G1651" s="663">
        <v>20</v>
      </c>
      <c r="H1651" s="662" t="s">
        <v>807</v>
      </c>
      <c r="I1651" s="666" t="s">
        <v>857</v>
      </c>
      <c r="J1651" s="667" t="s">
        <v>805</v>
      </c>
      <c r="K1651" s="662">
        <v>5</v>
      </c>
      <c r="L1651" s="685">
        <f t="shared" si="47"/>
        <v>18.8</v>
      </c>
      <c r="M1651" s="686">
        <f t="shared" si="48"/>
        <v>94</v>
      </c>
    </row>
    <row r="1652" spans="2:13" s="645" customFormat="1" ht="21.75" customHeight="1">
      <c r="B1652" s="661">
        <v>44418</v>
      </c>
      <c r="C1652" s="662" t="s">
        <v>819</v>
      </c>
      <c r="D1652" s="663" t="s">
        <v>840</v>
      </c>
      <c r="E1652" s="664" t="s">
        <v>831</v>
      </c>
      <c r="F1652" s="665"/>
      <c r="G1652" s="663">
        <v>20</v>
      </c>
      <c r="H1652" s="662" t="s">
        <v>807</v>
      </c>
      <c r="I1652" s="666" t="s">
        <v>859</v>
      </c>
      <c r="J1652" s="667" t="s">
        <v>805</v>
      </c>
      <c r="K1652" s="662">
        <v>5</v>
      </c>
      <c r="L1652" s="685">
        <f t="shared" si="47"/>
        <v>18.8</v>
      </c>
      <c r="M1652" s="686">
        <f t="shared" si="48"/>
        <v>94</v>
      </c>
    </row>
    <row r="1653" spans="2:13" s="645" customFormat="1" ht="21.75" customHeight="1">
      <c r="B1653" s="661">
        <v>44418</v>
      </c>
      <c r="C1653" s="662" t="s">
        <v>819</v>
      </c>
      <c r="D1653" s="663" t="s">
        <v>840</v>
      </c>
      <c r="E1653" s="664" t="s">
        <v>831</v>
      </c>
      <c r="F1653" s="665"/>
      <c r="G1653" s="663">
        <v>20</v>
      </c>
      <c r="H1653" s="662" t="s">
        <v>807</v>
      </c>
      <c r="I1653" s="666" t="s">
        <v>857</v>
      </c>
      <c r="J1653" s="667" t="s">
        <v>805</v>
      </c>
      <c r="K1653" s="662">
        <v>5</v>
      </c>
      <c r="L1653" s="685">
        <f t="shared" si="47"/>
        <v>18.8</v>
      </c>
      <c r="M1653" s="686">
        <f t="shared" si="48"/>
        <v>94</v>
      </c>
    </row>
    <row r="1654" spans="2:13" s="645" customFormat="1" ht="21.75" customHeight="1">
      <c r="B1654" s="661">
        <v>44418</v>
      </c>
      <c r="C1654" s="662" t="s">
        <v>819</v>
      </c>
      <c r="D1654" s="663" t="s">
        <v>835</v>
      </c>
      <c r="E1654" s="664" t="s">
        <v>831</v>
      </c>
      <c r="F1654" s="665"/>
      <c r="G1654" s="663">
        <v>20</v>
      </c>
      <c r="H1654" s="662" t="s">
        <v>807</v>
      </c>
      <c r="I1654" s="666" t="s">
        <v>859</v>
      </c>
      <c r="J1654" s="667" t="s">
        <v>805</v>
      </c>
      <c r="K1654" s="662">
        <v>6</v>
      </c>
      <c r="L1654" s="685">
        <f t="shared" si="47"/>
        <v>18.8</v>
      </c>
      <c r="M1654" s="686">
        <f t="shared" si="48"/>
        <v>112.80000000000001</v>
      </c>
    </row>
    <row r="1655" spans="2:13" s="645" customFormat="1" ht="21.75" customHeight="1">
      <c r="B1655" s="661">
        <v>44418</v>
      </c>
      <c r="C1655" s="662" t="s">
        <v>819</v>
      </c>
      <c r="D1655" s="663" t="s">
        <v>835</v>
      </c>
      <c r="E1655" s="664" t="s">
        <v>831</v>
      </c>
      <c r="F1655" s="665"/>
      <c r="G1655" s="663">
        <v>20</v>
      </c>
      <c r="H1655" s="662" t="s">
        <v>807</v>
      </c>
      <c r="I1655" s="666" t="s">
        <v>857</v>
      </c>
      <c r="J1655" s="667" t="s">
        <v>805</v>
      </c>
      <c r="K1655" s="662">
        <v>4</v>
      </c>
      <c r="L1655" s="685">
        <f t="shared" si="47"/>
        <v>18.8</v>
      </c>
      <c r="M1655" s="686">
        <f t="shared" si="48"/>
        <v>75.2</v>
      </c>
    </row>
    <row r="1656" spans="2:13" s="645" customFormat="1" ht="21.75" customHeight="1">
      <c r="B1656" s="661">
        <v>44418</v>
      </c>
      <c r="C1656" s="662" t="s">
        <v>819</v>
      </c>
      <c r="D1656" s="663" t="s">
        <v>841</v>
      </c>
      <c r="E1656" s="664" t="s">
        <v>831</v>
      </c>
      <c r="F1656" s="665"/>
      <c r="G1656" s="663">
        <v>20</v>
      </c>
      <c r="H1656" s="662" t="s">
        <v>807</v>
      </c>
      <c r="I1656" s="666" t="s">
        <v>859</v>
      </c>
      <c r="J1656" s="667" t="s">
        <v>805</v>
      </c>
      <c r="K1656" s="662">
        <v>6</v>
      </c>
      <c r="L1656" s="685">
        <f t="shared" si="47"/>
        <v>18.8</v>
      </c>
      <c r="M1656" s="686">
        <f t="shared" si="48"/>
        <v>112.80000000000001</v>
      </c>
    </row>
    <row r="1657" spans="2:13" s="645" customFormat="1" ht="21.75" customHeight="1">
      <c r="B1657" s="661">
        <v>44418</v>
      </c>
      <c r="C1657" s="662" t="s">
        <v>819</v>
      </c>
      <c r="D1657" s="663" t="s">
        <v>841</v>
      </c>
      <c r="E1657" s="664" t="s">
        <v>831</v>
      </c>
      <c r="F1657" s="665"/>
      <c r="G1657" s="663">
        <v>20</v>
      </c>
      <c r="H1657" s="662" t="s">
        <v>807</v>
      </c>
      <c r="I1657" s="666" t="s">
        <v>857</v>
      </c>
      <c r="J1657" s="667" t="s">
        <v>805</v>
      </c>
      <c r="K1657" s="662">
        <v>4</v>
      </c>
      <c r="L1657" s="685">
        <f t="shared" si="47"/>
        <v>18.8</v>
      </c>
      <c r="M1657" s="686">
        <f t="shared" si="48"/>
        <v>75.2</v>
      </c>
    </row>
    <row r="1658" spans="2:13" s="645" customFormat="1" ht="21.75" customHeight="1">
      <c r="B1658" s="661">
        <v>44418</v>
      </c>
      <c r="C1658" s="662" t="s">
        <v>819</v>
      </c>
      <c r="D1658" s="663" t="s">
        <v>834</v>
      </c>
      <c r="E1658" s="664" t="s">
        <v>831</v>
      </c>
      <c r="F1658" s="665"/>
      <c r="G1658" s="663">
        <v>20</v>
      </c>
      <c r="H1658" s="662" t="s">
        <v>807</v>
      </c>
      <c r="I1658" s="666" t="s">
        <v>859</v>
      </c>
      <c r="J1658" s="667" t="s">
        <v>805</v>
      </c>
      <c r="K1658" s="662">
        <v>4</v>
      </c>
      <c r="L1658" s="685">
        <f t="shared" si="47"/>
        <v>18.8</v>
      </c>
      <c r="M1658" s="686">
        <f t="shared" si="48"/>
        <v>75.2</v>
      </c>
    </row>
    <row r="1659" spans="2:13" s="645" customFormat="1" ht="21.75" customHeight="1">
      <c r="B1659" s="661">
        <v>44418</v>
      </c>
      <c r="C1659" s="662" t="s">
        <v>819</v>
      </c>
      <c r="D1659" s="663" t="s">
        <v>834</v>
      </c>
      <c r="E1659" s="664" t="s">
        <v>831</v>
      </c>
      <c r="F1659" s="665"/>
      <c r="G1659" s="663">
        <v>20</v>
      </c>
      <c r="H1659" s="662" t="s">
        <v>807</v>
      </c>
      <c r="I1659" s="666" t="s">
        <v>857</v>
      </c>
      <c r="J1659" s="667" t="s">
        <v>805</v>
      </c>
      <c r="K1659" s="662">
        <v>3</v>
      </c>
      <c r="L1659" s="685">
        <f t="shared" si="47"/>
        <v>18.8</v>
      </c>
      <c r="M1659" s="686">
        <f t="shared" si="48"/>
        <v>56.400000000000006</v>
      </c>
    </row>
    <row r="1660" spans="2:13" s="645" customFormat="1" ht="21.75" customHeight="1">
      <c r="B1660" s="661">
        <v>44418</v>
      </c>
      <c r="C1660" s="662" t="s">
        <v>819</v>
      </c>
      <c r="D1660" s="663" t="s">
        <v>848</v>
      </c>
      <c r="E1660" s="664" t="s">
        <v>831</v>
      </c>
      <c r="F1660" s="665"/>
      <c r="G1660" s="663">
        <v>20</v>
      </c>
      <c r="H1660" s="662" t="s">
        <v>807</v>
      </c>
      <c r="I1660" s="666" t="s">
        <v>859</v>
      </c>
      <c r="J1660" s="667" t="s">
        <v>805</v>
      </c>
      <c r="K1660" s="662">
        <v>7</v>
      </c>
      <c r="L1660" s="685">
        <f t="shared" si="47"/>
        <v>18.8</v>
      </c>
      <c r="M1660" s="686">
        <f t="shared" si="48"/>
        <v>131.6</v>
      </c>
    </row>
    <row r="1661" spans="2:13" s="645" customFormat="1" ht="21.75" customHeight="1">
      <c r="B1661" s="661">
        <v>44418</v>
      </c>
      <c r="C1661" s="662" t="s">
        <v>819</v>
      </c>
      <c r="D1661" s="663" t="s">
        <v>848</v>
      </c>
      <c r="E1661" s="664" t="s">
        <v>831</v>
      </c>
      <c r="F1661" s="665"/>
      <c r="G1661" s="663">
        <v>20</v>
      </c>
      <c r="H1661" s="662" t="s">
        <v>807</v>
      </c>
      <c r="I1661" s="666" t="s">
        <v>857</v>
      </c>
      <c r="J1661" s="667" t="s">
        <v>805</v>
      </c>
      <c r="K1661" s="662">
        <v>3</v>
      </c>
      <c r="L1661" s="685">
        <f t="shared" si="47"/>
        <v>18.8</v>
      </c>
      <c r="M1661" s="686">
        <f t="shared" si="48"/>
        <v>56.400000000000006</v>
      </c>
    </row>
    <row r="1662" spans="2:13" s="645" customFormat="1" ht="21.75" customHeight="1">
      <c r="B1662" s="661">
        <v>44418</v>
      </c>
      <c r="C1662" s="662" t="s">
        <v>819</v>
      </c>
      <c r="D1662" s="663" t="s">
        <v>836</v>
      </c>
      <c r="E1662" s="664" t="s">
        <v>831</v>
      </c>
      <c r="F1662" s="665"/>
      <c r="G1662" s="663">
        <v>20</v>
      </c>
      <c r="H1662" s="662" t="s">
        <v>807</v>
      </c>
      <c r="I1662" s="666" t="s">
        <v>859</v>
      </c>
      <c r="J1662" s="667" t="s">
        <v>805</v>
      </c>
      <c r="K1662" s="662">
        <v>5</v>
      </c>
      <c r="L1662" s="685">
        <f t="shared" si="47"/>
        <v>18.8</v>
      </c>
      <c r="M1662" s="686">
        <f t="shared" si="48"/>
        <v>94</v>
      </c>
    </row>
    <row r="1663" spans="2:13" s="645" customFormat="1" ht="21.75" customHeight="1">
      <c r="B1663" s="661">
        <v>44418</v>
      </c>
      <c r="C1663" s="662" t="s">
        <v>819</v>
      </c>
      <c r="D1663" s="663" t="s">
        <v>836</v>
      </c>
      <c r="E1663" s="664" t="s">
        <v>831</v>
      </c>
      <c r="F1663" s="665"/>
      <c r="G1663" s="663">
        <v>20</v>
      </c>
      <c r="H1663" s="662" t="s">
        <v>807</v>
      </c>
      <c r="I1663" s="666" t="s">
        <v>857</v>
      </c>
      <c r="J1663" s="667" t="s">
        <v>805</v>
      </c>
      <c r="K1663" s="662">
        <v>3</v>
      </c>
      <c r="L1663" s="685">
        <f t="shared" si="47"/>
        <v>18.8</v>
      </c>
      <c r="M1663" s="686">
        <f t="shared" si="48"/>
        <v>56.400000000000006</v>
      </c>
    </row>
    <row r="1664" spans="2:13" s="645" customFormat="1" ht="21.75" customHeight="1">
      <c r="B1664" s="661">
        <v>44418</v>
      </c>
      <c r="C1664" s="662" t="s">
        <v>819</v>
      </c>
      <c r="D1664" s="663" t="s">
        <v>833</v>
      </c>
      <c r="E1664" s="664" t="s">
        <v>831</v>
      </c>
      <c r="F1664" s="665"/>
      <c r="G1664" s="663">
        <v>15</v>
      </c>
      <c r="H1664" s="662" t="s">
        <v>807</v>
      </c>
      <c r="I1664" s="666" t="s">
        <v>859</v>
      </c>
      <c r="J1664" s="667" t="s">
        <v>805</v>
      </c>
      <c r="K1664" s="662">
        <v>5</v>
      </c>
      <c r="L1664" s="685">
        <f t="shared" si="47"/>
        <v>14.1</v>
      </c>
      <c r="M1664" s="686">
        <f t="shared" si="48"/>
        <v>70.5</v>
      </c>
    </row>
    <row r="1665" spans="2:13" s="645" customFormat="1" ht="21.75" customHeight="1">
      <c r="B1665" s="661">
        <v>44418</v>
      </c>
      <c r="C1665" s="662" t="s">
        <v>819</v>
      </c>
      <c r="D1665" s="663" t="s">
        <v>833</v>
      </c>
      <c r="E1665" s="664" t="s">
        <v>831</v>
      </c>
      <c r="F1665" s="665"/>
      <c r="G1665" s="663">
        <v>15</v>
      </c>
      <c r="H1665" s="662" t="s">
        <v>807</v>
      </c>
      <c r="I1665" s="666" t="s">
        <v>857</v>
      </c>
      <c r="J1665" s="667" t="s">
        <v>805</v>
      </c>
      <c r="K1665" s="662">
        <v>3</v>
      </c>
      <c r="L1665" s="685">
        <f t="shared" si="47"/>
        <v>14.1</v>
      </c>
      <c r="M1665" s="686">
        <f t="shared" si="48"/>
        <v>42.3</v>
      </c>
    </row>
    <row r="1666" spans="2:13" s="645" customFormat="1" ht="21.75" customHeight="1">
      <c r="B1666" s="661">
        <v>44418</v>
      </c>
      <c r="C1666" s="662" t="s">
        <v>819</v>
      </c>
      <c r="D1666" s="663" t="s">
        <v>830</v>
      </c>
      <c r="E1666" s="664" t="s">
        <v>831</v>
      </c>
      <c r="F1666" s="665"/>
      <c r="G1666" s="663">
        <v>15</v>
      </c>
      <c r="H1666" s="662" t="s">
        <v>807</v>
      </c>
      <c r="I1666" s="666" t="s">
        <v>859</v>
      </c>
      <c r="J1666" s="667" t="s">
        <v>805</v>
      </c>
      <c r="K1666" s="662">
        <v>5</v>
      </c>
      <c r="L1666" s="685">
        <f t="shared" si="47"/>
        <v>14.1</v>
      </c>
      <c r="M1666" s="686">
        <f t="shared" si="48"/>
        <v>70.5</v>
      </c>
    </row>
    <row r="1667" spans="2:13" s="645" customFormat="1" ht="21.75" customHeight="1">
      <c r="B1667" s="661">
        <v>44418</v>
      </c>
      <c r="C1667" s="662" t="s">
        <v>819</v>
      </c>
      <c r="D1667" s="663" t="s">
        <v>830</v>
      </c>
      <c r="E1667" s="664" t="s">
        <v>831</v>
      </c>
      <c r="F1667" s="665"/>
      <c r="G1667" s="663">
        <v>15</v>
      </c>
      <c r="H1667" s="662" t="s">
        <v>807</v>
      </c>
      <c r="I1667" s="666" t="s">
        <v>857</v>
      </c>
      <c r="J1667" s="667" t="s">
        <v>805</v>
      </c>
      <c r="K1667" s="662">
        <v>5</v>
      </c>
      <c r="L1667" s="685">
        <f t="shared" si="47"/>
        <v>14.1</v>
      </c>
      <c r="M1667" s="686">
        <f t="shared" si="48"/>
        <v>70.5</v>
      </c>
    </row>
    <row r="1668" spans="2:13" s="645" customFormat="1" ht="21.75" customHeight="1">
      <c r="B1668" s="661">
        <v>44418</v>
      </c>
      <c r="C1668" s="662" t="s">
        <v>819</v>
      </c>
      <c r="D1668" s="663" t="s">
        <v>844</v>
      </c>
      <c r="E1668" s="664" t="s">
        <v>831</v>
      </c>
      <c r="F1668" s="665"/>
      <c r="G1668" s="663">
        <v>15</v>
      </c>
      <c r="H1668" s="662" t="s">
        <v>807</v>
      </c>
      <c r="I1668" s="666" t="s">
        <v>859</v>
      </c>
      <c r="J1668" s="667" t="s">
        <v>805</v>
      </c>
      <c r="K1668" s="662">
        <v>5</v>
      </c>
      <c r="L1668" s="685">
        <f t="shared" si="47"/>
        <v>14.1</v>
      </c>
      <c r="M1668" s="686">
        <f t="shared" si="48"/>
        <v>70.5</v>
      </c>
    </row>
    <row r="1669" spans="2:13" s="645" customFormat="1" ht="21.75" customHeight="1">
      <c r="B1669" s="661">
        <v>44418</v>
      </c>
      <c r="C1669" s="662" t="s">
        <v>819</v>
      </c>
      <c r="D1669" s="663" t="s">
        <v>844</v>
      </c>
      <c r="E1669" s="664" t="s">
        <v>831</v>
      </c>
      <c r="F1669" s="665"/>
      <c r="G1669" s="663">
        <v>15</v>
      </c>
      <c r="H1669" s="662" t="s">
        <v>807</v>
      </c>
      <c r="I1669" s="666" t="s">
        <v>857</v>
      </c>
      <c r="J1669" s="667" t="s">
        <v>805</v>
      </c>
      <c r="K1669" s="662">
        <v>3</v>
      </c>
      <c r="L1669" s="685">
        <f t="shared" si="47"/>
        <v>14.1</v>
      </c>
      <c r="M1669" s="686">
        <f t="shared" si="48"/>
        <v>42.3</v>
      </c>
    </row>
    <row r="1670" spans="2:13" s="645" customFormat="1" ht="21.75" customHeight="1">
      <c r="B1670" s="661">
        <v>44418</v>
      </c>
      <c r="C1670" s="662" t="s">
        <v>819</v>
      </c>
      <c r="D1670" s="663" t="s">
        <v>850</v>
      </c>
      <c r="E1670" s="664" t="s">
        <v>831</v>
      </c>
      <c r="F1670" s="665"/>
      <c r="G1670" s="663">
        <v>15</v>
      </c>
      <c r="H1670" s="662" t="s">
        <v>807</v>
      </c>
      <c r="I1670" s="666" t="s">
        <v>859</v>
      </c>
      <c r="J1670" s="667" t="s">
        <v>805</v>
      </c>
      <c r="K1670" s="662">
        <v>7</v>
      </c>
      <c r="L1670" s="685">
        <f t="shared" si="47"/>
        <v>14.1</v>
      </c>
      <c r="M1670" s="686">
        <f t="shared" si="48"/>
        <v>98.7</v>
      </c>
    </row>
    <row r="1671" spans="2:13" s="645" customFormat="1" ht="21.75" customHeight="1">
      <c r="B1671" s="661">
        <v>44418</v>
      </c>
      <c r="C1671" s="662" t="s">
        <v>819</v>
      </c>
      <c r="D1671" s="663" t="s">
        <v>850</v>
      </c>
      <c r="E1671" s="664" t="s">
        <v>831</v>
      </c>
      <c r="F1671" s="665"/>
      <c r="G1671" s="663">
        <v>15</v>
      </c>
      <c r="H1671" s="662" t="s">
        <v>807</v>
      </c>
      <c r="I1671" s="666" t="s">
        <v>857</v>
      </c>
      <c r="J1671" s="667" t="s">
        <v>805</v>
      </c>
      <c r="K1671" s="662">
        <v>3</v>
      </c>
      <c r="L1671" s="685">
        <f t="shared" si="47"/>
        <v>14.1</v>
      </c>
      <c r="M1671" s="686">
        <f t="shared" si="48"/>
        <v>42.3</v>
      </c>
    </row>
    <row r="1672" spans="2:13" s="645" customFormat="1" ht="21.75" customHeight="1">
      <c r="B1672" s="661">
        <v>44418</v>
      </c>
      <c r="C1672" s="662" t="s">
        <v>819</v>
      </c>
      <c r="D1672" s="663" t="s">
        <v>839</v>
      </c>
      <c r="E1672" s="664" t="s">
        <v>831</v>
      </c>
      <c r="F1672" s="665"/>
      <c r="G1672" s="663">
        <v>15</v>
      </c>
      <c r="H1672" s="662" t="s">
        <v>807</v>
      </c>
      <c r="I1672" s="666" t="s">
        <v>859</v>
      </c>
      <c r="J1672" s="667" t="s">
        <v>805</v>
      </c>
      <c r="K1672" s="662">
        <v>5</v>
      </c>
      <c r="L1672" s="685">
        <f t="shared" si="47"/>
        <v>14.1</v>
      </c>
      <c r="M1672" s="686">
        <f t="shared" si="48"/>
        <v>70.5</v>
      </c>
    </row>
    <row r="1673" spans="2:13" s="645" customFormat="1" ht="21.75" customHeight="1">
      <c r="B1673" s="661">
        <v>44418</v>
      </c>
      <c r="C1673" s="662" t="s">
        <v>819</v>
      </c>
      <c r="D1673" s="663" t="s">
        <v>839</v>
      </c>
      <c r="E1673" s="664" t="s">
        <v>831</v>
      </c>
      <c r="F1673" s="665"/>
      <c r="G1673" s="663">
        <v>15</v>
      </c>
      <c r="H1673" s="662" t="s">
        <v>807</v>
      </c>
      <c r="I1673" s="666" t="s">
        <v>857</v>
      </c>
      <c r="J1673" s="667" t="s">
        <v>805</v>
      </c>
      <c r="K1673" s="662">
        <v>4</v>
      </c>
      <c r="L1673" s="685">
        <f t="shared" ref="L1673:L1736" si="49">VLOOKUP(G1673,$Q$4:$V$7,6,FALSE)</f>
        <v>14.1</v>
      </c>
      <c r="M1673" s="686">
        <f t="shared" si="48"/>
        <v>56.4</v>
      </c>
    </row>
    <row r="1674" spans="2:13" s="645" customFormat="1" ht="21.75" customHeight="1">
      <c r="B1674" s="661">
        <v>44418</v>
      </c>
      <c r="C1674" s="662" t="s">
        <v>819</v>
      </c>
      <c r="D1674" s="663" t="s">
        <v>845</v>
      </c>
      <c r="E1674" s="664" t="s">
        <v>831</v>
      </c>
      <c r="F1674" s="665"/>
      <c r="G1674" s="663">
        <v>17</v>
      </c>
      <c r="H1674" s="662" t="s">
        <v>807</v>
      </c>
      <c r="I1674" s="666" t="s">
        <v>859</v>
      </c>
      <c r="J1674" s="667" t="s">
        <v>805</v>
      </c>
      <c r="K1674" s="662">
        <v>5</v>
      </c>
      <c r="L1674" s="685">
        <f t="shared" si="49"/>
        <v>15.98</v>
      </c>
      <c r="M1674" s="686">
        <f t="shared" si="48"/>
        <v>79.900000000000006</v>
      </c>
    </row>
    <row r="1675" spans="2:13" s="645" customFormat="1" ht="21.75" customHeight="1">
      <c r="B1675" s="661">
        <v>44418</v>
      </c>
      <c r="C1675" s="662" t="s">
        <v>819</v>
      </c>
      <c r="D1675" s="663" t="s">
        <v>845</v>
      </c>
      <c r="E1675" s="664" t="s">
        <v>831</v>
      </c>
      <c r="F1675" s="665"/>
      <c r="G1675" s="663">
        <v>17</v>
      </c>
      <c r="H1675" s="662" t="s">
        <v>807</v>
      </c>
      <c r="I1675" s="666" t="s">
        <v>857</v>
      </c>
      <c r="J1675" s="667" t="s">
        <v>805</v>
      </c>
      <c r="K1675" s="662">
        <v>5</v>
      </c>
      <c r="L1675" s="685">
        <f t="shared" si="49"/>
        <v>15.98</v>
      </c>
      <c r="M1675" s="686">
        <f t="shared" si="48"/>
        <v>79.900000000000006</v>
      </c>
    </row>
    <row r="1676" spans="2:13" s="645" customFormat="1" ht="21.75" customHeight="1">
      <c r="B1676" s="661">
        <v>44418</v>
      </c>
      <c r="C1676" s="662" t="s">
        <v>819</v>
      </c>
      <c r="D1676" s="663" t="s">
        <v>847</v>
      </c>
      <c r="E1676" s="664" t="s">
        <v>831</v>
      </c>
      <c r="F1676" s="665"/>
      <c r="G1676" s="663">
        <v>17</v>
      </c>
      <c r="H1676" s="662" t="s">
        <v>807</v>
      </c>
      <c r="I1676" s="666" t="s">
        <v>859</v>
      </c>
      <c r="J1676" s="667" t="s">
        <v>805</v>
      </c>
      <c r="K1676" s="662">
        <v>4</v>
      </c>
      <c r="L1676" s="685">
        <f t="shared" si="49"/>
        <v>15.98</v>
      </c>
      <c r="M1676" s="686">
        <f t="shared" si="48"/>
        <v>63.92</v>
      </c>
    </row>
    <row r="1677" spans="2:13" s="645" customFormat="1" ht="21.75" customHeight="1">
      <c r="B1677" s="661">
        <v>44418</v>
      </c>
      <c r="C1677" s="662" t="s">
        <v>819</v>
      </c>
      <c r="D1677" s="663" t="s">
        <v>847</v>
      </c>
      <c r="E1677" s="664" t="s">
        <v>831</v>
      </c>
      <c r="F1677" s="665"/>
      <c r="G1677" s="663">
        <v>17</v>
      </c>
      <c r="H1677" s="662" t="s">
        <v>807</v>
      </c>
      <c r="I1677" s="666" t="s">
        <v>857</v>
      </c>
      <c r="J1677" s="667" t="s">
        <v>805</v>
      </c>
      <c r="K1677" s="662">
        <v>2</v>
      </c>
      <c r="L1677" s="685">
        <f t="shared" si="49"/>
        <v>15.98</v>
      </c>
      <c r="M1677" s="686">
        <f t="shared" si="48"/>
        <v>31.96</v>
      </c>
    </row>
    <row r="1678" spans="2:13" s="645" customFormat="1" ht="21.75" customHeight="1">
      <c r="B1678" s="661">
        <v>44418</v>
      </c>
      <c r="C1678" s="662" t="s">
        <v>819</v>
      </c>
      <c r="D1678" s="663" t="s">
        <v>856</v>
      </c>
      <c r="E1678" s="664" t="s">
        <v>831</v>
      </c>
      <c r="F1678" s="665"/>
      <c r="G1678" s="663">
        <v>20</v>
      </c>
      <c r="H1678" s="662" t="s">
        <v>807</v>
      </c>
      <c r="I1678" s="666" t="s">
        <v>859</v>
      </c>
      <c r="J1678" s="667" t="s">
        <v>805</v>
      </c>
      <c r="K1678" s="662">
        <v>6</v>
      </c>
      <c r="L1678" s="685">
        <f t="shared" si="49"/>
        <v>18.8</v>
      </c>
      <c r="M1678" s="686">
        <f t="shared" si="48"/>
        <v>112.80000000000001</v>
      </c>
    </row>
    <row r="1679" spans="2:13" s="645" customFormat="1" ht="21.75" customHeight="1">
      <c r="B1679" s="661">
        <v>44418</v>
      </c>
      <c r="C1679" s="662" t="s">
        <v>819</v>
      </c>
      <c r="D1679" s="663" t="s">
        <v>856</v>
      </c>
      <c r="E1679" s="664" t="s">
        <v>831</v>
      </c>
      <c r="F1679" s="665"/>
      <c r="G1679" s="663">
        <v>20</v>
      </c>
      <c r="H1679" s="662" t="s">
        <v>807</v>
      </c>
      <c r="I1679" s="666" t="s">
        <v>857</v>
      </c>
      <c r="J1679" s="667" t="s">
        <v>805</v>
      </c>
      <c r="K1679" s="662">
        <v>4</v>
      </c>
      <c r="L1679" s="685">
        <f t="shared" si="49"/>
        <v>18.8</v>
      </c>
      <c r="M1679" s="686">
        <f t="shared" si="48"/>
        <v>75.2</v>
      </c>
    </row>
    <row r="1680" spans="2:13" s="645" customFormat="1" ht="21.75" customHeight="1">
      <c r="B1680" s="661">
        <v>44418</v>
      </c>
      <c r="C1680" s="662" t="s">
        <v>819</v>
      </c>
      <c r="D1680" s="663" t="s">
        <v>855</v>
      </c>
      <c r="E1680" s="664" t="s">
        <v>831</v>
      </c>
      <c r="F1680" s="665"/>
      <c r="G1680" s="663">
        <v>20</v>
      </c>
      <c r="H1680" s="662" t="s">
        <v>807</v>
      </c>
      <c r="I1680" s="666" t="s">
        <v>859</v>
      </c>
      <c r="J1680" s="667" t="s">
        <v>805</v>
      </c>
      <c r="K1680" s="662">
        <v>8</v>
      </c>
      <c r="L1680" s="685">
        <f t="shared" si="49"/>
        <v>18.8</v>
      </c>
      <c r="M1680" s="686">
        <f t="shared" si="48"/>
        <v>150.4</v>
      </c>
    </row>
    <row r="1681" spans="2:13" s="645" customFormat="1" ht="21.75" customHeight="1">
      <c r="B1681" s="661">
        <v>44418</v>
      </c>
      <c r="C1681" s="662" t="s">
        <v>819</v>
      </c>
      <c r="D1681" s="663" t="s">
        <v>855</v>
      </c>
      <c r="E1681" s="664" t="s">
        <v>831</v>
      </c>
      <c r="F1681" s="665"/>
      <c r="G1681" s="663">
        <v>20</v>
      </c>
      <c r="H1681" s="662" t="s">
        <v>807</v>
      </c>
      <c r="I1681" s="666" t="s">
        <v>857</v>
      </c>
      <c r="J1681" s="667" t="s">
        <v>805</v>
      </c>
      <c r="K1681" s="662">
        <v>3</v>
      </c>
      <c r="L1681" s="685">
        <f t="shared" si="49"/>
        <v>18.8</v>
      </c>
      <c r="M1681" s="686">
        <f t="shared" si="48"/>
        <v>56.400000000000006</v>
      </c>
    </row>
    <row r="1682" spans="2:13" s="645" customFormat="1" ht="21.75" customHeight="1">
      <c r="B1682" s="661">
        <v>44418</v>
      </c>
      <c r="C1682" s="662" t="s">
        <v>837</v>
      </c>
      <c r="D1682" s="663" t="s">
        <v>849</v>
      </c>
      <c r="E1682" s="664" t="s">
        <v>831</v>
      </c>
      <c r="F1682" s="665"/>
      <c r="G1682" s="663">
        <v>20</v>
      </c>
      <c r="H1682" s="662" t="s">
        <v>807</v>
      </c>
      <c r="I1682" s="666" t="s">
        <v>859</v>
      </c>
      <c r="J1682" s="667" t="s">
        <v>805</v>
      </c>
      <c r="K1682" s="662">
        <v>11</v>
      </c>
      <c r="L1682" s="685">
        <f t="shared" si="49"/>
        <v>18.8</v>
      </c>
      <c r="M1682" s="686">
        <f t="shared" si="48"/>
        <v>206.8</v>
      </c>
    </row>
    <row r="1683" spans="2:13" s="645" customFormat="1" ht="21.75" customHeight="1">
      <c r="B1683" s="661">
        <v>44418</v>
      </c>
      <c r="C1683" s="662" t="s">
        <v>837</v>
      </c>
      <c r="D1683" s="663" t="s">
        <v>849</v>
      </c>
      <c r="E1683" s="664" t="s">
        <v>831</v>
      </c>
      <c r="F1683" s="665"/>
      <c r="G1683" s="663">
        <v>20</v>
      </c>
      <c r="H1683" s="662" t="s">
        <v>807</v>
      </c>
      <c r="I1683" s="666" t="s">
        <v>857</v>
      </c>
      <c r="J1683" s="667" t="s">
        <v>805</v>
      </c>
      <c r="K1683" s="662">
        <v>1</v>
      </c>
      <c r="L1683" s="685">
        <f t="shared" si="49"/>
        <v>18.8</v>
      </c>
      <c r="M1683" s="686">
        <f t="shared" si="48"/>
        <v>18.8</v>
      </c>
    </row>
    <row r="1684" spans="2:13" s="645" customFormat="1" ht="21.75" customHeight="1">
      <c r="B1684" s="661">
        <v>44418</v>
      </c>
      <c r="C1684" s="662" t="s">
        <v>837</v>
      </c>
      <c r="D1684" s="663" t="s">
        <v>840</v>
      </c>
      <c r="E1684" s="664" t="s">
        <v>831</v>
      </c>
      <c r="F1684" s="665"/>
      <c r="G1684" s="663">
        <v>20</v>
      </c>
      <c r="H1684" s="662" t="s">
        <v>807</v>
      </c>
      <c r="I1684" s="666" t="s">
        <v>859</v>
      </c>
      <c r="J1684" s="667" t="s">
        <v>805</v>
      </c>
      <c r="K1684" s="662">
        <v>11</v>
      </c>
      <c r="L1684" s="685">
        <f t="shared" si="49"/>
        <v>18.8</v>
      </c>
      <c r="M1684" s="686">
        <f t="shared" si="48"/>
        <v>206.8</v>
      </c>
    </row>
    <row r="1685" spans="2:13" s="645" customFormat="1" ht="21.75" customHeight="1">
      <c r="B1685" s="661">
        <v>44418</v>
      </c>
      <c r="C1685" s="662" t="s">
        <v>837</v>
      </c>
      <c r="D1685" s="663" t="s">
        <v>840</v>
      </c>
      <c r="E1685" s="664" t="s">
        <v>831</v>
      </c>
      <c r="F1685" s="665"/>
      <c r="G1685" s="663">
        <v>20</v>
      </c>
      <c r="H1685" s="662" t="s">
        <v>807</v>
      </c>
      <c r="I1685" s="666" t="s">
        <v>857</v>
      </c>
      <c r="J1685" s="667" t="s">
        <v>805</v>
      </c>
      <c r="K1685" s="662">
        <v>1</v>
      </c>
      <c r="L1685" s="685">
        <f t="shared" si="49"/>
        <v>18.8</v>
      </c>
      <c r="M1685" s="686">
        <f t="shared" si="48"/>
        <v>18.8</v>
      </c>
    </row>
    <row r="1686" spans="2:13" s="645" customFormat="1" ht="21.75" customHeight="1">
      <c r="B1686" s="661">
        <v>44418</v>
      </c>
      <c r="C1686" s="662" t="s">
        <v>837</v>
      </c>
      <c r="D1686" s="663" t="s">
        <v>835</v>
      </c>
      <c r="E1686" s="664" t="s">
        <v>831</v>
      </c>
      <c r="F1686" s="665"/>
      <c r="G1686" s="663">
        <v>20</v>
      </c>
      <c r="H1686" s="662" t="s">
        <v>807</v>
      </c>
      <c r="I1686" s="666" t="s">
        <v>859</v>
      </c>
      <c r="J1686" s="667" t="s">
        <v>805</v>
      </c>
      <c r="K1686" s="662">
        <v>11</v>
      </c>
      <c r="L1686" s="685">
        <f t="shared" si="49"/>
        <v>18.8</v>
      </c>
      <c r="M1686" s="686">
        <f t="shared" si="48"/>
        <v>206.8</v>
      </c>
    </row>
    <row r="1687" spans="2:13" s="645" customFormat="1" ht="21.75" customHeight="1">
      <c r="B1687" s="661">
        <v>44418</v>
      </c>
      <c r="C1687" s="662" t="s">
        <v>837</v>
      </c>
      <c r="D1687" s="663" t="s">
        <v>835</v>
      </c>
      <c r="E1687" s="664" t="s">
        <v>831</v>
      </c>
      <c r="F1687" s="665"/>
      <c r="G1687" s="663">
        <v>20</v>
      </c>
      <c r="H1687" s="662" t="s">
        <v>807</v>
      </c>
      <c r="I1687" s="666" t="s">
        <v>857</v>
      </c>
      <c r="J1687" s="667" t="s">
        <v>805</v>
      </c>
      <c r="K1687" s="662">
        <v>1</v>
      </c>
      <c r="L1687" s="685">
        <f t="shared" si="49"/>
        <v>18.8</v>
      </c>
      <c r="M1687" s="686">
        <f t="shared" si="48"/>
        <v>18.8</v>
      </c>
    </row>
    <row r="1688" spans="2:13" s="645" customFormat="1" ht="21.75" customHeight="1">
      <c r="B1688" s="661">
        <v>44418</v>
      </c>
      <c r="C1688" s="662" t="s">
        <v>837</v>
      </c>
      <c r="D1688" s="663" t="s">
        <v>841</v>
      </c>
      <c r="E1688" s="664" t="s">
        <v>831</v>
      </c>
      <c r="F1688" s="665"/>
      <c r="G1688" s="663">
        <v>20</v>
      </c>
      <c r="H1688" s="662" t="s">
        <v>807</v>
      </c>
      <c r="I1688" s="666" t="s">
        <v>859</v>
      </c>
      <c r="J1688" s="667" t="s">
        <v>805</v>
      </c>
      <c r="K1688" s="662">
        <v>11</v>
      </c>
      <c r="L1688" s="685">
        <f t="shared" si="49"/>
        <v>18.8</v>
      </c>
      <c r="M1688" s="686">
        <f t="shared" si="48"/>
        <v>206.8</v>
      </c>
    </row>
    <row r="1689" spans="2:13" s="645" customFormat="1" ht="21.75" customHeight="1">
      <c r="B1689" s="661">
        <v>44418</v>
      </c>
      <c r="C1689" s="662" t="s">
        <v>837</v>
      </c>
      <c r="D1689" s="663" t="s">
        <v>841</v>
      </c>
      <c r="E1689" s="664" t="s">
        <v>831</v>
      </c>
      <c r="F1689" s="665"/>
      <c r="G1689" s="663">
        <v>20</v>
      </c>
      <c r="H1689" s="662" t="s">
        <v>807</v>
      </c>
      <c r="I1689" s="666" t="s">
        <v>857</v>
      </c>
      <c r="J1689" s="667" t="s">
        <v>805</v>
      </c>
      <c r="K1689" s="662">
        <v>1</v>
      </c>
      <c r="L1689" s="685">
        <f t="shared" si="49"/>
        <v>18.8</v>
      </c>
      <c r="M1689" s="686">
        <f t="shared" si="48"/>
        <v>18.8</v>
      </c>
    </row>
    <row r="1690" spans="2:13" s="645" customFormat="1" ht="21.75" customHeight="1">
      <c r="B1690" s="661">
        <v>44418</v>
      </c>
      <c r="C1690" s="662" t="s">
        <v>837</v>
      </c>
      <c r="D1690" s="663" t="s">
        <v>834</v>
      </c>
      <c r="E1690" s="664" t="s">
        <v>831</v>
      </c>
      <c r="F1690" s="665"/>
      <c r="G1690" s="663">
        <v>20</v>
      </c>
      <c r="H1690" s="662" t="s">
        <v>807</v>
      </c>
      <c r="I1690" s="666" t="s">
        <v>859</v>
      </c>
      <c r="J1690" s="667" t="s">
        <v>805</v>
      </c>
      <c r="K1690" s="662">
        <v>11</v>
      </c>
      <c r="L1690" s="685">
        <f t="shared" si="49"/>
        <v>18.8</v>
      </c>
      <c r="M1690" s="686">
        <f t="shared" si="48"/>
        <v>206.8</v>
      </c>
    </row>
    <row r="1691" spans="2:13" s="645" customFormat="1" ht="21.75" customHeight="1">
      <c r="B1691" s="661">
        <v>44418</v>
      </c>
      <c r="C1691" s="662" t="s">
        <v>837</v>
      </c>
      <c r="D1691" s="663" t="s">
        <v>834</v>
      </c>
      <c r="E1691" s="664" t="s">
        <v>831</v>
      </c>
      <c r="F1691" s="665"/>
      <c r="G1691" s="663">
        <v>20</v>
      </c>
      <c r="H1691" s="662" t="s">
        <v>807</v>
      </c>
      <c r="I1691" s="666" t="s">
        <v>857</v>
      </c>
      <c r="J1691" s="667" t="s">
        <v>805</v>
      </c>
      <c r="K1691" s="662">
        <v>1</v>
      </c>
      <c r="L1691" s="685">
        <f t="shared" si="49"/>
        <v>18.8</v>
      </c>
      <c r="M1691" s="686">
        <f t="shared" si="48"/>
        <v>18.8</v>
      </c>
    </row>
    <row r="1692" spans="2:13" s="645" customFormat="1" ht="21.75" customHeight="1">
      <c r="B1692" s="661">
        <v>44418</v>
      </c>
      <c r="C1692" s="662" t="s">
        <v>837</v>
      </c>
      <c r="D1692" s="663" t="s">
        <v>848</v>
      </c>
      <c r="E1692" s="664" t="s">
        <v>831</v>
      </c>
      <c r="F1692" s="665"/>
      <c r="G1692" s="663">
        <v>20</v>
      </c>
      <c r="H1692" s="662" t="s">
        <v>807</v>
      </c>
      <c r="I1692" s="666" t="s">
        <v>859</v>
      </c>
      <c r="J1692" s="667" t="s">
        <v>805</v>
      </c>
      <c r="K1692" s="662">
        <v>13</v>
      </c>
      <c r="L1692" s="685">
        <f t="shared" si="49"/>
        <v>18.8</v>
      </c>
      <c r="M1692" s="686">
        <f t="shared" si="48"/>
        <v>244.4</v>
      </c>
    </row>
    <row r="1693" spans="2:13" s="645" customFormat="1" ht="21.75" customHeight="1">
      <c r="B1693" s="661">
        <v>44418</v>
      </c>
      <c r="C1693" s="662" t="s">
        <v>837</v>
      </c>
      <c r="D1693" s="663" t="s">
        <v>836</v>
      </c>
      <c r="E1693" s="664" t="s">
        <v>831</v>
      </c>
      <c r="F1693" s="665"/>
      <c r="G1693" s="663">
        <v>20</v>
      </c>
      <c r="H1693" s="662" t="s">
        <v>807</v>
      </c>
      <c r="I1693" s="666" t="s">
        <v>859</v>
      </c>
      <c r="J1693" s="667" t="s">
        <v>805</v>
      </c>
      <c r="K1693" s="662">
        <v>12</v>
      </c>
      <c r="L1693" s="685">
        <f t="shared" si="49"/>
        <v>18.8</v>
      </c>
      <c r="M1693" s="686">
        <f t="shared" si="48"/>
        <v>225.60000000000002</v>
      </c>
    </row>
    <row r="1694" spans="2:13" s="645" customFormat="1" ht="21.75" customHeight="1">
      <c r="B1694" s="661">
        <v>44418</v>
      </c>
      <c r="C1694" s="662" t="s">
        <v>837</v>
      </c>
      <c r="D1694" s="663" t="s">
        <v>830</v>
      </c>
      <c r="E1694" s="664" t="s">
        <v>831</v>
      </c>
      <c r="F1694" s="665"/>
      <c r="G1694" s="663">
        <v>15</v>
      </c>
      <c r="H1694" s="662" t="s">
        <v>807</v>
      </c>
      <c r="I1694" s="666" t="s">
        <v>859</v>
      </c>
      <c r="J1694" s="667" t="s">
        <v>805</v>
      </c>
      <c r="K1694" s="662">
        <v>13</v>
      </c>
      <c r="L1694" s="685">
        <f t="shared" si="49"/>
        <v>14.1</v>
      </c>
      <c r="M1694" s="686">
        <f t="shared" si="48"/>
        <v>183.29999999999998</v>
      </c>
    </row>
    <row r="1695" spans="2:13" s="645" customFormat="1" ht="21.75" customHeight="1">
      <c r="B1695" s="661">
        <v>44418</v>
      </c>
      <c r="C1695" s="662" t="s">
        <v>837</v>
      </c>
      <c r="D1695" s="663" t="s">
        <v>839</v>
      </c>
      <c r="E1695" s="664" t="s">
        <v>831</v>
      </c>
      <c r="F1695" s="665"/>
      <c r="G1695" s="663">
        <v>15</v>
      </c>
      <c r="H1695" s="662" t="s">
        <v>807</v>
      </c>
      <c r="I1695" s="666" t="s">
        <v>859</v>
      </c>
      <c r="J1695" s="667" t="s">
        <v>805</v>
      </c>
      <c r="K1695" s="662">
        <v>11</v>
      </c>
      <c r="L1695" s="685">
        <f t="shared" si="49"/>
        <v>14.1</v>
      </c>
      <c r="M1695" s="686">
        <f t="shared" si="48"/>
        <v>155.1</v>
      </c>
    </row>
    <row r="1696" spans="2:13" s="645" customFormat="1" ht="21.75" customHeight="1">
      <c r="B1696" s="661">
        <v>44418</v>
      </c>
      <c r="C1696" s="662" t="s">
        <v>837</v>
      </c>
      <c r="D1696" s="663" t="s">
        <v>839</v>
      </c>
      <c r="E1696" s="664" t="s">
        <v>831</v>
      </c>
      <c r="F1696" s="665"/>
      <c r="G1696" s="663">
        <v>15</v>
      </c>
      <c r="H1696" s="662" t="s">
        <v>807</v>
      </c>
      <c r="I1696" s="666" t="s">
        <v>857</v>
      </c>
      <c r="J1696" s="667" t="s">
        <v>805</v>
      </c>
      <c r="K1696" s="662">
        <v>1</v>
      </c>
      <c r="L1696" s="685">
        <f t="shared" si="49"/>
        <v>14.1</v>
      </c>
      <c r="M1696" s="686">
        <f t="shared" si="48"/>
        <v>14.1</v>
      </c>
    </row>
    <row r="1697" spans="2:13" s="645" customFormat="1" ht="21.75" customHeight="1">
      <c r="B1697" s="661">
        <v>44418</v>
      </c>
      <c r="C1697" s="662" t="s">
        <v>837</v>
      </c>
      <c r="D1697" s="663" t="s">
        <v>845</v>
      </c>
      <c r="E1697" s="664" t="s">
        <v>831</v>
      </c>
      <c r="F1697" s="665"/>
      <c r="G1697" s="663">
        <v>17</v>
      </c>
      <c r="H1697" s="662" t="s">
        <v>807</v>
      </c>
      <c r="I1697" s="666" t="s">
        <v>859</v>
      </c>
      <c r="J1697" s="667" t="s">
        <v>805</v>
      </c>
      <c r="K1697" s="662">
        <v>13</v>
      </c>
      <c r="L1697" s="685">
        <f t="shared" si="49"/>
        <v>15.98</v>
      </c>
      <c r="M1697" s="686">
        <f t="shared" si="48"/>
        <v>207.74</v>
      </c>
    </row>
    <row r="1698" spans="2:13" s="645" customFormat="1" ht="21.75" customHeight="1">
      <c r="B1698" s="661">
        <v>44418</v>
      </c>
      <c r="C1698" s="662" t="s">
        <v>837</v>
      </c>
      <c r="D1698" s="663" t="s">
        <v>847</v>
      </c>
      <c r="E1698" s="664" t="s">
        <v>831</v>
      </c>
      <c r="F1698" s="665"/>
      <c r="G1698" s="663">
        <v>17</v>
      </c>
      <c r="H1698" s="662" t="s">
        <v>807</v>
      </c>
      <c r="I1698" s="666" t="s">
        <v>859</v>
      </c>
      <c r="J1698" s="667" t="s">
        <v>805</v>
      </c>
      <c r="K1698" s="662">
        <v>13</v>
      </c>
      <c r="L1698" s="685">
        <f t="shared" si="49"/>
        <v>15.98</v>
      </c>
      <c r="M1698" s="686">
        <f t="shared" si="48"/>
        <v>207.74</v>
      </c>
    </row>
    <row r="1699" spans="2:13" s="645" customFormat="1" ht="21.75" customHeight="1">
      <c r="B1699" s="661">
        <v>44418</v>
      </c>
      <c r="C1699" s="662" t="s">
        <v>837</v>
      </c>
      <c r="D1699" s="663" t="s">
        <v>856</v>
      </c>
      <c r="E1699" s="664" t="s">
        <v>831</v>
      </c>
      <c r="F1699" s="665"/>
      <c r="G1699" s="663">
        <v>20</v>
      </c>
      <c r="H1699" s="662" t="s">
        <v>807</v>
      </c>
      <c r="I1699" s="666" t="s">
        <v>859</v>
      </c>
      <c r="J1699" s="667" t="s">
        <v>805</v>
      </c>
      <c r="K1699" s="662">
        <v>12</v>
      </c>
      <c r="L1699" s="685">
        <f t="shared" si="49"/>
        <v>18.8</v>
      </c>
      <c r="M1699" s="686">
        <f t="shared" si="48"/>
        <v>225.60000000000002</v>
      </c>
    </row>
    <row r="1700" spans="2:13" s="645" customFormat="1" ht="21.75" customHeight="1">
      <c r="B1700" s="661">
        <v>44418</v>
      </c>
      <c r="C1700" s="662" t="s">
        <v>837</v>
      </c>
      <c r="D1700" s="663" t="s">
        <v>855</v>
      </c>
      <c r="E1700" s="664" t="s">
        <v>831</v>
      </c>
      <c r="F1700" s="665"/>
      <c r="G1700" s="663">
        <v>20</v>
      </c>
      <c r="H1700" s="662" t="s">
        <v>807</v>
      </c>
      <c r="I1700" s="666" t="s">
        <v>859</v>
      </c>
      <c r="J1700" s="667" t="s">
        <v>805</v>
      </c>
      <c r="K1700" s="662">
        <v>13</v>
      </c>
      <c r="L1700" s="685">
        <f t="shared" si="49"/>
        <v>18.8</v>
      </c>
      <c r="M1700" s="686">
        <f t="shared" si="48"/>
        <v>244.4</v>
      </c>
    </row>
    <row r="1701" spans="2:13" s="645" customFormat="1" ht="21.75" customHeight="1">
      <c r="B1701" s="661">
        <v>44419</v>
      </c>
      <c r="C1701" s="662" t="s">
        <v>837</v>
      </c>
      <c r="D1701" s="663" t="s">
        <v>840</v>
      </c>
      <c r="E1701" s="664" t="s">
        <v>831</v>
      </c>
      <c r="F1701" s="661"/>
      <c r="G1701" s="663">
        <v>20</v>
      </c>
      <c r="H1701" s="662" t="s">
        <v>807</v>
      </c>
      <c r="I1701" s="666" t="s">
        <v>854</v>
      </c>
      <c r="J1701" s="667" t="s">
        <v>804</v>
      </c>
      <c r="K1701" s="662">
        <v>12</v>
      </c>
      <c r="L1701" s="679">
        <f t="shared" si="49"/>
        <v>18.8</v>
      </c>
      <c r="M1701" s="668">
        <f t="shared" si="48"/>
        <v>225.60000000000002</v>
      </c>
    </row>
    <row r="1702" spans="2:13" s="645" customFormat="1" ht="21.75" customHeight="1">
      <c r="B1702" s="661">
        <v>44419</v>
      </c>
      <c r="C1702" s="662" t="s">
        <v>837</v>
      </c>
      <c r="D1702" s="663" t="s">
        <v>835</v>
      </c>
      <c r="E1702" s="664" t="s">
        <v>831</v>
      </c>
      <c r="F1702" s="661"/>
      <c r="G1702" s="663">
        <v>20</v>
      </c>
      <c r="H1702" s="662" t="s">
        <v>807</v>
      </c>
      <c r="I1702" s="666" t="s">
        <v>854</v>
      </c>
      <c r="J1702" s="667" t="s">
        <v>804</v>
      </c>
      <c r="K1702" s="662">
        <v>16</v>
      </c>
      <c r="L1702" s="679">
        <f t="shared" si="49"/>
        <v>18.8</v>
      </c>
      <c r="M1702" s="668">
        <f t="shared" si="48"/>
        <v>300.8</v>
      </c>
    </row>
    <row r="1703" spans="2:13" s="645" customFormat="1" ht="21.75" customHeight="1">
      <c r="B1703" s="661">
        <v>44419</v>
      </c>
      <c r="C1703" s="662" t="s">
        <v>837</v>
      </c>
      <c r="D1703" s="663" t="s">
        <v>835</v>
      </c>
      <c r="E1703" s="664" t="s">
        <v>831</v>
      </c>
      <c r="F1703" s="661"/>
      <c r="G1703" s="663">
        <v>20</v>
      </c>
      <c r="H1703" s="662" t="s">
        <v>807</v>
      </c>
      <c r="I1703" s="666" t="s">
        <v>861</v>
      </c>
      <c r="J1703" s="667" t="s">
        <v>804</v>
      </c>
      <c r="K1703" s="662">
        <v>1</v>
      </c>
      <c r="L1703" s="679">
        <f t="shared" si="49"/>
        <v>18.8</v>
      </c>
      <c r="M1703" s="668">
        <f t="shared" ref="M1703:M1766" si="50">L1703*K1703</f>
        <v>18.8</v>
      </c>
    </row>
    <row r="1704" spans="2:13" s="645" customFormat="1" ht="21.75" customHeight="1">
      <c r="B1704" s="661">
        <v>44419</v>
      </c>
      <c r="C1704" s="662" t="s">
        <v>837</v>
      </c>
      <c r="D1704" s="663" t="s">
        <v>841</v>
      </c>
      <c r="E1704" s="664" t="s">
        <v>831</v>
      </c>
      <c r="F1704" s="661"/>
      <c r="G1704" s="663">
        <v>20</v>
      </c>
      <c r="H1704" s="662" t="s">
        <v>807</v>
      </c>
      <c r="I1704" s="666" t="s">
        <v>854</v>
      </c>
      <c r="J1704" s="667" t="s">
        <v>804</v>
      </c>
      <c r="K1704" s="662">
        <v>10</v>
      </c>
      <c r="L1704" s="679">
        <f t="shared" si="49"/>
        <v>18.8</v>
      </c>
      <c r="M1704" s="668">
        <f t="shared" si="50"/>
        <v>188</v>
      </c>
    </row>
    <row r="1705" spans="2:13" s="645" customFormat="1" ht="21.75" customHeight="1">
      <c r="B1705" s="661">
        <v>44419</v>
      </c>
      <c r="C1705" s="662" t="s">
        <v>837</v>
      </c>
      <c r="D1705" s="663" t="s">
        <v>841</v>
      </c>
      <c r="E1705" s="664" t="s">
        <v>831</v>
      </c>
      <c r="F1705" s="661"/>
      <c r="G1705" s="663">
        <v>20</v>
      </c>
      <c r="H1705" s="662" t="s">
        <v>807</v>
      </c>
      <c r="I1705" s="666" t="s">
        <v>861</v>
      </c>
      <c r="J1705" s="667" t="s">
        <v>804</v>
      </c>
      <c r="K1705" s="662">
        <v>2</v>
      </c>
      <c r="L1705" s="679">
        <f t="shared" si="49"/>
        <v>18.8</v>
      </c>
      <c r="M1705" s="668">
        <f t="shared" si="50"/>
        <v>37.6</v>
      </c>
    </row>
    <row r="1706" spans="2:13" s="645" customFormat="1" ht="21.75" customHeight="1">
      <c r="B1706" s="661">
        <v>44419</v>
      </c>
      <c r="C1706" s="662" t="s">
        <v>837</v>
      </c>
      <c r="D1706" s="663" t="s">
        <v>834</v>
      </c>
      <c r="E1706" s="664" t="s">
        <v>831</v>
      </c>
      <c r="F1706" s="661"/>
      <c r="G1706" s="663">
        <v>20</v>
      </c>
      <c r="H1706" s="662" t="s">
        <v>807</v>
      </c>
      <c r="I1706" s="666" t="s">
        <v>854</v>
      </c>
      <c r="J1706" s="667" t="s">
        <v>804</v>
      </c>
      <c r="K1706" s="662">
        <v>10</v>
      </c>
      <c r="L1706" s="679">
        <f t="shared" si="49"/>
        <v>18.8</v>
      </c>
      <c r="M1706" s="668">
        <f t="shared" si="50"/>
        <v>188</v>
      </c>
    </row>
    <row r="1707" spans="2:13" s="645" customFormat="1" ht="21.75" customHeight="1">
      <c r="B1707" s="661">
        <v>44419</v>
      </c>
      <c r="C1707" s="662" t="s">
        <v>837</v>
      </c>
      <c r="D1707" s="663" t="s">
        <v>834</v>
      </c>
      <c r="E1707" s="664" t="s">
        <v>831</v>
      </c>
      <c r="F1707" s="661"/>
      <c r="G1707" s="663">
        <v>20</v>
      </c>
      <c r="H1707" s="662" t="s">
        <v>807</v>
      </c>
      <c r="I1707" s="666" t="s">
        <v>861</v>
      </c>
      <c r="J1707" s="667" t="s">
        <v>804</v>
      </c>
      <c r="K1707" s="662">
        <v>2</v>
      </c>
      <c r="L1707" s="679">
        <f t="shared" si="49"/>
        <v>18.8</v>
      </c>
      <c r="M1707" s="668">
        <f t="shared" si="50"/>
        <v>37.6</v>
      </c>
    </row>
    <row r="1708" spans="2:13" s="645" customFormat="1" ht="21.75" customHeight="1">
      <c r="B1708" s="661">
        <v>44419</v>
      </c>
      <c r="C1708" s="662" t="s">
        <v>837</v>
      </c>
      <c r="D1708" s="663" t="s">
        <v>848</v>
      </c>
      <c r="E1708" s="664" t="s">
        <v>831</v>
      </c>
      <c r="F1708" s="661"/>
      <c r="G1708" s="663">
        <v>20</v>
      </c>
      <c r="H1708" s="662" t="s">
        <v>807</v>
      </c>
      <c r="I1708" s="666" t="s">
        <v>854</v>
      </c>
      <c r="J1708" s="667" t="s">
        <v>804</v>
      </c>
      <c r="K1708" s="662">
        <v>13</v>
      </c>
      <c r="L1708" s="679">
        <f t="shared" si="49"/>
        <v>18.8</v>
      </c>
      <c r="M1708" s="668">
        <f t="shared" si="50"/>
        <v>244.4</v>
      </c>
    </row>
    <row r="1709" spans="2:13" s="645" customFormat="1" ht="21.75" customHeight="1">
      <c r="B1709" s="661">
        <v>44419</v>
      </c>
      <c r="C1709" s="662" t="s">
        <v>837</v>
      </c>
      <c r="D1709" s="663" t="s">
        <v>848</v>
      </c>
      <c r="E1709" s="664" t="s">
        <v>831</v>
      </c>
      <c r="F1709" s="661"/>
      <c r="G1709" s="663">
        <v>20</v>
      </c>
      <c r="H1709" s="662" t="s">
        <v>807</v>
      </c>
      <c r="I1709" s="666" t="s">
        <v>861</v>
      </c>
      <c r="J1709" s="667" t="s">
        <v>804</v>
      </c>
      <c r="K1709" s="662">
        <v>3</v>
      </c>
      <c r="L1709" s="679">
        <f t="shared" si="49"/>
        <v>18.8</v>
      </c>
      <c r="M1709" s="668">
        <f t="shared" si="50"/>
        <v>56.400000000000006</v>
      </c>
    </row>
    <row r="1710" spans="2:13" s="645" customFormat="1" ht="21.75" customHeight="1">
      <c r="B1710" s="661">
        <v>44419</v>
      </c>
      <c r="C1710" s="662" t="s">
        <v>837</v>
      </c>
      <c r="D1710" s="663" t="s">
        <v>836</v>
      </c>
      <c r="E1710" s="664" t="s">
        <v>831</v>
      </c>
      <c r="F1710" s="661"/>
      <c r="G1710" s="663">
        <v>20</v>
      </c>
      <c r="H1710" s="662" t="s">
        <v>807</v>
      </c>
      <c r="I1710" s="666" t="s">
        <v>854</v>
      </c>
      <c r="J1710" s="667" t="s">
        <v>804</v>
      </c>
      <c r="K1710" s="662">
        <v>12</v>
      </c>
      <c r="L1710" s="679">
        <f t="shared" si="49"/>
        <v>18.8</v>
      </c>
      <c r="M1710" s="668">
        <f t="shared" si="50"/>
        <v>225.60000000000002</v>
      </c>
    </row>
    <row r="1711" spans="2:13" s="645" customFormat="1" ht="21.75" customHeight="1">
      <c r="B1711" s="661">
        <v>44419</v>
      </c>
      <c r="C1711" s="662" t="s">
        <v>837</v>
      </c>
      <c r="D1711" s="663" t="s">
        <v>833</v>
      </c>
      <c r="E1711" s="664" t="s">
        <v>831</v>
      </c>
      <c r="F1711" s="661"/>
      <c r="G1711" s="663">
        <v>15</v>
      </c>
      <c r="H1711" s="662" t="s">
        <v>807</v>
      </c>
      <c r="I1711" s="666" t="s">
        <v>854</v>
      </c>
      <c r="J1711" s="667" t="s">
        <v>804</v>
      </c>
      <c r="K1711" s="662">
        <v>13</v>
      </c>
      <c r="L1711" s="679">
        <f t="shared" si="49"/>
        <v>14.1</v>
      </c>
      <c r="M1711" s="668">
        <f t="shared" si="50"/>
        <v>183.29999999999998</v>
      </c>
    </row>
    <row r="1712" spans="2:13" s="645" customFormat="1" ht="21.75" customHeight="1">
      <c r="B1712" s="661">
        <v>44419</v>
      </c>
      <c r="C1712" s="662" t="s">
        <v>837</v>
      </c>
      <c r="D1712" s="663" t="s">
        <v>844</v>
      </c>
      <c r="E1712" s="664" t="s">
        <v>831</v>
      </c>
      <c r="F1712" s="661"/>
      <c r="G1712" s="663">
        <v>20</v>
      </c>
      <c r="H1712" s="662" t="s">
        <v>807</v>
      </c>
      <c r="I1712" s="666" t="s">
        <v>854</v>
      </c>
      <c r="J1712" s="667" t="s">
        <v>804</v>
      </c>
      <c r="K1712" s="662">
        <v>10</v>
      </c>
      <c r="L1712" s="679">
        <f t="shared" si="49"/>
        <v>18.8</v>
      </c>
      <c r="M1712" s="668">
        <f t="shared" si="50"/>
        <v>188</v>
      </c>
    </row>
    <row r="1713" spans="2:13" s="645" customFormat="1" ht="21.75" customHeight="1">
      <c r="B1713" s="661">
        <v>44419</v>
      </c>
      <c r="C1713" s="662" t="s">
        <v>837</v>
      </c>
      <c r="D1713" s="663" t="s">
        <v>844</v>
      </c>
      <c r="E1713" s="664" t="s">
        <v>831</v>
      </c>
      <c r="F1713" s="661"/>
      <c r="G1713" s="663">
        <v>20</v>
      </c>
      <c r="H1713" s="662" t="s">
        <v>807</v>
      </c>
      <c r="I1713" s="666" t="s">
        <v>861</v>
      </c>
      <c r="J1713" s="667" t="s">
        <v>804</v>
      </c>
      <c r="K1713" s="662">
        <v>2</v>
      </c>
      <c r="L1713" s="679">
        <f t="shared" si="49"/>
        <v>18.8</v>
      </c>
      <c r="M1713" s="668">
        <f t="shared" si="50"/>
        <v>37.6</v>
      </c>
    </row>
    <row r="1714" spans="2:13" s="645" customFormat="1" ht="21.75" customHeight="1">
      <c r="B1714" s="661">
        <v>44419</v>
      </c>
      <c r="C1714" s="662" t="s">
        <v>837</v>
      </c>
      <c r="D1714" s="663" t="s">
        <v>839</v>
      </c>
      <c r="E1714" s="664" t="s">
        <v>831</v>
      </c>
      <c r="F1714" s="661"/>
      <c r="G1714" s="663">
        <v>15</v>
      </c>
      <c r="H1714" s="662" t="s">
        <v>807</v>
      </c>
      <c r="I1714" s="666" t="s">
        <v>854</v>
      </c>
      <c r="J1714" s="667" t="s">
        <v>804</v>
      </c>
      <c r="K1714" s="662">
        <v>12</v>
      </c>
      <c r="L1714" s="679">
        <f t="shared" si="49"/>
        <v>14.1</v>
      </c>
      <c r="M1714" s="668">
        <f t="shared" si="50"/>
        <v>169.2</v>
      </c>
    </row>
    <row r="1715" spans="2:13" s="645" customFormat="1" ht="21.75" customHeight="1">
      <c r="B1715" s="661">
        <v>44419</v>
      </c>
      <c r="C1715" s="662" t="s">
        <v>837</v>
      </c>
      <c r="D1715" s="663" t="s">
        <v>845</v>
      </c>
      <c r="E1715" s="664" t="s">
        <v>831</v>
      </c>
      <c r="F1715" s="661"/>
      <c r="G1715" s="663">
        <v>17</v>
      </c>
      <c r="H1715" s="662" t="s">
        <v>807</v>
      </c>
      <c r="I1715" s="666" t="s">
        <v>854</v>
      </c>
      <c r="J1715" s="667" t="s">
        <v>804</v>
      </c>
      <c r="K1715" s="662">
        <v>9</v>
      </c>
      <c r="L1715" s="679">
        <f t="shared" si="49"/>
        <v>15.98</v>
      </c>
      <c r="M1715" s="668">
        <f t="shared" si="50"/>
        <v>143.82</v>
      </c>
    </row>
    <row r="1716" spans="2:13" s="645" customFormat="1" ht="21.75" customHeight="1">
      <c r="B1716" s="661">
        <v>44419</v>
      </c>
      <c r="C1716" s="662" t="s">
        <v>837</v>
      </c>
      <c r="D1716" s="663" t="s">
        <v>845</v>
      </c>
      <c r="E1716" s="664" t="s">
        <v>831</v>
      </c>
      <c r="F1716" s="661"/>
      <c r="G1716" s="663">
        <v>17</v>
      </c>
      <c r="H1716" s="662" t="s">
        <v>807</v>
      </c>
      <c r="I1716" s="666" t="s">
        <v>861</v>
      </c>
      <c r="J1716" s="667" t="s">
        <v>804</v>
      </c>
      <c r="K1716" s="662">
        <v>1</v>
      </c>
      <c r="L1716" s="679">
        <f t="shared" si="49"/>
        <v>15.98</v>
      </c>
      <c r="M1716" s="668">
        <f t="shared" si="50"/>
        <v>15.98</v>
      </c>
    </row>
    <row r="1717" spans="2:13" s="645" customFormat="1" ht="21.75" customHeight="1">
      <c r="B1717" s="661">
        <v>44419</v>
      </c>
      <c r="C1717" s="662" t="s">
        <v>837</v>
      </c>
      <c r="D1717" s="663" t="s">
        <v>847</v>
      </c>
      <c r="E1717" s="664" t="s">
        <v>831</v>
      </c>
      <c r="F1717" s="661"/>
      <c r="G1717" s="663">
        <v>17</v>
      </c>
      <c r="H1717" s="662" t="s">
        <v>807</v>
      </c>
      <c r="I1717" s="666" t="s">
        <v>854</v>
      </c>
      <c r="J1717" s="667" t="s">
        <v>804</v>
      </c>
      <c r="K1717" s="662">
        <v>13</v>
      </c>
      <c r="L1717" s="679">
        <f t="shared" si="49"/>
        <v>15.98</v>
      </c>
      <c r="M1717" s="668">
        <f t="shared" si="50"/>
        <v>207.74</v>
      </c>
    </row>
    <row r="1718" spans="2:13" s="645" customFormat="1" ht="21.75" customHeight="1">
      <c r="B1718" s="661">
        <v>44419</v>
      </c>
      <c r="C1718" s="662" t="s">
        <v>837</v>
      </c>
      <c r="D1718" s="663" t="s">
        <v>847</v>
      </c>
      <c r="E1718" s="664" t="s">
        <v>831</v>
      </c>
      <c r="F1718" s="661"/>
      <c r="G1718" s="663">
        <v>17</v>
      </c>
      <c r="H1718" s="662" t="s">
        <v>807</v>
      </c>
      <c r="I1718" s="666" t="s">
        <v>861</v>
      </c>
      <c r="J1718" s="667" t="s">
        <v>804</v>
      </c>
      <c r="K1718" s="662">
        <v>5</v>
      </c>
      <c r="L1718" s="679">
        <f t="shared" si="49"/>
        <v>15.98</v>
      </c>
      <c r="M1718" s="668">
        <f t="shared" si="50"/>
        <v>79.900000000000006</v>
      </c>
    </row>
    <row r="1719" spans="2:13" s="645" customFormat="1" ht="21.75" customHeight="1">
      <c r="B1719" s="661">
        <v>44419</v>
      </c>
      <c r="C1719" s="662" t="s">
        <v>837</v>
      </c>
      <c r="D1719" s="663" t="s">
        <v>856</v>
      </c>
      <c r="E1719" s="664" t="s">
        <v>831</v>
      </c>
      <c r="F1719" s="661"/>
      <c r="G1719" s="663">
        <v>20</v>
      </c>
      <c r="H1719" s="662" t="s">
        <v>807</v>
      </c>
      <c r="I1719" s="666" t="s">
        <v>854</v>
      </c>
      <c r="J1719" s="667" t="s">
        <v>804</v>
      </c>
      <c r="K1719" s="662">
        <v>15</v>
      </c>
      <c r="L1719" s="679">
        <f t="shared" si="49"/>
        <v>18.8</v>
      </c>
      <c r="M1719" s="668">
        <f t="shared" si="50"/>
        <v>282</v>
      </c>
    </row>
    <row r="1720" spans="2:13" s="645" customFormat="1" ht="21.75" customHeight="1">
      <c r="B1720" s="661">
        <v>44419</v>
      </c>
      <c r="C1720" s="662" t="s">
        <v>837</v>
      </c>
      <c r="D1720" s="663" t="s">
        <v>856</v>
      </c>
      <c r="E1720" s="664" t="s">
        <v>831</v>
      </c>
      <c r="F1720" s="661"/>
      <c r="G1720" s="663">
        <v>20</v>
      </c>
      <c r="H1720" s="662" t="s">
        <v>807</v>
      </c>
      <c r="I1720" s="666" t="s">
        <v>861</v>
      </c>
      <c r="J1720" s="667" t="s">
        <v>804</v>
      </c>
      <c r="K1720" s="662">
        <v>2</v>
      </c>
      <c r="L1720" s="679">
        <f t="shared" si="49"/>
        <v>18.8</v>
      </c>
      <c r="M1720" s="668">
        <f t="shared" si="50"/>
        <v>37.6</v>
      </c>
    </row>
    <row r="1721" spans="2:13" s="645" customFormat="1" ht="21.75" customHeight="1">
      <c r="B1721" s="661">
        <v>44419</v>
      </c>
      <c r="C1721" s="662" t="s">
        <v>837</v>
      </c>
      <c r="D1721" s="663" t="s">
        <v>855</v>
      </c>
      <c r="E1721" s="664" t="s">
        <v>831</v>
      </c>
      <c r="F1721" s="661"/>
      <c r="G1721" s="663">
        <v>20</v>
      </c>
      <c r="H1721" s="662" t="s">
        <v>807</v>
      </c>
      <c r="I1721" s="666" t="s">
        <v>854</v>
      </c>
      <c r="J1721" s="667" t="s">
        <v>804</v>
      </c>
      <c r="K1721" s="662">
        <v>17</v>
      </c>
      <c r="L1721" s="679">
        <f t="shared" si="49"/>
        <v>18.8</v>
      </c>
      <c r="M1721" s="668">
        <f t="shared" si="50"/>
        <v>319.60000000000002</v>
      </c>
    </row>
    <row r="1722" spans="2:13" s="645" customFormat="1" ht="21.75" customHeight="1">
      <c r="B1722" s="661">
        <v>44419</v>
      </c>
      <c r="C1722" s="662" t="s">
        <v>819</v>
      </c>
      <c r="D1722" s="663" t="s">
        <v>849</v>
      </c>
      <c r="E1722" s="664" t="s">
        <v>831</v>
      </c>
      <c r="F1722" s="665"/>
      <c r="G1722" s="663">
        <v>20</v>
      </c>
      <c r="H1722" s="662" t="s">
        <v>807</v>
      </c>
      <c r="I1722" s="666" t="s">
        <v>857</v>
      </c>
      <c r="J1722" s="667" t="s">
        <v>805</v>
      </c>
      <c r="K1722" s="662">
        <v>2</v>
      </c>
      <c r="L1722" s="685">
        <f t="shared" si="49"/>
        <v>18.8</v>
      </c>
      <c r="M1722" s="686">
        <f t="shared" si="50"/>
        <v>37.6</v>
      </c>
    </row>
    <row r="1723" spans="2:13" s="645" customFormat="1" ht="21.75" customHeight="1">
      <c r="B1723" s="661">
        <v>44419</v>
      </c>
      <c r="C1723" s="662" t="s">
        <v>819</v>
      </c>
      <c r="D1723" s="663" t="s">
        <v>849</v>
      </c>
      <c r="E1723" s="664" t="s">
        <v>831</v>
      </c>
      <c r="F1723" s="665"/>
      <c r="G1723" s="663">
        <v>20</v>
      </c>
      <c r="H1723" s="662" t="s">
        <v>807</v>
      </c>
      <c r="I1723" s="666" t="s">
        <v>861</v>
      </c>
      <c r="J1723" s="667" t="s">
        <v>805</v>
      </c>
      <c r="K1723" s="662">
        <v>5</v>
      </c>
      <c r="L1723" s="685">
        <f t="shared" si="49"/>
        <v>18.8</v>
      </c>
      <c r="M1723" s="686">
        <f t="shared" si="50"/>
        <v>94</v>
      </c>
    </row>
    <row r="1724" spans="2:13" s="645" customFormat="1" ht="21.75" customHeight="1">
      <c r="B1724" s="661">
        <v>44419</v>
      </c>
      <c r="C1724" s="662" t="s">
        <v>819</v>
      </c>
      <c r="D1724" s="663" t="s">
        <v>840</v>
      </c>
      <c r="E1724" s="664" t="s">
        <v>831</v>
      </c>
      <c r="F1724" s="665"/>
      <c r="G1724" s="663">
        <v>20</v>
      </c>
      <c r="H1724" s="662" t="s">
        <v>807</v>
      </c>
      <c r="I1724" s="666" t="s">
        <v>857</v>
      </c>
      <c r="J1724" s="667" t="s">
        <v>805</v>
      </c>
      <c r="K1724" s="662">
        <v>3</v>
      </c>
      <c r="L1724" s="685">
        <f t="shared" si="49"/>
        <v>18.8</v>
      </c>
      <c r="M1724" s="686">
        <f t="shared" si="50"/>
        <v>56.400000000000006</v>
      </c>
    </row>
    <row r="1725" spans="2:13" s="645" customFormat="1" ht="21.75" customHeight="1">
      <c r="B1725" s="661">
        <v>44419</v>
      </c>
      <c r="C1725" s="662" t="s">
        <v>819</v>
      </c>
      <c r="D1725" s="663" t="s">
        <v>840</v>
      </c>
      <c r="E1725" s="664" t="s">
        <v>831</v>
      </c>
      <c r="F1725" s="665"/>
      <c r="G1725" s="663">
        <v>20</v>
      </c>
      <c r="H1725" s="662" t="s">
        <v>807</v>
      </c>
      <c r="I1725" s="666" t="s">
        <v>861</v>
      </c>
      <c r="J1725" s="667" t="s">
        <v>805</v>
      </c>
      <c r="K1725" s="662">
        <v>7</v>
      </c>
      <c r="L1725" s="685">
        <f t="shared" si="49"/>
        <v>18.8</v>
      </c>
      <c r="M1725" s="686">
        <f t="shared" si="50"/>
        <v>131.6</v>
      </c>
    </row>
    <row r="1726" spans="2:13" s="645" customFormat="1" ht="21.75" customHeight="1">
      <c r="B1726" s="661">
        <v>44419</v>
      </c>
      <c r="C1726" s="662" t="s">
        <v>819</v>
      </c>
      <c r="D1726" s="663" t="s">
        <v>835</v>
      </c>
      <c r="E1726" s="664" t="s">
        <v>831</v>
      </c>
      <c r="F1726" s="665"/>
      <c r="G1726" s="663">
        <v>20</v>
      </c>
      <c r="H1726" s="662" t="s">
        <v>807</v>
      </c>
      <c r="I1726" s="666" t="s">
        <v>857</v>
      </c>
      <c r="J1726" s="667" t="s">
        <v>805</v>
      </c>
      <c r="K1726" s="662">
        <v>7</v>
      </c>
      <c r="L1726" s="685">
        <f t="shared" si="49"/>
        <v>18.8</v>
      </c>
      <c r="M1726" s="686">
        <f t="shared" si="50"/>
        <v>131.6</v>
      </c>
    </row>
    <row r="1727" spans="2:13" s="645" customFormat="1" ht="21.75" customHeight="1">
      <c r="B1727" s="661">
        <v>44419</v>
      </c>
      <c r="C1727" s="662" t="s">
        <v>819</v>
      </c>
      <c r="D1727" s="663" t="s">
        <v>835</v>
      </c>
      <c r="E1727" s="664" t="s">
        <v>831</v>
      </c>
      <c r="F1727" s="665"/>
      <c r="G1727" s="663">
        <v>20</v>
      </c>
      <c r="H1727" s="662" t="s">
        <v>807</v>
      </c>
      <c r="I1727" s="666" t="s">
        <v>859</v>
      </c>
      <c r="J1727" s="667" t="s">
        <v>805</v>
      </c>
      <c r="K1727" s="662">
        <v>4</v>
      </c>
      <c r="L1727" s="685">
        <f t="shared" si="49"/>
        <v>18.8</v>
      </c>
      <c r="M1727" s="686">
        <f t="shared" si="50"/>
        <v>75.2</v>
      </c>
    </row>
    <row r="1728" spans="2:13" s="645" customFormat="1" ht="21.75" customHeight="1">
      <c r="B1728" s="661">
        <v>44419</v>
      </c>
      <c r="C1728" s="662" t="s">
        <v>819</v>
      </c>
      <c r="D1728" s="663" t="s">
        <v>841</v>
      </c>
      <c r="E1728" s="664" t="s">
        <v>831</v>
      </c>
      <c r="F1728" s="665"/>
      <c r="G1728" s="663">
        <v>20</v>
      </c>
      <c r="H1728" s="662" t="s">
        <v>807</v>
      </c>
      <c r="I1728" s="666" t="s">
        <v>857</v>
      </c>
      <c r="J1728" s="667" t="s">
        <v>805</v>
      </c>
      <c r="K1728" s="662">
        <v>4</v>
      </c>
      <c r="L1728" s="685">
        <f t="shared" si="49"/>
        <v>18.8</v>
      </c>
      <c r="M1728" s="686">
        <f t="shared" si="50"/>
        <v>75.2</v>
      </c>
    </row>
    <row r="1729" spans="2:13" s="645" customFormat="1" ht="21.75" customHeight="1">
      <c r="B1729" s="661">
        <v>44419</v>
      </c>
      <c r="C1729" s="662" t="s">
        <v>819</v>
      </c>
      <c r="D1729" s="663" t="s">
        <v>841</v>
      </c>
      <c r="E1729" s="664" t="s">
        <v>831</v>
      </c>
      <c r="F1729" s="665"/>
      <c r="G1729" s="663">
        <v>20</v>
      </c>
      <c r="H1729" s="662" t="s">
        <v>807</v>
      </c>
      <c r="I1729" s="666" t="s">
        <v>861</v>
      </c>
      <c r="J1729" s="667" t="s">
        <v>805</v>
      </c>
      <c r="K1729" s="662">
        <v>5</v>
      </c>
      <c r="L1729" s="685">
        <f t="shared" si="49"/>
        <v>18.8</v>
      </c>
      <c r="M1729" s="686">
        <f t="shared" si="50"/>
        <v>94</v>
      </c>
    </row>
    <row r="1730" spans="2:13" s="645" customFormat="1" ht="21.75" customHeight="1">
      <c r="B1730" s="661">
        <v>44419</v>
      </c>
      <c r="C1730" s="662" t="s">
        <v>819</v>
      </c>
      <c r="D1730" s="663" t="s">
        <v>834</v>
      </c>
      <c r="E1730" s="664" t="s">
        <v>831</v>
      </c>
      <c r="F1730" s="665"/>
      <c r="G1730" s="663">
        <v>20</v>
      </c>
      <c r="H1730" s="662" t="s">
        <v>807</v>
      </c>
      <c r="I1730" s="666" t="s">
        <v>857</v>
      </c>
      <c r="J1730" s="667" t="s">
        <v>805</v>
      </c>
      <c r="K1730" s="662">
        <v>8</v>
      </c>
      <c r="L1730" s="685">
        <f t="shared" si="49"/>
        <v>18.8</v>
      </c>
      <c r="M1730" s="686">
        <f t="shared" si="50"/>
        <v>150.4</v>
      </c>
    </row>
    <row r="1731" spans="2:13" s="645" customFormat="1" ht="21.75" customHeight="1">
      <c r="B1731" s="661">
        <v>44419</v>
      </c>
      <c r="C1731" s="662" t="s">
        <v>819</v>
      </c>
      <c r="D1731" s="663" t="s">
        <v>834</v>
      </c>
      <c r="E1731" s="664" t="s">
        <v>831</v>
      </c>
      <c r="F1731" s="665"/>
      <c r="G1731" s="663">
        <v>20</v>
      </c>
      <c r="H1731" s="662" t="s">
        <v>807</v>
      </c>
      <c r="I1731" s="666" t="s">
        <v>859</v>
      </c>
      <c r="J1731" s="667" t="s">
        <v>805</v>
      </c>
      <c r="K1731" s="662">
        <v>2</v>
      </c>
      <c r="L1731" s="685">
        <f t="shared" si="49"/>
        <v>18.8</v>
      </c>
      <c r="M1731" s="686">
        <f t="shared" si="50"/>
        <v>37.6</v>
      </c>
    </row>
    <row r="1732" spans="2:13" s="645" customFormat="1" ht="21.75" customHeight="1">
      <c r="B1732" s="661">
        <v>44419</v>
      </c>
      <c r="C1732" s="662" t="s">
        <v>819</v>
      </c>
      <c r="D1732" s="663" t="s">
        <v>848</v>
      </c>
      <c r="E1732" s="664" t="s">
        <v>831</v>
      </c>
      <c r="F1732" s="665"/>
      <c r="G1732" s="663">
        <v>20</v>
      </c>
      <c r="H1732" s="662" t="s">
        <v>807</v>
      </c>
      <c r="I1732" s="666" t="s">
        <v>857</v>
      </c>
      <c r="J1732" s="667" t="s">
        <v>805</v>
      </c>
      <c r="K1732" s="662">
        <v>11</v>
      </c>
      <c r="L1732" s="685">
        <f t="shared" si="49"/>
        <v>18.8</v>
      </c>
      <c r="M1732" s="686">
        <f t="shared" si="50"/>
        <v>206.8</v>
      </c>
    </row>
    <row r="1733" spans="2:13" s="645" customFormat="1" ht="21.75" customHeight="1">
      <c r="B1733" s="661">
        <v>44419</v>
      </c>
      <c r="C1733" s="662" t="s">
        <v>819</v>
      </c>
      <c r="D1733" s="663" t="s">
        <v>836</v>
      </c>
      <c r="E1733" s="664" t="s">
        <v>831</v>
      </c>
      <c r="F1733" s="665"/>
      <c r="G1733" s="663">
        <v>20</v>
      </c>
      <c r="H1733" s="662" t="s">
        <v>807</v>
      </c>
      <c r="I1733" s="666" t="s">
        <v>857</v>
      </c>
      <c r="J1733" s="667" t="s">
        <v>805</v>
      </c>
      <c r="K1733" s="662">
        <v>5</v>
      </c>
      <c r="L1733" s="685">
        <f t="shared" si="49"/>
        <v>18.8</v>
      </c>
      <c r="M1733" s="686">
        <f t="shared" si="50"/>
        <v>94</v>
      </c>
    </row>
    <row r="1734" spans="2:13" s="645" customFormat="1" ht="21.75" customHeight="1">
      <c r="B1734" s="661">
        <v>44419</v>
      </c>
      <c r="C1734" s="662" t="s">
        <v>819</v>
      </c>
      <c r="D1734" s="663" t="s">
        <v>836</v>
      </c>
      <c r="E1734" s="664" t="s">
        <v>831</v>
      </c>
      <c r="F1734" s="665"/>
      <c r="G1734" s="663">
        <v>20</v>
      </c>
      <c r="H1734" s="662" t="s">
        <v>807</v>
      </c>
      <c r="I1734" s="666" t="s">
        <v>859</v>
      </c>
      <c r="J1734" s="667" t="s">
        <v>805</v>
      </c>
      <c r="K1734" s="662">
        <v>3</v>
      </c>
      <c r="L1734" s="685">
        <f t="shared" si="49"/>
        <v>18.8</v>
      </c>
      <c r="M1734" s="686">
        <f t="shared" si="50"/>
        <v>56.400000000000006</v>
      </c>
    </row>
    <row r="1735" spans="2:13" s="645" customFormat="1" ht="21.75" customHeight="1">
      <c r="B1735" s="661">
        <v>44419</v>
      </c>
      <c r="C1735" s="662" t="s">
        <v>819</v>
      </c>
      <c r="D1735" s="663" t="s">
        <v>833</v>
      </c>
      <c r="E1735" s="664" t="s">
        <v>831</v>
      </c>
      <c r="F1735" s="665"/>
      <c r="G1735" s="663">
        <v>15</v>
      </c>
      <c r="H1735" s="662" t="s">
        <v>807</v>
      </c>
      <c r="I1735" s="666" t="s">
        <v>857</v>
      </c>
      <c r="J1735" s="667" t="s">
        <v>805</v>
      </c>
      <c r="K1735" s="662">
        <v>2</v>
      </c>
      <c r="L1735" s="685">
        <f t="shared" si="49"/>
        <v>14.1</v>
      </c>
      <c r="M1735" s="686">
        <f t="shared" si="50"/>
        <v>28.2</v>
      </c>
    </row>
    <row r="1736" spans="2:13" s="645" customFormat="1" ht="21.75" customHeight="1">
      <c r="B1736" s="661">
        <v>44419</v>
      </c>
      <c r="C1736" s="662" t="s">
        <v>819</v>
      </c>
      <c r="D1736" s="663" t="s">
        <v>833</v>
      </c>
      <c r="E1736" s="664" t="s">
        <v>831</v>
      </c>
      <c r="F1736" s="665"/>
      <c r="G1736" s="663">
        <v>15</v>
      </c>
      <c r="H1736" s="662" t="s">
        <v>807</v>
      </c>
      <c r="I1736" s="666" t="s">
        <v>861</v>
      </c>
      <c r="J1736" s="667" t="s">
        <v>805</v>
      </c>
      <c r="K1736" s="662">
        <v>8</v>
      </c>
      <c r="L1736" s="685">
        <f t="shared" si="49"/>
        <v>14.1</v>
      </c>
      <c r="M1736" s="686">
        <f t="shared" si="50"/>
        <v>112.8</v>
      </c>
    </row>
    <row r="1737" spans="2:13" s="645" customFormat="1" ht="21.75" customHeight="1">
      <c r="B1737" s="661">
        <v>44419</v>
      </c>
      <c r="C1737" s="662" t="s">
        <v>819</v>
      </c>
      <c r="D1737" s="663" t="s">
        <v>830</v>
      </c>
      <c r="E1737" s="664" t="s">
        <v>831</v>
      </c>
      <c r="F1737" s="665"/>
      <c r="G1737" s="663">
        <v>15</v>
      </c>
      <c r="H1737" s="662" t="s">
        <v>807</v>
      </c>
      <c r="I1737" s="666" t="s">
        <v>857</v>
      </c>
      <c r="J1737" s="667" t="s">
        <v>805</v>
      </c>
      <c r="K1737" s="662">
        <v>2</v>
      </c>
      <c r="L1737" s="685">
        <f t="shared" ref="L1737:L1800" si="51">VLOOKUP(G1737,$Q$4:$V$7,6,FALSE)</f>
        <v>14.1</v>
      </c>
      <c r="M1737" s="686">
        <f t="shared" si="50"/>
        <v>28.2</v>
      </c>
    </row>
    <row r="1738" spans="2:13" s="645" customFormat="1" ht="21.75" customHeight="1">
      <c r="B1738" s="661">
        <v>44419</v>
      </c>
      <c r="C1738" s="662" t="s">
        <v>819</v>
      </c>
      <c r="D1738" s="663" t="s">
        <v>830</v>
      </c>
      <c r="E1738" s="664" t="s">
        <v>831</v>
      </c>
      <c r="F1738" s="665"/>
      <c r="G1738" s="663">
        <v>15</v>
      </c>
      <c r="H1738" s="662" t="s">
        <v>807</v>
      </c>
      <c r="I1738" s="666" t="s">
        <v>859</v>
      </c>
      <c r="J1738" s="667" t="s">
        <v>805</v>
      </c>
      <c r="K1738" s="662">
        <v>1</v>
      </c>
      <c r="L1738" s="685">
        <f t="shared" si="51"/>
        <v>14.1</v>
      </c>
      <c r="M1738" s="686">
        <f t="shared" si="50"/>
        <v>14.1</v>
      </c>
    </row>
    <row r="1739" spans="2:13" s="645" customFormat="1" ht="21.75" customHeight="1">
      <c r="B1739" s="661">
        <v>44419</v>
      </c>
      <c r="C1739" s="662" t="s">
        <v>819</v>
      </c>
      <c r="D1739" s="663" t="s">
        <v>830</v>
      </c>
      <c r="E1739" s="664" t="s">
        <v>831</v>
      </c>
      <c r="F1739" s="665"/>
      <c r="G1739" s="663">
        <v>15</v>
      </c>
      <c r="H1739" s="662" t="s">
        <v>807</v>
      </c>
      <c r="I1739" s="666" t="s">
        <v>861</v>
      </c>
      <c r="J1739" s="667" t="s">
        <v>805</v>
      </c>
      <c r="K1739" s="662">
        <v>8</v>
      </c>
      <c r="L1739" s="685">
        <f t="shared" si="51"/>
        <v>14.1</v>
      </c>
      <c r="M1739" s="686">
        <f t="shared" si="50"/>
        <v>112.8</v>
      </c>
    </row>
    <row r="1740" spans="2:13" s="645" customFormat="1" ht="21.75" customHeight="1">
      <c r="B1740" s="661">
        <v>44419</v>
      </c>
      <c r="C1740" s="662" t="s">
        <v>819</v>
      </c>
      <c r="D1740" s="663" t="s">
        <v>844</v>
      </c>
      <c r="E1740" s="664" t="s">
        <v>831</v>
      </c>
      <c r="F1740" s="665"/>
      <c r="G1740" s="663">
        <v>15</v>
      </c>
      <c r="H1740" s="662" t="s">
        <v>807</v>
      </c>
      <c r="I1740" s="666" t="s">
        <v>857</v>
      </c>
      <c r="J1740" s="667" t="s">
        <v>805</v>
      </c>
      <c r="K1740" s="662">
        <v>8</v>
      </c>
      <c r="L1740" s="685">
        <f t="shared" si="51"/>
        <v>14.1</v>
      </c>
      <c r="M1740" s="686">
        <f t="shared" si="50"/>
        <v>112.8</v>
      </c>
    </row>
    <row r="1741" spans="2:13" s="645" customFormat="1" ht="21.75" customHeight="1">
      <c r="B1741" s="661">
        <v>44419</v>
      </c>
      <c r="C1741" s="662" t="s">
        <v>819</v>
      </c>
      <c r="D1741" s="663" t="s">
        <v>844</v>
      </c>
      <c r="E1741" s="664" t="s">
        <v>831</v>
      </c>
      <c r="F1741" s="665"/>
      <c r="G1741" s="663">
        <v>15</v>
      </c>
      <c r="H1741" s="662" t="s">
        <v>807</v>
      </c>
      <c r="I1741" s="666" t="s">
        <v>859</v>
      </c>
      <c r="J1741" s="667" t="s">
        <v>805</v>
      </c>
      <c r="K1741" s="662">
        <v>3</v>
      </c>
      <c r="L1741" s="685">
        <f t="shared" si="51"/>
        <v>14.1</v>
      </c>
      <c r="M1741" s="686">
        <f t="shared" si="50"/>
        <v>42.3</v>
      </c>
    </row>
    <row r="1742" spans="2:13" s="645" customFormat="1" ht="21.75" customHeight="1">
      <c r="B1742" s="661">
        <v>44419</v>
      </c>
      <c r="C1742" s="662" t="s">
        <v>819</v>
      </c>
      <c r="D1742" s="663" t="s">
        <v>850</v>
      </c>
      <c r="E1742" s="664" t="s">
        <v>831</v>
      </c>
      <c r="F1742" s="665"/>
      <c r="G1742" s="663">
        <v>15</v>
      </c>
      <c r="H1742" s="662" t="s">
        <v>807</v>
      </c>
      <c r="I1742" s="666" t="s">
        <v>857</v>
      </c>
      <c r="J1742" s="667" t="s">
        <v>805</v>
      </c>
      <c r="K1742" s="662">
        <v>6</v>
      </c>
      <c r="L1742" s="685">
        <f t="shared" si="51"/>
        <v>14.1</v>
      </c>
      <c r="M1742" s="686">
        <f t="shared" si="50"/>
        <v>84.6</v>
      </c>
    </row>
    <row r="1743" spans="2:13" s="645" customFormat="1" ht="21.75" customHeight="1">
      <c r="B1743" s="661">
        <v>44419</v>
      </c>
      <c r="C1743" s="662" t="s">
        <v>819</v>
      </c>
      <c r="D1743" s="663" t="s">
        <v>850</v>
      </c>
      <c r="E1743" s="664" t="s">
        <v>831</v>
      </c>
      <c r="F1743" s="665"/>
      <c r="G1743" s="663">
        <v>15</v>
      </c>
      <c r="H1743" s="662" t="s">
        <v>807</v>
      </c>
      <c r="I1743" s="666" t="s">
        <v>859</v>
      </c>
      <c r="J1743" s="667" t="s">
        <v>805</v>
      </c>
      <c r="K1743" s="662">
        <v>2</v>
      </c>
      <c r="L1743" s="685">
        <f t="shared" si="51"/>
        <v>14.1</v>
      </c>
      <c r="M1743" s="686">
        <f t="shared" si="50"/>
        <v>28.2</v>
      </c>
    </row>
    <row r="1744" spans="2:13" s="645" customFormat="1" ht="21.75" customHeight="1">
      <c r="B1744" s="661">
        <v>44419</v>
      </c>
      <c r="C1744" s="662" t="s">
        <v>819</v>
      </c>
      <c r="D1744" s="663" t="s">
        <v>839</v>
      </c>
      <c r="E1744" s="664" t="s">
        <v>831</v>
      </c>
      <c r="F1744" s="665"/>
      <c r="G1744" s="663">
        <v>15</v>
      </c>
      <c r="H1744" s="662" t="s">
        <v>807</v>
      </c>
      <c r="I1744" s="666" t="s">
        <v>857</v>
      </c>
      <c r="J1744" s="667" t="s">
        <v>805</v>
      </c>
      <c r="K1744" s="662">
        <v>6</v>
      </c>
      <c r="L1744" s="685">
        <f t="shared" si="51"/>
        <v>14.1</v>
      </c>
      <c r="M1744" s="686">
        <f t="shared" si="50"/>
        <v>84.6</v>
      </c>
    </row>
    <row r="1745" spans="2:13" s="645" customFormat="1" ht="21.75" customHeight="1">
      <c r="B1745" s="661">
        <v>44419</v>
      </c>
      <c r="C1745" s="662" t="s">
        <v>819</v>
      </c>
      <c r="D1745" s="663" t="s">
        <v>839</v>
      </c>
      <c r="E1745" s="664" t="s">
        <v>831</v>
      </c>
      <c r="F1745" s="665"/>
      <c r="G1745" s="663">
        <v>15</v>
      </c>
      <c r="H1745" s="662" t="s">
        <v>807</v>
      </c>
      <c r="I1745" s="666" t="s">
        <v>859</v>
      </c>
      <c r="J1745" s="667" t="s">
        <v>805</v>
      </c>
      <c r="K1745" s="662">
        <v>4</v>
      </c>
      <c r="L1745" s="685">
        <f t="shared" si="51"/>
        <v>14.1</v>
      </c>
      <c r="M1745" s="686">
        <f t="shared" si="50"/>
        <v>56.4</v>
      </c>
    </row>
    <row r="1746" spans="2:13" s="645" customFormat="1" ht="21.75" customHeight="1">
      <c r="B1746" s="661">
        <v>44419</v>
      </c>
      <c r="C1746" s="662" t="s">
        <v>819</v>
      </c>
      <c r="D1746" s="663" t="s">
        <v>845</v>
      </c>
      <c r="E1746" s="664" t="s">
        <v>831</v>
      </c>
      <c r="F1746" s="665"/>
      <c r="G1746" s="663">
        <v>17</v>
      </c>
      <c r="H1746" s="662" t="s">
        <v>807</v>
      </c>
      <c r="I1746" s="666" t="s">
        <v>857</v>
      </c>
      <c r="J1746" s="667" t="s">
        <v>805</v>
      </c>
      <c r="K1746" s="662">
        <v>4</v>
      </c>
      <c r="L1746" s="685">
        <f t="shared" si="51"/>
        <v>15.98</v>
      </c>
      <c r="M1746" s="686">
        <f t="shared" si="50"/>
        <v>63.92</v>
      </c>
    </row>
    <row r="1747" spans="2:13" s="645" customFormat="1" ht="21.75" customHeight="1">
      <c r="B1747" s="661">
        <v>44419</v>
      </c>
      <c r="C1747" s="662" t="s">
        <v>819</v>
      </c>
      <c r="D1747" s="663" t="s">
        <v>845</v>
      </c>
      <c r="E1747" s="664" t="s">
        <v>831</v>
      </c>
      <c r="F1747" s="665"/>
      <c r="G1747" s="663">
        <v>17</v>
      </c>
      <c r="H1747" s="662" t="s">
        <v>807</v>
      </c>
      <c r="I1747" s="666" t="s">
        <v>861</v>
      </c>
      <c r="J1747" s="667" t="s">
        <v>805</v>
      </c>
      <c r="K1747" s="662">
        <v>6</v>
      </c>
      <c r="L1747" s="685">
        <f t="shared" si="51"/>
        <v>15.98</v>
      </c>
      <c r="M1747" s="686">
        <f t="shared" si="50"/>
        <v>95.88</v>
      </c>
    </row>
    <row r="1748" spans="2:13" s="645" customFormat="1" ht="21.75" customHeight="1">
      <c r="B1748" s="661">
        <v>44419</v>
      </c>
      <c r="C1748" s="662" t="s">
        <v>819</v>
      </c>
      <c r="D1748" s="663" t="s">
        <v>847</v>
      </c>
      <c r="E1748" s="664" t="s">
        <v>831</v>
      </c>
      <c r="F1748" s="665"/>
      <c r="G1748" s="663">
        <v>17</v>
      </c>
      <c r="H1748" s="662" t="s">
        <v>807</v>
      </c>
      <c r="I1748" s="666" t="s">
        <v>857</v>
      </c>
      <c r="J1748" s="667" t="s">
        <v>805</v>
      </c>
      <c r="K1748" s="662">
        <v>11</v>
      </c>
      <c r="L1748" s="685">
        <f t="shared" si="51"/>
        <v>15.98</v>
      </c>
      <c r="M1748" s="686">
        <f t="shared" si="50"/>
        <v>175.78</v>
      </c>
    </row>
    <row r="1749" spans="2:13" s="645" customFormat="1" ht="21.75" customHeight="1">
      <c r="B1749" s="661">
        <v>44419</v>
      </c>
      <c r="C1749" s="662" t="s">
        <v>819</v>
      </c>
      <c r="D1749" s="663" t="s">
        <v>856</v>
      </c>
      <c r="E1749" s="664" t="s">
        <v>831</v>
      </c>
      <c r="F1749" s="665"/>
      <c r="G1749" s="663">
        <v>20</v>
      </c>
      <c r="H1749" s="662" t="s">
        <v>807</v>
      </c>
      <c r="I1749" s="666" t="s">
        <v>857</v>
      </c>
      <c r="J1749" s="667" t="s">
        <v>805</v>
      </c>
      <c r="K1749" s="662">
        <v>9</v>
      </c>
      <c r="L1749" s="685">
        <f t="shared" si="51"/>
        <v>18.8</v>
      </c>
      <c r="M1749" s="686">
        <f t="shared" si="50"/>
        <v>169.20000000000002</v>
      </c>
    </row>
    <row r="1750" spans="2:13" s="645" customFormat="1" ht="21.75" customHeight="1">
      <c r="B1750" s="661">
        <v>44419</v>
      </c>
      <c r="C1750" s="662" t="s">
        <v>819</v>
      </c>
      <c r="D1750" s="663" t="s">
        <v>855</v>
      </c>
      <c r="E1750" s="664" t="s">
        <v>831</v>
      </c>
      <c r="F1750" s="665"/>
      <c r="G1750" s="663">
        <v>20</v>
      </c>
      <c r="H1750" s="662" t="s">
        <v>807</v>
      </c>
      <c r="I1750" s="666" t="s">
        <v>857</v>
      </c>
      <c r="J1750" s="667" t="s">
        <v>805</v>
      </c>
      <c r="K1750" s="662">
        <v>4</v>
      </c>
      <c r="L1750" s="685">
        <f t="shared" si="51"/>
        <v>18.8</v>
      </c>
      <c r="M1750" s="686">
        <f t="shared" si="50"/>
        <v>75.2</v>
      </c>
    </row>
    <row r="1751" spans="2:13" s="645" customFormat="1" ht="21.75" customHeight="1">
      <c r="B1751" s="661">
        <v>44419</v>
      </c>
      <c r="C1751" s="662" t="s">
        <v>819</v>
      </c>
      <c r="D1751" s="663" t="s">
        <v>855</v>
      </c>
      <c r="E1751" s="664" t="s">
        <v>831</v>
      </c>
      <c r="F1751" s="665"/>
      <c r="G1751" s="663">
        <v>20</v>
      </c>
      <c r="H1751" s="662" t="s">
        <v>807</v>
      </c>
      <c r="I1751" s="666" t="s">
        <v>861</v>
      </c>
      <c r="J1751" s="667" t="s">
        <v>805</v>
      </c>
      <c r="K1751" s="662">
        <v>7</v>
      </c>
      <c r="L1751" s="685">
        <f t="shared" si="51"/>
        <v>18.8</v>
      </c>
      <c r="M1751" s="686">
        <f t="shared" si="50"/>
        <v>131.6</v>
      </c>
    </row>
    <row r="1752" spans="2:13" s="645" customFormat="1" ht="21.75" customHeight="1">
      <c r="B1752" s="670">
        <v>44420</v>
      </c>
      <c r="C1752" s="671" t="s">
        <v>837</v>
      </c>
      <c r="D1752" s="672" t="s">
        <v>840</v>
      </c>
      <c r="E1752" s="673" t="s">
        <v>831</v>
      </c>
      <c r="F1752" s="670"/>
      <c r="G1752" s="672">
        <v>20</v>
      </c>
      <c r="H1752" s="671" t="s">
        <v>807</v>
      </c>
      <c r="I1752" s="675" t="s">
        <v>861</v>
      </c>
      <c r="J1752" s="677" t="s">
        <v>804</v>
      </c>
      <c r="K1752" s="671">
        <v>5</v>
      </c>
      <c r="L1752" s="676">
        <f t="shared" si="51"/>
        <v>18.8</v>
      </c>
      <c r="M1752" s="676">
        <f t="shared" si="50"/>
        <v>94</v>
      </c>
    </row>
    <row r="1753" spans="2:13" s="645" customFormat="1" ht="21.75" customHeight="1">
      <c r="B1753" s="670">
        <v>44420</v>
      </c>
      <c r="C1753" s="671" t="s">
        <v>837</v>
      </c>
      <c r="D1753" s="672" t="s">
        <v>835</v>
      </c>
      <c r="E1753" s="673" t="s">
        <v>831</v>
      </c>
      <c r="F1753" s="670"/>
      <c r="G1753" s="672">
        <v>20</v>
      </c>
      <c r="H1753" s="671" t="s">
        <v>807</v>
      </c>
      <c r="I1753" s="675" t="s">
        <v>854</v>
      </c>
      <c r="J1753" s="677" t="s">
        <v>804</v>
      </c>
      <c r="K1753" s="671">
        <v>1</v>
      </c>
      <c r="L1753" s="676">
        <f t="shared" si="51"/>
        <v>18.8</v>
      </c>
      <c r="M1753" s="676">
        <f t="shared" si="50"/>
        <v>18.8</v>
      </c>
    </row>
    <row r="1754" spans="2:13" s="645" customFormat="1" ht="21.75" customHeight="1">
      <c r="B1754" s="670">
        <v>44420</v>
      </c>
      <c r="C1754" s="671" t="s">
        <v>837</v>
      </c>
      <c r="D1754" s="672" t="s">
        <v>835</v>
      </c>
      <c r="E1754" s="673" t="s">
        <v>831</v>
      </c>
      <c r="F1754" s="670"/>
      <c r="G1754" s="672">
        <v>20</v>
      </c>
      <c r="H1754" s="671" t="s">
        <v>807</v>
      </c>
      <c r="I1754" s="675" t="s">
        <v>861</v>
      </c>
      <c r="J1754" s="677" t="s">
        <v>804</v>
      </c>
      <c r="K1754" s="671">
        <v>4</v>
      </c>
      <c r="L1754" s="676">
        <f t="shared" si="51"/>
        <v>18.8</v>
      </c>
      <c r="M1754" s="676">
        <f t="shared" si="50"/>
        <v>75.2</v>
      </c>
    </row>
    <row r="1755" spans="2:13" s="645" customFormat="1" ht="21.75" customHeight="1">
      <c r="B1755" s="670">
        <v>44420</v>
      </c>
      <c r="C1755" s="671" t="s">
        <v>837</v>
      </c>
      <c r="D1755" s="672" t="s">
        <v>841</v>
      </c>
      <c r="E1755" s="673" t="s">
        <v>831</v>
      </c>
      <c r="F1755" s="670"/>
      <c r="G1755" s="672">
        <v>20</v>
      </c>
      <c r="H1755" s="671" t="s">
        <v>807</v>
      </c>
      <c r="I1755" s="675" t="s">
        <v>854</v>
      </c>
      <c r="J1755" s="677" t="s">
        <v>804</v>
      </c>
      <c r="K1755" s="671">
        <v>5</v>
      </c>
      <c r="L1755" s="676">
        <f t="shared" si="51"/>
        <v>18.8</v>
      </c>
      <c r="M1755" s="676">
        <f t="shared" si="50"/>
        <v>94</v>
      </c>
    </row>
    <row r="1756" spans="2:13" s="645" customFormat="1" ht="21.75" customHeight="1">
      <c r="B1756" s="670">
        <v>44420</v>
      </c>
      <c r="C1756" s="671" t="s">
        <v>837</v>
      </c>
      <c r="D1756" s="672" t="s">
        <v>834</v>
      </c>
      <c r="E1756" s="673" t="s">
        <v>831</v>
      </c>
      <c r="F1756" s="670"/>
      <c r="G1756" s="672">
        <v>20</v>
      </c>
      <c r="H1756" s="671" t="s">
        <v>807</v>
      </c>
      <c r="I1756" s="675" t="s">
        <v>854</v>
      </c>
      <c r="J1756" s="677" t="s">
        <v>804</v>
      </c>
      <c r="K1756" s="671">
        <v>1</v>
      </c>
      <c r="L1756" s="676">
        <f t="shared" si="51"/>
        <v>18.8</v>
      </c>
      <c r="M1756" s="676">
        <f t="shared" si="50"/>
        <v>18.8</v>
      </c>
    </row>
    <row r="1757" spans="2:13" s="645" customFormat="1" ht="21.75" customHeight="1">
      <c r="B1757" s="670">
        <v>44420</v>
      </c>
      <c r="C1757" s="671" t="s">
        <v>837</v>
      </c>
      <c r="D1757" s="672" t="s">
        <v>834</v>
      </c>
      <c r="E1757" s="673" t="s">
        <v>831</v>
      </c>
      <c r="F1757" s="670"/>
      <c r="G1757" s="672">
        <v>20</v>
      </c>
      <c r="H1757" s="671" t="s">
        <v>807</v>
      </c>
      <c r="I1757" s="675" t="s">
        <v>861</v>
      </c>
      <c r="J1757" s="677" t="s">
        <v>804</v>
      </c>
      <c r="K1757" s="671">
        <v>4</v>
      </c>
      <c r="L1757" s="676">
        <f t="shared" si="51"/>
        <v>18.8</v>
      </c>
      <c r="M1757" s="676">
        <f t="shared" si="50"/>
        <v>75.2</v>
      </c>
    </row>
    <row r="1758" spans="2:13" s="645" customFormat="1" ht="21.75" customHeight="1">
      <c r="B1758" s="670">
        <v>44420</v>
      </c>
      <c r="C1758" s="671" t="s">
        <v>837</v>
      </c>
      <c r="D1758" s="672" t="s">
        <v>836</v>
      </c>
      <c r="E1758" s="673" t="s">
        <v>831</v>
      </c>
      <c r="F1758" s="670"/>
      <c r="G1758" s="672">
        <v>20</v>
      </c>
      <c r="H1758" s="671" t="s">
        <v>807</v>
      </c>
      <c r="I1758" s="675" t="s">
        <v>861</v>
      </c>
      <c r="J1758" s="677" t="s">
        <v>804</v>
      </c>
      <c r="K1758" s="671">
        <v>4</v>
      </c>
      <c r="L1758" s="676">
        <f t="shared" si="51"/>
        <v>18.8</v>
      </c>
      <c r="M1758" s="676">
        <f t="shared" si="50"/>
        <v>75.2</v>
      </c>
    </row>
    <row r="1759" spans="2:13" s="645" customFormat="1" ht="21.75" customHeight="1">
      <c r="B1759" s="670">
        <v>44420</v>
      </c>
      <c r="C1759" s="671" t="s">
        <v>837</v>
      </c>
      <c r="D1759" s="672" t="s">
        <v>833</v>
      </c>
      <c r="E1759" s="673" t="s">
        <v>831</v>
      </c>
      <c r="F1759" s="670"/>
      <c r="G1759" s="672">
        <v>15</v>
      </c>
      <c r="H1759" s="671" t="s">
        <v>807</v>
      </c>
      <c r="I1759" s="675" t="s">
        <v>854</v>
      </c>
      <c r="J1759" s="677" t="s">
        <v>804</v>
      </c>
      <c r="K1759" s="671">
        <v>1</v>
      </c>
      <c r="L1759" s="676">
        <f t="shared" si="51"/>
        <v>14.1</v>
      </c>
      <c r="M1759" s="676">
        <f t="shared" si="50"/>
        <v>14.1</v>
      </c>
    </row>
    <row r="1760" spans="2:13" s="645" customFormat="1" ht="21.75" customHeight="1">
      <c r="B1760" s="670">
        <v>44420</v>
      </c>
      <c r="C1760" s="671" t="s">
        <v>837</v>
      </c>
      <c r="D1760" s="672" t="s">
        <v>833</v>
      </c>
      <c r="E1760" s="673" t="s">
        <v>831</v>
      </c>
      <c r="F1760" s="670"/>
      <c r="G1760" s="672">
        <v>15</v>
      </c>
      <c r="H1760" s="671" t="s">
        <v>807</v>
      </c>
      <c r="I1760" s="675" t="s">
        <v>861</v>
      </c>
      <c r="J1760" s="677" t="s">
        <v>804</v>
      </c>
      <c r="K1760" s="671">
        <v>4</v>
      </c>
      <c r="L1760" s="676">
        <f t="shared" si="51"/>
        <v>14.1</v>
      </c>
      <c r="M1760" s="676">
        <f t="shared" si="50"/>
        <v>56.4</v>
      </c>
    </row>
    <row r="1761" spans="2:13" s="645" customFormat="1" ht="21.75" customHeight="1">
      <c r="B1761" s="670">
        <v>44420</v>
      </c>
      <c r="C1761" s="671" t="s">
        <v>837</v>
      </c>
      <c r="D1761" s="672" t="s">
        <v>850</v>
      </c>
      <c r="E1761" s="673" t="s">
        <v>831</v>
      </c>
      <c r="F1761" s="670"/>
      <c r="G1761" s="672">
        <v>15</v>
      </c>
      <c r="H1761" s="671" t="s">
        <v>807</v>
      </c>
      <c r="I1761" s="675" t="s">
        <v>861</v>
      </c>
      <c r="J1761" s="677" t="s">
        <v>804</v>
      </c>
      <c r="K1761" s="671">
        <v>4</v>
      </c>
      <c r="L1761" s="676">
        <f t="shared" si="51"/>
        <v>14.1</v>
      </c>
      <c r="M1761" s="676">
        <f t="shared" si="50"/>
        <v>56.4</v>
      </c>
    </row>
    <row r="1762" spans="2:13" s="645" customFormat="1" ht="21.75" customHeight="1">
      <c r="B1762" s="670">
        <v>44420</v>
      </c>
      <c r="C1762" s="671" t="s">
        <v>837</v>
      </c>
      <c r="D1762" s="672" t="s">
        <v>850</v>
      </c>
      <c r="E1762" s="673" t="s">
        <v>831</v>
      </c>
      <c r="F1762" s="670"/>
      <c r="G1762" s="672">
        <v>15</v>
      </c>
      <c r="H1762" s="671" t="s">
        <v>807</v>
      </c>
      <c r="I1762" s="675" t="s">
        <v>854</v>
      </c>
      <c r="J1762" s="677" t="s">
        <v>804</v>
      </c>
      <c r="K1762" s="671">
        <v>1</v>
      </c>
      <c r="L1762" s="676">
        <f t="shared" si="51"/>
        <v>14.1</v>
      </c>
      <c r="M1762" s="676">
        <f t="shared" si="50"/>
        <v>14.1</v>
      </c>
    </row>
    <row r="1763" spans="2:13" s="645" customFormat="1" ht="21.75" customHeight="1">
      <c r="B1763" s="670">
        <v>44420</v>
      </c>
      <c r="C1763" s="671" t="s">
        <v>837</v>
      </c>
      <c r="D1763" s="672" t="s">
        <v>839</v>
      </c>
      <c r="E1763" s="673" t="s">
        <v>831</v>
      </c>
      <c r="F1763" s="670"/>
      <c r="G1763" s="672">
        <v>15</v>
      </c>
      <c r="H1763" s="671" t="s">
        <v>807</v>
      </c>
      <c r="I1763" s="675" t="s">
        <v>854</v>
      </c>
      <c r="J1763" s="677" t="s">
        <v>804</v>
      </c>
      <c r="K1763" s="671">
        <v>1</v>
      </c>
      <c r="L1763" s="676">
        <f t="shared" si="51"/>
        <v>14.1</v>
      </c>
      <c r="M1763" s="676">
        <f t="shared" si="50"/>
        <v>14.1</v>
      </c>
    </row>
    <row r="1764" spans="2:13" s="645" customFormat="1" ht="21.75" customHeight="1">
      <c r="B1764" s="670">
        <v>44420</v>
      </c>
      <c r="C1764" s="671" t="s">
        <v>837</v>
      </c>
      <c r="D1764" s="672" t="s">
        <v>839</v>
      </c>
      <c r="E1764" s="673" t="s">
        <v>831</v>
      </c>
      <c r="F1764" s="670"/>
      <c r="G1764" s="672">
        <v>15</v>
      </c>
      <c r="H1764" s="671" t="s">
        <v>807</v>
      </c>
      <c r="I1764" s="675" t="s">
        <v>861</v>
      </c>
      <c r="J1764" s="677" t="s">
        <v>804</v>
      </c>
      <c r="K1764" s="671">
        <v>4</v>
      </c>
      <c r="L1764" s="676">
        <f t="shared" si="51"/>
        <v>14.1</v>
      </c>
      <c r="M1764" s="676">
        <f t="shared" si="50"/>
        <v>56.4</v>
      </c>
    </row>
    <row r="1765" spans="2:13" s="645" customFormat="1" ht="21.75" customHeight="1">
      <c r="B1765" s="670">
        <v>44420</v>
      </c>
      <c r="C1765" s="671" t="s">
        <v>837</v>
      </c>
      <c r="D1765" s="672" t="s">
        <v>845</v>
      </c>
      <c r="E1765" s="673" t="s">
        <v>831</v>
      </c>
      <c r="F1765" s="670"/>
      <c r="G1765" s="672">
        <v>17</v>
      </c>
      <c r="H1765" s="671" t="s">
        <v>807</v>
      </c>
      <c r="I1765" s="675" t="s">
        <v>861</v>
      </c>
      <c r="J1765" s="677" t="s">
        <v>804</v>
      </c>
      <c r="K1765" s="671">
        <v>4</v>
      </c>
      <c r="L1765" s="676">
        <f t="shared" si="51"/>
        <v>15.98</v>
      </c>
      <c r="M1765" s="676">
        <f t="shared" si="50"/>
        <v>63.92</v>
      </c>
    </row>
    <row r="1766" spans="2:13" s="645" customFormat="1" ht="21.75" customHeight="1">
      <c r="B1766" s="670">
        <v>44420</v>
      </c>
      <c r="C1766" s="671" t="s">
        <v>837</v>
      </c>
      <c r="D1766" s="672" t="s">
        <v>845</v>
      </c>
      <c r="E1766" s="673" t="s">
        <v>831</v>
      </c>
      <c r="F1766" s="670"/>
      <c r="G1766" s="672">
        <v>17</v>
      </c>
      <c r="H1766" s="671" t="s">
        <v>807</v>
      </c>
      <c r="I1766" s="675" t="s">
        <v>854</v>
      </c>
      <c r="J1766" s="677" t="s">
        <v>804</v>
      </c>
      <c r="K1766" s="671">
        <v>1</v>
      </c>
      <c r="L1766" s="676">
        <f t="shared" si="51"/>
        <v>15.98</v>
      </c>
      <c r="M1766" s="676">
        <f t="shared" si="50"/>
        <v>15.98</v>
      </c>
    </row>
    <row r="1767" spans="2:13" s="645" customFormat="1" ht="21.75" customHeight="1">
      <c r="B1767" s="661">
        <v>44420</v>
      </c>
      <c r="C1767" s="662" t="s">
        <v>819</v>
      </c>
      <c r="D1767" s="663" t="s">
        <v>840</v>
      </c>
      <c r="E1767" s="664" t="s">
        <v>831</v>
      </c>
      <c r="F1767" s="665"/>
      <c r="G1767" s="663">
        <v>20</v>
      </c>
      <c r="H1767" s="662" t="s">
        <v>807</v>
      </c>
      <c r="I1767" s="666" t="s">
        <v>859</v>
      </c>
      <c r="J1767" s="667" t="s">
        <v>805</v>
      </c>
      <c r="K1767" s="662">
        <v>1</v>
      </c>
      <c r="L1767" s="685">
        <f t="shared" si="51"/>
        <v>18.8</v>
      </c>
      <c r="M1767" s="686">
        <f t="shared" ref="M1767:M1830" si="52">L1767*K1767</f>
        <v>18.8</v>
      </c>
    </row>
    <row r="1768" spans="2:13" s="645" customFormat="1" ht="21.75" customHeight="1">
      <c r="B1768" s="661">
        <v>44420</v>
      </c>
      <c r="C1768" s="662" t="s">
        <v>819</v>
      </c>
      <c r="D1768" s="663" t="s">
        <v>840</v>
      </c>
      <c r="E1768" s="664" t="s">
        <v>831</v>
      </c>
      <c r="F1768" s="665"/>
      <c r="G1768" s="663">
        <v>20</v>
      </c>
      <c r="H1768" s="662" t="s">
        <v>807</v>
      </c>
      <c r="I1768" s="666" t="s">
        <v>857</v>
      </c>
      <c r="J1768" s="667" t="s">
        <v>805</v>
      </c>
      <c r="K1768" s="662">
        <v>1</v>
      </c>
      <c r="L1768" s="685">
        <f t="shared" si="51"/>
        <v>18.8</v>
      </c>
      <c r="M1768" s="686">
        <f t="shared" si="52"/>
        <v>18.8</v>
      </c>
    </row>
    <row r="1769" spans="2:13" s="645" customFormat="1" ht="21.75" customHeight="1">
      <c r="B1769" s="661">
        <v>44420</v>
      </c>
      <c r="C1769" s="662" t="s">
        <v>819</v>
      </c>
      <c r="D1769" s="663" t="s">
        <v>835</v>
      </c>
      <c r="E1769" s="664" t="s">
        <v>831</v>
      </c>
      <c r="F1769" s="665"/>
      <c r="G1769" s="663">
        <v>20</v>
      </c>
      <c r="H1769" s="662" t="s">
        <v>807</v>
      </c>
      <c r="I1769" s="666" t="s">
        <v>859</v>
      </c>
      <c r="J1769" s="667" t="s">
        <v>805</v>
      </c>
      <c r="K1769" s="662">
        <v>4</v>
      </c>
      <c r="L1769" s="685">
        <f t="shared" si="51"/>
        <v>18.8</v>
      </c>
      <c r="M1769" s="686">
        <f t="shared" si="52"/>
        <v>75.2</v>
      </c>
    </row>
    <row r="1770" spans="2:13" s="645" customFormat="1" ht="21.75" customHeight="1">
      <c r="B1770" s="661">
        <v>44420</v>
      </c>
      <c r="C1770" s="662" t="s">
        <v>819</v>
      </c>
      <c r="D1770" s="663" t="s">
        <v>835</v>
      </c>
      <c r="E1770" s="664" t="s">
        <v>831</v>
      </c>
      <c r="F1770" s="665"/>
      <c r="G1770" s="663">
        <v>20</v>
      </c>
      <c r="H1770" s="662" t="s">
        <v>807</v>
      </c>
      <c r="I1770" s="666" t="s">
        <v>861</v>
      </c>
      <c r="J1770" s="667" t="s">
        <v>805</v>
      </c>
      <c r="K1770" s="662">
        <v>1</v>
      </c>
      <c r="L1770" s="685">
        <f t="shared" si="51"/>
        <v>18.8</v>
      </c>
      <c r="M1770" s="686">
        <f t="shared" si="52"/>
        <v>18.8</v>
      </c>
    </row>
    <row r="1771" spans="2:13" s="645" customFormat="1" ht="21.75" customHeight="1">
      <c r="B1771" s="661">
        <v>44420</v>
      </c>
      <c r="C1771" s="662" t="s">
        <v>819</v>
      </c>
      <c r="D1771" s="663" t="s">
        <v>841</v>
      </c>
      <c r="E1771" s="664" t="s">
        <v>831</v>
      </c>
      <c r="F1771" s="665"/>
      <c r="G1771" s="663">
        <v>20</v>
      </c>
      <c r="H1771" s="662" t="s">
        <v>807</v>
      </c>
      <c r="I1771" s="666" t="s">
        <v>861</v>
      </c>
      <c r="J1771" s="667" t="s">
        <v>805</v>
      </c>
      <c r="K1771" s="662">
        <v>6</v>
      </c>
      <c r="L1771" s="685">
        <f t="shared" si="51"/>
        <v>18.8</v>
      </c>
      <c r="M1771" s="686">
        <f t="shared" si="52"/>
        <v>112.80000000000001</v>
      </c>
    </row>
    <row r="1772" spans="2:13" s="645" customFormat="1" ht="21.75" customHeight="1">
      <c r="B1772" s="661">
        <v>44420</v>
      </c>
      <c r="C1772" s="662" t="s">
        <v>819</v>
      </c>
      <c r="D1772" s="663" t="s">
        <v>834</v>
      </c>
      <c r="E1772" s="664" t="s">
        <v>831</v>
      </c>
      <c r="F1772" s="665"/>
      <c r="G1772" s="663">
        <v>20</v>
      </c>
      <c r="H1772" s="662" t="s">
        <v>807</v>
      </c>
      <c r="I1772" s="666" t="s">
        <v>859</v>
      </c>
      <c r="J1772" s="667" t="s">
        <v>805</v>
      </c>
      <c r="K1772" s="662">
        <v>2</v>
      </c>
      <c r="L1772" s="685">
        <f t="shared" si="51"/>
        <v>18.8</v>
      </c>
      <c r="M1772" s="686">
        <f t="shared" si="52"/>
        <v>37.6</v>
      </c>
    </row>
    <row r="1773" spans="2:13" s="645" customFormat="1" ht="21.75" customHeight="1">
      <c r="B1773" s="661">
        <v>44420</v>
      </c>
      <c r="C1773" s="662" t="s">
        <v>819</v>
      </c>
      <c r="D1773" s="663" t="s">
        <v>834</v>
      </c>
      <c r="E1773" s="664" t="s">
        <v>831</v>
      </c>
      <c r="F1773" s="665"/>
      <c r="G1773" s="663">
        <v>20</v>
      </c>
      <c r="H1773" s="662" t="s">
        <v>807</v>
      </c>
      <c r="I1773" s="666" t="s">
        <v>861</v>
      </c>
      <c r="J1773" s="667" t="s">
        <v>805</v>
      </c>
      <c r="K1773" s="662">
        <v>4</v>
      </c>
      <c r="L1773" s="685">
        <f t="shared" si="51"/>
        <v>18.8</v>
      </c>
      <c r="M1773" s="686">
        <f t="shared" si="52"/>
        <v>75.2</v>
      </c>
    </row>
    <row r="1774" spans="2:13" s="645" customFormat="1" ht="21.75" customHeight="1">
      <c r="B1774" s="661">
        <v>44420</v>
      </c>
      <c r="C1774" s="662" t="s">
        <v>819</v>
      </c>
      <c r="D1774" s="663" t="s">
        <v>848</v>
      </c>
      <c r="E1774" s="664" t="s">
        <v>831</v>
      </c>
      <c r="F1774" s="665"/>
      <c r="G1774" s="663">
        <v>20</v>
      </c>
      <c r="H1774" s="662" t="s">
        <v>807</v>
      </c>
      <c r="I1774" s="666" t="s">
        <v>861</v>
      </c>
      <c r="J1774" s="667" t="s">
        <v>805</v>
      </c>
      <c r="K1774" s="662">
        <v>2</v>
      </c>
      <c r="L1774" s="685">
        <f t="shared" si="51"/>
        <v>18.8</v>
      </c>
      <c r="M1774" s="686">
        <f t="shared" si="52"/>
        <v>37.6</v>
      </c>
    </row>
    <row r="1775" spans="2:13" s="645" customFormat="1" ht="21.75" customHeight="1">
      <c r="B1775" s="661">
        <v>44420</v>
      </c>
      <c r="C1775" s="662" t="s">
        <v>819</v>
      </c>
      <c r="D1775" s="663" t="s">
        <v>848</v>
      </c>
      <c r="E1775" s="664" t="s">
        <v>831</v>
      </c>
      <c r="F1775" s="665"/>
      <c r="G1775" s="663">
        <v>20</v>
      </c>
      <c r="H1775" s="662" t="s">
        <v>807</v>
      </c>
      <c r="I1775" s="666" t="s">
        <v>859</v>
      </c>
      <c r="J1775" s="667" t="s">
        <v>805</v>
      </c>
      <c r="K1775" s="662">
        <v>3</v>
      </c>
      <c r="L1775" s="685">
        <f t="shared" si="51"/>
        <v>18.8</v>
      </c>
      <c r="M1775" s="686">
        <f t="shared" si="52"/>
        <v>56.400000000000006</v>
      </c>
    </row>
    <row r="1776" spans="2:13" s="645" customFormat="1" ht="21.75" customHeight="1">
      <c r="B1776" s="661">
        <v>44420</v>
      </c>
      <c r="C1776" s="662" t="s">
        <v>819</v>
      </c>
      <c r="D1776" s="663" t="s">
        <v>836</v>
      </c>
      <c r="E1776" s="664" t="s">
        <v>831</v>
      </c>
      <c r="F1776" s="665"/>
      <c r="G1776" s="663">
        <v>20</v>
      </c>
      <c r="H1776" s="662" t="s">
        <v>807</v>
      </c>
      <c r="I1776" s="666" t="s">
        <v>859</v>
      </c>
      <c r="J1776" s="667" t="s">
        <v>805</v>
      </c>
      <c r="K1776" s="662">
        <v>3</v>
      </c>
      <c r="L1776" s="685">
        <f t="shared" si="51"/>
        <v>18.8</v>
      </c>
      <c r="M1776" s="686">
        <f t="shared" si="52"/>
        <v>56.400000000000006</v>
      </c>
    </row>
    <row r="1777" spans="2:13" s="645" customFormat="1" ht="21.75" customHeight="1">
      <c r="B1777" s="661">
        <v>44420</v>
      </c>
      <c r="C1777" s="662" t="s">
        <v>819</v>
      </c>
      <c r="D1777" s="663" t="s">
        <v>836</v>
      </c>
      <c r="E1777" s="664" t="s">
        <v>831</v>
      </c>
      <c r="F1777" s="665"/>
      <c r="G1777" s="663">
        <v>20</v>
      </c>
      <c r="H1777" s="662" t="s">
        <v>807</v>
      </c>
      <c r="I1777" s="666" t="s">
        <v>857</v>
      </c>
      <c r="J1777" s="667" t="s">
        <v>805</v>
      </c>
      <c r="K1777" s="662">
        <v>2</v>
      </c>
      <c r="L1777" s="685">
        <f t="shared" si="51"/>
        <v>18.8</v>
      </c>
      <c r="M1777" s="686">
        <f t="shared" si="52"/>
        <v>37.6</v>
      </c>
    </row>
    <row r="1778" spans="2:13" s="645" customFormat="1" ht="21.75" customHeight="1">
      <c r="B1778" s="661">
        <v>44420</v>
      </c>
      <c r="C1778" s="662" t="s">
        <v>819</v>
      </c>
      <c r="D1778" s="663" t="s">
        <v>833</v>
      </c>
      <c r="E1778" s="664" t="s">
        <v>831</v>
      </c>
      <c r="F1778" s="665"/>
      <c r="G1778" s="663">
        <v>15</v>
      </c>
      <c r="H1778" s="662" t="s">
        <v>807</v>
      </c>
      <c r="I1778" s="666" t="s">
        <v>859</v>
      </c>
      <c r="J1778" s="667" t="s">
        <v>805</v>
      </c>
      <c r="K1778" s="662">
        <v>2</v>
      </c>
      <c r="L1778" s="685">
        <f t="shared" si="51"/>
        <v>14.1</v>
      </c>
      <c r="M1778" s="686">
        <f t="shared" si="52"/>
        <v>28.2</v>
      </c>
    </row>
    <row r="1779" spans="2:13" s="645" customFormat="1" ht="21.75" customHeight="1">
      <c r="B1779" s="661">
        <v>44420</v>
      </c>
      <c r="C1779" s="662" t="s">
        <v>819</v>
      </c>
      <c r="D1779" s="663" t="s">
        <v>833</v>
      </c>
      <c r="E1779" s="664" t="s">
        <v>831</v>
      </c>
      <c r="F1779" s="665"/>
      <c r="G1779" s="663">
        <v>15</v>
      </c>
      <c r="H1779" s="662" t="s">
        <v>807</v>
      </c>
      <c r="I1779" s="666" t="s">
        <v>861</v>
      </c>
      <c r="J1779" s="667" t="s">
        <v>805</v>
      </c>
      <c r="K1779" s="662">
        <v>5</v>
      </c>
      <c r="L1779" s="685">
        <f t="shared" si="51"/>
        <v>14.1</v>
      </c>
      <c r="M1779" s="686">
        <f t="shared" si="52"/>
        <v>70.5</v>
      </c>
    </row>
    <row r="1780" spans="2:13" s="645" customFormat="1" ht="21.75" customHeight="1">
      <c r="B1780" s="661">
        <v>44420</v>
      </c>
      <c r="C1780" s="662" t="s">
        <v>819</v>
      </c>
      <c r="D1780" s="663" t="s">
        <v>830</v>
      </c>
      <c r="E1780" s="664" t="s">
        <v>831</v>
      </c>
      <c r="F1780" s="665"/>
      <c r="G1780" s="663">
        <v>15</v>
      </c>
      <c r="H1780" s="662" t="s">
        <v>807</v>
      </c>
      <c r="I1780" s="666" t="s">
        <v>859</v>
      </c>
      <c r="J1780" s="667" t="s">
        <v>805</v>
      </c>
      <c r="K1780" s="662">
        <v>6</v>
      </c>
      <c r="L1780" s="685">
        <f t="shared" si="51"/>
        <v>14.1</v>
      </c>
      <c r="M1780" s="686">
        <f t="shared" si="52"/>
        <v>84.6</v>
      </c>
    </row>
    <row r="1781" spans="2:13" s="645" customFormat="1" ht="21.75" customHeight="1">
      <c r="B1781" s="661">
        <v>44420</v>
      </c>
      <c r="C1781" s="662" t="s">
        <v>819</v>
      </c>
      <c r="D1781" s="663" t="s">
        <v>830</v>
      </c>
      <c r="E1781" s="664" t="s">
        <v>831</v>
      </c>
      <c r="F1781" s="665"/>
      <c r="G1781" s="663">
        <v>15</v>
      </c>
      <c r="H1781" s="662" t="s">
        <v>807</v>
      </c>
      <c r="I1781" s="666" t="s">
        <v>861</v>
      </c>
      <c r="J1781" s="667" t="s">
        <v>805</v>
      </c>
      <c r="K1781" s="662">
        <v>2</v>
      </c>
      <c r="L1781" s="685">
        <f t="shared" si="51"/>
        <v>14.1</v>
      </c>
      <c r="M1781" s="686">
        <f t="shared" si="52"/>
        <v>28.2</v>
      </c>
    </row>
    <row r="1782" spans="2:13" s="645" customFormat="1" ht="21.75" customHeight="1">
      <c r="B1782" s="661">
        <v>44420</v>
      </c>
      <c r="C1782" s="662" t="s">
        <v>819</v>
      </c>
      <c r="D1782" s="663" t="s">
        <v>844</v>
      </c>
      <c r="E1782" s="664" t="s">
        <v>831</v>
      </c>
      <c r="F1782" s="665"/>
      <c r="G1782" s="663">
        <v>15</v>
      </c>
      <c r="H1782" s="662" t="s">
        <v>807</v>
      </c>
      <c r="I1782" s="666" t="s">
        <v>861</v>
      </c>
      <c r="J1782" s="667" t="s">
        <v>805</v>
      </c>
      <c r="K1782" s="662">
        <v>2</v>
      </c>
      <c r="L1782" s="685">
        <f t="shared" si="51"/>
        <v>14.1</v>
      </c>
      <c r="M1782" s="686">
        <f t="shared" si="52"/>
        <v>28.2</v>
      </c>
    </row>
    <row r="1783" spans="2:13" s="645" customFormat="1" ht="21.75" customHeight="1">
      <c r="B1783" s="661">
        <v>44420</v>
      </c>
      <c r="C1783" s="662" t="s">
        <v>819</v>
      </c>
      <c r="D1783" s="663" t="s">
        <v>844</v>
      </c>
      <c r="E1783" s="664" t="s">
        <v>831</v>
      </c>
      <c r="F1783" s="665"/>
      <c r="G1783" s="663">
        <v>15</v>
      </c>
      <c r="H1783" s="662" t="s">
        <v>807</v>
      </c>
      <c r="I1783" s="666" t="s">
        <v>859</v>
      </c>
      <c r="J1783" s="667" t="s">
        <v>805</v>
      </c>
      <c r="K1783" s="662">
        <v>4</v>
      </c>
      <c r="L1783" s="685">
        <f t="shared" si="51"/>
        <v>14.1</v>
      </c>
      <c r="M1783" s="686">
        <f t="shared" si="52"/>
        <v>56.4</v>
      </c>
    </row>
    <row r="1784" spans="2:13" s="645" customFormat="1" ht="21.75" customHeight="1">
      <c r="B1784" s="661">
        <v>44420</v>
      </c>
      <c r="C1784" s="662" t="s">
        <v>819</v>
      </c>
      <c r="D1784" s="663" t="s">
        <v>850</v>
      </c>
      <c r="E1784" s="664" t="s">
        <v>831</v>
      </c>
      <c r="F1784" s="665"/>
      <c r="G1784" s="663">
        <v>15</v>
      </c>
      <c r="H1784" s="662" t="s">
        <v>807</v>
      </c>
      <c r="I1784" s="666" t="s">
        <v>859</v>
      </c>
      <c r="J1784" s="667" t="s">
        <v>805</v>
      </c>
      <c r="K1784" s="662">
        <v>4</v>
      </c>
      <c r="L1784" s="685">
        <f t="shared" si="51"/>
        <v>14.1</v>
      </c>
      <c r="M1784" s="686">
        <f t="shared" si="52"/>
        <v>56.4</v>
      </c>
    </row>
    <row r="1785" spans="2:13" s="645" customFormat="1" ht="21.75" customHeight="1">
      <c r="B1785" s="661">
        <v>44420</v>
      </c>
      <c r="C1785" s="662" t="s">
        <v>819</v>
      </c>
      <c r="D1785" s="663" t="s">
        <v>850</v>
      </c>
      <c r="E1785" s="664" t="s">
        <v>831</v>
      </c>
      <c r="F1785" s="665"/>
      <c r="G1785" s="663">
        <v>15</v>
      </c>
      <c r="H1785" s="662" t="s">
        <v>807</v>
      </c>
      <c r="I1785" s="666" t="s">
        <v>857</v>
      </c>
      <c r="J1785" s="667" t="s">
        <v>805</v>
      </c>
      <c r="K1785" s="662">
        <v>3</v>
      </c>
      <c r="L1785" s="685">
        <f t="shared" si="51"/>
        <v>14.1</v>
      </c>
      <c r="M1785" s="686">
        <f t="shared" si="52"/>
        <v>42.3</v>
      </c>
    </row>
    <row r="1786" spans="2:13" s="645" customFormat="1" ht="21.75" customHeight="1">
      <c r="B1786" s="661">
        <v>44420</v>
      </c>
      <c r="C1786" s="662" t="s">
        <v>819</v>
      </c>
      <c r="D1786" s="663" t="s">
        <v>839</v>
      </c>
      <c r="E1786" s="664" t="s">
        <v>831</v>
      </c>
      <c r="F1786" s="665"/>
      <c r="G1786" s="663">
        <v>15</v>
      </c>
      <c r="H1786" s="662" t="s">
        <v>807</v>
      </c>
      <c r="I1786" s="666" t="s">
        <v>859</v>
      </c>
      <c r="J1786" s="667" t="s">
        <v>805</v>
      </c>
      <c r="K1786" s="662">
        <v>6</v>
      </c>
      <c r="L1786" s="685">
        <f t="shared" si="51"/>
        <v>14.1</v>
      </c>
      <c r="M1786" s="686">
        <f t="shared" si="52"/>
        <v>84.6</v>
      </c>
    </row>
    <row r="1787" spans="2:13" s="645" customFormat="1" ht="21.75" customHeight="1">
      <c r="B1787" s="661">
        <v>44420</v>
      </c>
      <c r="C1787" s="662" t="s">
        <v>819</v>
      </c>
      <c r="D1787" s="663" t="s">
        <v>839</v>
      </c>
      <c r="E1787" s="664" t="s">
        <v>831</v>
      </c>
      <c r="F1787" s="665"/>
      <c r="G1787" s="663">
        <v>15</v>
      </c>
      <c r="H1787" s="662" t="s">
        <v>807</v>
      </c>
      <c r="I1787" s="666" t="s">
        <v>857</v>
      </c>
      <c r="J1787" s="667" t="s">
        <v>805</v>
      </c>
      <c r="K1787" s="662">
        <v>1</v>
      </c>
      <c r="L1787" s="685">
        <f t="shared" si="51"/>
        <v>14.1</v>
      </c>
      <c r="M1787" s="686">
        <f t="shared" si="52"/>
        <v>14.1</v>
      </c>
    </row>
    <row r="1788" spans="2:13" s="645" customFormat="1" ht="21.75" customHeight="1">
      <c r="B1788" s="661">
        <v>44420</v>
      </c>
      <c r="C1788" s="662" t="s">
        <v>819</v>
      </c>
      <c r="D1788" s="663" t="s">
        <v>839</v>
      </c>
      <c r="E1788" s="664" t="s">
        <v>831</v>
      </c>
      <c r="F1788" s="665"/>
      <c r="G1788" s="663">
        <v>15</v>
      </c>
      <c r="H1788" s="662" t="s">
        <v>807</v>
      </c>
      <c r="I1788" s="666" t="s">
        <v>861</v>
      </c>
      <c r="J1788" s="667" t="s">
        <v>805</v>
      </c>
      <c r="K1788" s="662">
        <v>1</v>
      </c>
      <c r="L1788" s="685">
        <f t="shared" si="51"/>
        <v>14.1</v>
      </c>
      <c r="M1788" s="686">
        <f t="shared" si="52"/>
        <v>14.1</v>
      </c>
    </row>
    <row r="1789" spans="2:13" s="645" customFormat="1" ht="21.75" customHeight="1">
      <c r="B1789" s="661">
        <v>44420</v>
      </c>
      <c r="C1789" s="662" t="s">
        <v>819</v>
      </c>
      <c r="D1789" s="663" t="s">
        <v>845</v>
      </c>
      <c r="E1789" s="664" t="s">
        <v>831</v>
      </c>
      <c r="F1789" s="665"/>
      <c r="G1789" s="663">
        <v>17</v>
      </c>
      <c r="H1789" s="662" t="s">
        <v>807</v>
      </c>
      <c r="I1789" s="666" t="s">
        <v>861</v>
      </c>
      <c r="J1789" s="667" t="s">
        <v>805</v>
      </c>
      <c r="K1789" s="662">
        <v>2</v>
      </c>
      <c r="L1789" s="685">
        <f t="shared" si="51"/>
        <v>15.98</v>
      </c>
      <c r="M1789" s="686">
        <f t="shared" si="52"/>
        <v>31.96</v>
      </c>
    </row>
    <row r="1790" spans="2:13" s="645" customFormat="1" ht="21.75" customHeight="1">
      <c r="B1790" s="661">
        <v>44420</v>
      </c>
      <c r="C1790" s="662" t="s">
        <v>819</v>
      </c>
      <c r="D1790" s="663" t="s">
        <v>845</v>
      </c>
      <c r="E1790" s="664" t="s">
        <v>831</v>
      </c>
      <c r="F1790" s="665"/>
      <c r="G1790" s="663">
        <v>17</v>
      </c>
      <c r="H1790" s="662" t="s">
        <v>807</v>
      </c>
      <c r="I1790" s="666" t="s">
        <v>859</v>
      </c>
      <c r="J1790" s="667" t="s">
        <v>805</v>
      </c>
      <c r="K1790" s="662">
        <v>5</v>
      </c>
      <c r="L1790" s="685">
        <f t="shared" si="51"/>
        <v>15.98</v>
      </c>
      <c r="M1790" s="686">
        <f t="shared" si="52"/>
        <v>79.900000000000006</v>
      </c>
    </row>
    <row r="1791" spans="2:13" s="645" customFormat="1" ht="21.75" customHeight="1">
      <c r="B1791" s="661">
        <v>44420</v>
      </c>
      <c r="C1791" s="662" t="s">
        <v>819</v>
      </c>
      <c r="D1791" s="663" t="s">
        <v>845</v>
      </c>
      <c r="E1791" s="664" t="s">
        <v>831</v>
      </c>
      <c r="F1791" s="665"/>
      <c r="G1791" s="663">
        <v>17</v>
      </c>
      <c r="H1791" s="662" t="s">
        <v>807</v>
      </c>
      <c r="I1791" s="666" t="s">
        <v>861</v>
      </c>
      <c r="J1791" s="667" t="s">
        <v>805</v>
      </c>
      <c r="K1791" s="662">
        <v>1</v>
      </c>
      <c r="L1791" s="685">
        <f t="shared" si="51"/>
        <v>15.98</v>
      </c>
      <c r="M1791" s="686">
        <f t="shared" si="52"/>
        <v>15.98</v>
      </c>
    </row>
    <row r="1792" spans="2:13" s="645" customFormat="1" ht="21.75" customHeight="1">
      <c r="B1792" s="661">
        <v>44420</v>
      </c>
      <c r="C1792" s="662" t="s">
        <v>819</v>
      </c>
      <c r="D1792" s="663" t="s">
        <v>847</v>
      </c>
      <c r="E1792" s="664" t="s">
        <v>831</v>
      </c>
      <c r="F1792" s="665"/>
      <c r="G1792" s="663">
        <v>17</v>
      </c>
      <c r="H1792" s="662" t="s">
        <v>807</v>
      </c>
      <c r="I1792" s="666" t="s">
        <v>859</v>
      </c>
      <c r="J1792" s="667" t="s">
        <v>805</v>
      </c>
      <c r="K1792" s="662">
        <v>5</v>
      </c>
      <c r="L1792" s="685">
        <f t="shared" si="51"/>
        <v>15.98</v>
      </c>
      <c r="M1792" s="686">
        <f t="shared" si="52"/>
        <v>79.900000000000006</v>
      </c>
    </row>
    <row r="1793" spans="2:13" s="645" customFormat="1" ht="21.75" customHeight="1">
      <c r="B1793" s="661">
        <v>44420</v>
      </c>
      <c r="C1793" s="662" t="s">
        <v>819</v>
      </c>
      <c r="D1793" s="663" t="s">
        <v>847</v>
      </c>
      <c r="E1793" s="664" t="s">
        <v>831</v>
      </c>
      <c r="F1793" s="665"/>
      <c r="G1793" s="663">
        <v>17</v>
      </c>
      <c r="H1793" s="662" t="s">
        <v>807</v>
      </c>
      <c r="I1793" s="666" t="s">
        <v>857</v>
      </c>
      <c r="J1793" s="667" t="s">
        <v>805</v>
      </c>
      <c r="K1793" s="662">
        <v>4</v>
      </c>
      <c r="L1793" s="685">
        <f t="shared" si="51"/>
        <v>15.98</v>
      </c>
      <c r="M1793" s="686">
        <f t="shared" si="52"/>
        <v>63.92</v>
      </c>
    </row>
    <row r="1794" spans="2:13" s="645" customFormat="1" ht="21.75" customHeight="1">
      <c r="B1794" s="661">
        <v>44420</v>
      </c>
      <c r="C1794" s="662" t="s">
        <v>819</v>
      </c>
      <c r="D1794" s="663" t="s">
        <v>856</v>
      </c>
      <c r="E1794" s="664" t="s">
        <v>831</v>
      </c>
      <c r="F1794" s="665"/>
      <c r="G1794" s="663">
        <v>20</v>
      </c>
      <c r="H1794" s="662" t="s">
        <v>807</v>
      </c>
      <c r="I1794" s="666" t="s">
        <v>859</v>
      </c>
      <c r="J1794" s="667" t="s">
        <v>805</v>
      </c>
      <c r="K1794" s="662">
        <v>3</v>
      </c>
      <c r="L1794" s="685">
        <f t="shared" si="51"/>
        <v>18.8</v>
      </c>
      <c r="M1794" s="686">
        <f t="shared" si="52"/>
        <v>56.400000000000006</v>
      </c>
    </row>
    <row r="1795" spans="2:13" s="645" customFormat="1" ht="21.75" customHeight="1">
      <c r="B1795" s="661">
        <v>44420</v>
      </c>
      <c r="C1795" s="662" t="s">
        <v>819</v>
      </c>
      <c r="D1795" s="663" t="s">
        <v>856</v>
      </c>
      <c r="E1795" s="664" t="s">
        <v>831</v>
      </c>
      <c r="F1795" s="665"/>
      <c r="G1795" s="663">
        <v>20</v>
      </c>
      <c r="H1795" s="662" t="s">
        <v>807</v>
      </c>
      <c r="I1795" s="666" t="s">
        <v>861</v>
      </c>
      <c r="J1795" s="667" t="s">
        <v>805</v>
      </c>
      <c r="K1795" s="662">
        <v>3</v>
      </c>
      <c r="L1795" s="685">
        <f t="shared" si="51"/>
        <v>18.8</v>
      </c>
      <c r="M1795" s="686">
        <f t="shared" si="52"/>
        <v>56.400000000000006</v>
      </c>
    </row>
    <row r="1796" spans="2:13" s="645" customFormat="1" ht="21.75" customHeight="1">
      <c r="B1796" s="661">
        <v>44420</v>
      </c>
      <c r="C1796" s="662" t="s">
        <v>819</v>
      </c>
      <c r="D1796" s="663" t="s">
        <v>855</v>
      </c>
      <c r="E1796" s="664" t="s">
        <v>831</v>
      </c>
      <c r="F1796" s="665"/>
      <c r="G1796" s="663">
        <v>20</v>
      </c>
      <c r="H1796" s="662" t="s">
        <v>807</v>
      </c>
      <c r="I1796" s="666" t="s">
        <v>859</v>
      </c>
      <c r="J1796" s="667" t="s">
        <v>805</v>
      </c>
      <c r="K1796" s="662">
        <v>1</v>
      </c>
      <c r="L1796" s="685">
        <f t="shared" si="51"/>
        <v>18.8</v>
      </c>
      <c r="M1796" s="686">
        <f t="shared" si="52"/>
        <v>18.8</v>
      </c>
    </row>
    <row r="1797" spans="2:13" s="645" customFormat="1" ht="21.75" customHeight="1">
      <c r="B1797" s="661">
        <v>44420</v>
      </c>
      <c r="C1797" s="662" t="s">
        <v>819</v>
      </c>
      <c r="D1797" s="663" t="s">
        <v>855</v>
      </c>
      <c r="E1797" s="664" t="s">
        <v>831</v>
      </c>
      <c r="F1797" s="665"/>
      <c r="G1797" s="663">
        <v>20</v>
      </c>
      <c r="H1797" s="662" t="s">
        <v>807</v>
      </c>
      <c r="I1797" s="666" t="s">
        <v>861</v>
      </c>
      <c r="J1797" s="667" t="s">
        <v>805</v>
      </c>
      <c r="K1797" s="662">
        <v>3</v>
      </c>
      <c r="L1797" s="685">
        <f t="shared" si="51"/>
        <v>18.8</v>
      </c>
      <c r="M1797" s="686">
        <f t="shared" si="52"/>
        <v>56.400000000000006</v>
      </c>
    </row>
    <row r="1798" spans="2:13" s="645" customFormat="1" ht="21.75" customHeight="1">
      <c r="B1798" s="661">
        <v>44420</v>
      </c>
      <c r="C1798" s="662" t="s">
        <v>837</v>
      </c>
      <c r="D1798" s="663" t="s">
        <v>848</v>
      </c>
      <c r="E1798" s="664" t="s">
        <v>831</v>
      </c>
      <c r="F1798" s="665"/>
      <c r="G1798" s="663">
        <v>20</v>
      </c>
      <c r="H1798" s="662" t="s">
        <v>807</v>
      </c>
      <c r="I1798" s="666" t="s">
        <v>859</v>
      </c>
      <c r="J1798" s="667" t="s">
        <v>805</v>
      </c>
      <c r="K1798" s="662">
        <v>1</v>
      </c>
      <c r="L1798" s="685">
        <f t="shared" si="51"/>
        <v>18.8</v>
      </c>
      <c r="M1798" s="686">
        <f t="shared" si="52"/>
        <v>18.8</v>
      </c>
    </row>
    <row r="1799" spans="2:13" s="645" customFormat="1" ht="21.75" customHeight="1">
      <c r="B1799" s="661">
        <v>44420</v>
      </c>
      <c r="C1799" s="662" t="s">
        <v>837</v>
      </c>
      <c r="D1799" s="663" t="s">
        <v>848</v>
      </c>
      <c r="E1799" s="664" t="s">
        <v>831</v>
      </c>
      <c r="F1799" s="665"/>
      <c r="G1799" s="663">
        <v>20</v>
      </c>
      <c r="H1799" s="662" t="s">
        <v>807</v>
      </c>
      <c r="I1799" s="666" t="s">
        <v>861</v>
      </c>
      <c r="J1799" s="667" t="s">
        <v>805</v>
      </c>
      <c r="K1799" s="662">
        <v>4</v>
      </c>
      <c r="L1799" s="685">
        <f t="shared" si="51"/>
        <v>18.8</v>
      </c>
      <c r="M1799" s="686">
        <f t="shared" si="52"/>
        <v>75.2</v>
      </c>
    </row>
    <row r="1800" spans="2:13" s="645" customFormat="1" ht="21.75" customHeight="1">
      <c r="B1800" s="661">
        <v>44420</v>
      </c>
      <c r="C1800" s="662" t="s">
        <v>837</v>
      </c>
      <c r="D1800" s="663" t="s">
        <v>830</v>
      </c>
      <c r="E1800" s="664" t="s">
        <v>831</v>
      </c>
      <c r="F1800" s="665"/>
      <c r="G1800" s="663">
        <v>15</v>
      </c>
      <c r="H1800" s="662" t="s">
        <v>807</v>
      </c>
      <c r="I1800" s="666" t="s">
        <v>861</v>
      </c>
      <c r="J1800" s="667" t="s">
        <v>805</v>
      </c>
      <c r="K1800" s="662">
        <v>5</v>
      </c>
      <c r="L1800" s="685">
        <f t="shared" si="51"/>
        <v>14.1</v>
      </c>
      <c r="M1800" s="686">
        <f t="shared" si="52"/>
        <v>70.5</v>
      </c>
    </row>
    <row r="1801" spans="2:13" s="645" customFormat="1" ht="21.75" customHeight="1">
      <c r="B1801" s="661">
        <v>44420</v>
      </c>
      <c r="C1801" s="662" t="s">
        <v>837</v>
      </c>
      <c r="D1801" s="663" t="s">
        <v>847</v>
      </c>
      <c r="E1801" s="664" t="s">
        <v>831</v>
      </c>
      <c r="F1801" s="665"/>
      <c r="G1801" s="663">
        <v>17</v>
      </c>
      <c r="H1801" s="662" t="s">
        <v>807</v>
      </c>
      <c r="I1801" s="666" t="s">
        <v>859</v>
      </c>
      <c r="J1801" s="667" t="s">
        <v>805</v>
      </c>
      <c r="K1801" s="662">
        <v>1</v>
      </c>
      <c r="L1801" s="685">
        <f t="shared" ref="L1801:L1864" si="53">VLOOKUP(G1801,$Q$4:$V$7,6,FALSE)</f>
        <v>15.98</v>
      </c>
      <c r="M1801" s="686">
        <f t="shared" si="52"/>
        <v>15.98</v>
      </c>
    </row>
    <row r="1802" spans="2:13" s="645" customFormat="1" ht="21.75" customHeight="1">
      <c r="B1802" s="661">
        <v>44420</v>
      </c>
      <c r="C1802" s="662" t="s">
        <v>837</v>
      </c>
      <c r="D1802" s="663" t="s">
        <v>847</v>
      </c>
      <c r="E1802" s="664" t="s">
        <v>831</v>
      </c>
      <c r="F1802" s="665"/>
      <c r="G1802" s="663">
        <v>17</v>
      </c>
      <c r="H1802" s="662" t="s">
        <v>807</v>
      </c>
      <c r="I1802" s="666" t="s">
        <v>861</v>
      </c>
      <c r="J1802" s="667" t="s">
        <v>805</v>
      </c>
      <c r="K1802" s="662">
        <v>4</v>
      </c>
      <c r="L1802" s="685">
        <f t="shared" si="53"/>
        <v>15.98</v>
      </c>
      <c r="M1802" s="686">
        <f t="shared" si="52"/>
        <v>63.92</v>
      </c>
    </row>
    <row r="1803" spans="2:13" s="645" customFormat="1" ht="21.75" customHeight="1">
      <c r="B1803" s="661">
        <v>44420</v>
      </c>
      <c r="C1803" s="662" t="s">
        <v>837</v>
      </c>
      <c r="D1803" s="663" t="s">
        <v>856</v>
      </c>
      <c r="E1803" s="664" t="s">
        <v>831</v>
      </c>
      <c r="F1803" s="665"/>
      <c r="G1803" s="663">
        <v>20</v>
      </c>
      <c r="H1803" s="662" t="s">
        <v>807</v>
      </c>
      <c r="I1803" s="666" t="s">
        <v>859</v>
      </c>
      <c r="J1803" s="667" t="s">
        <v>805</v>
      </c>
      <c r="K1803" s="662">
        <v>1</v>
      </c>
      <c r="L1803" s="685">
        <f t="shared" si="53"/>
        <v>18.8</v>
      </c>
      <c r="M1803" s="686">
        <f t="shared" si="52"/>
        <v>18.8</v>
      </c>
    </row>
    <row r="1804" spans="2:13" s="645" customFormat="1" ht="21.75" customHeight="1">
      <c r="B1804" s="661">
        <v>44420</v>
      </c>
      <c r="C1804" s="662" t="s">
        <v>837</v>
      </c>
      <c r="D1804" s="663" t="s">
        <v>856</v>
      </c>
      <c r="E1804" s="664" t="s">
        <v>831</v>
      </c>
      <c r="F1804" s="665"/>
      <c r="G1804" s="663">
        <v>20</v>
      </c>
      <c r="H1804" s="662" t="s">
        <v>807</v>
      </c>
      <c r="I1804" s="666" t="s">
        <v>861</v>
      </c>
      <c r="J1804" s="667" t="s">
        <v>805</v>
      </c>
      <c r="K1804" s="662">
        <v>5</v>
      </c>
      <c r="L1804" s="685">
        <f t="shared" si="53"/>
        <v>18.8</v>
      </c>
      <c r="M1804" s="686">
        <f t="shared" si="52"/>
        <v>94</v>
      </c>
    </row>
    <row r="1805" spans="2:13" s="645" customFormat="1" ht="21.75" customHeight="1">
      <c r="B1805" s="661">
        <v>44420</v>
      </c>
      <c r="C1805" s="662" t="s">
        <v>837</v>
      </c>
      <c r="D1805" s="663" t="s">
        <v>855</v>
      </c>
      <c r="E1805" s="664" t="s">
        <v>831</v>
      </c>
      <c r="F1805" s="665"/>
      <c r="G1805" s="663">
        <v>20</v>
      </c>
      <c r="H1805" s="662" t="s">
        <v>807</v>
      </c>
      <c r="I1805" s="666" t="s">
        <v>861</v>
      </c>
      <c r="J1805" s="667" t="s">
        <v>805</v>
      </c>
      <c r="K1805" s="662">
        <v>6</v>
      </c>
      <c r="L1805" s="685">
        <f t="shared" si="53"/>
        <v>18.8</v>
      </c>
      <c r="M1805" s="686">
        <f t="shared" si="52"/>
        <v>112.80000000000001</v>
      </c>
    </row>
    <row r="1806" spans="2:13" s="645" customFormat="1" ht="21.75" customHeight="1">
      <c r="B1806" s="661">
        <v>44420</v>
      </c>
      <c r="C1806" s="662" t="s">
        <v>819</v>
      </c>
      <c r="D1806" s="663" t="s">
        <v>848</v>
      </c>
      <c r="E1806" s="664" t="s">
        <v>831</v>
      </c>
      <c r="F1806" s="665"/>
      <c r="G1806" s="663">
        <v>20</v>
      </c>
      <c r="H1806" s="662" t="s">
        <v>806</v>
      </c>
      <c r="I1806" s="666" t="s">
        <v>862</v>
      </c>
      <c r="J1806" s="667" t="s">
        <v>852</v>
      </c>
      <c r="K1806" s="662">
        <v>7</v>
      </c>
      <c r="L1806" s="685">
        <f t="shared" si="53"/>
        <v>18.8</v>
      </c>
      <c r="M1806" s="686">
        <f t="shared" si="52"/>
        <v>131.6</v>
      </c>
    </row>
    <row r="1807" spans="2:13" s="645" customFormat="1" ht="21.75" customHeight="1">
      <c r="B1807" s="661">
        <v>44420</v>
      </c>
      <c r="C1807" s="662" t="s">
        <v>819</v>
      </c>
      <c r="D1807" s="663" t="s">
        <v>844</v>
      </c>
      <c r="E1807" s="664" t="s">
        <v>831</v>
      </c>
      <c r="F1807" s="665"/>
      <c r="G1807" s="663">
        <v>15</v>
      </c>
      <c r="H1807" s="662" t="s">
        <v>806</v>
      </c>
      <c r="I1807" s="666" t="s">
        <v>862</v>
      </c>
      <c r="J1807" s="667" t="s">
        <v>852</v>
      </c>
      <c r="K1807" s="662">
        <v>10</v>
      </c>
      <c r="L1807" s="685">
        <f t="shared" si="53"/>
        <v>14.1</v>
      </c>
      <c r="M1807" s="686">
        <f t="shared" si="52"/>
        <v>141</v>
      </c>
    </row>
    <row r="1808" spans="2:13" s="645" customFormat="1" ht="21.75" customHeight="1">
      <c r="B1808" s="661">
        <v>44420</v>
      </c>
      <c r="C1808" s="662" t="s">
        <v>819</v>
      </c>
      <c r="D1808" s="663" t="s">
        <v>840</v>
      </c>
      <c r="E1808" s="664" t="s">
        <v>831</v>
      </c>
      <c r="F1808" s="665"/>
      <c r="G1808" s="663">
        <v>20</v>
      </c>
      <c r="H1808" s="662" t="s">
        <v>807</v>
      </c>
      <c r="I1808" s="666" t="s">
        <v>861</v>
      </c>
      <c r="J1808" s="667" t="s">
        <v>802</v>
      </c>
      <c r="K1808" s="662">
        <v>1</v>
      </c>
      <c r="L1808" s="685">
        <f t="shared" si="53"/>
        <v>18.8</v>
      </c>
      <c r="M1808" s="686">
        <f t="shared" si="52"/>
        <v>18.8</v>
      </c>
    </row>
    <row r="1809" spans="2:13" s="645" customFormat="1" ht="21.75" customHeight="1">
      <c r="B1809" s="661">
        <v>44420</v>
      </c>
      <c r="C1809" s="662" t="s">
        <v>819</v>
      </c>
      <c r="D1809" s="663" t="s">
        <v>841</v>
      </c>
      <c r="E1809" s="664" t="s">
        <v>831</v>
      </c>
      <c r="F1809" s="665"/>
      <c r="G1809" s="663">
        <v>20</v>
      </c>
      <c r="H1809" s="662" t="s">
        <v>807</v>
      </c>
      <c r="I1809" s="666" t="s">
        <v>861</v>
      </c>
      <c r="J1809" s="667" t="s">
        <v>802</v>
      </c>
      <c r="K1809" s="662">
        <v>1</v>
      </c>
      <c r="L1809" s="685">
        <f t="shared" si="53"/>
        <v>18.8</v>
      </c>
      <c r="M1809" s="686">
        <f t="shared" si="52"/>
        <v>18.8</v>
      </c>
    </row>
    <row r="1810" spans="2:13" s="645" customFormat="1" ht="21.75" customHeight="1">
      <c r="B1810" s="661">
        <v>44420</v>
      </c>
      <c r="C1810" s="662" t="s">
        <v>819</v>
      </c>
      <c r="D1810" s="663" t="s">
        <v>834</v>
      </c>
      <c r="E1810" s="664" t="s">
        <v>831</v>
      </c>
      <c r="F1810" s="665"/>
      <c r="G1810" s="663">
        <v>20</v>
      </c>
      <c r="H1810" s="662" t="s">
        <v>807</v>
      </c>
      <c r="I1810" s="666" t="s">
        <v>859</v>
      </c>
      <c r="J1810" s="667" t="s">
        <v>802</v>
      </c>
      <c r="K1810" s="662">
        <v>1</v>
      </c>
      <c r="L1810" s="685">
        <f t="shared" si="53"/>
        <v>18.8</v>
      </c>
      <c r="M1810" s="686">
        <f t="shared" si="52"/>
        <v>18.8</v>
      </c>
    </row>
    <row r="1811" spans="2:13" s="645" customFormat="1" ht="21.75" customHeight="1">
      <c r="B1811" s="661">
        <v>44420</v>
      </c>
      <c r="C1811" s="662" t="s">
        <v>819</v>
      </c>
      <c r="D1811" s="663" t="s">
        <v>834</v>
      </c>
      <c r="E1811" s="664" t="s">
        <v>831</v>
      </c>
      <c r="F1811" s="665"/>
      <c r="G1811" s="663">
        <v>20</v>
      </c>
      <c r="H1811" s="662" t="s">
        <v>807</v>
      </c>
      <c r="I1811" s="666" t="s">
        <v>857</v>
      </c>
      <c r="J1811" s="667" t="s">
        <v>802</v>
      </c>
      <c r="K1811" s="662">
        <v>1</v>
      </c>
      <c r="L1811" s="685">
        <f t="shared" si="53"/>
        <v>18.8</v>
      </c>
      <c r="M1811" s="686">
        <f t="shared" si="52"/>
        <v>18.8</v>
      </c>
    </row>
    <row r="1812" spans="2:13" s="645" customFormat="1" ht="21.75" customHeight="1">
      <c r="B1812" s="661">
        <v>44420</v>
      </c>
      <c r="C1812" s="662" t="s">
        <v>819</v>
      </c>
      <c r="D1812" s="663" t="s">
        <v>836</v>
      </c>
      <c r="E1812" s="664" t="s">
        <v>831</v>
      </c>
      <c r="F1812" s="665"/>
      <c r="G1812" s="663">
        <v>20</v>
      </c>
      <c r="H1812" s="662" t="s">
        <v>807</v>
      </c>
      <c r="I1812" s="666" t="s">
        <v>861</v>
      </c>
      <c r="J1812" s="667" t="s">
        <v>802</v>
      </c>
      <c r="K1812" s="662">
        <v>1</v>
      </c>
      <c r="L1812" s="685">
        <f t="shared" si="53"/>
        <v>18.8</v>
      </c>
      <c r="M1812" s="686">
        <f t="shared" si="52"/>
        <v>18.8</v>
      </c>
    </row>
    <row r="1813" spans="2:13" s="645" customFormat="1" ht="21.75" customHeight="1">
      <c r="B1813" s="661">
        <v>44420</v>
      </c>
      <c r="C1813" s="662" t="s">
        <v>819</v>
      </c>
      <c r="D1813" s="663" t="s">
        <v>833</v>
      </c>
      <c r="E1813" s="664" t="s">
        <v>831</v>
      </c>
      <c r="F1813" s="665"/>
      <c r="G1813" s="663">
        <v>15</v>
      </c>
      <c r="H1813" s="662" t="s">
        <v>807</v>
      </c>
      <c r="I1813" s="666" t="s">
        <v>859</v>
      </c>
      <c r="J1813" s="667" t="s">
        <v>802</v>
      </c>
      <c r="K1813" s="662">
        <v>1</v>
      </c>
      <c r="L1813" s="685">
        <f t="shared" si="53"/>
        <v>14.1</v>
      </c>
      <c r="M1813" s="686">
        <f t="shared" si="52"/>
        <v>14.1</v>
      </c>
    </row>
    <row r="1814" spans="2:13" s="645" customFormat="1" ht="21.75" customHeight="1">
      <c r="B1814" s="661">
        <v>44420</v>
      </c>
      <c r="C1814" s="662" t="s">
        <v>819</v>
      </c>
      <c r="D1814" s="663" t="s">
        <v>833</v>
      </c>
      <c r="E1814" s="664" t="s">
        <v>831</v>
      </c>
      <c r="F1814" s="665"/>
      <c r="G1814" s="663">
        <v>15</v>
      </c>
      <c r="H1814" s="662" t="s">
        <v>807</v>
      </c>
      <c r="I1814" s="666" t="s">
        <v>857</v>
      </c>
      <c r="J1814" s="667" t="s">
        <v>802</v>
      </c>
      <c r="K1814" s="662">
        <v>1</v>
      </c>
      <c r="L1814" s="685">
        <f t="shared" si="53"/>
        <v>14.1</v>
      </c>
      <c r="M1814" s="686">
        <f t="shared" si="52"/>
        <v>14.1</v>
      </c>
    </row>
    <row r="1815" spans="2:13" s="645" customFormat="1" ht="21.75" customHeight="1">
      <c r="B1815" s="661">
        <v>44420</v>
      </c>
      <c r="C1815" s="662" t="s">
        <v>819</v>
      </c>
      <c r="D1815" s="663" t="s">
        <v>830</v>
      </c>
      <c r="E1815" s="664" t="s">
        <v>831</v>
      </c>
      <c r="F1815" s="665"/>
      <c r="G1815" s="663">
        <v>15</v>
      </c>
      <c r="H1815" s="662" t="s">
        <v>807</v>
      </c>
      <c r="I1815" s="666" t="s">
        <v>857</v>
      </c>
      <c r="J1815" s="667" t="s">
        <v>802</v>
      </c>
      <c r="K1815" s="662">
        <v>2</v>
      </c>
      <c r="L1815" s="685">
        <f t="shared" si="53"/>
        <v>14.1</v>
      </c>
      <c r="M1815" s="686">
        <f t="shared" si="52"/>
        <v>28.2</v>
      </c>
    </row>
    <row r="1816" spans="2:13" s="645" customFormat="1" ht="21.75" customHeight="1">
      <c r="B1816" s="661">
        <v>44420</v>
      </c>
      <c r="C1816" s="662" t="s">
        <v>819</v>
      </c>
      <c r="D1816" s="663" t="s">
        <v>850</v>
      </c>
      <c r="E1816" s="664" t="s">
        <v>831</v>
      </c>
      <c r="F1816" s="665"/>
      <c r="G1816" s="663">
        <v>15</v>
      </c>
      <c r="H1816" s="662" t="s">
        <v>807</v>
      </c>
      <c r="I1816" s="666" t="s">
        <v>859</v>
      </c>
      <c r="J1816" s="667" t="s">
        <v>802</v>
      </c>
      <c r="K1816" s="662">
        <v>1</v>
      </c>
      <c r="L1816" s="685">
        <f t="shared" si="53"/>
        <v>14.1</v>
      </c>
      <c r="M1816" s="686">
        <f t="shared" si="52"/>
        <v>14.1</v>
      </c>
    </row>
    <row r="1817" spans="2:13" s="645" customFormat="1" ht="21.75" customHeight="1">
      <c r="B1817" s="661">
        <v>44420</v>
      </c>
      <c r="C1817" s="662" t="s">
        <v>819</v>
      </c>
      <c r="D1817" s="663" t="s">
        <v>839</v>
      </c>
      <c r="E1817" s="664" t="s">
        <v>831</v>
      </c>
      <c r="F1817" s="665"/>
      <c r="G1817" s="663">
        <v>15</v>
      </c>
      <c r="H1817" s="662" t="s">
        <v>807</v>
      </c>
      <c r="I1817" s="666" t="s">
        <v>857</v>
      </c>
      <c r="J1817" s="667" t="s">
        <v>802</v>
      </c>
      <c r="K1817" s="662">
        <v>1</v>
      </c>
      <c r="L1817" s="685">
        <f t="shared" si="53"/>
        <v>14.1</v>
      </c>
      <c r="M1817" s="686">
        <f t="shared" si="52"/>
        <v>14.1</v>
      </c>
    </row>
    <row r="1818" spans="2:13" s="645" customFormat="1" ht="21.75" customHeight="1">
      <c r="B1818" s="661">
        <v>44420</v>
      </c>
      <c r="C1818" s="662" t="s">
        <v>819</v>
      </c>
      <c r="D1818" s="663" t="s">
        <v>847</v>
      </c>
      <c r="E1818" s="664" t="s">
        <v>831</v>
      </c>
      <c r="F1818" s="665"/>
      <c r="G1818" s="663">
        <v>17</v>
      </c>
      <c r="H1818" s="662" t="s">
        <v>807</v>
      </c>
      <c r="I1818" s="666" t="s">
        <v>857</v>
      </c>
      <c r="J1818" s="667" t="s">
        <v>802</v>
      </c>
      <c r="K1818" s="662">
        <v>1</v>
      </c>
      <c r="L1818" s="685">
        <f t="shared" si="53"/>
        <v>15.98</v>
      </c>
      <c r="M1818" s="686">
        <f t="shared" si="52"/>
        <v>15.98</v>
      </c>
    </row>
    <row r="1819" spans="2:13" s="645" customFormat="1" ht="21.75" customHeight="1">
      <c r="B1819" s="661">
        <v>44420</v>
      </c>
      <c r="C1819" s="662" t="s">
        <v>819</v>
      </c>
      <c r="D1819" s="663" t="s">
        <v>856</v>
      </c>
      <c r="E1819" s="664" t="s">
        <v>831</v>
      </c>
      <c r="F1819" s="665"/>
      <c r="G1819" s="663">
        <v>20</v>
      </c>
      <c r="H1819" s="662" t="s">
        <v>807</v>
      </c>
      <c r="I1819" s="666" t="s">
        <v>859</v>
      </c>
      <c r="J1819" s="667" t="s">
        <v>802</v>
      </c>
      <c r="K1819" s="662">
        <v>1</v>
      </c>
      <c r="L1819" s="685">
        <f t="shared" si="53"/>
        <v>18.8</v>
      </c>
      <c r="M1819" s="686">
        <f t="shared" si="52"/>
        <v>18.8</v>
      </c>
    </row>
    <row r="1820" spans="2:13" s="645" customFormat="1" ht="21.75" customHeight="1">
      <c r="B1820" s="661">
        <v>44420</v>
      </c>
      <c r="C1820" s="662" t="s">
        <v>819</v>
      </c>
      <c r="D1820" s="663" t="s">
        <v>855</v>
      </c>
      <c r="E1820" s="664" t="s">
        <v>831</v>
      </c>
      <c r="F1820" s="665"/>
      <c r="G1820" s="663">
        <v>20</v>
      </c>
      <c r="H1820" s="662" t="s">
        <v>807</v>
      </c>
      <c r="I1820" s="666" t="s">
        <v>861</v>
      </c>
      <c r="J1820" s="667" t="s">
        <v>802</v>
      </c>
      <c r="K1820" s="662">
        <v>1</v>
      </c>
      <c r="L1820" s="685">
        <f t="shared" si="53"/>
        <v>18.8</v>
      </c>
      <c r="M1820" s="686">
        <f t="shared" si="52"/>
        <v>18.8</v>
      </c>
    </row>
    <row r="1821" spans="2:13" s="645" customFormat="1" ht="21.75" customHeight="1">
      <c r="B1821" s="661">
        <v>44421</v>
      </c>
      <c r="C1821" s="662" t="s">
        <v>837</v>
      </c>
      <c r="D1821" s="663" t="s">
        <v>849</v>
      </c>
      <c r="E1821" s="664" t="s">
        <v>831</v>
      </c>
      <c r="F1821" s="661"/>
      <c r="G1821" s="663">
        <v>20</v>
      </c>
      <c r="H1821" s="662" t="s">
        <v>807</v>
      </c>
      <c r="I1821" s="666" t="s">
        <v>854</v>
      </c>
      <c r="J1821" s="667" t="s">
        <v>804</v>
      </c>
      <c r="K1821" s="662">
        <v>7</v>
      </c>
      <c r="L1821" s="679">
        <f t="shared" si="53"/>
        <v>18.8</v>
      </c>
      <c r="M1821" s="668">
        <f t="shared" si="52"/>
        <v>131.6</v>
      </c>
    </row>
    <row r="1822" spans="2:13" s="645" customFormat="1" ht="21.75" customHeight="1">
      <c r="B1822" s="661">
        <v>44421</v>
      </c>
      <c r="C1822" s="662" t="s">
        <v>837</v>
      </c>
      <c r="D1822" s="663" t="s">
        <v>849</v>
      </c>
      <c r="E1822" s="664" t="s">
        <v>831</v>
      </c>
      <c r="F1822" s="661"/>
      <c r="G1822" s="663">
        <v>20</v>
      </c>
      <c r="H1822" s="662" t="s">
        <v>807</v>
      </c>
      <c r="I1822" s="666" t="s">
        <v>861</v>
      </c>
      <c r="J1822" s="667" t="s">
        <v>804</v>
      </c>
      <c r="K1822" s="662">
        <v>5</v>
      </c>
      <c r="L1822" s="679">
        <f t="shared" si="53"/>
        <v>18.8</v>
      </c>
      <c r="M1822" s="668">
        <f t="shared" si="52"/>
        <v>94</v>
      </c>
    </row>
    <row r="1823" spans="2:13" s="645" customFormat="1" ht="21.75" customHeight="1">
      <c r="B1823" s="661">
        <v>44421</v>
      </c>
      <c r="C1823" s="662" t="s">
        <v>837</v>
      </c>
      <c r="D1823" s="663" t="s">
        <v>835</v>
      </c>
      <c r="E1823" s="664" t="s">
        <v>831</v>
      </c>
      <c r="F1823" s="661"/>
      <c r="G1823" s="663">
        <v>20</v>
      </c>
      <c r="H1823" s="662" t="s">
        <v>807</v>
      </c>
      <c r="I1823" s="666" t="s">
        <v>854</v>
      </c>
      <c r="J1823" s="667" t="s">
        <v>804</v>
      </c>
      <c r="K1823" s="662">
        <v>8</v>
      </c>
      <c r="L1823" s="679">
        <f t="shared" si="53"/>
        <v>18.8</v>
      </c>
      <c r="M1823" s="668">
        <f t="shared" si="52"/>
        <v>150.4</v>
      </c>
    </row>
    <row r="1824" spans="2:13" s="645" customFormat="1" ht="21.75" customHeight="1">
      <c r="B1824" s="661">
        <v>44421</v>
      </c>
      <c r="C1824" s="662" t="s">
        <v>837</v>
      </c>
      <c r="D1824" s="663" t="s">
        <v>835</v>
      </c>
      <c r="E1824" s="664" t="s">
        <v>831</v>
      </c>
      <c r="F1824" s="661"/>
      <c r="G1824" s="663">
        <v>20</v>
      </c>
      <c r="H1824" s="662" t="s">
        <v>807</v>
      </c>
      <c r="I1824" s="666" t="s">
        <v>861</v>
      </c>
      <c r="J1824" s="667" t="s">
        <v>804</v>
      </c>
      <c r="K1824" s="662">
        <v>4</v>
      </c>
      <c r="L1824" s="679">
        <f t="shared" si="53"/>
        <v>18.8</v>
      </c>
      <c r="M1824" s="668">
        <f t="shared" si="52"/>
        <v>75.2</v>
      </c>
    </row>
    <row r="1825" spans="2:13" s="645" customFormat="1" ht="21.75" customHeight="1">
      <c r="B1825" s="661">
        <v>44421</v>
      </c>
      <c r="C1825" s="662" t="s">
        <v>837</v>
      </c>
      <c r="D1825" s="663" t="s">
        <v>841</v>
      </c>
      <c r="E1825" s="664" t="s">
        <v>831</v>
      </c>
      <c r="F1825" s="661"/>
      <c r="G1825" s="663">
        <v>20</v>
      </c>
      <c r="H1825" s="662" t="s">
        <v>807</v>
      </c>
      <c r="I1825" s="666" t="s">
        <v>854</v>
      </c>
      <c r="J1825" s="667" t="s">
        <v>804</v>
      </c>
      <c r="K1825" s="662">
        <v>4</v>
      </c>
      <c r="L1825" s="679">
        <f t="shared" si="53"/>
        <v>18.8</v>
      </c>
      <c r="M1825" s="668">
        <f t="shared" si="52"/>
        <v>75.2</v>
      </c>
    </row>
    <row r="1826" spans="2:13" s="645" customFormat="1" ht="21.75" customHeight="1">
      <c r="B1826" s="661">
        <v>44421</v>
      </c>
      <c r="C1826" s="662" t="s">
        <v>837</v>
      </c>
      <c r="D1826" s="663" t="s">
        <v>841</v>
      </c>
      <c r="E1826" s="664" t="s">
        <v>831</v>
      </c>
      <c r="F1826" s="661"/>
      <c r="G1826" s="663">
        <v>20</v>
      </c>
      <c r="H1826" s="662" t="s">
        <v>807</v>
      </c>
      <c r="I1826" s="666" t="s">
        <v>861</v>
      </c>
      <c r="J1826" s="667" t="s">
        <v>804</v>
      </c>
      <c r="K1826" s="662">
        <v>8</v>
      </c>
      <c r="L1826" s="679">
        <f t="shared" si="53"/>
        <v>18.8</v>
      </c>
      <c r="M1826" s="668">
        <f t="shared" si="52"/>
        <v>150.4</v>
      </c>
    </row>
    <row r="1827" spans="2:13" s="645" customFormat="1" ht="21.75" customHeight="1">
      <c r="B1827" s="661">
        <v>44421</v>
      </c>
      <c r="C1827" s="662" t="s">
        <v>837</v>
      </c>
      <c r="D1827" s="663" t="s">
        <v>834</v>
      </c>
      <c r="E1827" s="664" t="s">
        <v>831</v>
      </c>
      <c r="F1827" s="661"/>
      <c r="G1827" s="663">
        <v>20</v>
      </c>
      <c r="H1827" s="662" t="s">
        <v>807</v>
      </c>
      <c r="I1827" s="666" t="s">
        <v>854</v>
      </c>
      <c r="J1827" s="667" t="s">
        <v>804</v>
      </c>
      <c r="K1827" s="662">
        <v>10</v>
      </c>
      <c r="L1827" s="679">
        <f t="shared" si="53"/>
        <v>18.8</v>
      </c>
      <c r="M1827" s="668">
        <f t="shared" si="52"/>
        <v>188</v>
      </c>
    </row>
    <row r="1828" spans="2:13" s="645" customFormat="1" ht="21.75" customHeight="1">
      <c r="B1828" s="661">
        <v>44421</v>
      </c>
      <c r="C1828" s="662" t="s">
        <v>837</v>
      </c>
      <c r="D1828" s="663" t="s">
        <v>834</v>
      </c>
      <c r="E1828" s="664" t="s">
        <v>831</v>
      </c>
      <c r="F1828" s="661"/>
      <c r="G1828" s="663">
        <v>20</v>
      </c>
      <c r="H1828" s="662" t="s">
        <v>807</v>
      </c>
      <c r="I1828" s="666" t="s">
        <v>861</v>
      </c>
      <c r="J1828" s="667" t="s">
        <v>804</v>
      </c>
      <c r="K1828" s="662">
        <v>3</v>
      </c>
      <c r="L1828" s="679">
        <f t="shared" si="53"/>
        <v>18.8</v>
      </c>
      <c r="M1828" s="668">
        <f t="shared" si="52"/>
        <v>56.400000000000006</v>
      </c>
    </row>
    <row r="1829" spans="2:13" s="645" customFormat="1" ht="21.75" customHeight="1">
      <c r="B1829" s="661">
        <v>44421</v>
      </c>
      <c r="C1829" s="662" t="s">
        <v>837</v>
      </c>
      <c r="D1829" s="663" t="s">
        <v>836</v>
      </c>
      <c r="E1829" s="664" t="s">
        <v>831</v>
      </c>
      <c r="F1829" s="661"/>
      <c r="G1829" s="663">
        <v>20</v>
      </c>
      <c r="H1829" s="662" t="s">
        <v>807</v>
      </c>
      <c r="I1829" s="666" t="s">
        <v>861</v>
      </c>
      <c r="J1829" s="667" t="s">
        <v>804</v>
      </c>
      <c r="K1829" s="662">
        <v>11</v>
      </c>
      <c r="L1829" s="679">
        <f t="shared" si="53"/>
        <v>18.8</v>
      </c>
      <c r="M1829" s="668">
        <f t="shared" si="52"/>
        <v>206.8</v>
      </c>
    </row>
    <row r="1830" spans="2:13" s="645" customFormat="1" ht="21.75" customHeight="1">
      <c r="B1830" s="661">
        <v>44421</v>
      </c>
      <c r="C1830" s="662" t="s">
        <v>837</v>
      </c>
      <c r="D1830" s="663" t="s">
        <v>833</v>
      </c>
      <c r="E1830" s="664" t="s">
        <v>831</v>
      </c>
      <c r="F1830" s="661"/>
      <c r="G1830" s="663">
        <v>15</v>
      </c>
      <c r="H1830" s="662" t="s">
        <v>807</v>
      </c>
      <c r="I1830" s="666" t="s">
        <v>854</v>
      </c>
      <c r="J1830" s="667" t="s">
        <v>804</v>
      </c>
      <c r="K1830" s="662">
        <v>8</v>
      </c>
      <c r="L1830" s="679">
        <f t="shared" si="53"/>
        <v>14.1</v>
      </c>
      <c r="M1830" s="668">
        <f t="shared" si="52"/>
        <v>112.8</v>
      </c>
    </row>
    <row r="1831" spans="2:13" s="645" customFormat="1" ht="21.75" customHeight="1">
      <c r="B1831" s="661">
        <v>44421</v>
      </c>
      <c r="C1831" s="662" t="s">
        <v>837</v>
      </c>
      <c r="D1831" s="663" t="s">
        <v>833</v>
      </c>
      <c r="E1831" s="664" t="s">
        <v>831</v>
      </c>
      <c r="F1831" s="661"/>
      <c r="G1831" s="663">
        <v>15</v>
      </c>
      <c r="H1831" s="662" t="s">
        <v>807</v>
      </c>
      <c r="I1831" s="666" t="s">
        <v>861</v>
      </c>
      <c r="J1831" s="667" t="s">
        <v>804</v>
      </c>
      <c r="K1831" s="662">
        <v>5</v>
      </c>
      <c r="L1831" s="679">
        <f t="shared" si="53"/>
        <v>14.1</v>
      </c>
      <c r="M1831" s="668">
        <f t="shared" ref="M1831:M1894" si="54">L1831*K1831</f>
        <v>70.5</v>
      </c>
    </row>
    <row r="1832" spans="2:13" s="645" customFormat="1" ht="21.75" customHeight="1">
      <c r="B1832" s="661">
        <v>44421</v>
      </c>
      <c r="C1832" s="662" t="s">
        <v>837</v>
      </c>
      <c r="D1832" s="663" t="s">
        <v>839</v>
      </c>
      <c r="E1832" s="664" t="s">
        <v>831</v>
      </c>
      <c r="F1832" s="661"/>
      <c r="G1832" s="663">
        <v>15</v>
      </c>
      <c r="H1832" s="662" t="s">
        <v>807</v>
      </c>
      <c r="I1832" s="666" t="s">
        <v>854</v>
      </c>
      <c r="J1832" s="667" t="s">
        <v>804</v>
      </c>
      <c r="K1832" s="662">
        <v>10</v>
      </c>
      <c r="L1832" s="679">
        <f t="shared" si="53"/>
        <v>14.1</v>
      </c>
      <c r="M1832" s="668">
        <f t="shared" si="54"/>
        <v>141</v>
      </c>
    </row>
    <row r="1833" spans="2:13" s="645" customFormat="1" ht="21.75" customHeight="1">
      <c r="B1833" s="661">
        <v>44421</v>
      </c>
      <c r="C1833" s="662" t="s">
        <v>837</v>
      </c>
      <c r="D1833" s="663" t="s">
        <v>839</v>
      </c>
      <c r="E1833" s="664" t="s">
        <v>831</v>
      </c>
      <c r="F1833" s="661"/>
      <c r="G1833" s="663">
        <v>15</v>
      </c>
      <c r="H1833" s="662" t="s">
        <v>807</v>
      </c>
      <c r="I1833" s="666" t="s">
        <v>861</v>
      </c>
      <c r="J1833" s="667" t="s">
        <v>804</v>
      </c>
      <c r="K1833" s="662">
        <v>2</v>
      </c>
      <c r="L1833" s="679">
        <f t="shared" si="53"/>
        <v>14.1</v>
      </c>
      <c r="M1833" s="668">
        <f t="shared" si="54"/>
        <v>28.2</v>
      </c>
    </row>
    <row r="1834" spans="2:13" s="645" customFormat="1" ht="21.75" customHeight="1">
      <c r="B1834" s="661">
        <v>44421</v>
      </c>
      <c r="C1834" s="662" t="s">
        <v>837</v>
      </c>
      <c r="D1834" s="663" t="s">
        <v>847</v>
      </c>
      <c r="E1834" s="664" t="s">
        <v>831</v>
      </c>
      <c r="F1834" s="661"/>
      <c r="G1834" s="663">
        <v>17</v>
      </c>
      <c r="H1834" s="662" t="s">
        <v>807</v>
      </c>
      <c r="I1834" s="666" t="s">
        <v>854</v>
      </c>
      <c r="J1834" s="667" t="s">
        <v>804</v>
      </c>
      <c r="K1834" s="662">
        <v>11</v>
      </c>
      <c r="L1834" s="679">
        <f t="shared" si="53"/>
        <v>15.98</v>
      </c>
      <c r="M1834" s="668">
        <f t="shared" si="54"/>
        <v>175.78</v>
      </c>
    </row>
    <row r="1835" spans="2:13" s="645" customFormat="1" ht="21.75" customHeight="1">
      <c r="B1835" s="661">
        <v>44421</v>
      </c>
      <c r="C1835" s="662" t="s">
        <v>837</v>
      </c>
      <c r="D1835" s="663" t="s">
        <v>847</v>
      </c>
      <c r="E1835" s="664" t="s">
        <v>831</v>
      </c>
      <c r="F1835" s="661"/>
      <c r="G1835" s="663">
        <v>17</v>
      </c>
      <c r="H1835" s="662" t="s">
        <v>807</v>
      </c>
      <c r="I1835" s="666" t="s">
        <v>861</v>
      </c>
      <c r="J1835" s="667" t="s">
        <v>804</v>
      </c>
      <c r="K1835" s="662">
        <v>3</v>
      </c>
      <c r="L1835" s="679">
        <f t="shared" si="53"/>
        <v>15.98</v>
      </c>
      <c r="M1835" s="668">
        <f t="shared" si="54"/>
        <v>47.94</v>
      </c>
    </row>
    <row r="1836" spans="2:13" s="645" customFormat="1" ht="21.75" customHeight="1">
      <c r="B1836" s="661">
        <v>44421</v>
      </c>
      <c r="C1836" s="662" t="s">
        <v>819</v>
      </c>
      <c r="D1836" s="663" t="s">
        <v>849</v>
      </c>
      <c r="E1836" s="664" t="s">
        <v>831</v>
      </c>
      <c r="F1836" s="665"/>
      <c r="G1836" s="663">
        <v>20</v>
      </c>
      <c r="H1836" s="662" t="s">
        <v>807</v>
      </c>
      <c r="I1836" s="666" t="s">
        <v>861</v>
      </c>
      <c r="J1836" s="667" t="s">
        <v>805</v>
      </c>
      <c r="K1836" s="662">
        <v>13</v>
      </c>
      <c r="L1836" s="685">
        <f t="shared" si="53"/>
        <v>18.8</v>
      </c>
      <c r="M1836" s="686">
        <f t="shared" si="54"/>
        <v>244.4</v>
      </c>
    </row>
    <row r="1837" spans="2:13" s="645" customFormat="1" ht="21.75" customHeight="1">
      <c r="B1837" s="661">
        <v>44421</v>
      </c>
      <c r="C1837" s="662" t="s">
        <v>819</v>
      </c>
      <c r="D1837" s="663" t="s">
        <v>840</v>
      </c>
      <c r="E1837" s="664" t="s">
        <v>831</v>
      </c>
      <c r="F1837" s="665"/>
      <c r="G1837" s="663">
        <v>20</v>
      </c>
      <c r="H1837" s="662" t="s">
        <v>807</v>
      </c>
      <c r="I1837" s="666" t="s">
        <v>859</v>
      </c>
      <c r="J1837" s="667" t="s">
        <v>805</v>
      </c>
      <c r="K1837" s="662">
        <v>1</v>
      </c>
      <c r="L1837" s="685">
        <f t="shared" si="53"/>
        <v>18.8</v>
      </c>
      <c r="M1837" s="686">
        <f t="shared" si="54"/>
        <v>18.8</v>
      </c>
    </row>
    <row r="1838" spans="2:13" s="645" customFormat="1" ht="21.75" customHeight="1">
      <c r="B1838" s="661">
        <v>44421</v>
      </c>
      <c r="C1838" s="662" t="s">
        <v>819</v>
      </c>
      <c r="D1838" s="663" t="s">
        <v>840</v>
      </c>
      <c r="E1838" s="664" t="s">
        <v>831</v>
      </c>
      <c r="F1838" s="665"/>
      <c r="G1838" s="663">
        <v>20</v>
      </c>
      <c r="H1838" s="662" t="s">
        <v>807</v>
      </c>
      <c r="I1838" s="666" t="s">
        <v>861</v>
      </c>
      <c r="J1838" s="667" t="s">
        <v>805</v>
      </c>
      <c r="K1838" s="662">
        <v>9</v>
      </c>
      <c r="L1838" s="685">
        <f t="shared" si="53"/>
        <v>18.8</v>
      </c>
      <c r="M1838" s="686">
        <f t="shared" si="54"/>
        <v>169.20000000000002</v>
      </c>
    </row>
    <row r="1839" spans="2:13" s="645" customFormat="1" ht="21.75" customHeight="1">
      <c r="B1839" s="661">
        <v>44421</v>
      </c>
      <c r="C1839" s="662" t="s">
        <v>819</v>
      </c>
      <c r="D1839" s="663" t="s">
        <v>835</v>
      </c>
      <c r="E1839" s="664" t="s">
        <v>831</v>
      </c>
      <c r="F1839" s="665"/>
      <c r="G1839" s="663">
        <v>20</v>
      </c>
      <c r="H1839" s="662" t="s">
        <v>807</v>
      </c>
      <c r="I1839" s="666" t="s">
        <v>859</v>
      </c>
      <c r="J1839" s="667" t="s">
        <v>805</v>
      </c>
      <c r="K1839" s="662">
        <v>12</v>
      </c>
      <c r="L1839" s="685">
        <f t="shared" si="53"/>
        <v>18.8</v>
      </c>
      <c r="M1839" s="686">
        <f t="shared" si="54"/>
        <v>225.60000000000002</v>
      </c>
    </row>
    <row r="1840" spans="2:13" s="645" customFormat="1" ht="21.75" customHeight="1">
      <c r="B1840" s="661">
        <v>44421</v>
      </c>
      <c r="C1840" s="662" t="s">
        <v>819</v>
      </c>
      <c r="D1840" s="663" t="s">
        <v>841</v>
      </c>
      <c r="E1840" s="664" t="s">
        <v>831</v>
      </c>
      <c r="F1840" s="665"/>
      <c r="G1840" s="663">
        <v>20</v>
      </c>
      <c r="H1840" s="662" t="s">
        <v>807</v>
      </c>
      <c r="I1840" s="666" t="s">
        <v>859</v>
      </c>
      <c r="J1840" s="667" t="s">
        <v>805</v>
      </c>
      <c r="K1840" s="662">
        <v>1</v>
      </c>
      <c r="L1840" s="685">
        <f t="shared" si="53"/>
        <v>18.8</v>
      </c>
      <c r="M1840" s="686">
        <f t="shared" si="54"/>
        <v>18.8</v>
      </c>
    </row>
    <row r="1841" spans="2:13" s="645" customFormat="1" ht="21.75" customHeight="1">
      <c r="B1841" s="661">
        <v>44421</v>
      </c>
      <c r="C1841" s="662" t="s">
        <v>819</v>
      </c>
      <c r="D1841" s="663" t="s">
        <v>841</v>
      </c>
      <c r="E1841" s="664" t="s">
        <v>831</v>
      </c>
      <c r="F1841" s="665"/>
      <c r="G1841" s="663">
        <v>20</v>
      </c>
      <c r="H1841" s="662" t="s">
        <v>807</v>
      </c>
      <c r="I1841" s="666" t="s">
        <v>861</v>
      </c>
      <c r="J1841" s="667" t="s">
        <v>805</v>
      </c>
      <c r="K1841" s="662">
        <v>10</v>
      </c>
      <c r="L1841" s="685">
        <f t="shared" si="53"/>
        <v>18.8</v>
      </c>
      <c r="M1841" s="686">
        <f t="shared" si="54"/>
        <v>188</v>
      </c>
    </row>
    <row r="1842" spans="2:13" s="645" customFormat="1" ht="21.75" customHeight="1">
      <c r="B1842" s="661">
        <v>44421</v>
      </c>
      <c r="C1842" s="662" t="s">
        <v>819</v>
      </c>
      <c r="D1842" s="663" t="s">
        <v>834</v>
      </c>
      <c r="E1842" s="664" t="s">
        <v>831</v>
      </c>
      <c r="F1842" s="665"/>
      <c r="G1842" s="663">
        <v>20</v>
      </c>
      <c r="H1842" s="662" t="s">
        <v>807</v>
      </c>
      <c r="I1842" s="666" t="s">
        <v>859</v>
      </c>
      <c r="J1842" s="667" t="s">
        <v>805</v>
      </c>
      <c r="K1842" s="662">
        <v>12</v>
      </c>
      <c r="L1842" s="685">
        <f t="shared" si="53"/>
        <v>18.8</v>
      </c>
      <c r="M1842" s="686">
        <f t="shared" si="54"/>
        <v>225.60000000000002</v>
      </c>
    </row>
    <row r="1843" spans="2:13" s="645" customFormat="1" ht="21.75" customHeight="1">
      <c r="B1843" s="661">
        <v>44421</v>
      </c>
      <c r="C1843" s="662" t="s">
        <v>819</v>
      </c>
      <c r="D1843" s="663" t="s">
        <v>848</v>
      </c>
      <c r="E1843" s="664" t="s">
        <v>831</v>
      </c>
      <c r="F1843" s="665"/>
      <c r="G1843" s="663">
        <v>20</v>
      </c>
      <c r="H1843" s="662" t="s">
        <v>807</v>
      </c>
      <c r="I1843" s="666" t="s">
        <v>859</v>
      </c>
      <c r="J1843" s="667" t="s">
        <v>805</v>
      </c>
      <c r="K1843" s="662">
        <v>4</v>
      </c>
      <c r="L1843" s="685">
        <f t="shared" si="53"/>
        <v>18.8</v>
      </c>
      <c r="M1843" s="686">
        <f t="shared" si="54"/>
        <v>75.2</v>
      </c>
    </row>
    <row r="1844" spans="2:13" s="645" customFormat="1" ht="21.75" customHeight="1">
      <c r="B1844" s="661">
        <v>44421</v>
      </c>
      <c r="C1844" s="662" t="s">
        <v>819</v>
      </c>
      <c r="D1844" s="663" t="s">
        <v>833</v>
      </c>
      <c r="E1844" s="664" t="s">
        <v>831</v>
      </c>
      <c r="F1844" s="665"/>
      <c r="G1844" s="663">
        <v>15</v>
      </c>
      <c r="H1844" s="662" t="s">
        <v>807</v>
      </c>
      <c r="I1844" s="666" t="s">
        <v>859</v>
      </c>
      <c r="J1844" s="667" t="s">
        <v>805</v>
      </c>
      <c r="K1844" s="662">
        <v>13</v>
      </c>
      <c r="L1844" s="685">
        <f t="shared" si="53"/>
        <v>14.1</v>
      </c>
      <c r="M1844" s="686">
        <f t="shared" si="54"/>
        <v>183.29999999999998</v>
      </c>
    </row>
    <row r="1845" spans="2:13" s="645" customFormat="1" ht="21.75" customHeight="1">
      <c r="B1845" s="661">
        <v>44421</v>
      </c>
      <c r="C1845" s="662" t="s">
        <v>819</v>
      </c>
      <c r="D1845" s="663" t="s">
        <v>830</v>
      </c>
      <c r="E1845" s="664" t="s">
        <v>831</v>
      </c>
      <c r="F1845" s="665"/>
      <c r="G1845" s="663">
        <v>15</v>
      </c>
      <c r="H1845" s="662" t="s">
        <v>807</v>
      </c>
      <c r="I1845" s="666" t="s">
        <v>859</v>
      </c>
      <c r="J1845" s="667" t="s">
        <v>805</v>
      </c>
      <c r="K1845" s="662">
        <v>13</v>
      </c>
      <c r="L1845" s="685">
        <f t="shared" si="53"/>
        <v>14.1</v>
      </c>
      <c r="M1845" s="686">
        <f t="shared" si="54"/>
        <v>183.29999999999998</v>
      </c>
    </row>
    <row r="1846" spans="2:13" s="645" customFormat="1" ht="21.75" customHeight="1">
      <c r="B1846" s="661">
        <v>44421</v>
      </c>
      <c r="C1846" s="662" t="s">
        <v>819</v>
      </c>
      <c r="D1846" s="663" t="s">
        <v>850</v>
      </c>
      <c r="E1846" s="664" t="s">
        <v>831</v>
      </c>
      <c r="F1846" s="665"/>
      <c r="G1846" s="663">
        <v>15</v>
      </c>
      <c r="H1846" s="662" t="s">
        <v>807</v>
      </c>
      <c r="I1846" s="666" t="s">
        <v>859</v>
      </c>
      <c r="J1846" s="667" t="s">
        <v>805</v>
      </c>
      <c r="K1846" s="662">
        <v>11</v>
      </c>
      <c r="L1846" s="685">
        <f t="shared" si="53"/>
        <v>14.1</v>
      </c>
      <c r="M1846" s="686">
        <f t="shared" si="54"/>
        <v>155.1</v>
      </c>
    </row>
    <row r="1847" spans="2:13" s="645" customFormat="1" ht="21.75" customHeight="1">
      <c r="B1847" s="661">
        <v>44421</v>
      </c>
      <c r="C1847" s="662" t="s">
        <v>819</v>
      </c>
      <c r="D1847" s="663" t="s">
        <v>839</v>
      </c>
      <c r="E1847" s="664" t="s">
        <v>831</v>
      </c>
      <c r="F1847" s="665"/>
      <c r="G1847" s="663">
        <v>15</v>
      </c>
      <c r="H1847" s="662" t="s">
        <v>807</v>
      </c>
      <c r="I1847" s="666" t="s">
        <v>859</v>
      </c>
      <c r="J1847" s="667" t="s">
        <v>805</v>
      </c>
      <c r="K1847" s="662">
        <v>13</v>
      </c>
      <c r="L1847" s="685">
        <f t="shared" si="53"/>
        <v>14.1</v>
      </c>
      <c r="M1847" s="686">
        <f t="shared" si="54"/>
        <v>183.29999999999998</v>
      </c>
    </row>
    <row r="1848" spans="2:13" s="645" customFormat="1" ht="21.75" customHeight="1">
      <c r="B1848" s="661">
        <v>44421</v>
      </c>
      <c r="C1848" s="662" t="s">
        <v>819</v>
      </c>
      <c r="D1848" s="663" t="s">
        <v>845</v>
      </c>
      <c r="E1848" s="664" t="s">
        <v>831</v>
      </c>
      <c r="F1848" s="665"/>
      <c r="G1848" s="663">
        <v>17</v>
      </c>
      <c r="H1848" s="662" t="s">
        <v>807</v>
      </c>
      <c r="I1848" s="666" t="s">
        <v>861</v>
      </c>
      <c r="J1848" s="667" t="s">
        <v>805</v>
      </c>
      <c r="K1848" s="662">
        <v>1</v>
      </c>
      <c r="L1848" s="685">
        <f t="shared" si="53"/>
        <v>15.98</v>
      </c>
      <c r="M1848" s="686">
        <f t="shared" si="54"/>
        <v>15.98</v>
      </c>
    </row>
    <row r="1849" spans="2:13" s="645" customFormat="1" ht="21.75" customHeight="1">
      <c r="B1849" s="661">
        <v>44421</v>
      </c>
      <c r="C1849" s="662" t="s">
        <v>819</v>
      </c>
      <c r="D1849" s="663" t="s">
        <v>847</v>
      </c>
      <c r="E1849" s="664" t="s">
        <v>831</v>
      </c>
      <c r="F1849" s="665"/>
      <c r="G1849" s="663">
        <v>17</v>
      </c>
      <c r="H1849" s="662" t="s">
        <v>807</v>
      </c>
      <c r="I1849" s="666" t="s">
        <v>859</v>
      </c>
      <c r="J1849" s="667" t="s">
        <v>805</v>
      </c>
      <c r="K1849" s="662">
        <v>8</v>
      </c>
      <c r="L1849" s="685">
        <f t="shared" si="53"/>
        <v>15.98</v>
      </c>
      <c r="M1849" s="686">
        <f t="shared" si="54"/>
        <v>127.84</v>
      </c>
    </row>
    <row r="1850" spans="2:13" s="645" customFormat="1" ht="21.75" customHeight="1">
      <c r="B1850" s="661">
        <v>44421</v>
      </c>
      <c r="C1850" s="662" t="s">
        <v>819</v>
      </c>
      <c r="D1850" s="663" t="s">
        <v>847</v>
      </c>
      <c r="E1850" s="664" t="s">
        <v>831</v>
      </c>
      <c r="F1850" s="665"/>
      <c r="G1850" s="663">
        <v>17</v>
      </c>
      <c r="H1850" s="662" t="s">
        <v>807</v>
      </c>
      <c r="I1850" s="666" t="s">
        <v>861</v>
      </c>
      <c r="J1850" s="667" t="s">
        <v>805</v>
      </c>
      <c r="K1850" s="662">
        <v>4</v>
      </c>
      <c r="L1850" s="685">
        <f t="shared" si="53"/>
        <v>15.98</v>
      </c>
      <c r="M1850" s="686">
        <f t="shared" si="54"/>
        <v>63.92</v>
      </c>
    </row>
    <row r="1851" spans="2:13" s="645" customFormat="1" ht="21.75" customHeight="1">
      <c r="B1851" s="661">
        <v>44421</v>
      </c>
      <c r="C1851" s="662" t="s">
        <v>819</v>
      </c>
      <c r="D1851" s="663" t="s">
        <v>856</v>
      </c>
      <c r="E1851" s="664" t="s">
        <v>831</v>
      </c>
      <c r="F1851" s="665"/>
      <c r="G1851" s="663">
        <v>20</v>
      </c>
      <c r="H1851" s="662" t="s">
        <v>807</v>
      </c>
      <c r="I1851" s="666" t="s">
        <v>859</v>
      </c>
      <c r="J1851" s="667" t="s">
        <v>805</v>
      </c>
      <c r="K1851" s="662">
        <v>10</v>
      </c>
      <c r="L1851" s="685">
        <f t="shared" si="53"/>
        <v>18.8</v>
      </c>
      <c r="M1851" s="686">
        <f t="shared" si="54"/>
        <v>188</v>
      </c>
    </row>
    <row r="1852" spans="2:13" s="645" customFormat="1" ht="21.75" customHeight="1">
      <c r="B1852" s="661">
        <v>44421</v>
      </c>
      <c r="C1852" s="662" t="s">
        <v>819</v>
      </c>
      <c r="D1852" s="663" t="s">
        <v>855</v>
      </c>
      <c r="E1852" s="664" t="s">
        <v>831</v>
      </c>
      <c r="F1852" s="665"/>
      <c r="G1852" s="663">
        <v>20</v>
      </c>
      <c r="H1852" s="662" t="s">
        <v>807</v>
      </c>
      <c r="I1852" s="666" t="s">
        <v>859</v>
      </c>
      <c r="J1852" s="667" t="s">
        <v>805</v>
      </c>
      <c r="K1852" s="662">
        <v>1</v>
      </c>
      <c r="L1852" s="685">
        <f t="shared" si="53"/>
        <v>18.8</v>
      </c>
      <c r="M1852" s="686">
        <f t="shared" si="54"/>
        <v>18.8</v>
      </c>
    </row>
    <row r="1853" spans="2:13" s="645" customFormat="1" ht="21.75" customHeight="1">
      <c r="B1853" s="661">
        <v>44421</v>
      </c>
      <c r="C1853" s="662" t="s">
        <v>819</v>
      </c>
      <c r="D1853" s="663" t="s">
        <v>855</v>
      </c>
      <c r="E1853" s="664" t="s">
        <v>831</v>
      </c>
      <c r="F1853" s="665"/>
      <c r="G1853" s="663">
        <v>20</v>
      </c>
      <c r="H1853" s="662" t="s">
        <v>807</v>
      </c>
      <c r="I1853" s="666" t="s">
        <v>861</v>
      </c>
      <c r="J1853" s="667" t="s">
        <v>805</v>
      </c>
      <c r="K1853" s="662">
        <v>10</v>
      </c>
      <c r="L1853" s="685">
        <f t="shared" si="53"/>
        <v>18.8</v>
      </c>
      <c r="M1853" s="686">
        <f t="shared" si="54"/>
        <v>188</v>
      </c>
    </row>
    <row r="1854" spans="2:13" s="645" customFormat="1" ht="21.75" customHeight="1">
      <c r="B1854" s="661">
        <v>44421</v>
      </c>
      <c r="C1854" s="662" t="s">
        <v>837</v>
      </c>
      <c r="D1854" s="663" t="s">
        <v>840</v>
      </c>
      <c r="E1854" s="664" t="s">
        <v>831</v>
      </c>
      <c r="F1854" s="665"/>
      <c r="G1854" s="663">
        <v>20</v>
      </c>
      <c r="H1854" s="662" t="s">
        <v>807</v>
      </c>
      <c r="I1854" s="666" t="s">
        <v>861</v>
      </c>
      <c r="J1854" s="667" t="s">
        <v>805</v>
      </c>
      <c r="K1854" s="662">
        <v>11</v>
      </c>
      <c r="L1854" s="685">
        <f t="shared" si="53"/>
        <v>18.8</v>
      </c>
      <c r="M1854" s="686">
        <f t="shared" si="54"/>
        <v>206.8</v>
      </c>
    </row>
    <row r="1855" spans="2:13" s="645" customFormat="1" ht="21.75" customHeight="1">
      <c r="B1855" s="661">
        <v>44421</v>
      </c>
      <c r="C1855" s="662" t="s">
        <v>837</v>
      </c>
      <c r="D1855" s="663" t="s">
        <v>848</v>
      </c>
      <c r="E1855" s="664" t="s">
        <v>831</v>
      </c>
      <c r="F1855" s="665"/>
      <c r="G1855" s="663">
        <v>20</v>
      </c>
      <c r="H1855" s="662" t="s">
        <v>807</v>
      </c>
      <c r="I1855" s="666" t="s">
        <v>859</v>
      </c>
      <c r="J1855" s="667" t="s">
        <v>805</v>
      </c>
      <c r="K1855" s="662">
        <v>8</v>
      </c>
      <c r="L1855" s="685">
        <f t="shared" si="53"/>
        <v>18.8</v>
      </c>
      <c r="M1855" s="686">
        <f t="shared" si="54"/>
        <v>150.4</v>
      </c>
    </row>
    <row r="1856" spans="2:13" s="645" customFormat="1" ht="21.75" customHeight="1">
      <c r="B1856" s="661">
        <v>44421</v>
      </c>
      <c r="C1856" s="662" t="s">
        <v>837</v>
      </c>
      <c r="D1856" s="663" t="s">
        <v>848</v>
      </c>
      <c r="E1856" s="664" t="s">
        <v>831</v>
      </c>
      <c r="F1856" s="665"/>
      <c r="G1856" s="663">
        <v>20</v>
      </c>
      <c r="H1856" s="662" t="s">
        <v>807</v>
      </c>
      <c r="I1856" s="666" t="s">
        <v>861</v>
      </c>
      <c r="J1856" s="667" t="s">
        <v>805</v>
      </c>
      <c r="K1856" s="662">
        <v>5</v>
      </c>
      <c r="L1856" s="685">
        <f t="shared" si="53"/>
        <v>18.8</v>
      </c>
      <c r="M1856" s="686">
        <f t="shared" si="54"/>
        <v>94</v>
      </c>
    </row>
    <row r="1857" spans="2:13" s="645" customFormat="1" ht="21.75" customHeight="1">
      <c r="B1857" s="661">
        <v>44421</v>
      </c>
      <c r="C1857" s="662" t="s">
        <v>837</v>
      </c>
      <c r="D1857" s="663" t="s">
        <v>830</v>
      </c>
      <c r="E1857" s="664" t="s">
        <v>831</v>
      </c>
      <c r="F1857" s="665"/>
      <c r="G1857" s="663">
        <v>15</v>
      </c>
      <c r="H1857" s="662" t="s">
        <v>807</v>
      </c>
      <c r="I1857" s="666" t="s">
        <v>859</v>
      </c>
      <c r="J1857" s="667" t="s">
        <v>805</v>
      </c>
      <c r="K1857" s="662">
        <v>10</v>
      </c>
      <c r="L1857" s="685">
        <f t="shared" si="53"/>
        <v>14.1</v>
      </c>
      <c r="M1857" s="686">
        <f t="shared" si="54"/>
        <v>141</v>
      </c>
    </row>
    <row r="1858" spans="2:13" s="645" customFormat="1" ht="21.75" customHeight="1">
      <c r="B1858" s="661">
        <v>44421</v>
      </c>
      <c r="C1858" s="662" t="s">
        <v>837</v>
      </c>
      <c r="D1858" s="663" t="s">
        <v>830</v>
      </c>
      <c r="E1858" s="664" t="s">
        <v>831</v>
      </c>
      <c r="F1858" s="665"/>
      <c r="G1858" s="663">
        <v>15</v>
      </c>
      <c r="H1858" s="662" t="s">
        <v>807</v>
      </c>
      <c r="I1858" s="666" t="s">
        <v>861</v>
      </c>
      <c r="J1858" s="667" t="s">
        <v>805</v>
      </c>
      <c r="K1858" s="662">
        <v>3</v>
      </c>
      <c r="L1858" s="685">
        <f t="shared" si="53"/>
        <v>14.1</v>
      </c>
      <c r="M1858" s="686">
        <f t="shared" si="54"/>
        <v>42.3</v>
      </c>
    </row>
    <row r="1859" spans="2:13" s="645" customFormat="1" ht="21.75" customHeight="1">
      <c r="B1859" s="661">
        <v>44421</v>
      </c>
      <c r="C1859" s="662" t="s">
        <v>837</v>
      </c>
      <c r="D1859" s="663" t="s">
        <v>850</v>
      </c>
      <c r="E1859" s="664" t="s">
        <v>831</v>
      </c>
      <c r="F1859" s="665"/>
      <c r="G1859" s="663">
        <v>15</v>
      </c>
      <c r="H1859" s="662" t="s">
        <v>807</v>
      </c>
      <c r="I1859" s="666" t="s">
        <v>859</v>
      </c>
      <c r="J1859" s="667" t="s">
        <v>805</v>
      </c>
      <c r="K1859" s="662">
        <v>7</v>
      </c>
      <c r="L1859" s="685">
        <f t="shared" si="53"/>
        <v>14.1</v>
      </c>
      <c r="M1859" s="686">
        <f t="shared" si="54"/>
        <v>98.7</v>
      </c>
    </row>
    <row r="1860" spans="2:13" s="645" customFormat="1" ht="21.75" customHeight="1">
      <c r="B1860" s="661">
        <v>44421</v>
      </c>
      <c r="C1860" s="662" t="s">
        <v>837</v>
      </c>
      <c r="D1860" s="663" t="s">
        <v>850</v>
      </c>
      <c r="E1860" s="664" t="s">
        <v>831</v>
      </c>
      <c r="F1860" s="665"/>
      <c r="G1860" s="663">
        <v>15</v>
      </c>
      <c r="H1860" s="662" t="s">
        <v>807</v>
      </c>
      <c r="I1860" s="666" t="s">
        <v>861</v>
      </c>
      <c r="J1860" s="667" t="s">
        <v>805</v>
      </c>
      <c r="K1860" s="662">
        <v>5</v>
      </c>
      <c r="L1860" s="685">
        <f t="shared" si="53"/>
        <v>14.1</v>
      </c>
      <c r="M1860" s="686">
        <f t="shared" si="54"/>
        <v>70.5</v>
      </c>
    </row>
    <row r="1861" spans="2:13" s="645" customFormat="1" ht="21.75" customHeight="1">
      <c r="B1861" s="661">
        <v>44421</v>
      </c>
      <c r="C1861" s="662" t="s">
        <v>837</v>
      </c>
      <c r="D1861" s="663" t="s">
        <v>845</v>
      </c>
      <c r="E1861" s="664" t="s">
        <v>831</v>
      </c>
      <c r="F1861" s="665"/>
      <c r="G1861" s="663">
        <v>17</v>
      </c>
      <c r="H1861" s="662" t="s">
        <v>807</v>
      </c>
      <c r="I1861" s="666" t="s">
        <v>859</v>
      </c>
      <c r="J1861" s="667" t="s">
        <v>805</v>
      </c>
      <c r="K1861" s="662">
        <v>13</v>
      </c>
      <c r="L1861" s="685">
        <f t="shared" si="53"/>
        <v>15.98</v>
      </c>
      <c r="M1861" s="686">
        <f t="shared" si="54"/>
        <v>207.74</v>
      </c>
    </row>
    <row r="1862" spans="2:13" s="645" customFormat="1" ht="21.75" customHeight="1">
      <c r="B1862" s="661">
        <v>44421</v>
      </c>
      <c r="C1862" s="662" t="s">
        <v>837</v>
      </c>
      <c r="D1862" s="663" t="s">
        <v>856</v>
      </c>
      <c r="E1862" s="664" t="s">
        <v>831</v>
      </c>
      <c r="F1862" s="665"/>
      <c r="G1862" s="663">
        <v>20</v>
      </c>
      <c r="H1862" s="662" t="s">
        <v>807</v>
      </c>
      <c r="I1862" s="666" t="s">
        <v>859</v>
      </c>
      <c r="J1862" s="667" t="s">
        <v>805</v>
      </c>
      <c r="K1862" s="662">
        <v>14</v>
      </c>
      <c r="L1862" s="685">
        <f t="shared" si="53"/>
        <v>18.8</v>
      </c>
      <c r="M1862" s="686">
        <f t="shared" si="54"/>
        <v>263.2</v>
      </c>
    </row>
    <row r="1863" spans="2:13" s="645" customFormat="1" ht="21.75" customHeight="1">
      <c r="B1863" s="661">
        <v>44421</v>
      </c>
      <c r="C1863" s="662" t="s">
        <v>837</v>
      </c>
      <c r="D1863" s="663" t="s">
        <v>855</v>
      </c>
      <c r="E1863" s="664" t="s">
        <v>831</v>
      </c>
      <c r="F1863" s="665"/>
      <c r="G1863" s="663">
        <v>20</v>
      </c>
      <c r="H1863" s="662" t="s">
        <v>807</v>
      </c>
      <c r="I1863" s="666" t="s">
        <v>859</v>
      </c>
      <c r="J1863" s="667" t="s">
        <v>805</v>
      </c>
      <c r="K1863" s="662">
        <v>10</v>
      </c>
      <c r="L1863" s="685">
        <f t="shared" si="53"/>
        <v>18.8</v>
      </c>
      <c r="M1863" s="686">
        <f t="shared" si="54"/>
        <v>188</v>
      </c>
    </row>
    <row r="1864" spans="2:13" s="645" customFormat="1" ht="21.75" customHeight="1">
      <c r="B1864" s="661">
        <v>44421</v>
      </c>
      <c r="C1864" s="662" t="s">
        <v>837</v>
      </c>
      <c r="D1864" s="663" t="s">
        <v>855</v>
      </c>
      <c r="E1864" s="664" t="s">
        <v>831</v>
      </c>
      <c r="F1864" s="665"/>
      <c r="G1864" s="663">
        <v>20</v>
      </c>
      <c r="H1864" s="662" t="s">
        <v>807</v>
      </c>
      <c r="I1864" s="666" t="s">
        <v>861</v>
      </c>
      <c r="J1864" s="667" t="s">
        <v>805</v>
      </c>
      <c r="K1864" s="662">
        <v>3</v>
      </c>
      <c r="L1864" s="685">
        <f t="shared" si="53"/>
        <v>18.8</v>
      </c>
      <c r="M1864" s="686">
        <f t="shared" si="54"/>
        <v>56.400000000000006</v>
      </c>
    </row>
    <row r="1865" spans="2:13" s="645" customFormat="1" ht="21.75" customHeight="1">
      <c r="B1865" s="661">
        <v>44421</v>
      </c>
      <c r="C1865" s="662" t="s">
        <v>819</v>
      </c>
      <c r="D1865" s="663" t="s">
        <v>848</v>
      </c>
      <c r="E1865" s="664" t="s">
        <v>831</v>
      </c>
      <c r="F1865" s="665"/>
      <c r="G1865" s="663">
        <v>20</v>
      </c>
      <c r="H1865" s="662" t="s">
        <v>806</v>
      </c>
      <c r="I1865" s="666" t="s">
        <v>862</v>
      </c>
      <c r="J1865" s="667" t="s">
        <v>852</v>
      </c>
      <c r="K1865" s="662">
        <v>15</v>
      </c>
      <c r="L1865" s="685">
        <f t="shared" ref="L1865:L1928" si="55">VLOOKUP(G1865,$Q$4:$V$7,6,FALSE)</f>
        <v>18.8</v>
      </c>
      <c r="M1865" s="686">
        <f t="shared" si="54"/>
        <v>282</v>
      </c>
    </row>
    <row r="1866" spans="2:13" s="645" customFormat="1" ht="21.75" customHeight="1">
      <c r="B1866" s="661">
        <v>44421</v>
      </c>
      <c r="C1866" s="662" t="s">
        <v>819</v>
      </c>
      <c r="D1866" s="663" t="s">
        <v>844</v>
      </c>
      <c r="E1866" s="664" t="s">
        <v>831</v>
      </c>
      <c r="F1866" s="665"/>
      <c r="G1866" s="663">
        <v>15</v>
      </c>
      <c r="H1866" s="662" t="s">
        <v>806</v>
      </c>
      <c r="I1866" s="666" t="s">
        <v>862</v>
      </c>
      <c r="J1866" s="667" t="s">
        <v>852</v>
      </c>
      <c r="K1866" s="662">
        <v>19</v>
      </c>
      <c r="L1866" s="685">
        <f t="shared" si="55"/>
        <v>14.1</v>
      </c>
      <c r="M1866" s="686">
        <f t="shared" si="54"/>
        <v>267.89999999999998</v>
      </c>
    </row>
    <row r="1867" spans="2:13" s="645" customFormat="1" ht="21.75" customHeight="1">
      <c r="B1867" s="661">
        <v>44421</v>
      </c>
      <c r="C1867" s="662" t="s">
        <v>819</v>
      </c>
      <c r="D1867" s="663" t="s">
        <v>845</v>
      </c>
      <c r="E1867" s="664" t="s">
        <v>831</v>
      </c>
      <c r="F1867" s="665"/>
      <c r="G1867" s="663">
        <v>17</v>
      </c>
      <c r="H1867" s="662" t="s">
        <v>806</v>
      </c>
      <c r="I1867" s="666" t="s">
        <v>862</v>
      </c>
      <c r="J1867" s="667" t="s">
        <v>852</v>
      </c>
      <c r="K1867" s="662">
        <v>21</v>
      </c>
      <c r="L1867" s="685">
        <f t="shared" si="55"/>
        <v>15.98</v>
      </c>
      <c r="M1867" s="686">
        <f t="shared" si="54"/>
        <v>335.58</v>
      </c>
    </row>
    <row r="1868" spans="2:13" s="645" customFormat="1" ht="21.75" customHeight="1">
      <c r="B1868" s="661">
        <v>44422</v>
      </c>
      <c r="C1868" s="662" t="s">
        <v>837</v>
      </c>
      <c r="D1868" s="663" t="s">
        <v>849</v>
      </c>
      <c r="E1868" s="664" t="s">
        <v>831</v>
      </c>
      <c r="F1868" s="661"/>
      <c r="G1868" s="663">
        <v>20</v>
      </c>
      <c r="H1868" s="662" t="s">
        <v>807</v>
      </c>
      <c r="I1868" s="666" t="s">
        <v>861</v>
      </c>
      <c r="J1868" s="667" t="s">
        <v>804</v>
      </c>
      <c r="K1868" s="662">
        <v>11</v>
      </c>
      <c r="L1868" s="679">
        <f t="shared" si="55"/>
        <v>18.8</v>
      </c>
      <c r="M1868" s="668">
        <f t="shared" si="54"/>
        <v>206.8</v>
      </c>
    </row>
    <row r="1869" spans="2:13" s="645" customFormat="1" ht="21.75" customHeight="1">
      <c r="B1869" s="661">
        <v>44422</v>
      </c>
      <c r="C1869" s="662" t="s">
        <v>837</v>
      </c>
      <c r="D1869" s="663" t="s">
        <v>835</v>
      </c>
      <c r="E1869" s="664" t="s">
        <v>831</v>
      </c>
      <c r="F1869" s="661"/>
      <c r="G1869" s="663">
        <v>20</v>
      </c>
      <c r="H1869" s="662" t="s">
        <v>807</v>
      </c>
      <c r="I1869" s="666" t="s">
        <v>861</v>
      </c>
      <c r="J1869" s="667" t="s">
        <v>804</v>
      </c>
      <c r="K1869" s="662">
        <v>11</v>
      </c>
      <c r="L1869" s="679">
        <f t="shared" si="55"/>
        <v>18.8</v>
      </c>
      <c r="M1869" s="668">
        <f t="shared" si="54"/>
        <v>206.8</v>
      </c>
    </row>
    <row r="1870" spans="2:13" s="645" customFormat="1" ht="21.75" customHeight="1">
      <c r="B1870" s="661">
        <v>44422</v>
      </c>
      <c r="C1870" s="662" t="s">
        <v>837</v>
      </c>
      <c r="D1870" s="663" t="s">
        <v>841</v>
      </c>
      <c r="E1870" s="664" t="s">
        <v>831</v>
      </c>
      <c r="F1870" s="661"/>
      <c r="G1870" s="663">
        <v>20</v>
      </c>
      <c r="H1870" s="662" t="s">
        <v>807</v>
      </c>
      <c r="I1870" s="666" t="s">
        <v>861</v>
      </c>
      <c r="J1870" s="667" t="s">
        <v>804</v>
      </c>
      <c r="K1870" s="662">
        <v>11</v>
      </c>
      <c r="L1870" s="679">
        <f t="shared" si="55"/>
        <v>18.8</v>
      </c>
      <c r="M1870" s="668">
        <f t="shared" si="54"/>
        <v>206.8</v>
      </c>
    </row>
    <row r="1871" spans="2:13" s="645" customFormat="1" ht="21.75" customHeight="1">
      <c r="B1871" s="661">
        <v>44422</v>
      </c>
      <c r="C1871" s="662" t="s">
        <v>837</v>
      </c>
      <c r="D1871" s="663" t="s">
        <v>834</v>
      </c>
      <c r="E1871" s="664" t="s">
        <v>831</v>
      </c>
      <c r="F1871" s="661"/>
      <c r="G1871" s="663">
        <v>20</v>
      </c>
      <c r="H1871" s="662" t="s">
        <v>807</v>
      </c>
      <c r="I1871" s="666" t="s">
        <v>861</v>
      </c>
      <c r="J1871" s="667" t="s">
        <v>804</v>
      </c>
      <c r="K1871" s="662">
        <v>12</v>
      </c>
      <c r="L1871" s="679">
        <f t="shared" si="55"/>
        <v>18.8</v>
      </c>
      <c r="M1871" s="668">
        <f t="shared" si="54"/>
        <v>225.60000000000002</v>
      </c>
    </row>
    <row r="1872" spans="2:13" s="645" customFormat="1" ht="21.75" customHeight="1">
      <c r="B1872" s="661">
        <v>44422</v>
      </c>
      <c r="C1872" s="662" t="s">
        <v>837</v>
      </c>
      <c r="D1872" s="663" t="s">
        <v>848</v>
      </c>
      <c r="E1872" s="664" t="s">
        <v>831</v>
      </c>
      <c r="F1872" s="661"/>
      <c r="G1872" s="663">
        <v>20</v>
      </c>
      <c r="H1872" s="662" t="s">
        <v>807</v>
      </c>
      <c r="I1872" s="666" t="s">
        <v>861</v>
      </c>
      <c r="J1872" s="667" t="s">
        <v>804</v>
      </c>
      <c r="K1872" s="662">
        <v>11</v>
      </c>
      <c r="L1872" s="679">
        <f t="shared" si="55"/>
        <v>18.8</v>
      </c>
      <c r="M1872" s="668">
        <f t="shared" si="54"/>
        <v>206.8</v>
      </c>
    </row>
    <row r="1873" spans="2:13" s="645" customFormat="1" ht="21.75" customHeight="1">
      <c r="B1873" s="661">
        <v>44422</v>
      </c>
      <c r="C1873" s="662" t="s">
        <v>837</v>
      </c>
      <c r="D1873" s="663" t="s">
        <v>836</v>
      </c>
      <c r="E1873" s="664" t="s">
        <v>831</v>
      </c>
      <c r="F1873" s="661"/>
      <c r="G1873" s="663">
        <v>20</v>
      </c>
      <c r="H1873" s="662" t="s">
        <v>807</v>
      </c>
      <c r="I1873" s="666" t="s">
        <v>861</v>
      </c>
      <c r="J1873" s="667" t="s">
        <v>804</v>
      </c>
      <c r="K1873" s="662">
        <v>11</v>
      </c>
      <c r="L1873" s="679">
        <f t="shared" si="55"/>
        <v>18.8</v>
      </c>
      <c r="M1873" s="668">
        <f t="shared" si="54"/>
        <v>206.8</v>
      </c>
    </row>
    <row r="1874" spans="2:13" s="645" customFormat="1" ht="21.75" customHeight="1">
      <c r="B1874" s="661">
        <v>44422</v>
      </c>
      <c r="C1874" s="662" t="s">
        <v>837</v>
      </c>
      <c r="D1874" s="663" t="s">
        <v>850</v>
      </c>
      <c r="E1874" s="664" t="s">
        <v>831</v>
      </c>
      <c r="F1874" s="661"/>
      <c r="G1874" s="663">
        <v>15</v>
      </c>
      <c r="H1874" s="662" t="s">
        <v>807</v>
      </c>
      <c r="I1874" s="666" t="s">
        <v>861</v>
      </c>
      <c r="J1874" s="667" t="s">
        <v>804</v>
      </c>
      <c r="K1874" s="662">
        <v>11</v>
      </c>
      <c r="L1874" s="679">
        <f t="shared" si="55"/>
        <v>14.1</v>
      </c>
      <c r="M1874" s="668">
        <f t="shared" si="54"/>
        <v>155.1</v>
      </c>
    </row>
    <row r="1875" spans="2:13" s="645" customFormat="1" ht="21.75" customHeight="1">
      <c r="B1875" s="661">
        <v>44422</v>
      </c>
      <c r="C1875" s="662" t="s">
        <v>837</v>
      </c>
      <c r="D1875" s="663" t="s">
        <v>847</v>
      </c>
      <c r="E1875" s="664" t="s">
        <v>831</v>
      </c>
      <c r="F1875" s="661"/>
      <c r="G1875" s="663">
        <v>17</v>
      </c>
      <c r="H1875" s="662" t="s">
        <v>807</v>
      </c>
      <c r="I1875" s="666" t="s">
        <v>861</v>
      </c>
      <c r="J1875" s="667" t="s">
        <v>804</v>
      </c>
      <c r="K1875" s="662">
        <v>10</v>
      </c>
      <c r="L1875" s="679">
        <f t="shared" si="55"/>
        <v>15.98</v>
      </c>
      <c r="M1875" s="668">
        <f t="shared" si="54"/>
        <v>159.80000000000001</v>
      </c>
    </row>
    <row r="1876" spans="2:13" s="645" customFormat="1" ht="21.75" customHeight="1">
      <c r="B1876" s="661">
        <v>44422</v>
      </c>
      <c r="C1876" s="662" t="s">
        <v>837</v>
      </c>
      <c r="D1876" s="663" t="s">
        <v>856</v>
      </c>
      <c r="E1876" s="664" t="s">
        <v>831</v>
      </c>
      <c r="F1876" s="661"/>
      <c r="G1876" s="663">
        <v>20</v>
      </c>
      <c r="H1876" s="662" t="s">
        <v>807</v>
      </c>
      <c r="I1876" s="666" t="s">
        <v>861</v>
      </c>
      <c r="J1876" s="667" t="s">
        <v>804</v>
      </c>
      <c r="K1876" s="662">
        <v>12</v>
      </c>
      <c r="L1876" s="679">
        <f t="shared" si="55"/>
        <v>18.8</v>
      </c>
      <c r="M1876" s="668">
        <f t="shared" si="54"/>
        <v>225.60000000000002</v>
      </c>
    </row>
    <row r="1877" spans="2:13" s="645" customFormat="1" ht="21.75" customHeight="1">
      <c r="B1877" s="661">
        <v>44422</v>
      </c>
      <c r="C1877" s="662" t="s">
        <v>837</v>
      </c>
      <c r="D1877" s="663" t="s">
        <v>855</v>
      </c>
      <c r="E1877" s="664" t="s">
        <v>831</v>
      </c>
      <c r="F1877" s="661"/>
      <c r="G1877" s="663">
        <v>20</v>
      </c>
      <c r="H1877" s="662" t="s">
        <v>807</v>
      </c>
      <c r="I1877" s="666" t="s">
        <v>861</v>
      </c>
      <c r="J1877" s="667" t="s">
        <v>804</v>
      </c>
      <c r="K1877" s="662">
        <v>12</v>
      </c>
      <c r="L1877" s="679">
        <f t="shared" si="55"/>
        <v>18.8</v>
      </c>
      <c r="M1877" s="668">
        <f t="shared" si="54"/>
        <v>225.60000000000002</v>
      </c>
    </row>
    <row r="1878" spans="2:13" s="645" customFormat="1" ht="21.75" customHeight="1">
      <c r="B1878" s="661">
        <v>44422</v>
      </c>
      <c r="C1878" s="662" t="s">
        <v>819</v>
      </c>
      <c r="D1878" s="663" t="s">
        <v>849</v>
      </c>
      <c r="E1878" s="664" t="s">
        <v>831</v>
      </c>
      <c r="F1878" s="665"/>
      <c r="G1878" s="663">
        <v>20</v>
      </c>
      <c r="H1878" s="662" t="s">
        <v>807</v>
      </c>
      <c r="I1878" s="666" t="s">
        <v>859</v>
      </c>
      <c r="J1878" s="667" t="s">
        <v>805</v>
      </c>
      <c r="K1878" s="662">
        <v>13</v>
      </c>
      <c r="L1878" s="685">
        <f t="shared" si="55"/>
        <v>18.8</v>
      </c>
      <c r="M1878" s="686">
        <f t="shared" si="54"/>
        <v>244.4</v>
      </c>
    </row>
    <row r="1879" spans="2:13" s="645" customFormat="1" ht="21.75" customHeight="1">
      <c r="B1879" s="661">
        <v>44422</v>
      </c>
      <c r="C1879" s="662" t="s">
        <v>819</v>
      </c>
      <c r="D1879" s="663" t="s">
        <v>840</v>
      </c>
      <c r="E1879" s="664" t="s">
        <v>831</v>
      </c>
      <c r="F1879" s="665"/>
      <c r="G1879" s="663">
        <v>20</v>
      </c>
      <c r="H1879" s="662" t="s">
        <v>807</v>
      </c>
      <c r="I1879" s="666" t="s">
        <v>859</v>
      </c>
      <c r="J1879" s="667" t="s">
        <v>805</v>
      </c>
      <c r="K1879" s="662">
        <v>1</v>
      </c>
      <c r="L1879" s="685">
        <f t="shared" si="55"/>
        <v>18.8</v>
      </c>
      <c r="M1879" s="686">
        <f t="shared" si="54"/>
        <v>18.8</v>
      </c>
    </row>
    <row r="1880" spans="2:13" s="645" customFormat="1" ht="21.75" customHeight="1">
      <c r="B1880" s="661">
        <v>44422</v>
      </c>
      <c r="C1880" s="662" t="s">
        <v>819</v>
      </c>
      <c r="D1880" s="663" t="s">
        <v>840</v>
      </c>
      <c r="E1880" s="664" t="s">
        <v>831</v>
      </c>
      <c r="F1880" s="665"/>
      <c r="G1880" s="663">
        <v>20</v>
      </c>
      <c r="H1880" s="662" t="s">
        <v>807</v>
      </c>
      <c r="I1880" s="666" t="s">
        <v>861</v>
      </c>
      <c r="J1880" s="667" t="s">
        <v>805</v>
      </c>
      <c r="K1880" s="662">
        <v>7</v>
      </c>
      <c r="L1880" s="685">
        <f t="shared" si="55"/>
        <v>18.8</v>
      </c>
      <c r="M1880" s="686">
        <f t="shared" si="54"/>
        <v>131.6</v>
      </c>
    </row>
    <row r="1881" spans="2:13" s="645" customFormat="1" ht="21.75" customHeight="1">
      <c r="B1881" s="661">
        <v>44422</v>
      </c>
      <c r="C1881" s="662" t="s">
        <v>819</v>
      </c>
      <c r="D1881" s="663" t="s">
        <v>835</v>
      </c>
      <c r="E1881" s="664" t="s">
        <v>831</v>
      </c>
      <c r="F1881" s="665"/>
      <c r="G1881" s="663">
        <v>20</v>
      </c>
      <c r="H1881" s="662" t="s">
        <v>807</v>
      </c>
      <c r="I1881" s="666" t="s">
        <v>859</v>
      </c>
      <c r="J1881" s="667" t="s">
        <v>805</v>
      </c>
      <c r="K1881" s="662">
        <v>13</v>
      </c>
      <c r="L1881" s="685">
        <f t="shared" si="55"/>
        <v>18.8</v>
      </c>
      <c r="M1881" s="686">
        <f t="shared" si="54"/>
        <v>244.4</v>
      </c>
    </row>
    <row r="1882" spans="2:13" s="645" customFormat="1" ht="21.75" customHeight="1">
      <c r="B1882" s="661">
        <v>44422</v>
      </c>
      <c r="C1882" s="662" t="s">
        <v>819</v>
      </c>
      <c r="D1882" s="663" t="s">
        <v>841</v>
      </c>
      <c r="E1882" s="664" t="s">
        <v>831</v>
      </c>
      <c r="F1882" s="665"/>
      <c r="G1882" s="663">
        <v>20</v>
      </c>
      <c r="H1882" s="662" t="s">
        <v>807</v>
      </c>
      <c r="I1882" s="666" t="s">
        <v>859</v>
      </c>
      <c r="J1882" s="667" t="s">
        <v>805</v>
      </c>
      <c r="K1882" s="662">
        <v>12</v>
      </c>
      <c r="L1882" s="685">
        <f t="shared" si="55"/>
        <v>18.8</v>
      </c>
      <c r="M1882" s="686">
        <f t="shared" si="54"/>
        <v>225.60000000000002</v>
      </c>
    </row>
    <row r="1883" spans="2:13" s="645" customFormat="1" ht="21.75" customHeight="1">
      <c r="B1883" s="661">
        <v>44422</v>
      </c>
      <c r="C1883" s="662" t="s">
        <v>819</v>
      </c>
      <c r="D1883" s="663" t="s">
        <v>834</v>
      </c>
      <c r="E1883" s="664" t="s">
        <v>831</v>
      </c>
      <c r="F1883" s="665"/>
      <c r="G1883" s="663">
        <v>20</v>
      </c>
      <c r="H1883" s="662" t="s">
        <v>807</v>
      </c>
      <c r="I1883" s="666" t="s">
        <v>859</v>
      </c>
      <c r="J1883" s="667" t="s">
        <v>805</v>
      </c>
      <c r="K1883" s="662">
        <v>12</v>
      </c>
      <c r="L1883" s="685">
        <f t="shared" si="55"/>
        <v>18.8</v>
      </c>
      <c r="M1883" s="686">
        <f t="shared" si="54"/>
        <v>225.60000000000002</v>
      </c>
    </row>
    <row r="1884" spans="2:13" s="645" customFormat="1" ht="21.75" customHeight="1">
      <c r="B1884" s="661">
        <v>44422</v>
      </c>
      <c r="C1884" s="662" t="s">
        <v>819</v>
      </c>
      <c r="D1884" s="663" t="s">
        <v>848</v>
      </c>
      <c r="E1884" s="664" t="s">
        <v>831</v>
      </c>
      <c r="F1884" s="665"/>
      <c r="G1884" s="663">
        <v>20</v>
      </c>
      <c r="H1884" s="662" t="s">
        <v>807</v>
      </c>
      <c r="I1884" s="666" t="s">
        <v>861</v>
      </c>
      <c r="J1884" s="667" t="s">
        <v>805</v>
      </c>
      <c r="K1884" s="662">
        <v>4</v>
      </c>
      <c r="L1884" s="685">
        <f t="shared" si="55"/>
        <v>18.8</v>
      </c>
      <c r="M1884" s="686">
        <f t="shared" si="54"/>
        <v>75.2</v>
      </c>
    </row>
    <row r="1885" spans="2:13" s="645" customFormat="1" ht="21.75" customHeight="1">
      <c r="B1885" s="661">
        <v>44422</v>
      </c>
      <c r="C1885" s="662" t="s">
        <v>819</v>
      </c>
      <c r="D1885" s="663" t="s">
        <v>836</v>
      </c>
      <c r="E1885" s="664" t="s">
        <v>831</v>
      </c>
      <c r="F1885" s="665"/>
      <c r="G1885" s="663">
        <v>20</v>
      </c>
      <c r="H1885" s="662" t="s">
        <v>807</v>
      </c>
      <c r="I1885" s="666" t="s">
        <v>861</v>
      </c>
      <c r="J1885" s="667" t="s">
        <v>805</v>
      </c>
      <c r="K1885" s="662">
        <v>8</v>
      </c>
      <c r="L1885" s="685">
        <f t="shared" si="55"/>
        <v>18.8</v>
      </c>
      <c r="M1885" s="686">
        <f t="shared" si="54"/>
        <v>150.4</v>
      </c>
    </row>
    <row r="1886" spans="2:13" s="645" customFormat="1" ht="21.75" customHeight="1">
      <c r="B1886" s="661">
        <v>44422</v>
      </c>
      <c r="C1886" s="662" t="s">
        <v>819</v>
      </c>
      <c r="D1886" s="663" t="s">
        <v>836</v>
      </c>
      <c r="E1886" s="664" t="s">
        <v>831</v>
      </c>
      <c r="F1886" s="665"/>
      <c r="G1886" s="663">
        <v>20</v>
      </c>
      <c r="H1886" s="662" t="s">
        <v>807</v>
      </c>
      <c r="I1886" s="666" t="s">
        <v>859</v>
      </c>
      <c r="J1886" s="667" t="s">
        <v>805</v>
      </c>
      <c r="K1886" s="662">
        <v>1</v>
      </c>
      <c r="L1886" s="685">
        <f t="shared" si="55"/>
        <v>18.8</v>
      </c>
      <c r="M1886" s="686">
        <f t="shared" si="54"/>
        <v>18.8</v>
      </c>
    </row>
    <row r="1887" spans="2:13" s="645" customFormat="1" ht="21.75" customHeight="1">
      <c r="B1887" s="661">
        <v>44422</v>
      </c>
      <c r="C1887" s="662" t="s">
        <v>819</v>
      </c>
      <c r="D1887" s="663" t="s">
        <v>833</v>
      </c>
      <c r="E1887" s="664" t="s">
        <v>831</v>
      </c>
      <c r="F1887" s="665"/>
      <c r="G1887" s="663">
        <v>15</v>
      </c>
      <c r="H1887" s="662" t="s">
        <v>807</v>
      </c>
      <c r="I1887" s="666" t="s">
        <v>859</v>
      </c>
      <c r="J1887" s="667" t="s">
        <v>805</v>
      </c>
      <c r="K1887" s="662">
        <v>1</v>
      </c>
      <c r="L1887" s="685">
        <f t="shared" si="55"/>
        <v>14.1</v>
      </c>
      <c r="M1887" s="686">
        <f t="shared" si="54"/>
        <v>14.1</v>
      </c>
    </row>
    <row r="1888" spans="2:13" s="645" customFormat="1" ht="21.75" customHeight="1">
      <c r="B1888" s="661">
        <v>44422</v>
      </c>
      <c r="C1888" s="662" t="s">
        <v>819</v>
      </c>
      <c r="D1888" s="663" t="s">
        <v>833</v>
      </c>
      <c r="E1888" s="664" t="s">
        <v>831</v>
      </c>
      <c r="F1888" s="665"/>
      <c r="G1888" s="663">
        <v>15</v>
      </c>
      <c r="H1888" s="662" t="s">
        <v>807</v>
      </c>
      <c r="I1888" s="666" t="s">
        <v>859</v>
      </c>
      <c r="J1888" s="667" t="s">
        <v>805</v>
      </c>
      <c r="K1888" s="662">
        <v>10</v>
      </c>
      <c r="L1888" s="685">
        <f t="shared" si="55"/>
        <v>14.1</v>
      </c>
      <c r="M1888" s="686">
        <f t="shared" si="54"/>
        <v>141</v>
      </c>
    </row>
    <row r="1889" spans="2:13" s="645" customFormat="1" ht="21.75" customHeight="1">
      <c r="B1889" s="661">
        <v>44422</v>
      </c>
      <c r="C1889" s="662" t="s">
        <v>819</v>
      </c>
      <c r="D1889" s="663" t="s">
        <v>830</v>
      </c>
      <c r="E1889" s="664" t="s">
        <v>831</v>
      </c>
      <c r="F1889" s="665"/>
      <c r="G1889" s="663">
        <v>15</v>
      </c>
      <c r="H1889" s="662" t="s">
        <v>807</v>
      </c>
      <c r="I1889" s="666" t="s">
        <v>859</v>
      </c>
      <c r="J1889" s="667" t="s">
        <v>805</v>
      </c>
      <c r="K1889" s="662">
        <v>5</v>
      </c>
      <c r="L1889" s="685">
        <f t="shared" si="55"/>
        <v>14.1</v>
      </c>
      <c r="M1889" s="686">
        <f t="shared" si="54"/>
        <v>70.5</v>
      </c>
    </row>
    <row r="1890" spans="2:13" s="645" customFormat="1" ht="21.75" customHeight="1">
      <c r="B1890" s="661">
        <v>44422</v>
      </c>
      <c r="C1890" s="662" t="s">
        <v>819</v>
      </c>
      <c r="D1890" s="663" t="s">
        <v>830</v>
      </c>
      <c r="E1890" s="664" t="s">
        <v>831</v>
      </c>
      <c r="F1890" s="665"/>
      <c r="G1890" s="663">
        <v>15</v>
      </c>
      <c r="H1890" s="662" t="s">
        <v>807</v>
      </c>
      <c r="I1890" s="666" t="s">
        <v>861</v>
      </c>
      <c r="J1890" s="667" t="s">
        <v>805</v>
      </c>
      <c r="K1890" s="662">
        <v>5</v>
      </c>
      <c r="L1890" s="685">
        <f t="shared" si="55"/>
        <v>14.1</v>
      </c>
      <c r="M1890" s="686">
        <f t="shared" si="54"/>
        <v>70.5</v>
      </c>
    </row>
    <row r="1891" spans="2:13" s="645" customFormat="1" ht="21.75" customHeight="1">
      <c r="B1891" s="661">
        <v>44422</v>
      </c>
      <c r="C1891" s="662" t="s">
        <v>819</v>
      </c>
      <c r="D1891" s="663" t="s">
        <v>830</v>
      </c>
      <c r="E1891" s="664" t="s">
        <v>831</v>
      </c>
      <c r="F1891" s="665"/>
      <c r="G1891" s="663">
        <v>15</v>
      </c>
      <c r="H1891" s="662" t="s">
        <v>807</v>
      </c>
      <c r="I1891" s="666" t="s">
        <v>832</v>
      </c>
      <c r="J1891" s="667" t="s">
        <v>805</v>
      </c>
      <c r="K1891" s="662">
        <v>2</v>
      </c>
      <c r="L1891" s="685">
        <f t="shared" si="55"/>
        <v>14.1</v>
      </c>
      <c r="M1891" s="686">
        <f t="shared" si="54"/>
        <v>28.2</v>
      </c>
    </row>
    <row r="1892" spans="2:13" s="645" customFormat="1" ht="21.75" customHeight="1">
      <c r="B1892" s="661">
        <v>44422</v>
      </c>
      <c r="C1892" s="662" t="s">
        <v>819</v>
      </c>
      <c r="D1892" s="663" t="s">
        <v>844</v>
      </c>
      <c r="E1892" s="664" t="s">
        <v>831</v>
      </c>
      <c r="F1892" s="665"/>
      <c r="G1892" s="663">
        <v>15</v>
      </c>
      <c r="H1892" s="662" t="s">
        <v>807</v>
      </c>
      <c r="I1892" s="666" t="s">
        <v>861</v>
      </c>
      <c r="J1892" s="667" t="s">
        <v>805</v>
      </c>
      <c r="K1892" s="662">
        <v>3</v>
      </c>
      <c r="L1892" s="685">
        <f t="shared" si="55"/>
        <v>14.1</v>
      </c>
      <c r="M1892" s="686">
        <f t="shared" si="54"/>
        <v>42.3</v>
      </c>
    </row>
    <row r="1893" spans="2:13" s="645" customFormat="1" ht="21.75" customHeight="1">
      <c r="B1893" s="661">
        <v>44422</v>
      </c>
      <c r="C1893" s="662" t="s">
        <v>819</v>
      </c>
      <c r="D1893" s="663" t="s">
        <v>844</v>
      </c>
      <c r="E1893" s="664" t="s">
        <v>831</v>
      </c>
      <c r="F1893" s="665"/>
      <c r="G1893" s="663">
        <v>15</v>
      </c>
      <c r="H1893" s="662" t="s">
        <v>807</v>
      </c>
      <c r="I1893" s="666" t="s">
        <v>832</v>
      </c>
      <c r="J1893" s="667" t="s">
        <v>805</v>
      </c>
      <c r="K1893" s="662">
        <v>1</v>
      </c>
      <c r="L1893" s="685">
        <f t="shared" si="55"/>
        <v>14.1</v>
      </c>
      <c r="M1893" s="686">
        <f t="shared" si="54"/>
        <v>14.1</v>
      </c>
    </row>
    <row r="1894" spans="2:13" s="645" customFormat="1" ht="21.75" customHeight="1">
      <c r="B1894" s="661">
        <v>44422</v>
      </c>
      <c r="C1894" s="662" t="s">
        <v>819</v>
      </c>
      <c r="D1894" s="663" t="s">
        <v>844</v>
      </c>
      <c r="E1894" s="664" t="s">
        <v>831</v>
      </c>
      <c r="F1894" s="665"/>
      <c r="G1894" s="663">
        <v>15</v>
      </c>
      <c r="H1894" s="662" t="s">
        <v>807</v>
      </c>
      <c r="I1894" s="666" t="s">
        <v>859</v>
      </c>
      <c r="J1894" s="667" t="s">
        <v>805</v>
      </c>
      <c r="K1894" s="662">
        <v>1</v>
      </c>
      <c r="L1894" s="685">
        <f t="shared" si="55"/>
        <v>14.1</v>
      </c>
      <c r="M1894" s="686">
        <f t="shared" si="54"/>
        <v>14.1</v>
      </c>
    </row>
    <row r="1895" spans="2:13" s="645" customFormat="1" ht="21.75" customHeight="1">
      <c r="B1895" s="661">
        <v>44422</v>
      </c>
      <c r="C1895" s="662" t="s">
        <v>819</v>
      </c>
      <c r="D1895" s="663" t="s">
        <v>850</v>
      </c>
      <c r="E1895" s="664" t="s">
        <v>831</v>
      </c>
      <c r="F1895" s="665"/>
      <c r="G1895" s="663">
        <v>15</v>
      </c>
      <c r="H1895" s="662" t="s">
        <v>807</v>
      </c>
      <c r="I1895" s="666" t="s">
        <v>859</v>
      </c>
      <c r="J1895" s="667" t="s">
        <v>805</v>
      </c>
      <c r="K1895" s="662">
        <v>11</v>
      </c>
      <c r="L1895" s="685">
        <f t="shared" si="55"/>
        <v>14.1</v>
      </c>
      <c r="M1895" s="686">
        <f t="shared" ref="M1895:M1958" si="56">L1895*K1895</f>
        <v>155.1</v>
      </c>
    </row>
    <row r="1896" spans="2:13" s="645" customFormat="1" ht="21.75" customHeight="1">
      <c r="B1896" s="661">
        <v>44422</v>
      </c>
      <c r="C1896" s="662" t="s">
        <v>819</v>
      </c>
      <c r="D1896" s="663" t="s">
        <v>839</v>
      </c>
      <c r="E1896" s="664" t="s">
        <v>831</v>
      </c>
      <c r="F1896" s="665"/>
      <c r="G1896" s="663">
        <v>15</v>
      </c>
      <c r="H1896" s="662" t="s">
        <v>807</v>
      </c>
      <c r="I1896" s="666" t="s">
        <v>832</v>
      </c>
      <c r="J1896" s="667" t="s">
        <v>805</v>
      </c>
      <c r="K1896" s="662">
        <v>4</v>
      </c>
      <c r="L1896" s="685">
        <f t="shared" si="55"/>
        <v>14.1</v>
      </c>
      <c r="M1896" s="686">
        <f t="shared" si="56"/>
        <v>56.4</v>
      </c>
    </row>
    <row r="1897" spans="2:13" s="645" customFormat="1" ht="21.75" customHeight="1">
      <c r="B1897" s="661">
        <v>44422</v>
      </c>
      <c r="C1897" s="662" t="s">
        <v>819</v>
      </c>
      <c r="D1897" s="663" t="s">
        <v>839</v>
      </c>
      <c r="E1897" s="664" t="s">
        <v>831</v>
      </c>
      <c r="F1897" s="665"/>
      <c r="G1897" s="663">
        <v>15</v>
      </c>
      <c r="H1897" s="662" t="s">
        <v>807</v>
      </c>
      <c r="I1897" s="666" t="s">
        <v>859</v>
      </c>
      <c r="J1897" s="667" t="s">
        <v>805</v>
      </c>
      <c r="K1897" s="662">
        <v>9</v>
      </c>
      <c r="L1897" s="685">
        <f t="shared" si="55"/>
        <v>14.1</v>
      </c>
      <c r="M1897" s="686">
        <f t="shared" si="56"/>
        <v>126.89999999999999</v>
      </c>
    </row>
    <row r="1898" spans="2:13" s="645" customFormat="1" ht="21.75" customHeight="1">
      <c r="B1898" s="661">
        <v>44422</v>
      </c>
      <c r="C1898" s="662" t="s">
        <v>819</v>
      </c>
      <c r="D1898" s="663" t="s">
        <v>845</v>
      </c>
      <c r="E1898" s="664" t="s">
        <v>831</v>
      </c>
      <c r="F1898" s="665"/>
      <c r="G1898" s="663">
        <v>17</v>
      </c>
      <c r="H1898" s="662" t="s">
        <v>807</v>
      </c>
      <c r="I1898" s="666" t="s">
        <v>859</v>
      </c>
      <c r="J1898" s="667" t="s">
        <v>805</v>
      </c>
      <c r="K1898" s="662">
        <v>5</v>
      </c>
      <c r="L1898" s="685">
        <f t="shared" si="55"/>
        <v>15.98</v>
      </c>
      <c r="M1898" s="686">
        <f t="shared" si="56"/>
        <v>79.900000000000006</v>
      </c>
    </row>
    <row r="1899" spans="2:13" s="645" customFormat="1" ht="21.75" customHeight="1">
      <c r="B1899" s="661">
        <v>44422</v>
      </c>
      <c r="C1899" s="662" t="s">
        <v>819</v>
      </c>
      <c r="D1899" s="663" t="s">
        <v>847</v>
      </c>
      <c r="E1899" s="664" t="s">
        <v>831</v>
      </c>
      <c r="F1899" s="665"/>
      <c r="G1899" s="663">
        <v>17</v>
      </c>
      <c r="H1899" s="662" t="s">
        <v>807</v>
      </c>
      <c r="I1899" s="666" t="s">
        <v>859</v>
      </c>
      <c r="J1899" s="667" t="s">
        <v>805</v>
      </c>
      <c r="K1899" s="662">
        <v>10</v>
      </c>
      <c r="L1899" s="685">
        <f t="shared" si="55"/>
        <v>15.98</v>
      </c>
      <c r="M1899" s="686">
        <f t="shared" si="56"/>
        <v>159.80000000000001</v>
      </c>
    </row>
    <row r="1900" spans="2:13" s="645" customFormat="1" ht="21.75" customHeight="1">
      <c r="B1900" s="661">
        <v>44422</v>
      </c>
      <c r="C1900" s="662" t="s">
        <v>819</v>
      </c>
      <c r="D1900" s="663" t="s">
        <v>847</v>
      </c>
      <c r="E1900" s="664" t="s">
        <v>831</v>
      </c>
      <c r="F1900" s="665"/>
      <c r="G1900" s="663">
        <v>17</v>
      </c>
      <c r="H1900" s="662" t="s">
        <v>807</v>
      </c>
      <c r="I1900" s="666" t="s">
        <v>832</v>
      </c>
      <c r="J1900" s="667" t="s">
        <v>805</v>
      </c>
      <c r="K1900" s="662">
        <v>3</v>
      </c>
      <c r="L1900" s="685">
        <f t="shared" si="55"/>
        <v>15.98</v>
      </c>
      <c r="M1900" s="686">
        <f t="shared" si="56"/>
        <v>47.94</v>
      </c>
    </row>
    <row r="1901" spans="2:13" s="645" customFormat="1" ht="21.75" customHeight="1">
      <c r="B1901" s="661">
        <v>44422</v>
      </c>
      <c r="C1901" s="662" t="s">
        <v>819</v>
      </c>
      <c r="D1901" s="663" t="s">
        <v>856</v>
      </c>
      <c r="E1901" s="664" t="s">
        <v>831</v>
      </c>
      <c r="F1901" s="665"/>
      <c r="G1901" s="663">
        <v>20</v>
      </c>
      <c r="H1901" s="662" t="s">
        <v>807</v>
      </c>
      <c r="I1901" s="666" t="s">
        <v>859</v>
      </c>
      <c r="J1901" s="667" t="s">
        <v>805</v>
      </c>
      <c r="K1901" s="662">
        <v>2</v>
      </c>
      <c r="L1901" s="685">
        <f t="shared" si="55"/>
        <v>18.8</v>
      </c>
      <c r="M1901" s="686">
        <f t="shared" si="56"/>
        <v>37.6</v>
      </c>
    </row>
    <row r="1902" spans="2:13" s="645" customFormat="1" ht="21.75" customHeight="1">
      <c r="B1902" s="661">
        <v>44422</v>
      </c>
      <c r="C1902" s="662" t="s">
        <v>819</v>
      </c>
      <c r="D1902" s="663" t="s">
        <v>856</v>
      </c>
      <c r="E1902" s="664" t="s">
        <v>831</v>
      </c>
      <c r="F1902" s="665"/>
      <c r="G1902" s="663">
        <v>20</v>
      </c>
      <c r="H1902" s="662" t="s">
        <v>807</v>
      </c>
      <c r="I1902" s="666" t="s">
        <v>861</v>
      </c>
      <c r="J1902" s="667" t="s">
        <v>805</v>
      </c>
      <c r="K1902" s="662">
        <v>9</v>
      </c>
      <c r="L1902" s="685">
        <f t="shared" si="55"/>
        <v>18.8</v>
      </c>
      <c r="M1902" s="686">
        <f t="shared" si="56"/>
        <v>169.20000000000002</v>
      </c>
    </row>
    <row r="1903" spans="2:13" s="645" customFormat="1" ht="21.75" customHeight="1">
      <c r="B1903" s="661">
        <v>44422</v>
      </c>
      <c r="C1903" s="662" t="s">
        <v>819</v>
      </c>
      <c r="D1903" s="663" t="s">
        <v>855</v>
      </c>
      <c r="E1903" s="664" t="s">
        <v>831</v>
      </c>
      <c r="F1903" s="665"/>
      <c r="G1903" s="663">
        <v>20</v>
      </c>
      <c r="H1903" s="662" t="s">
        <v>807</v>
      </c>
      <c r="I1903" s="666" t="s">
        <v>859</v>
      </c>
      <c r="J1903" s="667" t="s">
        <v>805</v>
      </c>
      <c r="K1903" s="662">
        <v>14</v>
      </c>
      <c r="L1903" s="685">
        <f t="shared" si="55"/>
        <v>18.8</v>
      </c>
      <c r="M1903" s="686">
        <f t="shared" si="56"/>
        <v>263.2</v>
      </c>
    </row>
    <row r="1904" spans="2:13" s="645" customFormat="1" ht="21.75" customHeight="1">
      <c r="B1904" s="661">
        <v>44422</v>
      </c>
      <c r="C1904" s="662" t="s">
        <v>819</v>
      </c>
      <c r="D1904" s="663" t="s">
        <v>848</v>
      </c>
      <c r="E1904" s="664" t="s">
        <v>831</v>
      </c>
      <c r="F1904" s="665"/>
      <c r="G1904" s="663">
        <v>20</v>
      </c>
      <c r="H1904" s="662" t="s">
        <v>806</v>
      </c>
      <c r="I1904" s="666" t="s">
        <v>862</v>
      </c>
      <c r="J1904" s="667" t="s">
        <v>852</v>
      </c>
      <c r="K1904" s="662">
        <v>10</v>
      </c>
      <c r="L1904" s="685">
        <f t="shared" si="55"/>
        <v>18.8</v>
      </c>
      <c r="M1904" s="686">
        <f t="shared" si="56"/>
        <v>188</v>
      </c>
    </row>
    <row r="1905" spans="2:13" s="645" customFormat="1" ht="21.75" customHeight="1">
      <c r="B1905" s="661">
        <v>44422</v>
      </c>
      <c r="C1905" s="662" t="s">
        <v>819</v>
      </c>
      <c r="D1905" s="663" t="s">
        <v>844</v>
      </c>
      <c r="E1905" s="664" t="s">
        <v>831</v>
      </c>
      <c r="F1905" s="665"/>
      <c r="G1905" s="663">
        <v>15</v>
      </c>
      <c r="H1905" s="662" t="s">
        <v>806</v>
      </c>
      <c r="I1905" s="666" t="s">
        <v>862</v>
      </c>
      <c r="J1905" s="667" t="s">
        <v>852</v>
      </c>
      <c r="K1905" s="662">
        <v>9</v>
      </c>
      <c r="L1905" s="685">
        <f t="shared" si="55"/>
        <v>14.1</v>
      </c>
      <c r="M1905" s="686">
        <f t="shared" si="56"/>
        <v>126.89999999999999</v>
      </c>
    </row>
    <row r="1906" spans="2:13" s="645" customFormat="1" ht="21.75" customHeight="1">
      <c r="B1906" s="661">
        <v>44422</v>
      </c>
      <c r="C1906" s="662" t="s">
        <v>819</v>
      </c>
      <c r="D1906" s="663" t="s">
        <v>845</v>
      </c>
      <c r="E1906" s="664" t="s">
        <v>831</v>
      </c>
      <c r="F1906" s="665"/>
      <c r="G1906" s="663">
        <v>17</v>
      </c>
      <c r="H1906" s="662" t="s">
        <v>806</v>
      </c>
      <c r="I1906" s="666" t="s">
        <v>862</v>
      </c>
      <c r="J1906" s="667" t="s">
        <v>852</v>
      </c>
      <c r="K1906" s="662">
        <v>10</v>
      </c>
      <c r="L1906" s="685">
        <f t="shared" si="55"/>
        <v>15.98</v>
      </c>
      <c r="M1906" s="686">
        <f t="shared" si="56"/>
        <v>159.80000000000001</v>
      </c>
    </row>
    <row r="1907" spans="2:13" s="645" customFormat="1" ht="21.75" customHeight="1">
      <c r="B1907" s="670">
        <v>44423</v>
      </c>
      <c r="C1907" s="671" t="s">
        <v>819</v>
      </c>
      <c r="D1907" s="672" t="s">
        <v>849</v>
      </c>
      <c r="E1907" s="673" t="s">
        <v>831</v>
      </c>
      <c r="F1907" s="670"/>
      <c r="G1907" s="672">
        <v>20</v>
      </c>
      <c r="H1907" s="671" t="s">
        <v>807</v>
      </c>
      <c r="I1907" s="675" t="s">
        <v>854</v>
      </c>
      <c r="J1907" s="677" t="s">
        <v>804</v>
      </c>
      <c r="K1907" s="671">
        <v>13</v>
      </c>
      <c r="L1907" s="676">
        <f t="shared" si="55"/>
        <v>18.8</v>
      </c>
      <c r="M1907" s="676">
        <f t="shared" si="56"/>
        <v>244.4</v>
      </c>
    </row>
    <row r="1908" spans="2:13" s="645" customFormat="1" ht="21.75" customHeight="1">
      <c r="B1908" s="670">
        <v>44423</v>
      </c>
      <c r="C1908" s="671" t="s">
        <v>819</v>
      </c>
      <c r="D1908" s="672" t="s">
        <v>840</v>
      </c>
      <c r="E1908" s="673" t="s">
        <v>831</v>
      </c>
      <c r="F1908" s="670"/>
      <c r="G1908" s="672">
        <v>20</v>
      </c>
      <c r="H1908" s="671" t="s">
        <v>807</v>
      </c>
      <c r="I1908" s="675" t="s">
        <v>854</v>
      </c>
      <c r="J1908" s="677" t="s">
        <v>804</v>
      </c>
      <c r="K1908" s="671">
        <v>12</v>
      </c>
      <c r="L1908" s="676">
        <f t="shared" si="55"/>
        <v>18.8</v>
      </c>
      <c r="M1908" s="676">
        <f t="shared" si="56"/>
        <v>225.60000000000002</v>
      </c>
    </row>
    <row r="1909" spans="2:13" s="645" customFormat="1" ht="21.75" customHeight="1">
      <c r="B1909" s="670">
        <v>44423</v>
      </c>
      <c r="C1909" s="671" t="s">
        <v>819</v>
      </c>
      <c r="D1909" s="672" t="s">
        <v>835</v>
      </c>
      <c r="E1909" s="673" t="s">
        <v>831</v>
      </c>
      <c r="F1909" s="670"/>
      <c r="G1909" s="672">
        <v>20</v>
      </c>
      <c r="H1909" s="671" t="s">
        <v>807</v>
      </c>
      <c r="I1909" s="675" t="s">
        <v>861</v>
      </c>
      <c r="J1909" s="677" t="s">
        <v>804</v>
      </c>
      <c r="K1909" s="671">
        <v>9</v>
      </c>
      <c r="L1909" s="676">
        <f t="shared" si="55"/>
        <v>18.8</v>
      </c>
      <c r="M1909" s="676">
        <f t="shared" si="56"/>
        <v>169.20000000000002</v>
      </c>
    </row>
    <row r="1910" spans="2:13" s="645" customFormat="1" ht="21.75" customHeight="1">
      <c r="B1910" s="670">
        <v>44423</v>
      </c>
      <c r="C1910" s="671" t="s">
        <v>819</v>
      </c>
      <c r="D1910" s="672" t="s">
        <v>841</v>
      </c>
      <c r="E1910" s="673" t="s">
        <v>831</v>
      </c>
      <c r="F1910" s="670"/>
      <c r="G1910" s="672">
        <v>20</v>
      </c>
      <c r="H1910" s="671" t="s">
        <v>807</v>
      </c>
      <c r="I1910" s="675" t="s">
        <v>854</v>
      </c>
      <c r="J1910" s="677" t="s">
        <v>804</v>
      </c>
      <c r="K1910" s="671">
        <v>9</v>
      </c>
      <c r="L1910" s="676">
        <f t="shared" si="55"/>
        <v>18.8</v>
      </c>
      <c r="M1910" s="676">
        <f t="shared" si="56"/>
        <v>169.20000000000002</v>
      </c>
    </row>
    <row r="1911" spans="2:13" s="645" customFormat="1" ht="21.75" customHeight="1">
      <c r="B1911" s="670">
        <v>44423</v>
      </c>
      <c r="C1911" s="671" t="s">
        <v>819</v>
      </c>
      <c r="D1911" s="672" t="s">
        <v>834</v>
      </c>
      <c r="E1911" s="673" t="s">
        <v>831</v>
      </c>
      <c r="F1911" s="670"/>
      <c r="G1911" s="672">
        <v>20</v>
      </c>
      <c r="H1911" s="671" t="s">
        <v>807</v>
      </c>
      <c r="I1911" s="675" t="s">
        <v>861</v>
      </c>
      <c r="J1911" s="677" t="s">
        <v>804</v>
      </c>
      <c r="K1911" s="671">
        <v>10</v>
      </c>
      <c r="L1911" s="676">
        <f t="shared" si="55"/>
        <v>18.8</v>
      </c>
      <c r="M1911" s="676">
        <f t="shared" si="56"/>
        <v>188</v>
      </c>
    </row>
    <row r="1912" spans="2:13" s="645" customFormat="1" ht="21.75" customHeight="1">
      <c r="B1912" s="670">
        <v>44423</v>
      </c>
      <c r="C1912" s="671" t="s">
        <v>819</v>
      </c>
      <c r="D1912" s="672" t="s">
        <v>848</v>
      </c>
      <c r="E1912" s="673" t="s">
        <v>831</v>
      </c>
      <c r="F1912" s="670"/>
      <c r="G1912" s="672">
        <v>20</v>
      </c>
      <c r="H1912" s="671" t="s">
        <v>807</v>
      </c>
      <c r="I1912" s="675" t="s">
        <v>861</v>
      </c>
      <c r="J1912" s="677" t="s">
        <v>804</v>
      </c>
      <c r="K1912" s="671">
        <v>12</v>
      </c>
      <c r="L1912" s="676">
        <f t="shared" si="55"/>
        <v>18.8</v>
      </c>
      <c r="M1912" s="676">
        <f t="shared" si="56"/>
        <v>225.60000000000002</v>
      </c>
    </row>
    <row r="1913" spans="2:13" s="645" customFormat="1" ht="21.75" customHeight="1">
      <c r="B1913" s="670">
        <v>44423</v>
      </c>
      <c r="C1913" s="671" t="s">
        <v>819</v>
      </c>
      <c r="D1913" s="672" t="s">
        <v>833</v>
      </c>
      <c r="E1913" s="673" t="s">
        <v>831</v>
      </c>
      <c r="F1913" s="670"/>
      <c r="G1913" s="672">
        <v>15</v>
      </c>
      <c r="H1913" s="671" t="s">
        <v>807</v>
      </c>
      <c r="I1913" s="675" t="s">
        <v>854</v>
      </c>
      <c r="J1913" s="677" t="s">
        <v>804</v>
      </c>
      <c r="K1913" s="671">
        <v>16</v>
      </c>
      <c r="L1913" s="676">
        <f t="shared" si="55"/>
        <v>14.1</v>
      </c>
      <c r="M1913" s="676">
        <f t="shared" si="56"/>
        <v>225.6</v>
      </c>
    </row>
    <row r="1914" spans="2:13" s="645" customFormat="1" ht="21.75" customHeight="1">
      <c r="B1914" s="670">
        <v>44423</v>
      </c>
      <c r="C1914" s="671" t="s">
        <v>819</v>
      </c>
      <c r="D1914" s="672" t="s">
        <v>830</v>
      </c>
      <c r="E1914" s="673" t="s">
        <v>831</v>
      </c>
      <c r="F1914" s="670"/>
      <c r="G1914" s="672">
        <v>15</v>
      </c>
      <c r="H1914" s="671" t="s">
        <v>807</v>
      </c>
      <c r="I1914" s="675" t="s">
        <v>854</v>
      </c>
      <c r="J1914" s="677" t="s">
        <v>804</v>
      </c>
      <c r="K1914" s="671">
        <v>16</v>
      </c>
      <c r="L1914" s="676">
        <f t="shared" si="55"/>
        <v>14.1</v>
      </c>
      <c r="M1914" s="676">
        <f t="shared" si="56"/>
        <v>225.6</v>
      </c>
    </row>
    <row r="1915" spans="2:13" s="645" customFormat="1" ht="21.75" customHeight="1">
      <c r="B1915" s="670">
        <v>44423</v>
      </c>
      <c r="C1915" s="671" t="s">
        <v>819</v>
      </c>
      <c r="D1915" s="672" t="s">
        <v>844</v>
      </c>
      <c r="E1915" s="673" t="s">
        <v>831</v>
      </c>
      <c r="F1915" s="670"/>
      <c r="G1915" s="672">
        <v>15</v>
      </c>
      <c r="H1915" s="671" t="s">
        <v>807</v>
      </c>
      <c r="I1915" s="675" t="s">
        <v>854</v>
      </c>
      <c r="J1915" s="677" t="s">
        <v>804</v>
      </c>
      <c r="K1915" s="671">
        <v>13</v>
      </c>
      <c r="L1915" s="676">
        <f t="shared" si="55"/>
        <v>14.1</v>
      </c>
      <c r="M1915" s="676">
        <f t="shared" si="56"/>
        <v>183.29999999999998</v>
      </c>
    </row>
    <row r="1916" spans="2:13" s="645" customFormat="1" ht="21.75" customHeight="1">
      <c r="B1916" s="670">
        <v>44423</v>
      </c>
      <c r="C1916" s="671" t="s">
        <v>819</v>
      </c>
      <c r="D1916" s="672" t="s">
        <v>839</v>
      </c>
      <c r="E1916" s="673" t="s">
        <v>831</v>
      </c>
      <c r="F1916" s="670"/>
      <c r="G1916" s="672">
        <v>15</v>
      </c>
      <c r="H1916" s="671" t="s">
        <v>807</v>
      </c>
      <c r="I1916" s="675" t="s">
        <v>854</v>
      </c>
      <c r="J1916" s="677" t="s">
        <v>804</v>
      </c>
      <c r="K1916" s="671">
        <v>1</v>
      </c>
      <c r="L1916" s="676">
        <f t="shared" si="55"/>
        <v>14.1</v>
      </c>
      <c r="M1916" s="676">
        <f t="shared" si="56"/>
        <v>14.1</v>
      </c>
    </row>
    <row r="1917" spans="2:13" s="645" customFormat="1" ht="21.75" customHeight="1">
      <c r="B1917" s="670">
        <v>44423</v>
      </c>
      <c r="C1917" s="671" t="s">
        <v>819</v>
      </c>
      <c r="D1917" s="672" t="s">
        <v>839</v>
      </c>
      <c r="E1917" s="673" t="s">
        <v>831</v>
      </c>
      <c r="F1917" s="670"/>
      <c r="G1917" s="672">
        <v>15</v>
      </c>
      <c r="H1917" s="671" t="s">
        <v>807</v>
      </c>
      <c r="I1917" s="675" t="s">
        <v>861</v>
      </c>
      <c r="J1917" s="677" t="s">
        <v>804</v>
      </c>
      <c r="K1917" s="671">
        <v>13</v>
      </c>
      <c r="L1917" s="676">
        <f t="shared" si="55"/>
        <v>14.1</v>
      </c>
      <c r="M1917" s="676">
        <f t="shared" si="56"/>
        <v>183.29999999999998</v>
      </c>
    </row>
    <row r="1918" spans="2:13" s="645" customFormat="1" ht="21.75" customHeight="1">
      <c r="B1918" s="670">
        <v>44423</v>
      </c>
      <c r="C1918" s="671" t="s">
        <v>819</v>
      </c>
      <c r="D1918" s="672" t="s">
        <v>845</v>
      </c>
      <c r="E1918" s="673" t="s">
        <v>831</v>
      </c>
      <c r="F1918" s="670"/>
      <c r="G1918" s="672">
        <v>17</v>
      </c>
      <c r="H1918" s="671" t="s">
        <v>807</v>
      </c>
      <c r="I1918" s="675" t="s">
        <v>854</v>
      </c>
      <c r="J1918" s="677" t="s">
        <v>804</v>
      </c>
      <c r="K1918" s="671">
        <v>16</v>
      </c>
      <c r="L1918" s="676">
        <f t="shared" si="55"/>
        <v>15.98</v>
      </c>
      <c r="M1918" s="676">
        <f t="shared" si="56"/>
        <v>255.68</v>
      </c>
    </row>
    <row r="1919" spans="2:13" s="645" customFormat="1" ht="21.75" customHeight="1">
      <c r="B1919" s="670">
        <v>44423</v>
      </c>
      <c r="C1919" s="671" t="s">
        <v>819</v>
      </c>
      <c r="D1919" s="672" t="s">
        <v>847</v>
      </c>
      <c r="E1919" s="673" t="s">
        <v>831</v>
      </c>
      <c r="F1919" s="670"/>
      <c r="G1919" s="672">
        <v>17</v>
      </c>
      <c r="H1919" s="671" t="s">
        <v>807</v>
      </c>
      <c r="I1919" s="675" t="s">
        <v>861</v>
      </c>
      <c r="J1919" s="677" t="s">
        <v>804</v>
      </c>
      <c r="K1919" s="671">
        <v>14</v>
      </c>
      <c r="L1919" s="676">
        <f t="shared" si="55"/>
        <v>15.98</v>
      </c>
      <c r="M1919" s="676">
        <f t="shared" si="56"/>
        <v>223.72</v>
      </c>
    </row>
    <row r="1920" spans="2:13" s="645" customFormat="1" ht="21.75" customHeight="1">
      <c r="B1920" s="670">
        <v>44423</v>
      </c>
      <c r="C1920" s="671" t="s">
        <v>819</v>
      </c>
      <c r="D1920" s="672" t="s">
        <v>847</v>
      </c>
      <c r="E1920" s="673" t="s">
        <v>831</v>
      </c>
      <c r="F1920" s="670"/>
      <c r="G1920" s="672">
        <v>17</v>
      </c>
      <c r="H1920" s="671" t="s">
        <v>807</v>
      </c>
      <c r="I1920" s="675" t="s">
        <v>854</v>
      </c>
      <c r="J1920" s="677" t="s">
        <v>804</v>
      </c>
      <c r="K1920" s="671">
        <v>1</v>
      </c>
      <c r="L1920" s="676">
        <f t="shared" si="55"/>
        <v>15.98</v>
      </c>
      <c r="M1920" s="676">
        <f t="shared" si="56"/>
        <v>15.98</v>
      </c>
    </row>
    <row r="1921" spans="2:13" s="645" customFormat="1" ht="21.75" customHeight="1">
      <c r="B1921" s="670">
        <v>44423</v>
      </c>
      <c r="C1921" s="671" t="s">
        <v>819</v>
      </c>
      <c r="D1921" s="672" t="s">
        <v>856</v>
      </c>
      <c r="E1921" s="673" t="s">
        <v>831</v>
      </c>
      <c r="F1921" s="670"/>
      <c r="G1921" s="672">
        <v>20</v>
      </c>
      <c r="H1921" s="671" t="s">
        <v>807</v>
      </c>
      <c r="I1921" s="675" t="s">
        <v>854</v>
      </c>
      <c r="J1921" s="677" t="s">
        <v>804</v>
      </c>
      <c r="K1921" s="671">
        <v>12</v>
      </c>
      <c r="L1921" s="676">
        <f t="shared" si="55"/>
        <v>18.8</v>
      </c>
      <c r="M1921" s="676">
        <f t="shared" si="56"/>
        <v>225.60000000000002</v>
      </c>
    </row>
    <row r="1922" spans="2:13" s="645" customFormat="1" ht="21.75" customHeight="1">
      <c r="B1922" s="670">
        <v>44423</v>
      </c>
      <c r="C1922" s="671" t="s">
        <v>819</v>
      </c>
      <c r="D1922" s="672" t="s">
        <v>855</v>
      </c>
      <c r="E1922" s="673" t="s">
        <v>831</v>
      </c>
      <c r="F1922" s="670"/>
      <c r="G1922" s="672">
        <v>20</v>
      </c>
      <c r="H1922" s="671" t="s">
        <v>807</v>
      </c>
      <c r="I1922" s="675" t="s">
        <v>854</v>
      </c>
      <c r="J1922" s="677" t="s">
        <v>804</v>
      </c>
      <c r="K1922" s="671">
        <v>15</v>
      </c>
      <c r="L1922" s="676">
        <f t="shared" si="55"/>
        <v>18.8</v>
      </c>
      <c r="M1922" s="676">
        <f t="shared" si="56"/>
        <v>282</v>
      </c>
    </row>
    <row r="1923" spans="2:13" s="645" customFormat="1" ht="21.75" customHeight="1">
      <c r="B1923" s="661">
        <v>44423</v>
      </c>
      <c r="C1923" s="662" t="s">
        <v>837</v>
      </c>
      <c r="D1923" s="663" t="s">
        <v>849</v>
      </c>
      <c r="E1923" s="664" t="s">
        <v>831</v>
      </c>
      <c r="F1923" s="661"/>
      <c r="G1923" s="663">
        <v>20</v>
      </c>
      <c r="H1923" s="662" t="s">
        <v>807</v>
      </c>
      <c r="I1923" s="666" t="s">
        <v>861</v>
      </c>
      <c r="J1923" s="667" t="s">
        <v>804</v>
      </c>
      <c r="K1923" s="662">
        <v>12</v>
      </c>
      <c r="L1923" s="679">
        <f t="shared" si="55"/>
        <v>18.8</v>
      </c>
      <c r="M1923" s="668">
        <f t="shared" si="56"/>
        <v>225.60000000000002</v>
      </c>
    </row>
    <row r="1924" spans="2:13" s="645" customFormat="1" ht="21.75" customHeight="1">
      <c r="B1924" s="661">
        <v>44423</v>
      </c>
      <c r="C1924" s="662" t="s">
        <v>837</v>
      </c>
      <c r="D1924" s="663" t="s">
        <v>840</v>
      </c>
      <c r="E1924" s="664" t="s">
        <v>831</v>
      </c>
      <c r="F1924" s="661"/>
      <c r="G1924" s="663">
        <v>20</v>
      </c>
      <c r="H1924" s="662" t="s">
        <v>807</v>
      </c>
      <c r="I1924" s="666" t="s">
        <v>861</v>
      </c>
      <c r="J1924" s="667" t="s">
        <v>804</v>
      </c>
      <c r="K1924" s="662">
        <v>1</v>
      </c>
      <c r="L1924" s="679">
        <f t="shared" si="55"/>
        <v>18.8</v>
      </c>
      <c r="M1924" s="668">
        <f t="shared" si="56"/>
        <v>18.8</v>
      </c>
    </row>
    <row r="1925" spans="2:13" s="645" customFormat="1" ht="21.75" customHeight="1">
      <c r="B1925" s="661">
        <v>44423</v>
      </c>
      <c r="C1925" s="662" t="s">
        <v>837</v>
      </c>
      <c r="D1925" s="663" t="s">
        <v>840</v>
      </c>
      <c r="E1925" s="664" t="s">
        <v>831</v>
      </c>
      <c r="F1925" s="661"/>
      <c r="G1925" s="663">
        <v>20</v>
      </c>
      <c r="H1925" s="662" t="s">
        <v>807</v>
      </c>
      <c r="I1925" s="666" t="s">
        <v>854</v>
      </c>
      <c r="J1925" s="667" t="s">
        <v>804</v>
      </c>
      <c r="K1925" s="662">
        <v>10</v>
      </c>
      <c r="L1925" s="679">
        <f t="shared" si="55"/>
        <v>18.8</v>
      </c>
      <c r="M1925" s="668">
        <f t="shared" si="56"/>
        <v>188</v>
      </c>
    </row>
    <row r="1926" spans="2:13" s="645" customFormat="1" ht="21.75" customHeight="1">
      <c r="B1926" s="661">
        <v>44423</v>
      </c>
      <c r="C1926" s="662" t="s">
        <v>837</v>
      </c>
      <c r="D1926" s="663" t="s">
        <v>835</v>
      </c>
      <c r="E1926" s="664" t="s">
        <v>831</v>
      </c>
      <c r="F1926" s="661"/>
      <c r="G1926" s="663">
        <v>20</v>
      </c>
      <c r="H1926" s="662" t="s">
        <v>807</v>
      </c>
      <c r="I1926" s="666" t="s">
        <v>854</v>
      </c>
      <c r="J1926" s="667" t="s">
        <v>804</v>
      </c>
      <c r="K1926" s="662">
        <v>12</v>
      </c>
      <c r="L1926" s="679">
        <f t="shared" si="55"/>
        <v>18.8</v>
      </c>
      <c r="M1926" s="668">
        <f t="shared" si="56"/>
        <v>225.60000000000002</v>
      </c>
    </row>
    <row r="1927" spans="2:13" s="645" customFormat="1" ht="21.75" customHeight="1">
      <c r="B1927" s="661">
        <v>44423</v>
      </c>
      <c r="C1927" s="662" t="s">
        <v>837</v>
      </c>
      <c r="D1927" s="663" t="s">
        <v>841</v>
      </c>
      <c r="E1927" s="664" t="s">
        <v>831</v>
      </c>
      <c r="F1927" s="661"/>
      <c r="G1927" s="663">
        <v>20</v>
      </c>
      <c r="H1927" s="662" t="s">
        <v>807</v>
      </c>
      <c r="I1927" s="666" t="s">
        <v>854</v>
      </c>
      <c r="J1927" s="667" t="s">
        <v>804</v>
      </c>
      <c r="K1927" s="662">
        <v>11</v>
      </c>
      <c r="L1927" s="679">
        <f t="shared" si="55"/>
        <v>18.8</v>
      </c>
      <c r="M1927" s="668">
        <f t="shared" si="56"/>
        <v>206.8</v>
      </c>
    </row>
    <row r="1928" spans="2:13" s="645" customFormat="1" ht="21.75" customHeight="1">
      <c r="B1928" s="661">
        <v>44423</v>
      </c>
      <c r="C1928" s="662" t="s">
        <v>837</v>
      </c>
      <c r="D1928" s="663" t="s">
        <v>834</v>
      </c>
      <c r="E1928" s="664" t="s">
        <v>831</v>
      </c>
      <c r="F1928" s="661"/>
      <c r="G1928" s="663">
        <v>20</v>
      </c>
      <c r="H1928" s="662" t="s">
        <v>807</v>
      </c>
      <c r="I1928" s="666" t="s">
        <v>854</v>
      </c>
      <c r="J1928" s="667" t="s">
        <v>804</v>
      </c>
      <c r="K1928" s="662">
        <v>12</v>
      </c>
      <c r="L1928" s="679">
        <f t="shared" si="55"/>
        <v>18.8</v>
      </c>
      <c r="M1928" s="668">
        <f t="shared" si="56"/>
        <v>225.60000000000002</v>
      </c>
    </row>
    <row r="1929" spans="2:13" s="645" customFormat="1" ht="21.75" customHeight="1">
      <c r="B1929" s="661">
        <v>44423</v>
      </c>
      <c r="C1929" s="662" t="s">
        <v>837</v>
      </c>
      <c r="D1929" s="663" t="s">
        <v>848</v>
      </c>
      <c r="E1929" s="664" t="s">
        <v>831</v>
      </c>
      <c r="F1929" s="661"/>
      <c r="G1929" s="663">
        <v>20</v>
      </c>
      <c r="H1929" s="662" t="s">
        <v>807</v>
      </c>
      <c r="I1929" s="666" t="s">
        <v>861</v>
      </c>
      <c r="J1929" s="667" t="s">
        <v>804</v>
      </c>
      <c r="K1929" s="662">
        <v>14</v>
      </c>
      <c r="L1929" s="679">
        <f t="shared" ref="L1929:L1992" si="57">VLOOKUP(G1929,$Q$4:$V$7,6,FALSE)</f>
        <v>18.8</v>
      </c>
      <c r="M1929" s="668">
        <f t="shared" si="56"/>
        <v>263.2</v>
      </c>
    </row>
    <row r="1930" spans="2:13" s="645" customFormat="1" ht="21.75" customHeight="1">
      <c r="B1930" s="661">
        <v>44423</v>
      </c>
      <c r="C1930" s="662" t="s">
        <v>837</v>
      </c>
      <c r="D1930" s="663" t="s">
        <v>848</v>
      </c>
      <c r="E1930" s="664" t="s">
        <v>831</v>
      </c>
      <c r="F1930" s="661"/>
      <c r="G1930" s="663">
        <v>20</v>
      </c>
      <c r="H1930" s="662" t="s">
        <v>807</v>
      </c>
      <c r="I1930" s="666" t="s">
        <v>854</v>
      </c>
      <c r="J1930" s="667" t="s">
        <v>804</v>
      </c>
      <c r="K1930" s="662">
        <v>1</v>
      </c>
      <c r="L1930" s="679">
        <f t="shared" si="57"/>
        <v>18.8</v>
      </c>
      <c r="M1930" s="668">
        <f t="shared" si="56"/>
        <v>18.8</v>
      </c>
    </row>
    <row r="1931" spans="2:13" s="645" customFormat="1" ht="21.75" customHeight="1">
      <c r="B1931" s="661">
        <v>44423</v>
      </c>
      <c r="C1931" s="662" t="s">
        <v>837</v>
      </c>
      <c r="D1931" s="663" t="s">
        <v>836</v>
      </c>
      <c r="E1931" s="664" t="s">
        <v>831</v>
      </c>
      <c r="F1931" s="661"/>
      <c r="G1931" s="663">
        <v>20</v>
      </c>
      <c r="H1931" s="662" t="s">
        <v>807</v>
      </c>
      <c r="I1931" s="666" t="s">
        <v>854</v>
      </c>
      <c r="J1931" s="667" t="s">
        <v>804</v>
      </c>
      <c r="K1931" s="662">
        <v>11</v>
      </c>
      <c r="L1931" s="679">
        <f t="shared" si="57"/>
        <v>18.8</v>
      </c>
      <c r="M1931" s="668">
        <f t="shared" si="56"/>
        <v>206.8</v>
      </c>
    </row>
    <row r="1932" spans="2:13" s="645" customFormat="1" ht="21.75" customHeight="1">
      <c r="B1932" s="661">
        <v>44423</v>
      </c>
      <c r="C1932" s="662" t="s">
        <v>837</v>
      </c>
      <c r="D1932" s="663" t="s">
        <v>833</v>
      </c>
      <c r="E1932" s="664" t="s">
        <v>831</v>
      </c>
      <c r="F1932" s="661"/>
      <c r="G1932" s="663">
        <v>15</v>
      </c>
      <c r="H1932" s="662" t="s">
        <v>807</v>
      </c>
      <c r="I1932" s="666" t="s">
        <v>861</v>
      </c>
      <c r="J1932" s="667" t="s">
        <v>804</v>
      </c>
      <c r="K1932" s="662">
        <v>15</v>
      </c>
      <c r="L1932" s="679">
        <f t="shared" si="57"/>
        <v>14.1</v>
      </c>
      <c r="M1932" s="668">
        <f t="shared" si="56"/>
        <v>211.5</v>
      </c>
    </row>
    <row r="1933" spans="2:13" s="645" customFormat="1" ht="21.75" customHeight="1">
      <c r="B1933" s="661">
        <v>44423</v>
      </c>
      <c r="C1933" s="662" t="s">
        <v>837</v>
      </c>
      <c r="D1933" s="663" t="s">
        <v>830</v>
      </c>
      <c r="E1933" s="664" t="s">
        <v>831</v>
      </c>
      <c r="F1933" s="661"/>
      <c r="G1933" s="663">
        <v>15</v>
      </c>
      <c r="H1933" s="662" t="s">
        <v>807</v>
      </c>
      <c r="I1933" s="666" t="s">
        <v>861</v>
      </c>
      <c r="J1933" s="667" t="s">
        <v>804</v>
      </c>
      <c r="K1933" s="662">
        <v>15</v>
      </c>
      <c r="L1933" s="679">
        <f t="shared" si="57"/>
        <v>14.1</v>
      </c>
      <c r="M1933" s="668">
        <f t="shared" si="56"/>
        <v>211.5</v>
      </c>
    </row>
    <row r="1934" spans="2:13" s="645" customFormat="1" ht="21.75" customHeight="1">
      <c r="B1934" s="661">
        <v>44423</v>
      </c>
      <c r="C1934" s="662" t="s">
        <v>837</v>
      </c>
      <c r="D1934" s="663" t="s">
        <v>850</v>
      </c>
      <c r="E1934" s="664" t="s">
        <v>831</v>
      </c>
      <c r="F1934" s="661"/>
      <c r="G1934" s="663">
        <v>15</v>
      </c>
      <c r="H1934" s="662" t="s">
        <v>807</v>
      </c>
      <c r="I1934" s="666" t="s">
        <v>854</v>
      </c>
      <c r="J1934" s="667" t="s">
        <v>804</v>
      </c>
      <c r="K1934" s="662">
        <v>11</v>
      </c>
      <c r="L1934" s="679">
        <f t="shared" si="57"/>
        <v>14.1</v>
      </c>
      <c r="M1934" s="668">
        <f t="shared" si="56"/>
        <v>155.1</v>
      </c>
    </row>
    <row r="1935" spans="2:13" s="645" customFormat="1" ht="21.75" customHeight="1">
      <c r="B1935" s="661">
        <v>44423</v>
      </c>
      <c r="C1935" s="662" t="s">
        <v>837</v>
      </c>
      <c r="D1935" s="663" t="s">
        <v>839</v>
      </c>
      <c r="E1935" s="664" t="s">
        <v>831</v>
      </c>
      <c r="F1935" s="661"/>
      <c r="G1935" s="663">
        <v>15</v>
      </c>
      <c r="H1935" s="662" t="s">
        <v>807</v>
      </c>
      <c r="I1935" s="666" t="s">
        <v>854</v>
      </c>
      <c r="J1935" s="667" t="s">
        <v>804</v>
      </c>
      <c r="K1935" s="662">
        <v>1</v>
      </c>
      <c r="L1935" s="679">
        <f t="shared" si="57"/>
        <v>14.1</v>
      </c>
      <c r="M1935" s="668">
        <f t="shared" si="56"/>
        <v>14.1</v>
      </c>
    </row>
    <row r="1936" spans="2:13" s="645" customFormat="1" ht="21.75" customHeight="1">
      <c r="B1936" s="661">
        <v>44423</v>
      </c>
      <c r="C1936" s="662" t="s">
        <v>837</v>
      </c>
      <c r="D1936" s="663" t="s">
        <v>839</v>
      </c>
      <c r="E1936" s="664" t="s">
        <v>831</v>
      </c>
      <c r="F1936" s="661"/>
      <c r="G1936" s="663">
        <v>15</v>
      </c>
      <c r="H1936" s="662" t="s">
        <v>807</v>
      </c>
      <c r="I1936" s="666" t="s">
        <v>861</v>
      </c>
      <c r="J1936" s="667" t="s">
        <v>804</v>
      </c>
      <c r="K1936" s="662">
        <v>14</v>
      </c>
      <c r="L1936" s="679">
        <f t="shared" si="57"/>
        <v>14.1</v>
      </c>
      <c r="M1936" s="668">
        <f t="shared" si="56"/>
        <v>197.4</v>
      </c>
    </row>
    <row r="1937" spans="2:13" s="645" customFormat="1" ht="21.75" customHeight="1">
      <c r="B1937" s="661">
        <v>44423</v>
      </c>
      <c r="C1937" s="662" t="s">
        <v>837</v>
      </c>
      <c r="D1937" s="663" t="s">
        <v>845</v>
      </c>
      <c r="E1937" s="664" t="s">
        <v>831</v>
      </c>
      <c r="F1937" s="661"/>
      <c r="G1937" s="663">
        <v>17</v>
      </c>
      <c r="H1937" s="662" t="s">
        <v>807</v>
      </c>
      <c r="I1937" s="666" t="s">
        <v>861</v>
      </c>
      <c r="J1937" s="667" t="s">
        <v>804</v>
      </c>
      <c r="K1937" s="662">
        <v>13</v>
      </c>
      <c r="L1937" s="679">
        <f t="shared" si="57"/>
        <v>15.98</v>
      </c>
      <c r="M1937" s="668">
        <f t="shared" si="56"/>
        <v>207.74</v>
      </c>
    </row>
    <row r="1938" spans="2:13" s="645" customFormat="1" ht="21.75" customHeight="1">
      <c r="B1938" s="661">
        <v>44423</v>
      </c>
      <c r="C1938" s="662" t="s">
        <v>837</v>
      </c>
      <c r="D1938" s="663" t="s">
        <v>847</v>
      </c>
      <c r="E1938" s="664" t="s">
        <v>831</v>
      </c>
      <c r="F1938" s="661"/>
      <c r="G1938" s="663">
        <v>17</v>
      </c>
      <c r="H1938" s="662" t="s">
        <v>807</v>
      </c>
      <c r="I1938" s="666" t="s">
        <v>861</v>
      </c>
      <c r="J1938" s="667" t="s">
        <v>804</v>
      </c>
      <c r="K1938" s="662">
        <v>14</v>
      </c>
      <c r="L1938" s="679">
        <f t="shared" si="57"/>
        <v>15.98</v>
      </c>
      <c r="M1938" s="668">
        <f t="shared" si="56"/>
        <v>223.72</v>
      </c>
    </row>
    <row r="1939" spans="2:13" s="645" customFormat="1" ht="21.75" customHeight="1">
      <c r="B1939" s="661">
        <v>44423</v>
      </c>
      <c r="C1939" s="662" t="s">
        <v>837</v>
      </c>
      <c r="D1939" s="663" t="s">
        <v>847</v>
      </c>
      <c r="E1939" s="664" t="s">
        <v>831</v>
      </c>
      <c r="F1939" s="661"/>
      <c r="G1939" s="663">
        <v>17</v>
      </c>
      <c r="H1939" s="662" t="s">
        <v>807</v>
      </c>
      <c r="I1939" s="666" t="s">
        <v>854</v>
      </c>
      <c r="J1939" s="667" t="s">
        <v>804</v>
      </c>
      <c r="K1939" s="662">
        <v>1</v>
      </c>
      <c r="L1939" s="679">
        <f t="shared" si="57"/>
        <v>15.98</v>
      </c>
      <c r="M1939" s="668">
        <f t="shared" si="56"/>
        <v>15.98</v>
      </c>
    </row>
    <row r="1940" spans="2:13" s="645" customFormat="1" ht="21.75" customHeight="1">
      <c r="B1940" s="661">
        <v>44423</v>
      </c>
      <c r="C1940" s="662" t="s">
        <v>837</v>
      </c>
      <c r="D1940" s="663" t="s">
        <v>856</v>
      </c>
      <c r="E1940" s="664" t="s">
        <v>831</v>
      </c>
      <c r="F1940" s="661"/>
      <c r="G1940" s="663">
        <v>20</v>
      </c>
      <c r="H1940" s="662" t="s">
        <v>807</v>
      </c>
      <c r="I1940" s="666" t="s">
        <v>854</v>
      </c>
      <c r="J1940" s="667" t="s">
        <v>804</v>
      </c>
      <c r="K1940" s="662">
        <v>12</v>
      </c>
      <c r="L1940" s="679">
        <f t="shared" si="57"/>
        <v>18.8</v>
      </c>
      <c r="M1940" s="668">
        <f t="shared" si="56"/>
        <v>225.60000000000002</v>
      </c>
    </row>
    <row r="1941" spans="2:13" s="645" customFormat="1" ht="21.75" customHeight="1">
      <c r="B1941" s="661">
        <v>44423</v>
      </c>
      <c r="C1941" s="662" t="s">
        <v>837</v>
      </c>
      <c r="D1941" s="663" t="s">
        <v>855</v>
      </c>
      <c r="E1941" s="664" t="s">
        <v>831</v>
      </c>
      <c r="F1941" s="661"/>
      <c r="G1941" s="663">
        <v>20</v>
      </c>
      <c r="H1941" s="662" t="s">
        <v>807</v>
      </c>
      <c r="I1941" s="666" t="s">
        <v>854</v>
      </c>
      <c r="J1941" s="667" t="s">
        <v>804</v>
      </c>
      <c r="K1941" s="662">
        <v>12</v>
      </c>
      <c r="L1941" s="679">
        <f t="shared" si="57"/>
        <v>18.8</v>
      </c>
      <c r="M1941" s="668">
        <f t="shared" si="56"/>
        <v>225.60000000000002</v>
      </c>
    </row>
    <row r="1942" spans="2:13" s="645" customFormat="1" ht="21.75" customHeight="1">
      <c r="B1942" s="661">
        <v>44424</v>
      </c>
      <c r="C1942" s="662" t="s">
        <v>819</v>
      </c>
      <c r="D1942" s="663" t="s">
        <v>849</v>
      </c>
      <c r="E1942" s="664" t="s">
        <v>831</v>
      </c>
      <c r="F1942" s="665"/>
      <c r="G1942" s="663">
        <v>20</v>
      </c>
      <c r="H1942" s="662" t="s">
        <v>807</v>
      </c>
      <c r="I1942" s="666" t="s">
        <v>859</v>
      </c>
      <c r="J1942" s="667" t="s">
        <v>805</v>
      </c>
      <c r="K1942" s="662">
        <v>11</v>
      </c>
      <c r="L1942" s="685">
        <f t="shared" si="57"/>
        <v>18.8</v>
      </c>
      <c r="M1942" s="686">
        <f t="shared" si="56"/>
        <v>206.8</v>
      </c>
    </row>
    <row r="1943" spans="2:13" s="645" customFormat="1" ht="21.75" customHeight="1">
      <c r="B1943" s="661">
        <v>44424</v>
      </c>
      <c r="C1943" s="662" t="s">
        <v>819</v>
      </c>
      <c r="D1943" s="663" t="s">
        <v>840</v>
      </c>
      <c r="E1943" s="664" t="s">
        <v>831</v>
      </c>
      <c r="F1943" s="665"/>
      <c r="G1943" s="663">
        <v>20</v>
      </c>
      <c r="H1943" s="662" t="s">
        <v>807</v>
      </c>
      <c r="I1943" s="666" t="s">
        <v>859</v>
      </c>
      <c r="J1943" s="667" t="s">
        <v>805</v>
      </c>
      <c r="K1943" s="662">
        <v>9</v>
      </c>
      <c r="L1943" s="685">
        <f t="shared" si="57"/>
        <v>18.8</v>
      </c>
      <c r="M1943" s="686">
        <f t="shared" si="56"/>
        <v>169.20000000000002</v>
      </c>
    </row>
    <row r="1944" spans="2:13" s="645" customFormat="1" ht="21.75" customHeight="1">
      <c r="B1944" s="661">
        <v>44424</v>
      </c>
      <c r="C1944" s="662" t="s">
        <v>819</v>
      </c>
      <c r="D1944" s="663" t="s">
        <v>835</v>
      </c>
      <c r="E1944" s="664" t="s">
        <v>831</v>
      </c>
      <c r="F1944" s="665"/>
      <c r="G1944" s="663">
        <v>20</v>
      </c>
      <c r="H1944" s="662" t="s">
        <v>807</v>
      </c>
      <c r="I1944" s="666" t="s">
        <v>861</v>
      </c>
      <c r="J1944" s="667" t="s">
        <v>805</v>
      </c>
      <c r="K1944" s="662">
        <v>10</v>
      </c>
      <c r="L1944" s="685">
        <f t="shared" si="57"/>
        <v>18.8</v>
      </c>
      <c r="M1944" s="686">
        <f t="shared" si="56"/>
        <v>188</v>
      </c>
    </row>
    <row r="1945" spans="2:13" s="645" customFormat="1" ht="21.75" customHeight="1">
      <c r="B1945" s="661">
        <v>44424</v>
      </c>
      <c r="C1945" s="662" t="s">
        <v>819</v>
      </c>
      <c r="D1945" s="663" t="s">
        <v>841</v>
      </c>
      <c r="E1945" s="664" t="s">
        <v>831</v>
      </c>
      <c r="F1945" s="665"/>
      <c r="G1945" s="663">
        <v>20</v>
      </c>
      <c r="H1945" s="662" t="s">
        <v>807</v>
      </c>
      <c r="I1945" s="666" t="s">
        <v>859</v>
      </c>
      <c r="J1945" s="667" t="s">
        <v>805</v>
      </c>
      <c r="K1945" s="662">
        <v>10</v>
      </c>
      <c r="L1945" s="685">
        <f t="shared" si="57"/>
        <v>18.8</v>
      </c>
      <c r="M1945" s="686">
        <f t="shared" si="56"/>
        <v>188</v>
      </c>
    </row>
    <row r="1946" spans="2:13" s="645" customFormat="1" ht="21.75" customHeight="1">
      <c r="B1946" s="661">
        <v>44424</v>
      </c>
      <c r="C1946" s="662" t="s">
        <v>819</v>
      </c>
      <c r="D1946" s="663" t="s">
        <v>834</v>
      </c>
      <c r="E1946" s="664" t="s">
        <v>831</v>
      </c>
      <c r="F1946" s="665"/>
      <c r="G1946" s="663">
        <v>20</v>
      </c>
      <c r="H1946" s="662" t="s">
        <v>807</v>
      </c>
      <c r="I1946" s="666" t="s">
        <v>859</v>
      </c>
      <c r="J1946" s="667" t="s">
        <v>805</v>
      </c>
      <c r="K1946" s="662">
        <v>11</v>
      </c>
      <c r="L1946" s="685">
        <f t="shared" si="57"/>
        <v>18.8</v>
      </c>
      <c r="M1946" s="686">
        <f t="shared" si="56"/>
        <v>206.8</v>
      </c>
    </row>
    <row r="1947" spans="2:13" s="645" customFormat="1" ht="21.75" customHeight="1">
      <c r="B1947" s="661">
        <v>44424</v>
      </c>
      <c r="C1947" s="662" t="s">
        <v>819</v>
      </c>
      <c r="D1947" s="663" t="s">
        <v>848</v>
      </c>
      <c r="E1947" s="664" t="s">
        <v>831</v>
      </c>
      <c r="F1947" s="665"/>
      <c r="G1947" s="663">
        <v>20</v>
      </c>
      <c r="H1947" s="662" t="s">
        <v>807</v>
      </c>
      <c r="I1947" s="666" t="s">
        <v>861</v>
      </c>
      <c r="J1947" s="667" t="s">
        <v>805</v>
      </c>
      <c r="K1947" s="662">
        <v>10</v>
      </c>
      <c r="L1947" s="685">
        <f t="shared" si="57"/>
        <v>18.8</v>
      </c>
      <c r="M1947" s="686">
        <f t="shared" si="56"/>
        <v>188</v>
      </c>
    </row>
    <row r="1948" spans="2:13" s="645" customFormat="1" ht="21.75" customHeight="1">
      <c r="B1948" s="661">
        <v>44424</v>
      </c>
      <c r="C1948" s="662" t="s">
        <v>819</v>
      </c>
      <c r="D1948" s="663" t="s">
        <v>833</v>
      </c>
      <c r="E1948" s="664" t="s">
        <v>831</v>
      </c>
      <c r="F1948" s="665"/>
      <c r="G1948" s="663">
        <v>15</v>
      </c>
      <c r="H1948" s="662" t="s">
        <v>807</v>
      </c>
      <c r="I1948" s="666" t="s">
        <v>861</v>
      </c>
      <c r="J1948" s="667" t="s">
        <v>805</v>
      </c>
      <c r="K1948" s="662">
        <v>10</v>
      </c>
      <c r="L1948" s="685">
        <f t="shared" si="57"/>
        <v>14.1</v>
      </c>
      <c r="M1948" s="686">
        <f t="shared" si="56"/>
        <v>141</v>
      </c>
    </row>
    <row r="1949" spans="2:13" s="645" customFormat="1" ht="21.75" customHeight="1">
      <c r="B1949" s="661">
        <v>44424</v>
      </c>
      <c r="C1949" s="662" t="s">
        <v>819</v>
      </c>
      <c r="D1949" s="663" t="s">
        <v>830</v>
      </c>
      <c r="E1949" s="664" t="s">
        <v>831</v>
      </c>
      <c r="F1949" s="665"/>
      <c r="G1949" s="663">
        <v>15</v>
      </c>
      <c r="H1949" s="662" t="s">
        <v>807</v>
      </c>
      <c r="I1949" s="666" t="s">
        <v>859</v>
      </c>
      <c r="J1949" s="667" t="s">
        <v>805</v>
      </c>
      <c r="K1949" s="662">
        <v>11</v>
      </c>
      <c r="L1949" s="685">
        <f t="shared" si="57"/>
        <v>14.1</v>
      </c>
      <c r="M1949" s="686">
        <f t="shared" si="56"/>
        <v>155.1</v>
      </c>
    </row>
    <row r="1950" spans="2:13" s="645" customFormat="1" ht="21.75" customHeight="1">
      <c r="B1950" s="661">
        <v>44424</v>
      </c>
      <c r="C1950" s="662" t="s">
        <v>819</v>
      </c>
      <c r="D1950" s="663" t="s">
        <v>839</v>
      </c>
      <c r="E1950" s="664" t="s">
        <v>831</v>
      </c>
      <c r="F1950" s="665"/>
      <c r="G1950" s="663">
        <v>15</v>
      </c>
      <c r="H1950" s="662" t="s">
        <v>807</v>
      </c>
      <c r="I1950" s="666" t="s">
        <v>861</v>
      </c>
      <c r="J1950" s="667" t="s">
        <v>805</v>
      </c>
      <c r="K1950" s="662">
        <v>11</v>
      </c>
      <c r="L1950" s="685">
        <f t="shared" si="57"/>
        <v>14.1</v>
      </c>
      <c r="M1950" s="686">
        <f t="shared" si="56"/>
        <v>155.1</v>
      </c>
    </row>
    <row r="1951" spans="2:13" s="645" customFormat="1" ht="21.75" customHeight="1">
      <c r="B1951" s="661">
        <v>44424</v>
      </c>
      <c r="C1951" s="662" t="s">
        <v>819</v>
      </c>
      <c r="D1951" s="663" t="s">
        <v>845</v>
      </c>
      <c r="E1951" s="664" t="s">
        <v>831</v>
      </c>
      <c r="F1951" s="665"/>
      <c r="G1951" s="663">
        <v>17</v>
      </c>
      <c r="H1951" s="662" t="s">
        <v>807</v>
      </c>
      <c r="I1951" s="666" t="s">
        <v>859</v>
      </c>
      <c r="J1951" s="667" t="s">
        <v>805</v>
      </c>
      <c r="K1951" s="662">
        <v>1</v>
      </c>
      <c r="L1951" s="685">
        <f t="shared" si="57"/>
        <v>15.98</v>
      </c>
      <c r="M1951" s="686">
        <f t="shared" si="56"/>
        <v>15.98</v>
      </c>
    </row>
    <row r="1952" spans="2:13" s="645" customFormat="1" ht="21.75" customHeight="1">
      <c r="B1952" s="661">
        <v>44424</v>
      </c>
      <c r="C1952" s="662" t="s">
        <v>819</v>
      </c>
      <c r="D1952" s="663" t="s">
        <v>847</v>
      </c>
      <c r="E1952" s="664" t="s">
        <v>831</v>
      </c>
      <c r="F1952" s="665"/>
      <c r="G1952" s="663">
        <v>17</v>
      </c>
      <c r="H1952" s="662" t="s">
        <v>807</v>
      </c>
      <c r="I1952" s="666" t="s">
        <v>859</v>
      </c>
      <c r="J1952" s="667" t="s">
        <v>805</v>
      </c>
      <c r="K1952" s="662">
        <v>11</v>
      </c>
      <c r="L1952" s="685">
        <f t="shared" si="57"/>
        <v>15.98</v>
      </c>
      <c r="M1952" s="686">
        <f t="shared" si="56"/>
        <v>175.78</v>
      </c>
    </row>
    <row r="1953" spans="2:13" s="645" customFormat="1" ht="21.75" customHeight="1">
      <c r="B1953" s="661">
        <v>44424</v>
      </c>
      <c r="C1953" s="662" t="s">
        <v>819</v>
      </c>
      <c r="D1953" s="663" t="s">
        <v>856</v>
      </c>
      <c r="E1953" s="664" t="s">
        <v>831</v>
      </c>
      <c r="F1953" s="665"/>
      <c r="G1953" s="663">
        <v>20</v>
      </c>
      <c r="H1953" s="662" t="s">
        <v>807</v>
      </c>
      <c r="I1953" s="666" t="s">
        <v>859</v>
      </c>
      <c r="J1953" s="667" t="s">
        <v>805</v>
      </c>
      <c r="K1953" s="662">
        <v>11</v>
      </c>
      <c r="L1953" s="685">
        <f t="shared" si="57"/>
        <v>18.8</v>
      </c>
      <c r="M1953" s="686">
        <f t="shared" si="56"/>
        <v>206.8</v>
      </c>
    </row>
    <row r="1954" spans="2:13" s="645" customFormat="1" ht="21.75" customHeight="1">
      <c r="B1954" s="661">
        <v>44424</v>
      </c>
      <c r="C1954" s="662" t="s">
        <v>819</v>
      </c>
      <c r="D1954" s="663" t="s">
        <v>855</v>
      </c>
      <c r="E1954" s="664" t="s">
        <v>831</v>
      </c>
      <c r="F1954" s="665"/>
      <c r="G1954" s="663">
        <v>20</v>
      </c>
      <c r="H1954" s="662" t="s">
        <v>807</v>
      </c>
      <c r="I1954" s="666" t="s">
        <v>859</v>
      </c>
      <c r="J1954" s="667" t="s">
        <v>805</v>
      </c>
      <c r="K1954" s="662">
        <v>12</v>
      </c>
      <c r="L1954" s="685">
        <f t="shared" si="57"/>
        <v>18.8</v>
      </c>
      <c r="M1954" s="686">
        <f t="shared" si="56"/>
        <v>225.60000000000002</v>
      </c>
    </row>
    <row r="1955" spans="2:13" s="645" customFormat="1" ht="21.75" customHeight="1">
      <c r="B1955" s="661">
        <v>44424</v>
      </c>
      <c r="C1955" s="662" t="s">
        <v>819</v>
      </c>
      <c r="D1955" s="663" t="s">
        <v>844</v>
      </c>
      <c r="E1955" s="664" t="s">
        <v>831</v>
      </c>
      <c r="F1955" s="665"/>
      <c r="G1955" s="663">
        <v>15</v>
      </c>
      <c r="H1955" s="662" t="s">
        <v>806</v>
      </c>
      <c r="I1955" s="666" t="s">
        <v>862</v>
      </c>
      <c r="J1955" s="667" t="s">
        <v>852</v>
      </c>
      <c r="K1955" s="662">
        <v>17</v>
      </c>
      <c r="L1955" s="685">
        <f t="shared" si="57"/>
        <v>14.1</v>
      </c>
      <c r="M1955" s="686">
        <f t="shared" si="56"/>
        <v>239.7</v>
      </c>
    </row>
    <row r="1956" spans="2:13" s="645" customFormat="1" ht="21.75" customHeight="1">
      <c r="B1956" s="661">
        <v>44424</v>
      </c>
      <c r="C1956" s="662" t="s">
        <v>819</v>
      </c>
      <c r="D1956" s="663" t="s">
        <v>845</v>
      </c>
      <c r="E1956" s="664" t="s">
        <v>831</v>
      </c>
      <c r="F1956" s="665"/>
      <c r="G1956" s="663">
        <v>17</v>
      </c>
      <c r="H1956" s="662" t="s">
        <v>806</v>
      </c>
      <c r="I1956" s="666" t="s">
        <v>862</v>
      </c>
      <c r="J1956" s="667" t="s">
        <v>852</v>
      </c>
      <c r="K1956" s="662">
        <v>16</v>
      </c>
      <c r="L1956" s="685">
        <f t="shared" si="57"/>
        <v>15.98</v>
      </c>
      <c r="M1956" s="686">
        <f t="shared" si="56"/>
        <v>255.68</v>
      </c>
    </row>
    <row r="1957" spans="2:13" s="645" customFormat="1" ht="21.75" customHeight="1">
      <c r="B1957" s="670">
        <v>44425</v>
      </c>
      <c r="C1957" s="671" t="s">
        <v>819</v>
      </c>
      <c r="D1957" s="672" t="s">
        <v>833</v>
      </c>
      <c r="E1957" s="673" t="s">
        <v>831</v>
      </c>
      <c r="F1957" s="670"/>
      <c r="G1957" s="672">
        <v>15</v>
      </c>
      <c r="H1957" s="671" t="s">
        <v>807</v>
      </c>
      <c r="I1957" s="675" t="s">
        <v>854</v>
      </c>
      <c r="J1957" s="677" t="s">
        <v>804</v>
      </c>
      <c r="K1957" s="671">
        <v>10</v>
      </c>
      <c r="L1957" s="676">
        <f t="shared" si="57"/>
        <v>14.1</v>
      </c>
      <c r="M1957" s="676">
        <f t="shared" si="56"/>
        <v>141</v>
      </c>
    </row>
    <row r="1958" spans="2:13" s="645" customFormat="1" ht="21.75" customHeight="1">
      <c r="B1958" s="670">
        <v>44425</v>
      </c>
      <c r="C1958" s="671" t="s">
        <v>819</v>
      </c>
      <c r="D1958" s="672" t="s">
        <v>833</v>
      </c>
      <c r="E1958" s="673" t="s">
        <v>831</v>
      </c>
      <c r="F1958" s="670"/>
      <c r="G1958" s="672">
        <v>15</v>
      </c>
      <c r="H1958" s="671" t="s">
        <v>807</v>
      </c>
      <c r="I1958" s="675" t="s">
        <v>854</v>
      </c>
      <c r="J1958" s="677" t="s">
        <v>804</v>
      </c>
      <c r="K1958" s="671">
        <v>3</v>
      </c>
      <c r="L1958" s="676">
        <f t="shared" si="57"/>
        <v>14.1</v>
      </c>
      <c r="M1958" s="676">
        <f t="shared" si="56"/>
        <v>42.3</v>
      </c>
    </row>
    <row r="1959" spans="2:13" s="645" customFormat="1" ht="21.75" customHeight="1">
      <c r="B1959" s="670">
        <v>44425</v>
      </c>
      <c r="C1959" s="671" t="s">
        <v>819</v>
      </c>
      <c r="D1959" s="672" t="s">
        <v>830</v>
      </c>
      <c r="E1959" s="673" t="s">
        <v>831</v>
      </c>
      <c r="F1959" s="670"/>
      <c r="G1959" s="672">
        <v>15</v>
      </c>
      <c r="H1959" s="671" t="s">
        <v>807</v>
      </c>
      <c r="I1959" s="675" t="s">
        <v>854</v>
      </c>
      <c r="J1959" s="677" t="s">
        <v>804</v>
      </c>
      <c r="K1959" s="671">
        <v>9</v>
      </c>
      <c r="L1959" s="676">
        <f t="shared" si="57"/>
        <v>14.1</v>
      </c>
      <c r="M1959" s="676">
        <f t="shared" ref="M1959:M2022" si="58">L1959*K1959</f>
        <v>126.89999999999999</v>
      </c>
    </row>
    <row r="1960" spans="2:13" s="645" customFormat="1" ht="21.75" customHeight="1">
      <c r="B1960" s="670">
        <v>44425</v>
      </c>
      <c r="C1960" s="671" t="s">
        <v>819</v>
      </c>
      <c r="D1960" s="672" t="s">
        <v>830</v>
      </c>
      <c r="E1960" s="673" t="s">
        <v>831</v>
      </c>
      <c r="F1960" s="670"/>
      <c r="G1960" s="672">
        <v>15</v>
      </c>
      <c r="H1960" s="671" t="s">
        <v>807</v>
      </c>
      <c r="I1960" s="675" t="s">
        <v>854</v>
      </c>
      <c r="J1960" s="677" t="s">
        <v>804</v>
      </c>
      <c r="K1960" s="671">
        <v>3</v>
      </c>
      <c r="L1960" s="676">
        <f t="shared" si="57"/>
        <v>14.1</v>
      </c>
      <c r="M1960" s="676">
        <f t="shared" si="58"/>
        <v>42.3</v>
      </c>
    </row>
    <row r="1961" spans="2:13" s="645" customFormat="1" ht="21.75" customHeight="1">
      <c r="B1961" s="670">
        <v>44425</v>
      </c>
      <c r="C1961" s="671" t="s">
        <v>819</v>
      </c>
      <c r="D1961" s="672" t="s">
        <v>839</v>
      </c>
      <c r="E1961" s="673" t="s">
        <v>831</v>
      </c>
      <c r="F1961" s="670"/>
      <c r="G1961" s="672">
        <v>15</v>
      </c>
      <c r="H1961" s="671" t="s">
        <v>807</v>
      </c>
      <c r="I1961" s="675" t="s">
        <v>854</v>
      </c>
      <c r="J1961" s="677" t="s">
        <v>804</v>
      </c>
      <c r="K1961" s="671">
        <v>9</v>
      </c>
      <c r="L1961" s="676">
        <f t="shared" si="57"/>
        <v>14.1</v>
      </c>
      <c r="M1961" s="676">
        <f t="shared" si="58"/>
        <v>126.89999999999999</v>
      </c>
    </row>
    <row r="1962" spans="2:13" s="645" customFormat="1" ht="21.75" customHeight="1">
      <c r="B1962" s="670">
        <v>44425</v>
      </c>
      <c r="C1962" s="671" t="s">
        <v>819</v>
      </c>
      <c r="D1962" s="672" t="s">
        <v>839</v>
      </c>
      <c r="E1962" s="673" t="s">
        <v>831</v>
      </c>
      <c r="F1962" s="670"/>
      <c r="G1962" s="672">
        <v>15</v>
      </c>
      <c r="H1962" s="671" t="s">
        <v>807</v>
      </c>
      <c r="I1962" s="675" t="s">
        <v>854</v>
      </c>
      <c r="J1962" s="677" t="s">
        <v>804</v>
      </c>
      <c r="K1962" s="671">
        <v>2</v>
      </c>
      <c r="L1962" s="676">
        <f t="shared" si="57"/>
        <v>14.1</v>
      </c>
      <c r="M1962" s="676">
        <f t="shared" si="58"/>
        <v>28.2</v>
      </c>
    </row>
    <row r="1963" spans="2:13" s="645" customFormat="1" ht="21.75" customHeight="1">
      <c r="B1963" s="670">
        <v>44425</v>
      </c>
      <c r="C1963" s="671" t="s">
        <v>819</v>
      </c>
      <c r="D1963" s="672" t="s">
        <v>845</v>
      </c>
      <c r="E1963" s="673" t="s">
        <v>831</v>
      </c>
      <c r="F1963" s="670"/>
      <c r="G1963" s="672">
        <v>17</v>
      </c>
      <c r="H1963" s="671" t="s">
        <v>807</v>
      </c>
      <c r="I1963" s="675" t="s">
        <v>854</v>
      </c>
      <c r="J1963" s="677" t="s">
        <v>804</v>
      </c>
      <c r="K1963" s="671">
        <v>8</v>
      </c>
      <c r="L1963" s="676">
        <f t="shared" si="57"/>
        <v>15.98</v>
      </c>
      <c r="M1963" s="676">
        <f t="shared" si="58"/>
        <v>127.84</v>
      </c>
    </row>
    <row r="1964" spans="2:13" s="645" customFormat="1" ht="21.75" customHeight="1">
      <c r="B1964" s="670">
        <v>44425</v>
      </c>
      <c r="C1964" s="671" t="s">
        <v>819</v>
      </c>
      <c r="D1964" s="672" t="s">
        <v>845</v>
      </c>
      <c r="E1964" s="673" t="s">
        <v>831</v>
      </c>
      <c r="F1964" s="670"/>
      <c r="G1964" s="672">
        <v>17</v>
      </c>
      <c r="H1964" s="671" t="s">
        <v>807</v>
      </c>
      <c r="I1964" s="675" t="s">
        <v>854</v>
      </c>
      <c r="J1964" s="677" t="s">
        <v>804</v>
      </c>
      <c r="K1964" s="671">
        <v>5</v>
      </c>
      <c r="L1964" s="676">
        <f t="shared" si="57"/>
        <v>15.98</v>
      </c>
      <c r="M1964" s="676">
        <f t="shared" si="58"/>
        <v>79.900000000000006</v>
      </c>
    </row>
    <row r="1965" spans="2:13" s="645" customFormat="1" ht="21.75" customHeight="1">
      <c r="B1965" s="670">
        <v>44425</v>
      </c>
      <c r="C1965" s="671" t="s">
        <v>819</v>
      </c>
      <c r="D1965" s="672" t="s">
        <v>847</v>
      </c>
      <c r="E1965" s="673" t="s">
        <v>831</v>
      </c>
      <c r="F1965" s="670"/>
      <c r="G1965" s="672">
        <v>17</v>
      </c>
      <c r="H1965" s="671" t="s">
        <v>807</v>
      </c>
      <c r="I1965" s="675" t="s">
        <v>854</v>
      </c>
      <c r="J1965" s="677" t="s">
        <v>804</v>
      </c>
      <c r="K1965" s="671">
        <v>10</v>
      </c>
      <c r="L1965" s="676">
        <f t="shared" si="57"/>
        <v>15.98</v>
      </c>
      <c r="M1965" s="676">
        <f t="shared" si="58"/>
        <v>159.80000000000001</v>
      </c>
    </row>
    <row r="1966" spans="2:13" s="645" customFormat="1" ht="21.75" customHeight="1">
      <c r="B1966" s="670">
        <v>44425</v>
      </c>
      <c r="C1966" s="671" t="s">
        <v>819</v>
      </c>
      <c r="D1966" s="672" t="s">
        <v>847</v>
      </c>
      <c r="E1966" s="673" t="s">
        <v>831</v>
      </c>
      <c r="F1966" s="670"/>
      <c r="G1966" s="672">
        <v>17</v>
      </c>
      <c r="H1966" s="671" t="s">
        <v>807</v>
      </c>
      <c r="I1966" s="675" t="s">
        <v>854</v>
      </c>
      <c r="J1966" s="677" t="s">
        <v>804</v>
      </c>
      <c r="K1966" s="671">
        <v>3</v>
      </c>
      <c r="L1966" s="676">
        <f t="shared" si="57"/>
        <v>15.98</v>
      </c>
      <c r="M1966" s="676">
        <f t="shared" si="58"/>
        <v>47.94</v>
      </c>
    </row>
    <row r="1967" spans="2:13" s="645" customFormat="1" ht="21.75" customHeight="1">
      <c r="B1967" s="661">
        <v>44425</v>
      </c>
      <c r="C1967" s="662" t="s">
        <v>837</v>
      </c>
      <c r="D1967" s="663" t="s">
        <v>841</v>
      </c>
      <c r="E1967" s="664" t="s">
        <v>831</v>
      </c>
      <c r="F1967" s="661"/>
      <c r="G1967" s="663">
        <v>20</v>
      </c>
      <c r="H1967" s="662" t="s">
        <v>807</v>
      </c>
      <c r="I1967" s="666" t="s">
        <v>854</v>
      </c>
      <c r="J1967" s="667" t="s">
        <v>804</v>
      </c>
      <c r="K1967" s="662">
        <v>17</v>
      </c>
      <c r="L1967" s="668">
        <f t="shared" si="57"/>
        <v>18.8</v>
      </c>
      <c r="M1967" s="668">
        <f t="shared" si="58"/>
        <v>319.60000000000002</v>
      </c>
    </row>
    <row r="1968" spans="2:13" s="645" customFormat="1" ht="21.75" customHeight="1">
      <c r="B1968" s="661">
        <v>44425</v>
      </c>
      <c r="C1968" s="662" t="s">
        <v>837</v>
      </c>
      <c r="D1968" s="663" t="s">
        <v>850</v>
      </c>
      <c r="E1968" s="664" t="s">
        <v>831</v>
      </c>
      <c r="F1968" s="661"/>
      <c r="G1968" s="663">
        <v>15</v>
      </c>
      <c r="H1968" s="662" t="s">
        <v>807</v>
      </c>
      <c r="I1968" s="666" t="s">
        <v>854</v>
      </c>
      <c r="J1968" s="667" t="s">
        <v>804</v>
      </c>
      <c r="K1968" s="662">
        <v>16</v>
      </c>
      <c r="L1968" s="668">
        <f t="shared" si="57"/>
        <v>14.1</v>
      </c>
      <c r="M1968" s="668">
        <f t="shared" si="58"/>
        <v>225.6</v>
      </c>
    </row>
    <row r="1969" spans="2:13" s="645" customFormat="1" ht="21.75" customHeight="1">
      <c r="B1969" s="661">
        <v>44425</v>
      </c>
      <c r="C1969" s="662" t="s">
        <v>837</v>
      </c>
      <c r="D1969" s="663" t="s">
        <v>856</v>
      </c>
      <c r="E1969" s="664" t="s">
        <v>831</v>
      </c>
      <c r="F1969" s="661"/>
      <c r="G1969" s="663">
        <v>20</v>
      </c>
      <c r="H1969" s="662" t="s">
        <v>807</v>
      </c>
      <c r="I1969" s="666" t="s">
        <v>854</v>
      </c>
      <c r="J1969" s="667" t="s">
        <v>804</v>
      </c>
      <c r="K1969" s="662">
        <v>17</v>
      </c>
      <c r="L1969" s="668">
        <f t="shared" si="57"/>
        <v>18.8</v>
      </c>
      <c r="M1969" s="668">
        <f t="shared" si="58"/>
        <v>319.60000000000002</v>
      </c>
    </row>
    <row r="1970" spans="2:13" s="645" customFormat="1" ht="21.75" customHeight="1">
      <c r="B1970" s="661">
        <v>44425</v>
      </c>
      <c r="C1970" s="662" t="s">
        <v>819</v>
      </c>
      <c r="D1970" s="663" t="s">
        <v>849</v>
      </c>
      <c r="E1970" s="664" t="s">
        <v>831</v>
      </c>
      <c r="F1970" s="665"/>
      <c r="G1970" s="663">
        <v>20</v>
      </c>
      <c r="H1970" s="662" t="s">
        <v>807</v>
      </c>
      <c r="I1970" s="666" t="s">
        <v>859</v>
      </c>
      <c r="J1970" s="667" t="s">
        <v>802</v>
      </c>
      <c r="K1970" s="662">
        <v>9</v>
      </c>
      <c r="L1970" s="685">
        <f t="shared" si="57"/>
        <v>18.8</v>
      </c>
      <c r="M1970" s="686">
        <f t="shared" si="58"/>
        <v>169.20000000000002</v>
      </c>
    </row>
    <row r="1971" spans="2:13" s="645" customFormat="1" ht="21.75" customHeight="1">
      <c r="B1971" s="661">
        <v>44425</v>
      </c>
      <c r="C1971" s="662" t="s">
        <v>819</v>
      </c>
      <c r="D1971" s="663" t="s">
        <v>849</v>
      </c>
      <c r="E1971" s="664" t="s">
        <v>831</v>
      </c>
      <c r="F1971" s="665"/>
      <c r="G1971" s="663">
        <v>20</v>
      </c>
      <c r="H1971" s="662" t="s">
        <v>807</v>
      </c>
      <c r="I1971" s="666" t="s">
        <v>857</v>
      </c>
      <c r="J1971" s="667" t="s">
        <v>802</v>
      </c>
      <c r="K1971" s="662">
        <v>3</v>
      </c>
      <c r="L1971" s="685">
        <f t="shared" si="57"/>
        <v>18.8</v>
      </c>
      <c r="M1971" s="686">
        <f t="shared" si="58"/>
        <v>56.400000000000006</v>
      </c>
    </row>
    <row r="1972" spans="2:13" s="645" customFormat="1" ht="21.75" customHeight="1">
      <c r="B1972" s="661">
        <v>44425</v>
      </c>
      <c r="C1972" s="662" t="s">
        <v>819</v>
      </c>
      <c r="D1972" s="663" t="s">
        <v>840</v>
      </c>
      <c r="E1972" s="664" t="s">
        <v>831</v>
      </c>
      <c r="F1972" s="665"/>
      <c r="G1972" s="663">
        <v>20</v>
      </c>
      <c r="H1972" s="662" t="s">
        <v>807</v>
      </c>
      <c r="I1972" s="666" t="s">
        <v>859</v>
      </c>
      <c r="J1972" s="667" t="s">
        <v>802</v>
      </c>
      <c r="K1972" s="662">
        <v>8</v>
      </c>
      <c r="L1972" s="685">
        <f t="shared" si="57"/>
        <v>18.8</v>
      </c>
      <c r="M1972" s="686">
        <f t="shared" si="58"/>
        <v>150.4</v>
      </c>
    </row>
    <row r="1973" spans="2:13" s="645" customFormat="1" ht="21.75" customHeight="1">
      <c r="B1973" s="661">
        <v>44425</v>
      </c>
      <c r="C1973" s="662" t="s">
        <v>819</v>
      </c>
      <c r="D1973" s="663" t="s">
        <v>840</v>
      </c>
      <c r="E1973" s="664" t="s">
        <v>831</v>
      </c>
      <c r="F1973" s="665"/>
      <c r="G1973" s="663">
        <v>20</v>
      </c>
      <c r="H1973" s="662" t="s">
        <v>807</v>
      </c>
      <c r="I1973" s="666" t="s">
        <v>857</v>
      </c>
      <c r="J1973" s="667" t="s">
        <v>802</v>
      </c>
      <c r="K1973" s="662">
        <v>3</v>
      </c>
      <c r="L1973" s="685">
        <f t="shared" si="57"/>
        <v>18.8</v>
      </c>
      <c r="M1973" s="686">
        <f t="shared" si="58"/>
        <v>56.400000000000006</v>
      </c>
    </row>
    <row r="1974" spans="2:13" s="645" customFormat="1" ht="21.75" customHeight="1">
      <c r="B1974" s="661">
        <v>44425</v>
      </c>
      <c r="C1974" s="662" t="s">
        <v>819</v>
      </c>
      <c r="D1974" s="663" t="s">
        <v>835</v>
      </c>
      <c r="E1974" s="664" t="s">
        <v>831</v>
      </c>
      <c r="F1974" s="665"/>
      <c r="G1974" s="663">
        <v>20</v>
      </c>
      <c r="H1974" s="662" t="s">
        <v>807</v>
      </c>
      <c r="I1974" s="666" t="s">
        <v>859</v>
      </c>
      <c r="J1974" s="667" t="s">
        <v>802</v>
      </c>
      <c r="K1974" s="662">
        <v>8</v>
      </c>
      <c r="L1974" s="685">
        <f t="shared" si="57"/>
        <v>18.8</v>
      </c>
      <c r="M1974" s="686">
        <f t="shared" si="58"/>
        <v>150.4</v>
      </c>
    </row>
    <row r="1975" spans="2:13" s="645" customFormat="1" ht="21.75" customHeight="1">
      <c r="B1975" s="661">
        <v>44425</v>
      </c>
      <c r="C1975" s="662" t="s">
        <v>819</v>
      </c>
      <c r="D1975" s="663" t="s">
        <v>835</v>
      </c>
      <c r="E1975" s="664" t="s">
        <v>831</v>
      </c>
      <c r="F1975" s="665"/>
      <c r="G1975" s="663">
        <v>20</v>
      </c>
      <c r="H1975" s="662" t="s">
        <v>807</v>
      </c>
      <c r="I1975" s="666" t="s">
        <v>857</v>
      </c>
      <c r="J1975" s="667" t="s">
        <v>802</v>
      </c>
      <c r="K1975" s="662">
        <v>3</v>
      </c>
      <c r="L1975" s="685">
        <f t="shared" si="57"/>
        <v>18.8</v>
      </c>
      <c r="M1975" s="686">
        <f t="shared" si="58"/>
        <v>56.400000000000006</v>
      </c>
    </row>
    <row r="1976" spans="2:13" s="645" customFormat="1" ht="21.75" customHeight="1">
      <c r="B1976" s="661">
        <v>44425</v>
      </c>
      <c r="C1976" s="662" t="s">
        <v>819</v>
      </c>
      <c r="D1976" s="663" t="s">
        <v>841</v>
      </c>
      <c r="E1976" s="664" t="s">
        <v>831</v>
      </c>
      <c r="F1976" s="665"/>
      <c r="G1976" s="663">
        <v>20</v>
      </c>
      <c r="H1976" s="662" t="s">
        <v>807</v>
      </c>
      <c r="I1976" s="666" t="s">
        <v>859</v>
      </c>
      <c r="J1976" s="667" t="s">
        <v>802</v>
      </c>
      <c r="K1976" s="662">
        <v>10</v>
      </c>
      <c r="L1976" s="685">
        <f t="shared" si="57"/>
        <v>18.8</v>
      </c>
      <c r="M1976" s="686">
        <f t="shared" si="58"/>
        <v>188</v>
      </c>
    </row>
    <row r="1977" spans="2:13" s="645" customFormat="1" ht="21.75" customHeight="1">
      <c r="B1977" s="661">
        <v>44425</v>
      </c>
      <c r="C1977" s="662" t="s">
        <v>819</v>
      </c>
      <c r="D1977" s="663" t="s">
        <v>841</v>
      </c>
      <c r="E1977" s="664" t="s">
        <v>831</v>
      </c>
      <c r="F1977" s="665"/>
      <c r="G1977" s="663">
        <v>20</v>
      </c>
      <c r="H1977" s="662" t="s">
        <v>807</v>
      </c>
      <c r="I1977" s="666" t="s">
        <v>857</v>
      </c>
      <c r="J1977" s="667" t="s">
        <v>802</v>
      </c>
      <c r="K1977" s="662">
        <v>2</v>
      </c>
      <c r="L1977" s="685">
        <f t="shared" si="57"/>
        <v>18.8</v>
      </c>
      <c r="M1977" s="686">
        <f t="shared" si="58"/>
        <v>37.6</v>
      </c>
    </row>
    <row r="1978" spans="2:13" s="645" customFormat="1" ht="21.75" customHeight="1">
      <c r="B1978" s="661">
        <v>44425</v>
      </c>
      <c r="C1978" s="662" t="s">
        <v>819</v>
      </c>
      <c r="D1978" s="663" t="s">
        <v>834</v>
      </c>
      <c r="E1978" s="664" t="s">
        <v>831</v>
      </c>
      <c r="F1978" s="665"/>
      <c r="G1978" s="663">
        <v>20</v>
      </c>
      <c r="H1978" s="662" t="s">
        <v>807</v>
      </c>
      <c r="I1978" s="666" t="s">
        <v>859</v>
      </c>
      <c r="J1978" s="667" t="s">
        <v>802</v>
      </c>
      <c r="K1978" s="662">
        <v>9</v>
      </c>
      <c r="L1978" s="685">
        <f t="shared" si="57"/>
        <v>18.8</v>
      </c>
      <c r="M1978" s="686">
        <f t="shared" si="58"/>
        <v>169.20000000000002</v>
      </c>
    </row>
    <row r="1979" spans="2:13" s="645" customFormat="1" ht="21.75" customHeight="1">
      <c r="B1979" s="661">
        <v>44425</v>
      </c>
      <c r="C1979" s="662" t="s">
        <v>819</v>
      </c>
      <c r="D1979" s="663" t="s">
        <v>834</v>
      </c>
      <c r="E1979" s="664" t="s">
        <v>831</v>
      </c>
      <c r="F1979" s="665"/>
      <c r="G1979" s="663">
        <v>20</v>
      </c>
      <c r="H1979" s="662" t="s">
        <v>807</v>
      </c>
      <c r="I1979" s="666" t="s">
        <v>857</v>
      </c>
      <c r="J1979" s="667" t="s">
        <v>802</v>
      </c>
      <c r="K1979" s="662">
        <v>3</v>
      </c>
      <c r="L1979" s="685">
        <f t="shared" si="57"/>
        <v>18.8</v>
      </c>
      <c r="M1979" s="686">
        <f t="shared" si="58"/>
        <v>56.400000000000006</v>
      </c>
    </row>
    <row r="1980" spans="2:13" s="645" customFormat="1" ht="21.75" customHeight="1">
      <c r="B1980" s="661">
        <v>44425</v>
      </c>
      <c r="C1980" s="662" t="s">
        <v>819</v>
      </c>
      <c r="D1980" s="663" t="s">
        <v>848</v>
      </c>
      <c r="E1980" s="664" t="s">
        <v>831</v>
      </c>
      <c r="F1980" s="665"/>
      <c r="G1980" s="663">
        <v>20</v>
      </c>
      <c r="H1980" s="662" t="s">
        <v>807</v>
      </c>
      <c r="I1980" s="666" t="s">
        <v>859</v>
      </c>
      <c r="J1980" s="667" t="s">
        <v>802</v>
      </c>
      <c r="K1980" s="662">
        <v>8</v>
      </c>
      <c r="L1980" s="685">
        <f t="shared" si="57"/>
        <v>18.8</v>
      </c>
      <c r="M1980" s="686">
        <f t="shared" si="58"/>
        <v>150.4</v>
      </c>
    </row>
    <row r="1981" spans="2:13" s="645" customFormat="1" ht="21.75" customHeight="1">
      <c r="B1981" s="661">
        <v>44425</v>
      </c>
      <c r="C1981" s="662" t="s">
        <v>819</v>
      </c>
      <c r="D1981" s="663" t="s">
        <v>848</v>
      </c>
      <c r="E1981" s="664" t="s">
        <v>831</v>
      </c>
      <c r="F1981" s="665"/>
      <c r="G1981" s="663">
        <v>20</v>
      </c>
      <c r="H1981" s="662" t="s">
        <v>807</v>
      </c>
      <c r="I1981" s="666" t="s">
        <v>857</v>
      </c>
      <c r="J1981" s="667" t="s">
        <v>802</v>
      </c>
      <c r="K1981" s="662">
        <v>3</v>
      </c>
      <c r="L1981" s="685">
        <f t="shared" si="57"/>
        <v>18.8</v>
      </c>
      <c r="M1981" s="686">
        <f t="shared" si="58"/>
        <v>56.400000000000006</v>
      </c>
    </row>
    <row r="1982" spans="2:13" s="645" customFormat="1" ht="21.75" customHeight="1">
      <c r="B1982" s="661">
        <v>44425</v>
      </c>
      <c r="C1982" s="662" t="s">
        <v>819</v>
      </c>
      <c r="D1982" s="663" t="s">
        <v>856</v>
      </c>
      <c r="E1982" s="664" t="s">
        <v>831</v>
      </c>
      <c r="F1982" s="665"/>
      <c r="G1982" s="663">
        <v>20</v>
      </c>
      <c r="H1982" s="662" t="s">
        <v>807</v>
      </c>
      <c r="I1982" s="666" t="s">
        <v>859</v>
      </c>
      <c r="J1982" s="667" t="s">
        <v>802</v>
      </c>
      <c r="K1982" s="662">
        <v>10</v>
      </c>
      <c r="L1982" s="685">
        <f t="shared" si="57"/>
        <v>18.8</v>
      </c>
      <c r="M1982" s="686">
        <f t="shared" si="58"/>
        <v>188</v>
      </c>
    </row>
    <row r="1983" spans="2:13" s="645" customFormat="1" ht="21.75" customHeight="1">
      <c r="B1983" s="661">
        <v>44425</v>
      </c>
      <c r="C1983" s="662" t="s">
        <v>819</v>
      </c>
      <c r="D1983" s="663" t="s">
        <v>856</v>
      </c>
      <c r="E1983" s="664" t="s">
        <v>831</v>
      </c>
      <c r="F1983" s="665"/>
      <c r="G1983" s="663">
        <v>20</v>
      </c>
      <c r="H1983" s="662" t="s">
        <v>807</v>
      </c>
      <c r="I1983" s="666" t="s">
        <v>859</v>
      </c>
      <c r="J1983" s="667" t="s">
        <v>802</v>
      </c>
      <c r="K1983" s="662">
        <v>2</v>
      </c>
      <c r="L1983" s="685">
        <f t="shared" si="57"/>
        <v>18.8</v>
      </c>
      <c r="M1983" s="686">
        <f t="shared" si="58"/>
        <v>37.6</v>
      </c>
    </row>
    <row r="1984" spans="2:13" s="645" customFormat="1" ht="21.75" customHeight="1">
      <c r="B1984" s="661">
        <v>44425</v>
      </c>
      <c r="C1984" s="662" t="s">
        <v>819</v>
      </c>
      <c r="D1984" s="663" t="s">
        <v>855</v>
      </c>
      <c r="E1984" s="664" t="s">
        <v>831</v>
      </c>
      <c r="F1984" s="665"/>
      <c r="G1984" s="663">
        <v>20</v>
      </c>
      <c r="H1984" s="662" t="s">
        <v>807</v>
      </c>
      <c r="I1984" s="666" t="s">
        <v>859</v>
      </c>
      <c r="J1984" s="667" t="s">
        <v>802</v>
      </c>
      <c r="K1984" s="662">
        <v>12</v>
      </c>
      <c r="L1984" s="685">
        <f t="shared" si="57"/>
        <v>18.8</v>
      </c>
      <c r="M1984" s="686">
        <f t="shared" si="58"/>
        <v>225.60000000000002</v>
      </c>
    </row>
    <row r="1985" spans="2:13" s="645" customFormat="1" ht="21.75" customHeight="1">
      <c r="B1985" s="661">
        <v>44425</v>
      </c>
      <c r="C1985" s="662" t="s">
        <v>819</v>
      </c>
      <c r="D1985" s="663" t="s">
        <v>855</v>
      </c>
      <c r="E1985" s="664" t="s">
        <v>831</v>
      </c>
      <c r="F1985" s="665"/>
      <c r="G1985" s="663">
        <v>20</v>
      </c>
      <c r="H1985" s="662" t="s">
        <v>807</v>
      </c>
      <c r="I1985" s="666" t="s">
        <v>859</v>
      </c>
      <c r="J1985" s="667" t="s">
        <v>802</v>
      </c>
      <c r="K1985" s="662">
        <v>1</v>
      </c>
      <c r="L1985" s="685">
        <f t="shared" si="57"/>
        <v>18.8</v>
      </c>
      <c r="M1985" s="686">
        <f t="shared" si="58"/>
        <v>18.8</v>
      </c>
    </row>
    <row r="1986" spans="2:13" s="645" customFormat="1" ht="21.75" customHeight="1">
      <c r="B1986" s="670">
        <v>44426</v>
      </c>
      <c r="C1986" s="671" t="s">
        <v>819</v>
      </c>
      <c r="D1986" s="672" t="s">
        <v>833</v>
      </c>
      <c r="E1986" s="673" t="s">
        <v>831</v>
      </c>
      <c r="F1986" s="670"/>
      <c r="G1986" s="672">
        <v>15</v>
      </c>
      <c r="H1986" s="671" t="s">
        <v>807</v>
      </c>
      <c r="I1986" s="675" t="s">
        <v>854</v>
      </c>
      <c r="J1986" s="677" t="s">
        <v>804</v>
      </c>
      <c r="K1986" s="671">
        <v>10</v>
      </c>
      <c r="L1986" s="676">
        <f t="shared" si="57"/>
        <v>14.1</v>
      </c>
      <c r="M1986" s="676">
        <f t="shared" si="58"/>
        <v>141</v>
      </c>
    </row>
    <row r="1987" spans="2:13" s="645" customFormat="1" ht="21.75" customHeight="1">
      <c r="B1987" s="670">
        <v>44426</v>
      </c>
      <c r="C1987" s="671" t="s">
        <v>819</v>
      </c>
      <c r="D1987" s="672" t="s">
        <v>830</v>
      </c>
      <c r="E1987" s="673" t="s">
        <v>831</v>
      </c>
      <c r="F1987" s="670"/>
      <c r="G1987" s="672">
        <v>15</v>
      </c>
      <c r="H1987" s="671" t="s">
        <v>807</v>
      </c>
      <c r="I1987" s="675" t="s">
        <v>854</v>
      </c>
      <c r="J1987" s="677" t="s">
        <v>804</v>
      </c>
      <c r="K1987" s="671">
        <v>11</v>
      </c>
      <c r="L1987" s="676">
        <f t="shared" si="57"/>
        <v>14.1</v>
      </c>
      <c r="M1987" s="676">
        <f t="shared" si="58"/>
        <v>155.1</v>
      </c>
    </row>
    <row r="1988" spans="2:13" s="645" customFormat="1" ht="21.75" customHeight="1">
      <c r="B1988" s="670">
        <v>44426</v>
      </c>
      <c r="C1988" s="671" t="s">
        <v>819</v>
      </c>
      <c r="D1988" s="672" t="s">
        <v>830</v>
      </c>
      <c r="E1988" s="673" t="s">
        <v>831</v>
      </c>
      <c r="F1988" s="670"/>
      <c r="G1988" s="672">
        <v>15</v>
      </c>
      <c r="H1988" s="671" t="s">
        <v>807</v>
      </c>
      <c r="I1988" s="675" t="s">
        <v>854</v>
      </c>
      <c r="J1988" s="677" t="s">
        <v>804</v>
      </c>
      <c r="K1988" s="671">
        <v>1</v>
      </c>
      <c r="L1988" s="676">
        <f t="shared" si="57"/>
        <v>14.1</v>
      </c>
      <c r="M1988" s="676">
        <f t="shared" si="58"/>
        <v>14.1</v>
      </c>
    </row>
    <row r="1989" spans="2:13" s="645" customFormat="1" ht="21.75" customHeight="1">
      <c r="B1989" s="670">
        <v>44426</v>
      </c>
      <c r="C1989" s="671" t="s">
        <v>819</v>
      </c>
      <c r="D1989" s="672" t="s">
        <v>839</v>
      </c>
      <c r="E1989" s="673" t="s">
        <v>831</v>
      </c>
      <c r="F1989" s="670"/>
      <c r="G1989" s="672">
        <v>15</v>
      </c>
      <c r="H1989" s="671" t="s">
        <v>807</v>
      </c>
      <c r="I1989" s="675" t="s">
        <v>854</v>
      </c>
      <c r="J1989" s="677" t="s">
        <v>804</v>
      </c>
      <c r="K1989" s="671">
        <v>10</v>
      </c>
      <c r="L1989" s="676">
        <f t="shared" si="57"/>
        <v>14.1</v>
      </c>
      <c r="M1989" s="676">
        <f t="shared" si="58"/>
        <v>141</v>
      </c>
    </row>
    <row r="1990" spans="2:13" s="645" customFormat="1" ht="21.75" customHeight="1">
      <c r="B1990" s="670">
        <v>44426</v>
      </c>
      <c r="C1990" s="671" t="s">
        <v>819</v>
      </c>
      <c r="D1990" s="672" t="s">
        <v>845</v>
      </c>
      <c r="E1990" s="673" t="s">
        <v>831</v>
      </c>
      <c r="F1990" s="670"/>
      <c r="G1990" s="672">
        <v>17</v>
      </c>
      <c r="H1990" s="671" t="s">
        <v>807</v>
      </c>
      <c r="I1990" s="675" t="s">
        <v>854</v>
      </c>
      <c r="J1990" s="677" t="s">
        <v>804</v>
      </c>
      <c r="K1990" s="671">
        <v>12</v>
      </c>
      <c r="L1990" s="676">
        <f t="shared" si="57"/>
        <v>15.98</v>
      </c>
      <c r="M1990" s="676">
        <f t="shared" si="58"/>
        <v>191.76</v>
      </c>
    </row>
    <row r="1991" spans="2:13" s="645" customFormat="1" ht="21.75" customHeight="1">
      <c r="B1991" s="670">
        <v>44426</v>
      </c>
      <c r="C1991" s="671" t="s">
        <v>819</v>
      </c>
      <c r="D1991" s="672" t="s">
        <v>847</v>
      </c>
      <c r="E1991" s="673" t="s">
        <v>831</v>
      </c>
      <c r="F1991" s="670"/>
      <c r="G1991" s="672">
        <v>17</v>
      </c>
      <c r="H1991" s="671" t="s">
        <v>807</v>
      </c>
      <c r="I1991" s="675" t="s">
        <v>854</v>
      </c>
      <c r="J1991" s="677" t="s">
        <v>804</v>
      </c>
      <c r="K1991" s="671">
        <v>12</v>
      </c>
      <c r="L1991" s="676">
        <f t="shared" si="57"/>
        <v>15.98</v>
      </c>
      <c r="M1991" s="676">
        <f t="shared" si="58"/>
        <v>191.76</v>
      </c>
    </row>
    <row r="1992" spans="2:13" s="645" customFormat="1" ht="21.75" customHeight="1">
      <c r="B1992" s="661">
        <v>44426</v>
      </c>
      <c r="C1992" s="662" t="s">
        <v>837</v>
      </c>
      <c r="D1992" s="663" t="s">
        <v>841</v>
      </c>
      <c r="E1992" s="664" t="s">
        <v>831</v>
      </c>
      <c r="F1992" s="661"/>
      <c r="G1992" s="663">
        <v>20</v>
      </c>
      <c r="H1992" s="662" t="s">
        <v>807</v>
      </c>
      <c r="I1992" s="666" t="s">
        <v>854</v>
      </c>
      <c r="J1992" s="667" t="s">
        <v>804</v>
      </c>
      <c r="K1992" s="662">
        <v>17</v>
      </c>
      <c r="L1992" s="668">
        <f t="shared" si="57"/>
        <v>18.8</v>
      </c>
      <c r="M1992" s="668">
        <f t="shared" si="58"/>
        <v>319.60000000000002</v>
      </c>
    </row>
    <row r="1993" spans="2:13" s="645" customFormat="1" ht="21.75" customHeight="1">
      <c r="B1993" s="661">
        <v>44426</v>
      </c>
      <c r="C1993" s="662" t="s">
        <v>837</v>
      </c>
      <c r="D1993" s="663" t="s">
        <v>850</v>
      </c>
      <c r="E1993" s="664" t="s">
        <v>831</v>
      </c>
      <c r="F1993" s="661"/>
      <c r="G1993" s="663">
        <v>15</v>
      </c>
      <c r="H1993" s="662" t="s">
        <v>807</v>
      </c>
      <c r="I1993" s="666" t="s">
        <v>854</v>
      </c>
      <c r="J1993" s="667" t="s">
        <v>804</v>
      </c>
      <c r="K1993" s="662">
        <v>18</v>
      </c>
      <c r="L1993" s="668">
        <f t="shared" ref="L1993:L2056" si="59">VLOOKUP(G1993,$Q$4:$V$7,6,FALSE)</f>
        <v>14.1</v>
      </c>
      <c r="M1993" s="668">
        <f t="shared" si="58"/>
        <v>253.79999999999998</v>
      </c>
    </row>
    <row r="1994" spans="2:13" s="645" customFormat="1" ht="21.75" customHeight="1">
      <c r="B1994" s="661">
        <v>44426</v>
      </c>
      <c r="C1994" s="662" t="s">
        <v>837</v>
      </c>
      <c r="D1994" s="663" t="s">
        <v>856</v>
      </c>
      <c r="E1994" s="664" t="s">
        <v>831</v>
      </c>
      <c r="F1994" s="661"/>
      <c r="G1994" s="663">
        <v>20</v>
      </c>
      <c r="H1994" s="662" t="s">
        <v>807</v>
      </c>
      <c r="I1994" s="666" t="s">
        <v>854</v>
      </c>
      <c r="J1994" s="667" t="s">
        <v>804</v>
      </c>
      <c r="K1994" s="662">
        <v>19</v>
      </c>
      <c r="L1994" s="668">
        <f t="shared" si="59"/>
        <v>18.8</v>
      </c>
      <c r="M1994" s="668">
        <f t="shared" si="58"/>
        <v>357.2</v>
      </c>
    </row>
    <row r="1995" spans="2:13" s="645" customFormat="1" ht="21.75" customHeight="1">
      <c r="B1995" s="661">
        <v>44426</v>
      </c>
      <c r="C1995" s="662" t="s">
        <v>819</v>
      </c>
      <c r="D1995" s="663" t="s">
        <v>840</v>
      </c>
      <c r="E1995" s="664" t="s">
        <v>831</v>
      </c>
      <c r="F1995" s="665"/>
      <c r="G1995" s="663">
        <v>20</v>
      </c>
      <c r="H1995" s="662" t="s">
        <v>807</v>
      </c>
      <c r="I1995" s="666" t="s">
        <v>857</v>
      </c>
      <c r="J1995" s="667" t="s">
        <v>805</v>
      </c>
      <c r="K1995" s="662">
        <v>7</v>
      </c>
      <c r="L1995" s="685">
        <f t="shared" si="59"/>
        <v>18.8</v>
      </c>
      <c r="M1995" s="686">
        <f t="shared" si="58"/>
        <v>131.6</v>
      </c>
    </row>
    <row r="1996" spans="2:13" s="645" customFormat="1" ht="21.75" customHeight="1">
      <c r="B1996" s="661">
        <v>44426</v>
      </c>
      <c r="C1996" s="662" t="s">
        <v>819</v>
      </c>
      <c r="D1996" s="663" t="s">
        <v>835</v>
      </c>
      <c r="E1996" s="664" t="s">
        <v>831</v>
      </c>
      <c r="F1996" s="665"/>
      <c r="G1996" s="663">
        <v>20</v>
      </c>
      <c r="H1996" s="662" t="s">
        <v>807</v>
      </c>
      <c r="I1996" s="666" t="s">
        <v>857</v>
      </c>
      <c r="J1996" s="667" t="s">
        <v>805</v>
      </c>
      <c r="K1996" s="662">
        <v>4</v>
      </c>
      <c r="L1996" s="685">
        <f t="shared" si="59"/>
        <v>18.8</v>
      </c>
      <c r="M1996" s="686">
        <f t="shared" si="58"/>
        <v>75.2</v>
      </c>
    </row>
    <row r="1997" spans="2:13" s="645" customFormat="1" ht="21.75" customHeight="1">
      <c r="B1997" s="661">
        <v>44426</v>
      </c>
      <c r="C1997" s="662" t="s">
        <v>819</v>
      </c>
      <c r="D1997" s="663" t="s">
        <v>841</v>
      </c>
      <c r="E1997" s="664" t="s">
        <v>831</v>
      </c>
      <c r="F1997" s="665"/>
      <c r="G1997" s="663">
        <v>20</v>
      </c>
      <c r="H1997" s="662" t="s">
        <v>807</v>
      </c>
      <c r="I1997" s="666" t="s">
        <v>857</v>
      </c>
      <c r="J1997" s="667" t="s">
        <v>805</v>
      </c>
      <c r="K1997" s="662">
        <v>10</v>
      </c>
      <c r="L1997" s="685">
        <f t="shared" si="59"/>
        <v>18.8</v>
      </c>
      <c r="M1997" s="686">
        <f t="shared" si="58"/>
        <v>188</v>
      </c>
    </row>
    <row r="1998" spans="2:13" s="645" customFormat="1" ht="21.75" customHeight="1">
      <c r="B1998" s="661">
        <v>44426</v>
      </c>
      <c r="C1998" s="662" t="s">
        <v>819</v>
      </c>
      <c r="D1998" s="663" t="s">
        <v>834</v>
      </c>
      <c r="E1998" s="664" t="s">
        <v>831</v>
      </c>
      <c r="F1998" s="665"/>
      <c r="G1998" s="663">
        <v>20</v>
      </c>
      <c r="H1998" s="662" t="s">
        <v>807</v>
      </c>
      <c r="I1998" s="666" t="s">
        <v>857</v>
      </c>
      <c r="J1998" s="667" t="s">
        <v>805</v>
      </c>
      <c r="K1998" s="662">
        <v>7</v>
      </c>
      <c r="L1998" s="685">
        <f t="shared" si="59"/>
        <v>18.8</v>
      </c>
      <c r="M1998" s="686">
        <f t="shared" si="58"/>
        <v>131.6</v>
      </c>
    </row>
    <row r="1999" spans="2:13" s="645" customFormat="1" ht="21.75" customHeight="1">
      <c r="B1999" s="661">
        <v>44426</v>
      </c>
      <c r="C1999" s="662" t="s">
        <v>819</v>
      </c>
      <c r="D1999" s="663" t="s">
        <v>848</v>
      </c>
      <c r="E1999" s="664" t="s">
        <v>831</v>
      </c>
      <c r="F1999" s="665"/>
      <c r="G1999" s="663">
        <v>20</v>
      </c>
      <c r="H1999" s="662" t="s">
        <v>807</v>
      </c>
      <c r="I1999" s="666" t="s">
        <v>857</v>
      </c>
      <c r="J1999" s="667" t="s">
        <v>805</v>
      </c>
      <c r="K1999" s="662">
        <v>6</v>
      </c>
      <c r="L1999" s="685">
        <f t="shared" si="59"/>
        <v>18.8</v>
      </c>
      <c r="M1999" s="686">
        <f t="shared" si="58"/>
        <v>112.80000000000001</v>
      </c>
    </row>
    <row r="2000" spans="2:13" s="645" customFormat="1" ht="21.75" customHeight="1">
      <c r="B2000" s="661">
        <v>44426</v>
      </c>
      <c r="C2000" s="662" t="s">
        <v>819</v>
      </c>
      <c r="D2000" s="663" t="s">
        <v>848</v>
      </c>
      <c r="E2000" s="664" t="s">
        <v>831</v>
      </c>
      <c r="F2000" s="665"/>
      <c r="G2000" s="663">
        <v>20</v>
      </c>
      <c r="H2000" s="662" t="s">
        <v>807</v>
      </c>
      <c r="I2000" s="666" t="s">
        <v>859</v>
      </c>
      <c r="J2000" s="667" t="s">
        <v>805</v>
      </c>
      <c r="K2000" s="662">
        <v>1</v>
      </c>
      <c r="L2000" s="685">
        <f t="shared" si="59"/>
        <v>18.8</v>
      </c>
      <c r="M2000" s="686">
        <f t="shared" si="58"/>
        <v>18.8</v>
      </c>
    </row>
    <row r="2001" spans="2:13" s="645" customFormat="1" ht="21.75" customHeight="1">
      <c r="B2001" s="661">
        <v>44426</v>
      </c>
      <c r="C2001" s="662" t="s">
        <v>819</v>
      </c>
      <c r="D2001" s="663" t="s">
        <v>856</v>
      </c>
      <c r="E2001" s="664" t="s">
        <v>831</v>
      </c>
      <c r="F2001" s="665"/>
      <c r="G2001" s="663">
        <v>20</v>
      </c>
      <c r="H2001" s="662" t="s">
        <v>807</v>
      </c>
      <c r="I2001" s="666" t="s">
        <v>857</v>
      </c>
      <c r="J2001" s="667" t="s">
        <v>805</v>
      </c>
      <c r="K2001" s="662">
        <v>12</v>
      </c>
      <c r="L2001" s="685">
        <f t="shared" si="59"/>
        <v>18.8</v>
      </c>
      <c r="M2001" s="686">
        <f t="shared" si="58"/>
        <v>225.60000000000002</v>
      </c>
    </row>
    <row r="2002" spans="2:13" s="645" customFormat="1" ht="21.75" customHeight="1">
      <c r="B2002" s="661">
        <v>44426</v>
      </c>
      <c r="C2002" s="662" t="s">
        <v>819</v>
      </c>
      <c r="D2002" s="663" t="s">
        <v>855</v>
      </c>
      <c r="E2002" s="664" t="s">
        <v>831</v>
      </c>
      <c r="F2002" s="665"/>
      <c r="G2002" s="663">
        <v>20</v>
      </c>
      <c r="H2002" s="662" t="s">
        <v>807</v>
      </c>
      <c r="I2002" s="666" t="s">
        <v>857</v>
      </c>
      <c r="J2002" s="667" t="s">
        <v>805</v>
      </c>
      <c r="K2002" s="662">
        <v>7</v>
      </c>
      <c r="L2002" s="685">
        <f t="shared" si="59"/>
        <v>18.8</v>
      </c>
      <c r="M2002" s="686">
        <f t="shared" si="58"/>
        <v>131.6</v>
      </c>
    </row>
    <row r="2003" spans="2:13" s="645" customFormat="1" ht="21.75" customHeight="1">
      <c r="B2003" s="661">
        <v>44426</v>
      </c>
      <c r="C2003" s="662" t="s">
        <v>819</v>
      </c>
      <c r="D2003" s="663" t="s">
        <v>849</v>
      </c>
      <c r="E2003" s="664" t="s">
        <v>831</v>
      </c>
      <c r="F2003" s="665"/>
      <c r="G2003" s="663">
        <v>20</v>
      </c>
      <c r="H2003" s="662" t="s">
        <v>807</v>
      </c>
      <c r="I2003" s="666" t="s">
        <v>857</v>
      </c>
      <c r="J2003" s="667" t="s">
        <v>802</v>
      </c>
      <c r="K2003" s="662">
        <v>4</v>
      </c>
      <c r="L2003" s="685">
        <f t="shared" si="59"/>
        <v>18.8</v>
      </c>
      <c r="M2003" s="686">
        <f t="shared" si="58"/>
        <v>75.2</v>
      </c>
    </row>
    <row r="2004" spans="2:13" s="645" customFormat="1" ht="21.75" customHeight="1">
      <c r="B2004" s="661">
        <v>44426</v>
      </c>
      <c r="C2004" s="662" t="s">
        <v>819</v>
      </c>
      <c r="D2004" s="663" t="s">
        <v>849</v>
      </c>
      <c r="E2004" s="664" t="s">
        <v>831</v>
      </c>
      <c r="F2004" s="665"/>
      <c r="G2004" s="663">
        <v>20</v>
      </c>
      <c r="H2004" s="662" t="s">
        <v>807</v>
      </c>
      <c r="I2004" s="666" t="s">
        <v>857</v>
      </c>
      <c r="J2004" s="667" t="s">
        <v>802</v>
      </c>
      <c r="K2004" s="662">
        <v>7</v>
      </c>
      <c r="L2004" s="685">
        <f t="shared" si="59"/>
        <v>18.8</v>
      </c>
      <c r="M2004" s="686">
        <f t="shared" si="58"/>
        <v>131.6</v>
      </c>
    </row>
    <row r="2005" spans="2:13" s="645" customFormat="1" ht="21.75" customHeight="1">
      <c r="B2005" s="661">
        <v>44426</v>
      </c>
      <c r="C2005" s="662" t="s">
        <v>819</v>
      </c>
      <c r="D2005" s="663" t="s">
        <v>834</v>
      </c>
      <c r="E2005" s="664" t="s">
        <v>831</v>
      </c>
      <c r="F2005" s="665"/>
      <c r="G2005" s="663">
        <v>20</v>
      </c>
      <c r="H2005" s="662" t="s">
        <v>807</v>
      </c>
      <c r="I2005" s="666" t="s">
        <v>857</v>
      </c>
      <c r="J2005" s="667" t="s">
        <v>802</v>
      </c>
      <c r="K2005" s="662">
        <v>3</v>
      </c>
      <c r="L2005" s="685">
        <f t="shared" si="59"/>
        <v>18.8</v>
      </c>
      <c r="M2005" s="686">
        <f t="shared" si="58"/>
        <v>56.400000000000006</v>
      </c>
    </row>
    <row r="2006" spans="2:13" s="645" customFormat="1" ht="21.75" customHeight="1">
      <c r="B2006" s="661">
        <v>44426</v>
      </c>
      <c r="C2006" s="662" t="s">
        <v>819</v>
      </c>
      <c r="D2006" s="663" t="s">
        <v>848</v>
      </c>
      <c r="E2006" s="664" t="s">
        <v>831</v>
      </c>
      <c r="F2006" s="665"/>
      <c r="G2006" s="663">
        <v>20</v>
      </c>
      <c r="H2006" s="662" t="s">
        <v>807</v>
      </c>
      <c r="I2006" s="666" t="s">
        <v>857</v>
      </c>
      <c r="J2006" s="667" t="s">
        <v>802</v>
      </c>
      <c r="K2006" s="662">
        <v>4</v>
      </c>
      <c r="L2006" s="685">
        <f t="shared" si="59"/>
        <v>18.8</v>
      </c>
      <c r="M2006" s="686">
        <f t="shared" si="58"/>
        <v>75.2</v>
      </c>
    </row>
    <row r="2007" spans="2:13" s="645" customFormat="1" ht="21.75" customHeight="1">
      <c r="B2007" s="661">
        <v>44426</v>
      </c>
      <c r="C2007" s="662" t="s">
        <v>819</v>
      </c>
      <c r="D2007" s="663" t="s">
        <v>844</v>
      </c>
      <c r="E2007" s="664" t="s">
        <v>831</v>
      </c>
      <c r="F2007" s="665"/>
      <c r="G2007" s="663">
        <v>15</v>
      </c>
      <c r="H2007" s="662" t="s">
        <v>807</v>
      </c>
      <c r="I2007" s="666" t="s">
        <v>857</v>
      </c>
      <c r="J2007" s="667" t="s">
        <v>802</v>
      </c>
      <c r="K2007" s="662">
        <v>3</v>
      </c>
      <c r="L2007" s="685">
        <f t="shared" si="59"/>
        <v>14.1</v>
      </c>
      <c r="M2007" s="686">
        <f t="shared" si="58"/>
        <v>42.3</v>
      </c>
    </row>
    <row r="2008" spans="2:13" s="645" customFormat="1" ht="21.75" customHeight="1">
      <c r="B2008" s="661">
        <v>44426</v>
      </c>
      <c r="C2008" s="662" t="s">
        <v>819</v>
      </c>
      <c r="D2008" s="663" t="s">
        <v>839</v>
      </c>
      <c r="E2008" s="664" t="s">
        <v>831</v>
      </c>
      <c r="F2008" s="665"/>
      <c r="G2008" s="663">
        <v>15</v>
      </c>
      <c r="H2008" s="662" t="s">
        <v>807</v>
      </c>
      <c r="I2008" s="666" t="s">
        <v>857</v>
      </c>
      <c r="J2008" s="667" t="s">
        <v>802</v>
      </c>
      <c r="K2008" s="662">
        <v>1</v>
      </c>
      <c r="L2008" s="685">
        <f t="shared" si="59"/>
        <v>14.1</v>
      </c>
      <c r="M2008" s="686">
        <f t="shared" si="58"/>
        <v>14.1</v>
      </c>
    </row>
    <row r="2009" spans="2:13" s="645" customFormat="1" ht="21.75" customHeight="1">
      <c r="B2009" s="661">
        <v>44426</v>
      </c>
      <c r="C2009" s="662" t="s">
        <v>819</v>
      </c>
      <c r="D2009" s="663" t="s">
        <v>855</v>
      </c>
      <c r="E2009" s="664" t="s">
        <v>831</v>
      </c>
      <c r="F2009" s="665"/>
      <c r="G2009" s="663">
        <v>20</v>
      </c>
      <c r="H2009" s="662" t="s">
        <v>807</v>
      </c>
      <c r="I2009" s="666" t="s">
        <v>857</v>
      </c>
      <c r="J2009" s="667" t="s">
        <v>802</v>
      </c>
      <c r="K2009" s="662">
        <v>4</v>
      </c>
      <c r="L2009" s="685">
        <f t="shared" si="59"/>
        <v>18.8</v>
      </c>
      <c r="M2009" s="686">
        <f t="shared" si="58"/>
        <v>75.2</v>
      </c>
    </row>
    <row r="2010" spans="2:13" s="645" customFormat="1" ht="21.75" customHeight="1">
      <c r="B2010" s="670">
        <v>44427</v>
      </c>
      <c r="C2010" s="671" t="s">
        <v>819</v>
      </c>
      <c r="D2010" s="672" t="s">
        <v>830</v>
      </c>
      <c r="E2010" s="673" t="s">
        <v>831</v>
      </c>
      <c r="F2010" s="670"/>
      <c r="G2010" s="672">
        <v>15</v>
      </c>
      <c r="H2010" s="671" t="s">
        <v>807</v>
      </c>
      <c r="I2010" s="675" t="s">
        <v>854</v>
      </c>
      <c r="J2010" s="677" t="s">
        <v>804</v>
      </c>
      <c r="K2010" s="671">
        <v>16</v>
      </c>
      <c r="L2010" s="676">
        <f t="shared" si="59"/>
        <v>14.1</v>
      </c>
      <c r="M2010" s="676">
        <f t="shared" si="58"/>
        <v>225.6</v>
      </c>
    </row>
    <row r="2011" spans="2:13" s="645" customFormat="1" ht="21.75" customHeight="1">
      <c r="B2011" s="670">
        <v>44427</v>
      </c>
      <c r="C2011" s="671" t="s">
        <v>819</v>
      </c>
      <c r="D2011" s="672" t="s">
        <v>850</v>
      </c>
      <c r="E2011" s="673" t="s">
        <v>831</v>
      </c>
      <c r="F2011" s="670"/>
      <c r="G2011" s="672">
        <v>15</v>
      </c>
      <c r="H2011" s="671" t="s">
        <v>807</v>
      </c>
      <c r="I2011" s="675" t="s">
        <v>854</v>
      </c>
      <c r="J2011" s="677" t="s">
        <v>804</v>
      </c>
      <c r="K2011" s="671">
        <v>8</v>
      </c>
      <c r="L2011" s="676">
        <f t="shared" si="59"/>
        <v>14.1</v>
      </c>
      <c r="M2011" s="676">
        <f t="shared" si="58"/>
        <v>112.8</v>
      </c>
    </row>
    <row r="2012" spans="2:13" s="645" customFormat="1" ht="21.75" customHeight="1">
      <c r="B2012" s="670">
        <v>44427</v>
      </c>
      <c r="C2012" s="671" t="s">
        <v>819</v>
      </c>
      <c r="D2012" s="672" t="s">
        <v>839</v>
      </c>
      <c r="E2012" s="673" t="s">
        <v>831</v>
      </c>
      <c r="F2012" s="670"/>
      <c r="G2012" s="672">
        <v>15</v>
      </c>
      <c r="H2012" s="671" t="s">
        <v>807</v>
      </c>
      <c r="I2012" s="675" t="s">
        <v>854</v>
      </c>
      <c r="J2012" s="677" t="s">
        <v>804</v>
      </c>
      <c r="K2012" s="671">
        <v>14</v>
      </c>
      <c r="L2012" s="676">
        <f t="shared" si="59"/>
        <v>14.1</v>
      </c>
      <c r="M2012" s="676">
        <f t="shared" si="58"/>
        <v>197.4</v>
      </c>
    </row>
    <row r="2013" spans="2:13" s="645" customFormat="1" ht="21.75" customHeight="1">
      <c r="B2013" s="670">
        <v>44427</v>
      </c>
      <c r="C2013" s="671" t="s">
        <v>819</v>
      </c>
      <c r="D2013" s="672" t="s">
        <v>845</v>
      </c>
      <c r="E2013" s="673" t="s">
        <v>831</v>
      </c>
      <c r="F2013" s="670"/>
      <c r="G2013" s="672">
        <v>17</v>
      </c>
      <c r="H2013" s="671" t="s">
        <v>807</v>
      </c>
      <c r="I2013" s="675" t="s">
        <v>854</v>
      </c>
      <c r="J2013" s="677" t="s">
        <v>804</v>
      </c>
      <c r="K2013" s="671">
        <v>12</v>
      </c>
      <c r="L2013" s="676">
        <f t="shared" si="59"/>
        <v>15.98</v>
      </c>
      <c r="M2013" s="676">
        <f t="shared" si="58"/>
        <v>191.76</v>
      </c>
    </row>
    <row r="2014" spans="2:13" s="645" customFormat="1" ht="21.75" customHeight="1">
      <c r="B2014" s="670">
        <v>44427</v>
      </c>
      <c r="C2014" s="671" t="s">
        <v>819</v>
      </c>
      <c r="D2014" s="672" t="s">
        <v>847</v>
      </c>
      <c r="E2014" s="673" t="s">
        <v>831</v>
      </c>
      <c r="F2014" s="670"/>
      <c r="G2014" s="672">
        <v>17</v>
      </c>
      <c r="H2014" s="671" t="s">
        <v>807</v>
      </c>
      <c r="I2014" s="675" t="s">
        <v>854</v>
      </c>
      <c r="J2014" s="677" t="s">
        <v>804</v>
      </c>
      <c r="K2014" s="671">
        <v>12</v>
      </c>
      <c r="L2014" s="676">
        <f t="shared" si="59"/>
        <v>15.98</v>
      </c>
      <c r="M2014" s="676">
        <f t="shared" si="58"/>
        <v>191.76</v>
      </c>
    </row>
    <row r="2015" spans="2:13" s="645" customFormat="1" ht="21.75" customHeight="1">
      <c r="B2015" s="661">
        <v>44427</v>
      </c>
      <c r="C2015" s="662" t="s">
        <v>837</v>
      </c>
      <c r="D2015" s="663" t="s">
        <v>835</v>
      </c>
      <c r="E2015" s="664" t="s">
        <v>831</v>
      </c>
      <c r="F2015" s="661"/>
      <c r="G2015" s="663">
        <v>20</v>
      </c>
      <c r="H2015" s="662" t="s">
        <v>807</v>
      </c>
      <c r="I2015" s="666" t="s">
        <v>854</v>
      </c>
      <c r="J2015" s="667" t="s">
        <v>804</v>
      </c>
      <c r="K2015" s="662">
        <v>15</v>
      </c>
      <c r="L2015" s="668">
        <f t="shared" si="59"/>
        <v>18.8</v>
      </c>
      <c r="M2015" s="668">
        <f t="shared" si="58"/>
        <v>282</v>
      </c>
    </row>
    <row r="2016" spans="2:13" s="645" customFormat="1" ht="21.75" customHeight="1">
      <c r="B2016" s="661">
        <v>44427</v>
      </c>
      <c r="C2016" s="662" t="s">
        <v>837</v>
      </c>
      <c r="D2016" s="663" t="s">
        <v>841</v>
      </c>
      <c r="E2016" s="664" t="s">
        <v>831</v>
      </c>
      <c r="F2016" s="661"/>
      <c r="G2016" s="663">
        <v>20</v>
      </c>
      <c r="H2016" s="662" t="s">
        <v>807</v>
      </c>
      <c r="I2016" s="666" t="s">
        <v>854</v>
      </c>
      <c r="J2016" s="667" t="s">
        <v>804</v>
      </c>
      <c r="K2016" s="662">
        <v>17</v>
      </c>
      <c r="L2016" s="668">
        <f t="shared" si="59"/>
        <v>18.8</v>
      </c>
      <c r="M2016" s="668">
        <f t="shared" si="58"/>
        <v>319.60000000000002</v>
      </c>
    </row>
    <row r="2017" spans="2:13" s="645" customFormat="1" ht="21.75" customHeight="1">
      <c r="B2017" s="661">
        <v>44427</v>
      </c>
      <c r="C2017" s="662" t="s">
        <v>837</v>
      </c>
      <c r="D2017" s="663" t="s">
        <v>834</v>
      </c>
      <c r="E2017" s="664" t="s">
        <v>831</v>
      </c>
      <c r="F2017" s="661"/>
      <c r="G2017" s="663">
        <v>20</v>
      </c>
      <c r="H2017" s="662" t="s">
        <v>807</v>
      </c>
      <c r="I2017" s="666" t="s">
        <v>854</v>
      </c>
      <c r="J2017" s="667" t="s">
        <v>804</v>
      </c>
      <c r="K2017" s="662">
        <v>15</v>
      </c>
      <c r="L2017" s="668">
        <f t="shared" si="59"/>
        <v>18.8</v>
      </c>
      <c r="M2017" s="668">
        <f t="shared" si="58"/>
        <v>282</v>
      </c>
    </row>
    <row r="2018" spans="2:13" s="645" customFormat="1" ht="21.75" customHeight="1">
      <c r="B2018" s="661">
        <v>44427</v>
      </c>
      <c r="C2018" s="662" t="s">
        <v>837</v>
      </c>
      <c r="D2018" s="663" t="s">
        <v>850</v>
      </c>
      <c r="E2018" s="664" t="s">
        <v>831</v>
      </c>
      <c r="F2018" s="661"/>
      <c r="G2018" s="663">
        <v>15</v>
      </c>
      <c r="H2018" s="662" t="s">
        <v>807</v>
      </c>
      <c r="I2018" s="666" t="s">
        <v>854</v>
      </c>
      <c r="J2018" s="667" t="s">
        <v>804</v>
      </c>
      <c r="K2018" s="662">
        <v>8</v>
      </c>
      <c r="L2018" s="668">
        <f t="shared" si="59"/>
        <v>14.1</v>
      </c>
      <c r="M2018" s="668">
        <f t="shared" si="58"/>
        <v>112.8</v>
      </c>
    </row>
    <row r="2019" spans="2:13" s="645" customFormat="1" ht="21.75" customHeight="1">
      <c r="B2019" s="661">
        <v>44427</v>
      </c>
      <c r="C2019" s="662" t="s">
        <v>837</v>
      </c>
      <c r="D2019" s="663" t="s">
        <v>839</v>
      </c>
      <c r="E2019" s="664" t="s">
        <v>831</v>
      </c>
      <c r="F2019" s="661"/>
      <c r="G2019" s="663">
        <v>15</v>
      </c>
      <c r="H2019" s="662" t="s">
        <v>807</v>
      </c>
      <c r="I2019" s="666" t="s">
        <v>854</v>
      </c>
      <c r="J2019" s="667" t="s">
        <v>804</v>
      </c>
      <c r="K2019" s="662">
        <v>7</v>
      </c>
      <c r="L2019" s="668">
        <f t="shared" si="59"/>
        <v>14.1</v>
      </c>
      <c r="M2019" s="668">
        <f t="shared" si="58"/>
        <v>98.7</v>
      </c>
    </row>
    <row r="2020" spans="2:13" s="645" customFormat="1" ht="21.75" customHeight="1">
      <c r="B2020" s="661">
        <v>44427</v>
      </c>
      <c r="C2020" s="662" t="s">
        <v>837</v>
      </c>
      <c r="D2020" s="663" t="s">
        <v>856</v>
      </c>
      <c r="E2020" s="664" t="s">
        <v>831</v>
      </c>
      <c r="F2020" s="661"/>
      <c r="G2020" s="663">
        <v>20</v>
      </c>
      <c r="H2020" s="662" t="s">
        <v>807</v>
      </c>
      <c r="I2020" s="666" t="s">
        <v>854</v>
      </c>
      <c r="J2020" s="667" t="s">
        <v>804</v>
      </c>
      <c r="K2020" s="662">
        <v>18</v>
      </c>
      <c r="L2020" s="668">
        <f t="shared" si="59"/>
        <v>18.8</v>
      </c>
      <c r="M2020" s="668">
        <f t="shared" si="58"/>
        <v>338.40000000000003</v>
      </c>
    </row>
    <row r="2021" spans="2:13" s="645" customFormat="1" ht="21.75" customHeight="1">
      <c r="B2021" s="661">
        <v>44427</v>
      </c>
      <c r="C2021" s="662" t="s">
        <v>837</v>
      </c>
      <c r="D2021" s="663" t="s">
        <v>855</v>
      </c>
      <c r="E2021" s="664" t="s">
        <v>831</v>
      </c>
      <c r="F2021" s="661"/>
      <c r="G2021" s="663">
        <v>20</v>
      </c>
      <c r="H2021" s="662" t="s">
        <v>807</v>
      </c>
      <c r="I2021" s="666" t="s">
        <v>854</v>
      </c>
      <c r="J2021" s="667" t="s">
        <v>804</v>
      </c>
      <c r="K2021" s="662">
        <v>15</v>
      </c>
      <c r="L2021" s="668">
        <f t="shared" si="59"/>
        <v>18.8</v>
      </c>
      <c r="M2021" s="668">
        <f t="shared" si="58"/>
        <v>282</v>
      </c>
    </row>
    <row r="2022" spans="2:13" s="645" customFormat="1" ht="21.75" customHeight="1">
      <c r="B2022" s="661">
        <v>44427</v>
      </c>
      <c r="C2022" s="662" t="s">
        <v>819</v>
      </c>
      <c r="D2022" s="663" t="s">
        <v>849</v>
      </c>
      <c r="E2022" s="664" t="s">
        <v>831</v>
      </c>
      <c r="F2022" s="665"/>
      <c r="G2022" s="663">
        <v>20</v>
      </c>
      <c r="H2022" s="662" t="s">
        <v>807</v>
      </c>
      <c r="I2022" s="666" t="s">
        <v>859</v>
      </c>
      <c r="J2022" s="667" t="s">
        <v>805</v>
      </c>
      <c r="K2022" s="662">
        <v>12</v>
      </c>
      <c r="L2022" s="685">
        <f t="shared" si="59"/>
        <v>18.8</v>
      </c>
      <c r="M2022" s="686">
        <f t="shared" si="58"/>
        <v>225.60000000000002</v>
      </c>
    </row>
    <row r="2023" spans="2:13" s="645" customFormat="1" ht="21.75" customHeight="1">
      <c r="B2023" s="661">
        <v>44427</v>
      </c>
      <c r="C2023" s="662" t="s">
        <v>819</v>
      </c>
      <c r="D2023" s="663" t="s">
        <v>835</v>
      </c>
      <c r="E2023" s="664" t="s">
        <v>831</v>
      </c>
      <c r="F2023" s="665"/>
      <c r="G2023" s="663">
        <v>20</v>
      </c>
      <c r="H2023" s="662" t="s">
        <v>807</v>
      </c>
      <c r="I2023" s="666" t="s">
        <v>859</v>
      </c>
      <c r="J2023" s="667" t="s">
        <v>805</v>
      </c>
      <c r="K2023" s="662">
        <v>11</v>
      </c>
      <c r="L2023" s="685">
        <f t="shared" si="59"/>
        <v>18.8</v>
      </c>
      <c r="M2023" s="686">
        <f t="shared" ref="M2023:M2086" si="60">L2023*K2023</f>
        <v>206.8</v>
      </c>
    </row>
    <row r="2024" spans="2:13" s="645" customFormat="1" ht="21.75" customHeight="1">
      <c r="B2024" s="661">
        <v>44427</v>
      </c>
      <c r="C2024" s="662" t="s">
        <v>819</v>
      </c>
      <c r="D2024" s="663" t="s">
        <v>841</v>
      </c>
      <c r="E2024" s="664" t="s">
        <v>831</v>
      </c>
      <c r="F2024" s="665"/>
      <c r="G2024" s="663">
        <v>20</v>
      </c>
      <c r="H2024" s="662" t="s">
        <v>807</v>
      </c>
      <c r="I2024" s="666" t="s">
        <v>859</v>
      </c>
      <c r="J2024" s="667" t="s">
        <v>805</v>
      </c>
      <c r="K2024" s="662">
        <v>12</v>
      </c>
      <c r="L2024" s="685">
        <f t="shared" si="59"/>
        <v>18.8</v>
      </c>
      <c r="M2024" s="686">
        <f t="shared" si="60"/>
        <v>225.60000000000002</v>
      </c>
    </row>
    <row r="2025" spans="2:13" s="645" customFormat="1" ht="21.75" customHeight="1">
      <c r="B2025" s="661">
        <v>44427</v>
      </c>
      <c r="C2025" s="662" t="s">
        <v>819</v>
      </c>
      <c r="D2025" s="663" t="s">
        <v>834</v>
      </c>
      <c r="E2025" s="664" t="s">
        <v>831</v>
      </c>
      <c r="F2025" s="665"/>
      <c r="G2025" s="663">
        <v>20</v>
      </c>
      <c r="H2025" s="662" t="s">
        <v>807</v>
      </c>
      <c r="I2025" s="666" t="s">
        <v>859</v>
      </c>
      <c r="J2025" s="667" t="s">
        <v>805</v>
      </c>
      <c r="K2025" s="662">
        <v>12</v>
      </c>
      <c r="L2025" s="685">
        <f t="shared" si="59"/>
        <v>18.8</v>
      </c>
      <c r="M2025" s="686">
        <f t="shared" si="60"/>
        <v>225.60000000000002</v>
      </c>
    </row>
    <row r="2026" spans="2:13" s="645" customFormat="1" ht="21.75" customHeight="1">
      <c r="B2026" s="661">
        <v>44427</v>
      </c>
      <c r="C2026" s="662" t="s">
        <v>819</v>
      </c>
      <c r="D2026" s="663" t="s">
        <v>848</v>
      </c>
      <c r="E2026" s="664" t="s">
        <v>831</v>
      </c>
      <c r="F2026" s="665"/>
      <c r="G2026" s="663">
        <v>20</v>
      </c>
      <c r="H2026" s="662" t="s">
        <v>807</v>
      </c>
      <c r="I2026" s="666" t="s">
        <v>859</v>
      </c>
      <c r="J2026" s="667" t="s">
        <v>805</v>
      </c>
      <c r="K2026" s="662">
        <v>13</v>
      </c>
      <c r="L2026" s="685">
        <f t="shared" si="59"/>
        <v>18.8</v>
      </c>
      <c r="M2026" s="686">
        <f t="shared" si="60"/>
        <v>244.4</v>
      </c>
    </row>
    <row r="2027" spans="2:13" s="645" customFormat="1" ht="21.75" customHeight="1">
      <c r="B2027" s="661">
        <v>44427</v>
      </c>
      <c r="C2027" s="662" t="s">
        <v>819</v>
      </c>
      <c r="D2027" s="663" t="s">
        <v>844</v>
      </c>
      <c r="E2027" s="664" t="s">
        <v>831</v>
      </c>
      <c r="F2027" s="665"/>
      <c r="G2027" s="663">
        <v>15</v>
      </c>
      <c r="H2027" s="662" t="s">
        <v>807</v>
      </c>
      <c r="I2027" s="666" t="s">
        <v>859</v>
      </c>
      <c r="J2027" s="667" t="s">
        <v>805</v>
      </c>
      <c r="K2027" s="662">
        <v>11</v>
      </c>
      <c r="L2027" s="685">
        <f t="shared" si="59"/>
        <v>14.1</v>
      </c>
      <c r="M2027" s="686">
        <f t="shared" si="60"/>
        <v>155.1</v>
      </c>
    </row>
    <row r="2028" spans="2:13" s="645" customFormat="1" ht="21.75" customHeight="1">
      <c r="B2028" s="661">
        <v>44427</v>
      </c>
      <c r="C2028" s="662" t="s">
        <v>819</v>
      </c>
      <c r="D2028" s="663" t="s">
        <v>856</v>
      </c>
      <c r="E2028" s="664" t="s">
        <v>831</v>
      </c>
      <c r="F2028" s="665"/>
      <c r="G2028" s="663">
        <v>20</v>
      </c>
      <c r="H2028" s="662" t="s">
        <v>807</v>
      </c>
      <c r="I2028" s="666" t="s">
        <v>859</v>
      </c>
      <c r="J2028" s="667" t="s">
        <v>805</v>
      </c>
      <c r="K2028" s="662">
        <v>12</v>
      </c>
      <c r="L2028" s="685">
        <f t="shared" si="59"/>
        <v>18.8</v>
      </c>
      <c r="M2028" s="686">
        <f t="shared" si="60"/>
        <v>225.60000000000002</v>
      </c>
    </row>
    <row r="2029" spans="2:13" s="645" customFormat="1" ht="21.75" customHeight="1">
      <c r="B2029" s="661">
        <v>44427</v>
      </c>
      <c r="C2029" s="662" t="s">
        <v>819</v>
      </c>
      <c r="D2029" s="663" t="s">
        <v>855</v>
      </c>
      <c r="E2029" s="664" t="s">
        <v>831</v>
      </c>
      <c r="F2029" s="665"/>
      <c r="G2029" s="663">
        <v>20</v>
      </c>
      <c r="H2029" s="662" t="s">
        <v>807</v>
      </c>
      <c r="I2029" s="666" t="s">
        <v>859</v>
      </c>
      <c r="J2029" s="667" t="s">
        <v>805</v>
      </c>
      <c r="K2029" s="662">
        <v>13</v>
      </c>
      <c r="L2029" s="685">
        <f t="shared" si="59"/>
        <v>18.8</v>
      </c>
      <c r="M2029" s="686">
        <f t="shared" si="60"/>
        <v>244.4</v>
      </c>
    </row>
    <row r="2030" spans="2:13" s="645" customFormat="1" ht="21.75" customHeight="1">
      <c r="B2030" s="670">
        <v>44428</v>
      </c>
      <c r="C2030" s="671" t="s">
        <v>819</v>
      </c>
      <c r="D2030" s="672" t="s">
        <v>830</v>
      </c>
      <c r="E2030" s="673" t="s">
        <v>831</v>
      </c>
      <c r="F2030" s="670"/>
      <c r="G2030" s="672">
        <v>15</v>
      </c>
      <c r="H2030" s="671" t="s">
        <v>807</v>
      </c>
      <c r="I2030" s="675" t="s">
        <v>854</v>
      </c>
      <c r="J2030" s="677" t="s">
        <v>804</v>
      </c>
      <c r="K2030" s="671">
        <v>17</v>
      </c>
      <c r="L2030" s="676">
        <f t="shared" si="59"/>
        <v>14.1</v>
      </c>
      <c r="M2030" s="676">
        <f t="shared" si="60"/>
        <v>239.7</v>
      </c>
    </row>
    <row r="2031" spans="2:13" s="645" customFormat="1" ht="21.75" customHeight="1">
      <c r="B2031" s="670">
        <v>44428</v>
      </c>
      <c r="C2031" s="671" t="s">
        <v>819</v>
      </c>
      <c r="D2031" s="672" t="s">
        <v>844</v>
      </c>
      <c r="E2031" s="673" t="s">
        <v>831</v>
      </c>
      <c r="F2031" s="670"/>
      <c r="G2031" s="672">
        <v>15</v>
      </c>
      <c r="H2031" s="671" t="s">
        <v>807</v>
      </c>
      <c r="I2031" s="675" t="s">
        <v>854</v>
      </c>
      <c r="J2031" s="677" t="s">
        <v>804</v>
      </c>
      <c r="K2031" s="671">
        <v>8</v>
      </c>
      <c r="L2031" s="676">
        <f t="shared" si="59"/>
        <v>14.1</v>
      </c>
      <c r="M2031" s="676">
        <f t="shared" si="60"/>
        <v>112.8</v>
      </c>
    </row>
    <row r="2032" spans="2:13" s="645" customFormat="1" ht="21.75" customHeight="1">
      <c r="B2032" s="670">
        <v>44428</v>
      </c>
      <c r="C2032" s="671" t="s">
        <v>819</v>
      </c>
      <c r="D2032" s="672" t="s">
        <v>839</v>
      </c>
      <c r="E2032" s="673" t="s">
        <v>831</v>
      </c>
      <c r="F2032" s="670"/>
      <c r="G2032" s="672">
        <v>15</v>
      </c>
      <c r="H2032" s="671" t="s">
        <v>807</v>
      </c>
      <c r="I2032" s="675" t="s">
        <v>854</v>
      </c>
      <c r="J2032" s="677" t="s">
        <v>804</v>
      </c>
      <c r="K2032" s="671">
        <v>13</v>
      </c>
      <c r="L2032" s="676">
        <f t="shared" si="59"/>
        <v>14.1</v>
      </c>
      <c r="M2032" s="676">
        <f t="shared" si="60"/>
        <v>183.29999999999998</v>
      </c>
    </row>
    <row r="2033" spans="2:13" s="645" customFormat="1" ht="21.75" customHeight="1">
      <c r="B2033" s="670">
        <v>44428</v>
      </c>
      <c r="C2033" s="671" t="s">
        <v>819</v>
      </c>
      <c r="D2033" s="672" t="s">
        <v>845</v>
      </c>
      <c r="E2033" s="673" t="s">
        <v>831</v>
      </c>
      <c r="F2033" s="670"/>
      <c r="G2033" s="672">
        <v>17</v>
      </c>
      <c r="H2033" s="671" t="s">
        <v>807</v>
      </c>
      <c r="I2033" s="675" t="s">
        <v>854</v>
      </c>
      <c r="J2033" s="677" t="s">
        <v>804</v>
      </c>
      <c r="K2033" s="671">
        <v>17</v>
      </c>
      <c r="L2033" s="676">
        <f t="shared" si="59"/>
        <v>15.98</v>
      </c>
      <c r="M2033" s="676">
        <f t="shared" si="60"/>
        <v>271.66000000000003</v>
      </c>
    </row>
    <row r="2034" spans="2:13" s="645" customFormat="1" ht="21.75" customHeight="1">
      <c r="B2034" s="670">
        <v>44428</v>
      </c>
      <c r="C2034" s="671" t="s">
        <v>819</v>
      </c>
      <c r="D2034" s="672" t="s">
        <v>847</v>
      </c>
      <c r="E2034" s="673" t="s">
        <v>831</v>
      </c>
      <c r="F2034" s="670"/>
      <c r="G2034" s="672">
        <v>17</v>
      </c>
      <c r="H2034" s="671" t="s">
        <v>807</v>
      </c>
      <c r="I2034" s="675" t="s">
        <v>854</v>
      </c>
      <c r="J2034" s="677" t="s">
        <v>804</v>
      </c>
      <c r="K2034" s="671">
        <v>18</v>
      </c>
      <c r="L2034" s="676">
        <f t="shared" si="59"/>
        <v>15.98</v>
      </c>
      <c r="M2034" s="676">
        <f t="shared" si="60"/>
        <v>287.64</v>
      </c>
    </row>
    <row r="2035" spans="2:13" s="645" customFormat="1" ht="21.75" customHeight="1">
      <c r="B2035" s="661">
        <v>44428</v>
      </c>
      <c r="C2035" s="662" t="s">
        <v>837</v>
      </c>
      <c r="D2035" s="663" t="s">
        <v>835</v>
      </c>
      <c r="E2035" s="664" t="s">
        <v>831</v>
      </c>
      <c r="F2035" s="661"/>
      <c r="G2035" s="663">
        <v>20</v>
      </c>
      <c r="H2035" s="662" t="s">
        <v>807</v>
      </c>
      <c r="I2035" s="666" t="s">
        <v>854</v>
      </c>
      <c r="J2035" s="667" t="s">
        <v>804</v>
      </c>
      <c r="K2035" s="662">
        <v>15</v>
      </c>
      <c r="L2035" s="668">
        <f t="shared" si="59"/>
        <v>18.8</v>
      </c>
      <c r="M2035" s="668">
        <f t="shared" si="60"/>
        <v>282</v>
      </c>
    </row>
    <row r="2036" spans="2:13" s="645" customFormat="1" ht="21.75" customHeight="1">
      <c r="B2036" s="661">
        <v>44428</v>
      </c>
      <c r="C2036" s="662" t="s">
        <v>837</v>
      </c>
      <c r="D2036" s="663" t="s">
        <v>841</v>
      </c>
      <c r="E2036" s="664" t="s">
        <v>831</v>
      </c>
      <c r="F2036" s="661"/>
      <c r="G2036" s="663">
        <v>20</v>
      </c>
      <c r="H2036" s="662" t="s">
        <v>807</v>
      </c>
      <c r="I2036" s="666" t="s">
        <v>854</v>
      </c>
      <c r="J2036" s="667" t="s">
        <v>804</v>
      </c>
      <c r="K2036" s="662">
        <v>13</v>
      </c>
      <c r="L2036" s="668">
        <f t="shared" si="59"/>
        <v>18.8</v>
      </c>
      <c r="M2036" s="668">
        <f t="shared" si="60"/>
        <v>244.4</v>
      </c>
    </row>
    <row r="2037" spans="2:13" s="645" customFormat="1" ht="21.75" customHeight="1">
      <c r="B2037" s="661">
        <v>44428</v>
      </c>
      <c r="C2037" s="662" t="s">
        <v>837</v>
      </c>
      <c r="D2037" s="663" t="s">
        <v>848</v>
      </c>
      <c r="E2037" s="664" t="s">
        <v>831</v>
      </c>
      <c r="F2037" s="661"/>
      <c r="G2037" s="663">
        <v>20</v>
      </c>
      <c r="H2037" s="662" t="s">
        <v>807</v>
      </c>
      <c r="I2037" s="666" t="s">
        <v>854</v>
      </c>
      <c r="J2037" s="667" t="s">
        <v>804</v>
      </c>
      <c r="K2037" s="662">
        <v>2</v>
      </c>
      <c r="L2037" s="668">
        <f t="shared" si="59"/>
        <v>18.8</v>
      </c>
      <c r="M2037" s="668">
        <f t="shared" si="60"/>
        <v>37.6</v>
      </c>
    </row>
    <row r="2038" spans="2:13" s="645" customFormat="1" ht="21.75" customHeight="1">
      <c r="B2038" s="661">
        <v>44428</v>
      </c>
      <c r="C2038" s="662" t="s">
        <v>837</v>
      </c>
      <c r="D2038" s="663" t="s">
        <v>856</v>
      </c>
      <c r="E2038" s="664" t="s">
        <v>831</v>
      </c>
      <c r="F2038" s="661"/>
      <c r="G2038" s="663">
        <v>20</v>
      </c>
      <c r="H2038" s="662" t="s">
        <v>807</v>
      </c>
      <c r="I2038" s="666" t="s">
        <v>854</v>
      </c>
      <c r="J2038" s="667" t="s">
        <v>804</v>
      </c>
      <c r="K2038" s="662">
        <v>18</v>
      </c>
      <c r="L2038" s="668">
        <f t="shared" si="59"/>
        <v>18.8</v>
      </c>
      <c r="M2038" s="668">
        <f t="shared" si="60"/>
        <v>338.40000000000003</v>
      </c>
    </row>
    <row r="2039" spans="2:13" s="645" customFormat="1" ht="21.75" customHeight="1">
      <c r="B2039" s="661">
        <v>44428</v>
      </c>
      <c r="C2039" s="662" t="s">
        <v>837</v>
      </c>
      <c r="D2039" s="663" t="s">
        <v>855</v>
      </c>
      <c r="E2039" s="664" t="s">
        <v>831</v>
      </c>
      <c r="F2039" s="661"/>
      <c r="G2039" s="663">
        <v>20</v>
      </c>
      <c r="H2039" s="662" t="s">
        <v>807</v>
      </c>
      <c r="I2039" s="666" t="s">
        <v>854</v>
      </c>
      <c r="J2039" s="667" t="s">
        <v>804</v>
      </c>
      <c r="K2039" s="662">
        <v>14</v>
      </c>
      <c r="L2039" s="668">
        <f t="shared" si="59"/>
        <v>18.8</v>
      </c>
      <c r="M2039" s="668">
        <f t="shared" si="60"/>
        <v>263.2</v>
      </c>
    </row>
    <row r="2040" spans="2:13" s="645" customFormat="1" ht="21.75" customHeight="1">
      <c r="B2040" s="661">
        <v>44428</v>
      </c>
      <c r="C2040" s="662" t="s">
        <v>819</v>
      </c>
      <c r="D2040" s="663" t="s">
        <v>849</v>
      </c>
      <c r="E2040" s="664" t="s">
        <v>831</v>
      </c>
      <c r="F2040" s="665"/>
      <c r="G2040" s="663">
        <v>20</v>
      </c>
      <c r="H2040" s="662" t="s">
        <v>807</v>
      </c>
      <c r="I2040" s="666" t="s">
        <v>859</v>
      </c>
      <c r="J2040" s="667" t="s">
        <v>805</v>
      </c>
      <c r="K2040" s="662">
        <v>12</v>
      </c>
      <c r="L2040" s="685">
        <f t="shared" si="59"/>
        <v>18.8</v>
      </c>
      <c r="M2040" s="686">
        <f t="shared" si="60"/>
        <v>225.60000000000002</v>
      </c>
    </row>
    <row r="2041" spans="2:13" s="645" customFormat="1" ht="21.75" customHeight="1">
      <c r="B2041" s="661">
        <v>44428</v>
      </c>
      <c r="C2041" s="662" t="s">
        <v>819</v>
      </c>
      <c r="D2041" s="663" t="s">
        <v>835</v>
      </c>
      <c r="E2041" s="664" t="s">
        <v>831</v>
      </c>
      <c r="F2041" s="665"/>
      <c r="G2041" s="663">
        <v>20</v>
      </c>
      <c r="H2041" s="662" t="s">
        <v>807</v>
      </c>
      <c r="I2041" s="666" t="s">
        <v>859</v>
      </c>
      <c r="J2041" s="667" t="s">
        <v>805</v>
      </c>
      <c r="K2041" s="662">
        <v>1</v>
      </c>
      <c r="L2041" s="685">
        <f t="shared" si="59"/>
        <v>18.8</v>
      </c>
      <c r="M2041" s="686">
        <f t="shared" si="60"/>
        <v>18.8</v>
      </c>
    </row>
    <row r="2042" spans="2:13" s="645" customFormat="1" ht="21.75" customHeight="1">
      <c r="B2042" s="661">
        <v>44428</v>
      </c>
      <c r="C2042" s="662" t="s">
        <v>819</v>
      </c>
      <c r="D2042" s="663" t="s">
        <v>841</v>
      </c>
      <c r="E2042" s="664" t="s">
        <v>831</v>
      </c>
      <c r="F2042" s="665"/>
      <c r="G2042" s="663">
        <v>20</v>
      </c>
      <c r="H2042" s="662" t="s">
        <v>807</v>
      </c>
      <c r="I2042" s="666" t="s">
        <v>859</v>
      </c>
      <c r="J2042" s="667" t="s">
        <v>805</v>
      </c>
      <c r="K2042" s="662">
        <v>12</v>
      </c>
      <c r="L2042" s="685">
        <f t="shared" si="59"/>
        <v>18.8</v>
      </c>
      <c r="M2042" s="686">
        <f t="shared" si="60"/>
        <v>225.60000000000002</v>
      </c>
    </row>
    <row r="2043" spans="2:13" s="645" customFormat="1" ht="21.75" customHeight="1">
      <c r="B2043" s="661">
        <v>44428</v>
      </c>
      <c r="C2043" s="662" t="s">
        <v>819</v>
      </c>
      <c r="D2043" s="663" t="s">
        <v>834</v>
      </c>
      <c r="E2043" s="664" t="s">
        <v>831</v>
      </c>
      <c r="F2043" s="665"/>
      <c r="G2043" s="663">
        <v>20</v>
      </c>
      <c r="H2043" s="662" t="s">
        <v>807</v>
      </c>
      <c r="I2043" s="666" t="s">
        <v>859</v>
      </c>
      <c r="J2043" s="667" t="s">
        <v>805</v>
      </c>
      <c r="K2043" s="662">
        <v>13</v>
      </c>
      <c r="L2043" s="685">
        <f t="shared" si="59"/>
        <v>18.8</v>
      </c>
      <c r="M2043" s="686">
        <f t="shared" si="60"/>
        <v>244.4</v>
      </c>
    </row>
    <row r="2044" spans="2:13" s="645" customFormat="1" ht="21.75" customHeight="1">
      <c r="B2044" s="661">
        <v>44428</v>
      </c>
      <c r="C2044" s="662" t="s">
        <v>819</v>
      </c>
      <c r="D2044" s="663" t="s">
        <v>848</v>
      </c>
      <c r="E2044" s="664" t="s">
        <v>831</v>
      </c>
      <c r="F2044" s="665"/>
      <c r="G2044" s="663">
        <v>20</v>
      </c>
      <c r="H2044" s="662" t="s">
        <v>807</v>
      </c>
      <c r="I2044" s="666" t="s">
        <v>859</v>
      </c>
      <c r="J2044" s="667" t="s">
        <v>805</v>
      </c>
      <c r="K2044" s="662">
        <v>14</v>
      </c>
      <c r="L2044" s="685">
        <f t="shared" si="59"/>
        <v>18.8</v>
      </c>
      <c r="M2044" s="686">
        <f t="shared" si="60"/>
        <v>263.2</v>
      </c>
    </row>
    <row r="2045" spans="2:13" s="645" customFormat="1" ht="21.75" customHeight="1">
      <c r="B2045" s="661">
        <v>44428</v>
      </c>
      <c r="C2045" s="662" t="s">
        <v>819</v>
      </c>
      <c r="D2045" s="663" t="s">
        <v>836</v>
      </c>
      <c r="E2045" s="664" t="s">
        <v>831</v>
      </c>
      <c r="F2045" s="665"/>
      <c r="G2045" s="663">
        <v>20</v>
      </c>
      <c r="H2045" s="662" t="s">
        <v>807</v>
      </c>
      <c r="I2045" s="666" t="s">
        <v>859</v>
      </c>
      <c r="J2045" s="667" t="s">
        <v>805</v>
      </c>
      <c r="K2045" s="662">
        <v>10</v>
      </c>
      <c r="L2045" s="685">
        <f t="shared" si="59"/>
        <v>18.8</v>
      </c>
      <c r="M2045" s="686">
        <f t="shared" si="60"/>
        <v>188</v>
      </c>
    </row>
    <row r="2046" spans="2:13" s="645" customFormat="1" ht="21.75" customHeight="1">
      <c r="B2046" s="661">
        <v>44428</v>
      </c>
      <c r="C2046" s="662" t="s">
        <v>819</v>
      </c>
      <c r="D2046" s="663" t="s">
        <v>856</v>
      </c>
      <c r="E2046" s="664" t="s">
        <v>831</v>
      </c>
      <c r="F2046" s="665"/>
      <c r="G2046" s="663">
        <v>20</v>
      </c>
      <c r="H2046" s="662" t="s">
        <v>807</v>
      </c>
      <c r="I2046" s="666" t="s">
        <v>859</v>
      </c>
      <c r="J2046" s="667" t="s">
        <v>805</v>
      </c>
      <c r="K2046" s="662">
        <v>14</v>
      </c>
      <c r="L2046" s="685">
        <f t="shared" si="59"/>
        <v>18.8</v>
      </c>
      <c r="M2046" s="686">
        <f t="shared" si="60"/>
        <v>263.2</v>
      </c>
    </row>
    <row r="2047" spans="2:13" s="645" customFormat="1" ht="21.75" customHeight="1">
      <c r="B2047" s="661">
        <v>44428</v>
      </c>
      <c r="C2047" s="662" t="s">
        <v>819</v>
      </c>
      <c r="D2047" s="663" t="s">
        <v>855</v>
      </c>
      <c r="E2047" s="664" t="s">
        <v>831</v>
      </c>
      <c r="F2047" s="665"/>
      <c r="G2047" s="663">
        <v>20</v>
      </c>
      <c r="H2047" s="662" t="s">
        <v>807</v>
      </c>
      <c r="I2047" s="666" t="s">
        <v>859</v>
      </c>
      <c r="J2047" s="667" t="s">
        <v>805</v>
      </c>
      <c r="K2047" s="662">
        <v>13</v>
      </c>
      <c r="L2047" s="685">
        <f t="shared" si="59"/>
        <v>18.8</v>
      </c>
      <c r="M2047" s="686">
        <f t="shared" si="60"/>
        <v>244.4</v>
      </c>
    </row>
    <row r="2048" spans="2:13" s="645" customFormat="1" ht="21.75" customHeight="1">
      <c r="B2048" s="661">
        <v>44428</v>
      </c>
      <c r="C2048" s="662" t="s">
        <v>837</v>
      </c>
      <c r="D2048" s="663" t="s">
        <v>849</v>
      </c>
      <c r="E2048" s="664" t="s">
        <v>831</v>
      </c>
      <c r="F2048" s="665"/>
      <c r="G2048" s="663">
        <v>20</v>
      </c>
      <c r="H2048" s="662" t="s">
        <v>807</v>
      </c>
      <c r="I2048" s="666" t="s">
        <v>863</v>
      </c>
      <c r="J2048" s="667" t="s">
        <v>805</v>
      </c>
      <c r="K2048" s="662">
        <v>11</v>
      </c>
      <c r="L2048" s="685">
        <f t="shared" si="59"/>
        <v>18.8</v>
      </c>
      <c r="M2048" s="686">
        <f t="shared" si="60"/>
        <v>206.8</v>
      </c>
    </row>
    <row r="2049" spans="2:13" s="645" customFormat="1" ht="21.75" customHeight="1">
      <c r="B2049" s="661">
        <v>44428</v>
      </c>
      <c r="C2049" s="662" t="s">
        <v>837</v>
      </c>
      <c r="D2049" s="663" t="s">
        <v>839</v>
      </c>
      <c r="E2049" s="664" t="s">
        <v>831</v>
      </c>
      <c r="F2049" s="665"/>
      <c r="G2049" s="663">
        <v>15</v>
      </c>
      <c r="H2049" s="662" t="s">
        <v>807</v>
      </c>
      <c r="I2049" s="666" t="s">
        <v>863</v>
      </c>
      <c r="J2049" s="667" t="s">
        <v>805</v>
      </c>
      <c r="K2049" s="662">
        <v>11</v>
      </c>
      <c r="L2049" s="685">
        <f t="shared" si="59"/>
        <v>14.1</v>
      </c>
      <c r="M2049" s="686">
        <f t="shared" si="60"/>
        <v>155.1</v>
      </c>
    </row>
    <row r="2050" spans="2:13" s="645" customFormat="1" ht="21.75" customHeight="1">
      <c r="B2050" s="670">
        <v>44429</v>
      </c>
      <c r="C2050" s="671" t="s">
        <v>819</v>
      </c>
      <c r="D2050" s="672" t="s">
        <v>830</v>
      </c>
      <c r="E2050" s="673" t="s">
        <v>831</v>
      </c>
      <c r="F2050" s="670"/>
      <c r="G2050" s="672">
        <v>15</v>
      </c>
      <c r="H2050" s="671" t="s">
        <v>807</v>
      </c>
      <c r="I2050" s="675" t="s">
        <v>854</v>
      </c>
      <c r="J2050" s="677" t="s">
        <v>804</v>
      </c>
      <c r="K2050" s="671">
        <v>1</v>
      </c>
      <c r="L2050" s="676">
        <f t="shared" si="59"/>
        <v>14.1</v>
      </c>
      <c r="M2050" s="676">
        <f t="shared" si="60"/>
        <v>14.1</v>
      </c>
    </row>
    <row r="2051" spans="2:13" s="645" customFormat="1" ht="21.75" customHeight="1">
      <c r="B2051" s="670">
        <v>44429</v>
      </c>
      <c r="C2051" s="671" t="s">
        <v>819</v>
      </c>
      <c r="D2051" s="672" t="s">
        <v>830</v>
      </c>
      <c r="E2051" s="673" t="s">
        <v>831</v>
      </c>
      <c r="F2051" s="670"/>
      <c r="G2051" s="672">
        <v>15</v>
      </c>
      <c r="H2051" s="671" t="s">
        <v>807</v>
      </c>
      <c r="I2051" s="675" t="s">
        <v>864</v>
      </c>
      <c r="J2051" s="677" t="s">
        <v>804</v>
      </c>
      <c r="K2051" s="671">
        <v>13</v>
      </c>
      <c r="L2051" s="676">
        <f t="shared" si="59"/>
        <v>14.1</v>
      </c>
      <c r="M2051" s="676">
        <f t="shared" si="60"/>
        <v>183.29999999999998</v>
      </c>
    </row>
    <row r="2052" spans="2:13" s="645" customFormat="1" ht="21.75" customHeight="1">
      <c r="B2052" s="670">
        <v>44429</v>
      </c>
      <c r="C2052" s="671" t="s">
        <v>819</v>
      </c>
      <c r="D2052" s="672" t="s">
        <v>850</v>
      </c>
      <c r="E2052" s="673" t="s">
        <v>831</v>
      </c>
      <c r="F2052" s="670"/>
      <c r="G2052" s="672">
        <v>15</v>
      </c>
      <c r="H2052" s="671" t="s">
        <v>807</v>
      </c>
      <c r="I2052" s="675" t="s">
        <v>854</v>
      </c>
      <c r="J2052" s="677" t="s">
        <v>804</v>
      </c>
      <c r="K2052" s="671">
        <v>9</v>
      </c>
      <c r="L2052" s="676">
        <f t="shared" si="59"/>
        <v>14.1</v>
      </c>
      <c r="M2052" s="676">
        <f t="shared" si="60"/>
        <v>126.89999999999999</v>
      </c>
    </row>
    <row r="2053" spans="2:13" s="645" customFormat="1" ht="21.75" customHeight="1">
      <c r="B2053" s="670">
        <v>44429</v>
      </c>
      <c r="C2053" s="671" t="s">
        <v>819</v>
      </c>
      <c r="D2053" s="672" t="s">
        <v>850</v>
      </c>
      <c r="E2053" s="673" t="s">
        <v>831</v>
      </c>
      <c r="F2053" s="670"/>
      <c r="G2053" s="672">
        <v>15</v>
      </c>
      <c r="H2053" s="671" t="s">
        <v>807</v>
      </c>
      <c r="I2053" s="675" t="s">
        <v>864</v>
      </c>
      <c r="J2053" s="677" t="s">
        <v>804</v>
      </c>
      <c r="K2053" s="671">
        <v>7</v>
      </c>
      <c r="L2053" s="676">
        <f t="shared" si="59"/>
        <v>14.1</v>
      </c>
      <c r="M2053" s="676">
        <f t="shared" si="60"/>
        <v>98.7</v>
      </c>
    </row>
    <row r="2054" spans="2:13" s="645" customFormat="1" ht="21.75" customHeight="1">
      <c r="B2054" s="670">
        <v>44429</v>
      </c>
      <c r="C2054" s="671" t="s">
        <v>819</v>
      </c>
      <c r="D2054" s="672" t="s">
        <v>839</v>
      </c>
      <c r="E2054" s="673" t="s">
        <v>831</v>
      </c>
      <c r="F2054" s="670"/>
      <c r="G2054" s="672">
        <v>15</v>
      </c>
      <c r="H2054" s="671" t="s">
        <v>807</v>
      </c>
      <c r="I2054" s="675" t="s">
        <v>854</v>
      </c>
      <c r="J2054" s="677" t="s">
        <v>804</v>
      </c>
      <c r="K2054" s="671">
        <v>5</v>
      </c>
      <c r="L2054" s="676">
        <f t="shared" si="59"/>
        <v>14.1</v>
      </c>
      <c r="M2054" s="676">
        <f t="shared" si="60"/>
        <v>70.5</v>
      </c>
    </row>
    <row r="2055" spans="2:13" s="645" customFormat="1" ht="21.75" customHeight="1">
      <c r="B2055" s="670">
        <v>44429</v>
      </c>
      <c r="C2055" s="671" t="s">
        <v>819</v>
      </c>
      <c r="D2055" s="672" t="s">
        <v>839</v>
      </c>
      <c r="E2055" s="673" t="s">
        <v>831</v>
      </c>
      <c r="F2055" s="670"/>
      <c r="G2055" s="672">
        <v>15</v>
      </c>
      <c r="H2055" s="671" t="s">
        <v>807</v>
      </c>
      <c r="I2055" s="675" t="s">
        <v>864</v>
      </c>
      <c r="J2055" s="677" t="s">
        <v>804</v>
      </c>
      <c r="K2055" s="671">
        <v>7</v>
      </c>
      <c r="L2055" s="676">
        <f t="shared" si="59"/>
        <v>14.1</v>
      </c>
      <c r="M2055" s="676">
        <f t="shared" si="60"/>
        <v>98.7</v>
      </c>
    </row>
    <row r="2056" spans="2:13" s="645" customFormat="1" ht="21.75" customHeight="1">
      <c r="B2056" s="670">
        <v>44429</v>
      </c>
      <c r="C2056" s="671" t="s">
        <v>819</v>
      </c>
      <c r="D2056" s="672" t="s">
        <v>845</v>
      </c>
      <c r="E2056" s="673" t="s">
        <v>831</v>
      </c>
      <c r="F2056" s="670"/>
      <c r="G2056" s="672">
        <v>17</v>
      </c>
      <c r="H2056" s="671" t="s">
        <v>807</v>
      </c>
      <c r="I2056" s="675" t="s">
        <v>854</v>
      </c>
      <c r="J2056" s="677" t="s">
        <v>804</v>
      </c>
      <c r="K2056" s="671">
        <v>7</v>
      </c>
      <c r="L2056" s="676">
        <f t="shared" si="59"/>
        <v>15.98</v>
      </c>
      <c r="M2056" s="676">
        <f t="shared" si="60"/>
        <v>111.86</v>
      </c>
    </row>
    <row r="2057" spans="2:13" s="645" customFormat="1" ht="21.75" customHeight="1">
      <c r="B2057" s="670">
        <v>44429</v>
      </c>
      <c r="C2057" s="671" t="s">
        <v>819</v>
      </c>
      <c r="D2057" s="672" t="s">
        <v>845</v>
      </c>
      <c r="E2057" s="673" t="s">
        <v>831</v>
      </c>
      <c r="F2057" s="670"/>
      <c r="G2057" s="672">
        <v>17</v>
      </c>
      <c r="H2057" s="671" t="s">
        <v>807</v>
      </c>
      <c r="I2057" s="675" t="s">
        <v>864</v>
      </c>
      <c r="J2057" s="677" t="s">
        <v>804</v>
      </c>
      <c r="K2057" s="671">
        <v>8</v>
      </c>
      <c r="L2057" s="676">
        <f t="shared" ref="L2057:L2120" si="61">VLOOKUP(G2057,$Q$4:$V$7,6,FALSE)</f>
        <v>15.98</v>
      </c>
      <c r="M2057" s="676">
        <f t="shared" si="60"/>
        <v>127.84</v>
      </c>
    </row>
    <row r="2058" spans="2:13" s="645" customFormat="1" ht="21.75" customHeight="1">
      <c r="B2058" s="670">
        <v>44429</v>
      </c>
      <c r="C2058" s="671" t="s">
        <v>819</v>
      </c>
      <c r="D2058" s="672" t="s">
        <v>847</v>
      </c>
      <c r="E2058" s="673" t="s">
        <v>831</v>
      </c>
      <c r="F2058" s="670"/>
      <c r="G2058" s="672">
        <v>17</v>
      </c>
      <c r="H2058" s="671" t="s">
        <v>807</v>
      </c>
      <c r="I2058" s="675" t="s">
        <v>854</v>
      </c>
      <c r="J2058" s="677" t="s">
        <v>804</v>
      </c>
      <c r="K2058" s="671">
        <v>12</v>
      </c>
      <c r="L2058" s="676">
        <f t="shared" si="61"/>
        <v>15.98</v>
      </c>
      <c r="M2058" s="676">
        <f t="shared" si="60"/>
        <v>191.76</v>
      </c>
    </row>
    <row r="2059" spans="2:13" s="645" customFormat="1" ht="21.75" customHeight="1">
      <c r="B2059" s="661">
        <v>44429</v>
      </c>
      <c r="C2059" s="662" t="s">
        <v>837</v>
      </c>
      <c r="D2059" s="663" t="s">
        <v>835</v>
      </c>
      <c r="E2059" s="664" t="s">
        <v>831</v>
      </c>
      <c r="F2059" s="661"/>
      <c r="G2059" s="663">
        <v>20</v>
      </c>
      <c r="H2059" s="662" t="s">
        <v>807</v>
      </c>
      <c r="I2059" s="666" t="s">
        <v>864</v>
      </c>
      <c r="J2059" s="667" t="s">
        <v>804</v>
      </c>
      <c r="K2059" s="662">
        <v>16</v>
      </c>
      <c r="L2059" s="668">
        <f t="shared" si="61"/>
        <v>18.8</v>
      </c>
      <c r="M2059" s="668">
        <f t="shared" si="60"/>
        <v>300.8</v>
      </c>
    </row>
    <row r="2060" spans="2:13" s="645" customFormat="1" ht="21.75" customHeight="1">
      <c r="B2060" s="661">
        <v>44429</v>
      </c>
      <c r="C2060" s="662" t="s">
        <v>837</v>
      </c>
      <c r="D2060" s="663" t="s">
        <v>841</v>
      </c>
      <c r="E2060" s="664" t="s">
        <v>831</v>
      </c>
      <c r="F2060" s="661"/>
      <c r="G2060" s="663">
        <v>20</v>
      </c>
      <c r="H2060" s="662" t="s">
        <v>807</v>
      </c>
      <c r="I2060" s="666" t="s">
        <v>864</v>
      </c>
      <c r="J2060" s="667" t="s">
        <v>804</v>
      </c>
      <c r="K2060" s="662">
        <v>15</v>
      </c>
      <c r="L2060" s="668">
        <f t="shared" si="61"/>
        <v>18.8</v>
      </c>
      <c r="M2060" s="668">
        <f t="shared" si="60"/>
        <v>282</v>
      </c>
    </row>
    <row r="2061" spans="2:13" s="645" customFormat="1" ht="21.75" customHeight="1">
      <c r="B2061" s="661">
        <v>44429</v>
      </c>
      <c r="C2061" s="662" t="s">
        <v>837</v>
      </c>
      <c r="D2061" s="663" t="s">
        <v>830</v>
      </c>
      <c r="E2061" s="664" t="s">
        <v>831</v>
      </c>
      <c r="F2061" s="661"/>
      <c r="G2061" s="663">
        <v>15</v>
      </c>
      <c r="H2061" s="662" t="s">
        <v>807</v>
      </c>
      <c r="I2061" s="666" t="s">
        <v>864</v>
      </c>
      <c r="J2061" s="667" t="s">
        <v>804</v>
      </c>
      <c r="K2061" s="662">
        <v>13</v>
      </c>
      <c r="L2061" s="668">
        <f t="shared" si="61"/>
        <v>14.1</v>
      </c>
      <c r="M2061" s="668">
        <f t="shared" si="60"/>
        <v>183.29999999999998</v>
      </c>
    </row>
    <row r="2062" spans="2:13" s="645" customFormat="1" ht="21.75" customHeight="1">
      <c r="B2062" s="661">
        <v>44429</v>
      </c>
      <c r="C2062" s="662" t="s">
        <v>837</v>
      </c>
      <c r="D2062" s="663" t="s">
        <v>856</v>
      </c>
      <c r="E2062" s="664" t="s">
        <v>831</v>
      </c>
      <c r="F2062" s="661"/>
      <c r="G2062" s="663">
        <v>20</v>
      </c>
      <c r="H2062" s="662" t="s">
        <v>807</v>
      </c>
      <c r="I2062" s="666" t="s">
        <v>864</v>
      </c>
      <c r="J2062" s="667" t="s">
        <v>804</v>
      </c>
      <c r="K2062" s="662">
        <v>18</v>
      </c>
      <c r="L2062" s="668">
        <f t="shared" si="61"/>
        <v>18.8</v>
      </c>
      <c r="M2062" s="668">
        <f t="shared" si="60"/>
        <v>338.40000000000003</v>
      </c>
    </row>
    <row r="2063" spans="2:13" s="645" customFormat="1" ht="21.75" customHeight="1">
      <c r="B2063" s="661">
        <v>44429</v>
      </c>
      <c r="C2063" s="662" t="s">
        <v>837</v>
      </c>
      <c r="D2063" s="663" t="s">
        <v>855</v>
      </c>
      <c r="E2063" s="664" t="s">
        <v>831</v>
      </c>
      <c r="F2063" s="661"/>
      <c r="G2063" s="663">
        <v>20</v>
      </c>
      <c r="H2063" s="662" t="s">
        <v>807</v>
      </c>
      <c r="I2063" s="666" t="s">
        <v>864</v>
      </c>
      <c r="J2063" s="667" t="s">
        <v>804</v>
      </c>
      <c r="K2063" s="662">
        <v>14</v>
      </c>
      <c r="L2063" s="668">
        <f t="shared" si="61"/>
        <v>18.8</v>
      </c>
      <c r="M2063" s="668">
        <f t="shared" si="60"/>
        <v>263.2</v>
      </c>
    </row>
    <row r="2064" spans="2:13" s="645" customFormat="1" ht="21.75" customHeight="1">
      <c r="B2064" s="661">
        <v>44429</v>
      </c>
      <c r="C2064" s="662" t="s">
        <v>819</v>
      </c>
      <c r="D2064" s="663" t="s">
        <v>849</v>
      </c>
      <c r="E2064" s="664" t="s">
        <v>831</v>
      </c>
      <c r="F2064" s="665"/>
      <c r="G2064" s="663">
        <v>20</v>
      </c>
      <c r="H2064" s="662" t="s">
        <v>807</v>
      </c>
      <c r="I2064" s="666" t="s">
        <v>859</v>
      </c>
      <c r="J2064" s="667" t="s">
        <v>805</v>
      </c>
      <c r="K2064" s="662">
        <v>4</v>
      </c>
      <c r="L2064" s="685">
        <f t="shared" si="61"/>
        <v>18.8</v>
      </c>
      <c r="M2064" s="686">
        <f t="shared" si="60"/>
        <v>75.2</v>
      </c>
    </row>
    <row r="2065" spans="2:13" s="645" customFormat="1" ht="21.75" customHeight="1">
      <c r="B2065" s="661">
        <v>44429</v>
      </c>
      <c r="C2065" s="662" t="s">
        <v>819</v>
      </c>
      <c r="D2065" s="663" t="s">
        <v>835</v>
      </c>
      <c r="E2065" s="664" t="s">
        <v>831</v>
      </c>
      <c r="F2065" s="665"/>
      <c r="G2065" s="663">
        <v>20</v>
      </c>
      <c r="H2065" s="662" t="s">
        <v>807</v>
      </c>
      <c r="I2065" s="666" t="s">
        <v>863</v>
      </c>
      <c r="J2065" s="667" t="s">
        <v>805</v>
      </c>
      <c r="K2065" s="662">
        <v>10</v>
      </c>
      <c r="L2065" s="685">
        <f t="shared" si="61"/>
        <v>18.8</v>
      </c>
      <c r="M2065" s="686">
        <f t="shared" si="60"/>
        <v>188</v>
      </c>
    </row>
    <row r="2066" spans="2:13" s="645" customFormat="1" ht="21.75" customHeight="1">
      <c r="B2066" s="661">
        <v>44429</v>
      </c>
      <c r="C2066" s="662" t="s">
        <v>819</v>
      </c>
      <c r="D2066" s="663" t="s">
        <v>841</v>
      </c>
      <c r="E2066" s="664" t="s">
        <v>831</v>
      </c>
      <c r="F2066" s="665"/>
      <c r="G2066" s="663">
        <v>20</v>
      </c>
      <c r="H2066" s="662" t="s">
        <v>807</v>
      </c>
      <c r="I2066" s="666" t="s">
        <v>859</v>
      </c>
      <c r="J2066" s="667" t="s">
        <v>805</v>
      </c>
      <c r="K2066" s="662">
        <v>4</v>
      </c>
      <c r="L2066" s="685">
        <f t="shared" si="61"/>
        <v>18.8</v>
      </c>
      <c r="M2066" s="686">
        <f t="shared" si="60"/>
        <v>75.2</v>
      </c>
    </row>
    <row r="2067" spans="2:13" s="645" customFormat="1" ht="21.75" customHeight="1">
      <c r="B2067" s="661">
        <v>44429</v>
      </c>
      <c r="C2067" s="662" t="s">
        <v>819</v>
      </c>
      <c r="D2067" s="663" t="s">
        <v>834</v>
      </c>
      <c r="E2067" s="664" t="s">
        <v>831</v>
      </c>
      <c r="F2067" s="665"/>
      <c r="G2067" s="663">
        <v>20</v>
      </c>
      <c r="H2067" s="662" t="s">
        <v>807</v>
      </c>
      <c r="I2067" s="666" t="s">
        <v>863</v>
      </c>
      <c r="J2067" s="667" t="s">
        <v>805</v>
      </c>
      <c r="K2067" s="662">
        <v>4</v>
      </c>
      <c r="L2067" s="685">
        <f t="shared" si="61"/>
        <v>18.8</v>
      </c>
      <c r="M2067" s="686">
        <f t="shared" si="60"/>
        <v>75.2</v>
      </c>
    </row>
    <row r="2068" spans="2:13" s="645" customFormat="1" ht="21.75" customHeight="1">
      <c r="B2068" s="661">
        <v>44429</v>
      </c>
      <c r="C2068" s="662" t="s">
        <v>819</v>
      </c>
      <c r="D2068" s="663" t="s">
        <v>848</v>
      </c>
      <c r="E2068" s="664" t="s">
        <v>831</v>
      </c>
      <c r="F2068" s="665"/>
      <c r="G2068" s="663">
        <v>20</v>
      </c>
      <c r="H2068" s="662" t="s">
        <v>807</v>
      </c>
      <c r="I2068" s="666" t="s">
        <v>859</v>
      </c>
      <c r="J2068" s="667" t="s">
        <v>805</v>
      </c>
      <c r="K2068" s="662">
        <v>2</v>
      </c>
      <c r="L2068" s="685">
        <f t="shared" si="61"/>
        <v>18.8</v>
      </c>
      <c r="M2068" s="686">
        <f t="shared" si="60"/>
        <v>37.6</v>
      </c>
    </row>
    <row r="2069" spans="2:13" s="645" customFormat="1" ht="21.75" customHeight="1">
      <c r="B2069" s="661">
        <v>44429</v>
      </c>
      <c r="C2069" s="662" t="s">
        <v>819</v>
      </c>
      <c r="D2069" s="663" t="s">
        <v>848</v>
      </c>
      <c r="E2069" s="664" t="s">
        <v>831</v>
      </c>
      <c r="F2069" s="665"/>
      <c r="G2069" s="663">
        <v>20</v>
      </c>
      <c r="H2069" s="662" t="s">
        <v>807</v>
      </c>
      <c r="I2069" s="666" t="s">
        <v>863</v>
      </c>
      <c r="J2069" s="667" t="s">
        <v>805</v>
      </c>
      <c r="K2069" s="662">
        <v>12</v>
      </c>
      <c r="L2069" s="685">
        <f t="shared" si="61"/>
        <v>18.8</v>
      </c>
      <c r="M2069" s="686">
        <f t="shared" si="60"/>
        <v>225.60000000000002</v>
      </c>
    </row>
    <row r="2070" spans="2:13" s="645" customFormat="1" ht="21.75" customHeight="1">
      <c r="B2070" s="661">
        <v>44429</v>
      </c>
      <c r="C2070" s="662" t="s">
        <v>819</v>
      </c>
      <c r="D2070" s="663" t="s">
        <v>836</v>
      </c>
      <c r="E2070" s="664" t="s">
        <v>831</v>
      </c>
      <c r="F2070" s="665"/>
      <c r="G2070" s="663">
        <v>20</v>
      </c>
      <c r="H2070" s="662" t="s">
        <v>807</v>
      </c>
      <c r="I2070" s="666" t="s">
        <v>863</v>
      </c>
      <c r="J2070" s="667" t="s">
        <v>805</v>
      </c>
      <c r="K2070" s="662">
        <v>7</v>
      </c>
      <c r="L2070" s="685">
        <f t="shared" si="61"/>
        <v>18.8</v>
      </c>
      <c r="M2070" s="686">
        <f t="shared" si="60"/>
        <v>131.6</v>
      </c>
    </row>
    <row r="2071" spans="2:13" s="645" customFormat="1" ht="21.75" customHeight="1">
      <c r="B2071" s="661">
        <v>44429</v>
      </c>
      <c r="C2071" s="662" t="s">
        <v>819</v>
      </c>
      <c r="D2071" s="663" t="s">
        <v>856</v>
      </c>
      <c r="E2071" s="664" t="s">
        <v>831</v>
      </c>
      <c r="F2071" s="665"/>
      <c r="G2071" s="663">
        <v>20</v>
      </c>
      <c r="H2071" s="662" t="s">
        <v>807</v>
      </c>
      <c r="I2071" s="666" t="s">
        <v>859</v>
      </c>
      <c r="J2071" s="667" t="s">
        <v>805</v>
      </c>
      <c r="K2071" s="662">
        <v>4</v>
      </c>
      <c r="L2071" s="685">
        <f t="shared" si="61"/>
        <v>18.8</v>
      </c>
      <c r="M2071" s="686">
        <f t="shared" si="60"/>
        <v>75.2</v>
      </c>
    </row>
    <row r="2072" spans="2:13" s="645" customFormat="1" ht="21.75" customHeight="1">
      <c r="B2072" s="661">
        <v>44429</v>
      </c>
      <c r="C2072" s="662" t="s">
        <v>819</v>
      </c>
      <c r="D2072" s="663" t="s">
        <v>856</v>
      </c>
      <c r="E2072" s="664" t="s">
        <v>831</v>
      </c>
      <c r="F2072" s="665"/>
      <c r="G2072" s="663">
        <v>20</v>
      </c>
      <c r="H2072" s="662" t="s">
        <v>807</v>
      </c>
      <c r="I2072" s="666" t="s">
        <v>863</v>
      </c>
      <c r="J2072" s="667" t="s">
        <v>805</v>
      </c>
      <c r="K2072" s="662">
        <v>11</v>
      </c>
      <c r="L2072" s="685">
        <f t="shared" si="61"/>
        <v>18.8</v>
      </c>
      <c r="M2072" s="686">
        <f t="shared" si="60"/>
        <v>206.8</v>
      </c>
    </row>
    <row r="2073" spans="2:13" s="645" customFormat="1" ht="21.75" customHeight="1">
      <c r="B2073" s="661">
        <v>44429</v>
      </c>
      <c r="C2073" s="662" t="s">
        <v>819</v>
      </c>
      <c r="D2073" s="663" t="s">
        <v>855</v>
      </c>
      <c r="E2073" s="664" t="s">
        <v>831</v>
      </c>
      <c r="F2073" s="665"/>
      <c r="G2073" s="663">
        <v>20</v>
      </c>
      <c r="H2073" s="662" t="s">
        <v>807</v>
      </c>
      <c r="I2073" s="666" t="s">
        <v>859</v>
      </c>
      <c r="J2073" s="667" t="s">
        <v>805</v>
      </c>
      <c r="K2073" s="662">
        <v>4</v>
      </c>
      <c r="L2073" s="685">
        <f t="shared" si="61"/>
        <v>18.8</v>
      </c>
      <c r="M2073" s="686">
        <f t="shared" si="60"/>
        <v>75.2</v>
      </c>
    </row>
    <row r="2074" spans="2:13" s="645" customFormat="1" ht="21.75" customHeight="1">
      <c r="B2074" s="670">
        <v>44430</v>
      </c>
      <c r="C2074" s="671" t="s">
        <v>819</v>
      </c>
      <c r="D2074" s="672" t="s">
        <v>833</v>
      </c>
      <c r="E2074" s="673" t="s">
        <v>831</v>
      </c>
      <c r="F2074" s="670"/>
      <c r="G2074" s="672">
        <v>15</v>
      </c>
      <c r="H2074" s="671" t="s">
        <v>807</v>
      </c>
      <c r="I2074" s="675" t="s">
        <v>854</v>
      </c>
      <c r="J2074" s="677" t="s">
        <v>804</v>
      </c>
      <c r="K2074" s="671">
        <v>2</v>
      </c>
      <c r="L2074" s="676">
        <f t="shared" si="61"/>
        <v>14.1</v>
      </c>
      <c r="M2074" s="676">
        <f t="shared" si="60"/>
        <v>28.2</v>
      </c>
    </row>
    <row r="2075" spans="2:13" s="645" customFormat="1" ht="21.75" customHeight="1">
      <c r="B2075" s="670">
        <v>44430</v>
      </c>
      <c r="C2075" s="671" t="s">
        <v>819</v>
      </c>
      <c r="D2075" s="672" t="s">
        <v>833</v>
      </c>
      <c r="E2075" s="673" t="s">
        <v>831</v>
      </c>
      <c r="F2075" s="670"/>
      <c r="G2075" s="672">
        <v>15</v>
      </c>
      <c r="H2075" s="671" t="s">
        <v>807</v>
      </c>
      <c r="I2075" s="675" t="s">
        <v>864</v>
      </c>
      <c r="J2075" s="677" t="s">
        <v>804</v>
      </c>
      <c r="K2075" s="671">
        <v>13</v>
      </c>
      <c r="L2075" s="676">
        <f t="shared" si="61"/>
        <v>14.1</v>
      </c>
      <c r="M2075" s="676">
        <f t="shared" si="60"/>
        <v>183.29999999999998</v>
      </c>
    </row>
    <row r="2076" spans="2:13" s="645" customFormat="1" ht="21.75" customHeight="1">
      <c r="B2076" s="670">
        <v>44430</v>
      </c>
      <c r="C2076" s="671" t="s">
        <v>819</v>
      </c>
      <c r="D2076" s="672" t="s">
        <v>830</v>
      </c>
      <c r="E2076" s="673" t="s">
        <v>831</v>
      </c>
      <c r="F2076" s="670"/>
      <c r="G2076" s="672">
        <v>15</v>
      </c>
      <c r="H2076" s="671" t="s">
        <v>807</v>
      </c>
      <c r="I2076" s="675" t="s">
        <v>854</v>
      </c>
      <c r="J2076" s="677" t="s">
        <v>804</v>
      </c>
      <c r="K2076" s="671">
        <v>1</v>
      </c>
      <c r="L2076" s="676">
        <f t="shared" si="61"/>
        <v>14.1</v>
      </c>
      <c r="M2076" s="676">
        <f t="shared" si="60"/>
        <v>14.1</v>
      </c>
    </row>
    <row r="2077" spans="2:13" s="645" customFormat="1" ht="21.75" customHeight="1">
      <c r="B2077" s="670">
        <v>44430</v>
      </c>
      <c r="C2077" s="671" t="s">
        <v>819</v>
      </c>
      <c r="D2077" s="672" t="s">
        <v>830</v>
      </c>
      <c r="E2077" s="673" t="s">
        <v>831</v>
      </c>
      <c r="F2077" s="670"/>
      <c r="G2077" s="672">
        <v>15</v>
      </c>
      <c r="H2077" s="671" t="s">
        <v>807</v>
      </c>
      <c r="I2077" s="675" t="s">
        <v>864</v>
      </c>
      <c r="J2077" s="677" t="s">
        <v>804</v>
      </c>
      <c r="K2077" s="671">
        <v>16</v>
      </c>
      <c r="L2077" s="676">
        <f t="shared" si="61"/>
        <v>14.1</v>
      </c>
      <c r="M2077" s="676">
        <f t="shared" si="60"/>
        <v>225.6</v>
      </c>
    </row>
    <row r="2078" spans="2:13" s="645" customFormat="1" ht="21.75" customHeight="1">
      <c r="B2078" s="670">
        <v>44430</v>
      </c>
      <c r="C2078" s="671" t="s">
        <v>819</v>
      </c>
      <c r="D2078" s="672" t="s">
        <v>850</v>
      </c>
      <c r="E2078" s="673" t="s">
        <v>831</v>
      </c>
      <c r="F2078" s="670"/>
      <c r="G2078" s="672">
        <v>15</v>
      </c>
      <c r="H2078" s="671" t="s">
        <v>807</v>
      </c>
      <c r="I2078" s="675" t="s">
        <v>854</v>
      </c>
      <c r="J2078" s="677" t="s">
        <v>804</v>
      </c>
      <c r="K2078" s="671">
        <v>2</v>
      </c>
      <c r="L2078" s="676">
        <f t="shared" si="61"/>
        <v>14.1</v>
      </c>
      <c r="M2078" s="676">
        <f t="shared" si="60"/>
        <v>28.2</v>
      </c>
    </row>
    <row r="2079" spans="2:13" s="645" customFormat="1" ht="21.75" customHeight="1">
      <c r="B2079" s="670">
        <v>44430</v>
      </c>
      <c r="C2079" s="671" t="s">
        <v>819</v>
      </c>
      <c r="D2079" s="672" t="s">
        <v>850</v>
      </c>
      <c r="E2079" s="673" t="s">
        <v>831</v>
      </c>
      <c r="F2079" s="670"/>
      <c r="G2079" s="672">
        <v>15</v>
      </c>
      <c r="H2079" s="671" t="s">
        <v>807</v>
      </c>
      <c r="I2079" s="675" t="s">
        <v>864</v>
      </c>
      <c r="J2079" s="677" t="s">
        <v>804</v>
      </c>
      <c r="K2079" s="671">
        <v>14</v>
      </c>
      <c r="L2079" s="676">
        <f t="shared" si="61"/>
        <v>14.1</v>
      </c>
      <c r="M2079" s="676">
        <f t="shared" si="60"/>
        <v>197.4</v>
      </c>
    </row>
    <row r="2080" spans="2:13" s="645" customFormat="1" ht="21.75" customHeight="1">
      <c r="B2080" s="670">
        <v>44430</v>
      </c>
      <c r="C2080" s="671" t="s">
        <v>819</v>
      </c>
      <c r="D2080" s="672" t="s">
        <v>845</v>
      </c>
      <c r="E2080" s="673" t="s">
        <v>831</v>
      </c>
      <c r="F2080" s="670"/>
      <c r="G2080" s="672">
        <v>17</v>
      </c>
      <c r="H2080" s="671" t="s">
        <v>807</v>
      </c>
      <c r="I2080" s="675" t="s">
        <v>854</v>
      </c>
      <c r="J2080" s="677" t="s">
        <v>804</v>
      </c>
      <c r="K2080" s="671">
        <v>14</v>
      </c>
      <c r="L2080" s="676">
        <f t="shared" si="61"/>
        <v>15.98</v>
      </c>
      <c r="M2080" s="676">
        <f t="shared" si="60"/>
        <v>223.72</v>
      </c>
    </row>
    <row r="2081" spans="2:13" s="645" customFormat="1" ht="21.75" customHeight="1">
      <c r="B2081" s="670">
        <v>44430</v>
      </c>
      <c r="C2081" s="671" t="s">
        <v>819</v>
      </c>
      <c r="D2081" s="672" t="s">
        <v>845</v>
      </c>
      <c r="E2081" s="673" t="s">
        <v>831</v>
      </c>
      <c r="F2081" s="670"/>
      <c r="G2081" s="672">
        <v>17</v>
      </c>
      <c r="H2081" s="671" t="s">
        <v>807</v>
      </c>
      <c r="I2081" s="675" t="s">
        <v>864</v>
      </c>
      <c r="J2081" s="677" t="s">
        <v>804</v>
      </c>
      <c r="K2081" s="671">
        <v>3</v>
      </c>
      <c r="L2081" s="676">
        <f t="shared" si="61"/>
        <v>15.98</v>
      </c>
      <c r="M2081" s="676">
        <f t="shared" si="60"/>
        <v>47.94</v>
      </c>
    </row>
    <row r="2082" spans="2:13" s="645" customFormat="1" ht="21.75" customHeight="1">
      <c r="B2082" s="670">
        <v>44430</v>
      </c>
      <c r="C2082" s="671" t="s">
        <v>819</v>
      </c>
      <c r="D2082" s="672" t="s">
        <v>847</v>
      </c>
      <c r="E2082" s="673" t="s">
        <v>831</v>
      </c>
      <c r="F2082" s="670"/>
      <c r="G2082" s="672">
        <v>17</v>
      </c>
      <c r="H2082" s="671" t="s">
        <v>807</v>
      </c>
      <c r="I2082" s="675" t="s">
        <v>864</v>
      </c>
      <c r="J2082" s="677" t="s">
        <v>804</v>
      </c>
      <c r="K2082" s="671">
        <v>16</v>
      </c>
      <c r="L2082" s="676">
        <f t="shared" si="61"/>
        <v>15.98</v>
      </c>
      <c r="M2082" s="676">
        <f t="shared" si="60"/>
        <v>255.68</v>
      </c>
    </row>
    <row r="2083" spans="2:13" s="645" customFormat="1" ht="21.75" customHeight="1">
      <c r="B2083" s="661">
        <v>44430</v>
      </c>
      <c r="C2083" s="662" t="s">
        <v>837</v>
      </c>
      <c r="D2083" s="663" t="s">
        <v>849</v>
      </c>
      <c r="E2083" s="664" t="s">
        <v>831</v>
      </c>
      <c r="F2083" s="661"/>
      <c r="G2083" s="663">
        <v>20</v>
      </c>
      <c r="H2083" s="662" t="s">
        <v>807</v>
      </c>
      <c r="I2083" s="666" t="s">
        <v>854</v>
      </c>
      <c r="J2083" s="667" t="s">
        <v>804</v>
      </c>
      <c r="K2083" s="662">
        <v>1</v>
      </c>
      <c r="L2083" s="668">
        <f t="shared" si="61"/>
        <v>18.8</v>
      </c>
      <c r="M2083" s="668">
        <f t="shared" si="60"/>
        <v>18.8</v>
      </c>
    </row>
    <row r="2084" spans="2:13" s="645" customFormat="1" ht="21.75" customHeight="1">
      <c r="B2084" s="661">
        <v>44430</v>
      </c>
      <c r="C2084" s="662" t="s">
        <v>837</v>
      </c>
      <c r="D2084" s="663" t="s">
        <v>835</v>
      </c>
      <c r="E2084" s="664" t="s">
        <v>831</v>
      </c>
      <c r="F2084" s="661"/>
      <c r="G2084" s="663">
        <v>20</v>
      </c>
      <c r="H2084" s="662" t="s">
        <v>807</v>
      </c>
      <c r="I2084" s="666" t="s">
        <v>854</v>
      </c>
      <c r="J2084" s="667" t="s">
        <v>804</v>
      </c>
      <c r="K2084" s="662">
        <v>13</v>
      </c>
      <c r="L2084" s="668">
        <f t="shared" si="61"/>
        <v>18.8</v>
      </c>
      <c r="M2084" s="668">
        <f t="shared" si="60"/>
        <v>244.4</v>
      </c>
    </row>
    <row r="2085" spans="2:13" s="645" customFormat="1" ht="21.75" customHeight="1">
      <c r="B2085" s="661">
        <v>44430</v>
      </c>
      <c r="C2085" s="662" t="s">
        <v>837</v>
      </c>
      <c r="D2085" s="663" t="s">
        <v>841</v>
      </c>
      <c r="E2085" s="664" t="s">
        <v>831</v>
      </c>
      <c r="F2085" s="661"/>
      <c r="G2085" s="663">
        <v>20</v>
      </c>
      <c r="H2085" s="662" t="s">
        <v>807</v>
      </c>
      <c r="I2085" s="666" t="s">
        <v>854</v>
      </c>
      <c r="J2085" s="667" t="s">
        <v>804</v>
      </c>
      <c r="K2085" s="662">
        <v>11</v>
      </c>
      <c r="L2085" s="668">
        <f t="shared" si="61"/>
        <v>18.8</v>
      </c>
      <c r="M2085" s="668">
        <f t="shared" si="60"/>
        <v>206.8</v>
      </c>
    </row>
    <row r="2086" spans="2:13" s="645" customFormat="1" ht="21.75" customHeight="1">
      <c r="B2086" s="661">
        <v>44430</v>
      </c>
      <c r="C2086" s="662" t="s">
        <v>837</v>
      </c>
      <c r="D2086" s="663" t="s">
        <v>834</v>
      </c>
      <c r="E2086" s="664" t="s">
        <v>831</v>
      </c>
      <c r="F2086" s="661"/>
      <c r="G2086" s="663">
        <v>20</v>
      </c>
      <c r="H2086" s="662" t="s">
        <v>807</v>
      </c>
      <c r="I2086" s="666" t="s">
        <v>854</v>
      </c>
      <c r="J2086" s="667" t="s">
        <v>804</v>
      </c>
      <c r="K2086" s="662">
        <v>2</v>
      </c>
      <c r="L2086" s="668">
        <f t="shared" si="61"/>
        <v>18.8</v>
      </c>
      <c r="M2086" s="668">
        <f t="shared" si="60"/>
        <v>37.6</v>
      </c>
    </row>
    <row r="2087" spans="2:13" s="645" customFormat="1" ht="21.75" customHeight="1">
      <c r="B2087" s="661">
        <v>44430</v>
      </c>
      <c r="C2087" s="662" t="s">
        <v>837</v>
      </c>
      <c r="D2087" s="663" t="s">
        <v>848</v>
      </c>
      <c r="E2087" s="664" t="s">
        <v>831</v>
      </c>
      <c r="F2087" s="661"/>
      <c r="G2087" s="663">
        <v>20</v>
      </c>
      <c r="H2087" s="662" t="s">
        <v>807</v>
      </c>
      <c r="I2087" s="666" t="s">
        <v>854</v>
      </c>
      <c r="J2087" s="667" t="s">
        <v>804</v>
      </c>
      <c r="K2087" s="662">
        <v>3</v>
      </c>
      <c r="L2087" s="668">
        <f t="shared" si="61"/>
        <v>18.8</v>
      </c>
      <c r="M2087" s="668">
        <f t="shared" ref="M2087:M2150" si="62">L2087*K2087</f>
        <v>56.400000000000006</v>
      </c>
    </row>
    <row r="2088" spans="2:13" s="645" customFormat="1" ht="21.75" customHeight="1">
      <c r="B2088" s="661">
        <v>44430</v>
      </c>
      <c r="C2088" s="662" t="s">
        <v>837</v>
      </c>
      <c r="D2088" s="663" t="s">
        <v>856</v>
      </c>
      <c r="E2088" s="664" t="s">
        <v>831</v>
      </c>
      <c r="F2088" s="661"/>
      <c r="G2088" s="663">
        <v>20</v>
      </c>
      <c r="H2088" s="662" t="s">
        <v>807</v>
      </c>
      <c r="I2088" s="666" t="s">
        <v>854</v>
      </c>
      <c r="J2088" s="667" t="s">
        <v>804</v>
      </c>
      <c r="K2088" s="662">
        <v>4</v>
      </c>
      <c r="L2088" s="668">
        <f t="shared" si="61"/>
        <v>18.8</v>
      </c>
      <c r="M2088" s="668">
        <f t="shared" si="62"/>
        <v>75.2</v>
      </c>
    </row>
    <row r="2089" spans="2:13" s="645" customFormat="1" ht="21.75" customHeight="1">
      <c r="B2089" s="661">
        <v>44430</v>
      </c>
      <c r="C2089" s="662" t="s">
        <v>837</v>
      </c>
      <c r="D2089" s="663" t="s">
        <v>855</v>
      </c>
      <c r="E2089" s="664" t="s">
        <v>831</v>
      </c>
      <c r="F2089" s="661"/>
      <c r="G2089" s="663">
        <v>20</v>
      </c>
      <c r="H2089" s="662" t="s">
        <v>807</v>
      </c>
      <c r="I2089" s="666" t="s">
        <v>854</v>
      </c>
      <c r="J2089" s="667" t="s">
        <v>804</v>
      </c>
      <c r="K2089" s="662">
        <v>12</v>
      </c>
      <c r="L2089" s="668">
        <f t="shared" si="61"/>
        <v>18.8</v>
      </c>
      <c r="M2089" s="668">
        <f t="shared" si="62"/>
        <v>225.60000000000002</v>
      </c>
    </row>
    <row r="2090" spans="2:13" s="645" customFormat="1" ht="21.75" customHeight="1">
      <c r="B2090" s="661">
        <v>44430</v>
      </c>
      <c r="C2090" s="662" t="s">
        <v>819</v>
      </c>
      <c r="D2090" s="663" t="s">
        <v>849</v>
      </c>
      <c r="E2090" s="664" t="s">
        <v>831</v>
      </c>
      <c r="F2090" s="665"/>
      <c r="G2090" s="663">
        <v>20</v>
      </c>
      <c r="H2090" s="662" t="s">
        <v>807</v>
      </c>
      <c r="I2090" s="666" t="s">
        <v>859</v>
      </c>
      <c r="J2090" s="667" t="s">
        <v>865</v>
      </c>
      <c r="K2090" s="662">
        <v>2</v>
      </c>
      <c r="L2090" s="685">
        <f t="shared" si="61"/>
        <v>18.8</v>
      </c>
      <c r="M2090" s="686">
        <f t="shared" si="62"/>
        <v>37.6</v>
      </c>
    </row>
    <row r="2091" spans="2:13" s="645" customFormat="1" ht="21.75" customHeight="1">
      <c r="B2091" s="661">
        <v>44430</v>
      </c>
      <c r="C2091" s="662" t="s">
        <v>819</v>
      </c>
      <c r="D2091" s="663" t="s">
        <v>849</v>
      </c>
      <c r="E2091" s="664" t="s">
        <v>831</v>
      </c>
      <c r="F2091" s="665"/>
      <c r="G2091" s="663">
        <v>20</v>
      </c>
      <c r="H2091" s="662" t="s">
        <v>807</v>
      </c>
      <c r="I2091" s="666" t="s">
        <v>863</v>
      </c>
      <c r="J2091" s="667" t="s">
        <v>865</v>
      </c>
      <c r="K2091" s="662">
        <v>10</v>
      </c>
      <c r="L2091" s="685">
        <f t="shared" si="61"/>
        <v>18.8</v>
      </c>
      <c r="M2091" s="686">
        <f t="shared" si="62"/>
        <v>188</v>
      </c>
    </row>
    <row r="2092" spans="2:13" s="645" customFormat="1" ht="21.75" customHeight="1">
      <c r="B2092" s="661">
        <v>44430</v>
      </c>
      <c r="C2092" s="662" t="s">
        <v>819</v>
      </c>
      <c r="D2092" s="663" t="s">
        <v>840</v>
      </c>
      <c r="E2092" s="664" t="s">
        <v>831</v>
      </c>
      <c r="F2092" s="665"/>
      <c r="G2092" s="663">
        <v>20</v>
      </c>
      <c r="H2092" s="662" t="s">
        <v>807</v>
      </c>
      <c r="I2092" s="666" t="s">
        <v>859</v>
      </c>
      <c r="J2092" s="667" t="s">
        <v>865</v>
      </c>
      <c r="K2092" s="662">
        <v>1</v>
      </c>
      <c r="L2092" s="685">
        <f t="shared" si="61"/>
        <v>18.8</v>
      </c>
      <c r="M2092" s="686">
        <f t="shared" si="62"/>
        <v>18.8</v>
      </c>
    </row>
    <row r="2093" spans="2:13" s="645" customFormat="1" ht="21.75" customHeight="1">
      <c r="B2093" s="661">
        <v>44430</v>
      </c>
      <c r="C2093" s="662" t="s">
        <v>819</v>
      </c>
      <c r="D2093" s="663" t="s">
        <v>841</v>
      </c>
      <c r="E2093" s="664" t="s">
        <v>831</v>
      </c>
      <c r="F2093" s="665"/>
      <c r="G2093" s="663">
        <v>20</v>
      </c>
      <c r="H2093" s="662" t="s">
        <v>807</v>
      </c>
      <c r="I2093" s="666" t="s">
        <v>863</v>
      </c>
      <c r="J2093" s="667" t="s">
        <v>865</v>
      </c>
      <c r="K2093" s="662">
        <v>13</v>
      </c>
      <c r="L2093" s="685">
        <f t="shared" si="61"/>
        <v>18.8</v>
      </c>
      <c r="M2093" s="686">
        <f t="shared" si="62"/>
        <v>244.4</v>
      </c>
    </row>
    <row r="2094" spans="2:13" s="645" customFormat="1" ht="21.75" customHeight="1">
      <c r="B2094" s="661">
        <v>44430</v>
      </c>
      <c r="C2094" s="662" t="s">
        <v>819</v>
      </c>
      <c r="D2094" s="663" t="s">
        <v>834</v>
      </c>
      <c r="E2094" s="664" t="s">
        <v>831</v>
      </c>
      <c r="F2094" s="665"/>
      <c r="G2094" s="663">
        <v>20</v>
      </c>
      <c r="H2094" s="662" t="s">
        <v>807</v>
      </c>
      <c r="I2094" s="666" t="s">
        <v>863</v>
      </c>
      <c r="J2094" s="667" t="s">
        <v>865</v>
      </c>
      <c r="K2094" s="662">
        <v>3</v>
      </c>
      <c r="L2094" s="685">
        <f t="shared" si="61"/>
        <v>18.8</v>
      </c>
      <c r="M2094" s="686">
        <f t="shared" si="62"/>
        <v>56.400000000000006</v>
      </c>
    </row>
    <row r="2095" spans="2:13" s="645" customFormat="1" ht="21.75" customHeight="1">
      <c r="B2095" s="661">
        <v>44430</v>
      </c>
      <c r="C2095" s="662" t="s">
        <v>819</v>
      </c>
      <c r="D2095" s="663" t="s">
        <v>848</v>
      </c>
      <c r="E2095" s="664" t="s">
        <v>831</v>
      </c>
      <c r="F2095" s="665"/>
      <c r="G2095" s="663">
        <v>20</v>
      </c>
      <c r="H2095" s="662" t="s">
        <v>807</v>
      </c>
      <c r="I2095" s="666" t="s">
        <v>863</v>
      </c>
      <c r="J2095" s="667" t="s">
        <v>865</v>
      </c>
      <c r="K2095" s="662">
        <v>12</v>
      </c>
      <c r="L2095" s="685">
        <f t="shared" si="61"/>
        <v>18.8</v>
      </c>
      <c r="M2095" s="686">
        <f t="shared" si="62"/>
        <v>225.60000000000002</v>
      </c>
    </row>
    <row r="2096" spans="2:13" s="645" customFormat="1" ht="21.75" customHeight="1">
      <c r="B2096" s="661">
        <v>44430</v>
      </c>
      <c r="C2096" s="662" t="s">
        <v>819</v>
      </c>
      <c r="D2096" s="663" t="s">
        <v>836</v>
      </c>
      <c r="E2096" s="664" t="s">
        <v>831</v>
      </c>
      <c r="F2096" s="665"/>
      <c r="G2096" s="663">
        <v>20</v>
      </c>
      <c r="H2096" s="662" t="s">
        <v>807</v>
      </c>
      <c r="I2096" s="666" t="s">
        <v>863</v>
      </c>
      <c r="J2096" s="667" t="s">
        <v>865</v>
      </c>
      <c r="K2096" s="662">
        <v>10</v>
      </c>
      <c r="L2096" s="685">
        <f t="shared" si="61"/>
        <v>18.8</v>
      </c>
      <c r="M2096" s="686">
        <f t="shared" si="62"/>
        <v>188</v>
      </c>
    </row>
    <row r="2097" spans="2:13" s="645" customFormat="1" ht="21.75" customHeight="1">
      <c r="B2097" s="661">
        <v>44430</v>
      </c>
      <c r="C2097" s="662" t="s">
        <v>819</v>
      </c>
      <c r="D2097" s="663" t="s">
        <v>856</v>
      </c>
      <c r="E2097" s="664" t="s">
        <v>831</v>
      </c>
      <c r="F2097" s="665"/>
      <c r="G2097" s="663">
        <v>20</v>
      </c>
      <c r="H2097" s="662" t="s">
        <v>807</v>
      </c>
      <c r="I2097" s="666" t="s">
        <v>863</v>
      </c>
      <c r="J2097" s="667" t="s">
        <v>865</v>
      </c>
      <c r="K2097" s="662">
        <v>12</v>
      </c>
      <c r="L2097" s="685">
        <f t="shared" si="61"/>
        <v>18.8</v>
      </c>
      <c r="M2097" s="686">
        <f t="shared" si="62"/>
        <v>225.60000000000002</v>
      </c>
    </row>
    <row r="2098" spans="2:13" s="645" customFormat="1" ht="21.75" customHeight="1">
      <c r="B2098" s="661">
        <v>44430</v>
      </c>
      <c r="C2098" s="662" t="s">
        <v>819</v>
      </c>
      <c r="D2098" s="663" t="s">
        <v>855</v>
      </c>
      <c r="E2098" s="664" t="s">
        <v>831</v>
      </c>
      <c r="F2098" s="665"/>
      <c r="G2098" s="663">
        <v>20</v>
      </c>
      <c r="H2098" s="662" t="s">
        <v>807</v>
      </c>
      <c r="I2098" s="666" t="s">
        <v>859</v>
      </c>
      <c r="J2098" s="667" t="s">
        <v>865</v>
      </c>
      <c r="K2098" s="662">
        <v>14</v>
      </c>
      <c r="L2098" s="685">
        <f t="shared" si="61"/>
        <v>18.8</v>
      </c>
      <c r="M2098" s="686">
        <f t="shared" si="62"/>
        <v>263.2</v>
      </c>
    </row>
    <row r="2099" spans="2:13" s="645" customFormat="1" ht="21.75" customHeight="1">
      <c r="B2099" s="661">
        <v>44430</v>
      </c>
      <c r="C2099" s="662" t="s">
        <v>837</v>
      </c>
      <c r="D2099" s="663" t="s">
        <v>849</v>
      </c>
      <c r="E2099" s="664" t="s">
        <v>831</v>
      </c>
      <c r="F2099" s="665"/>
      <c r="G2099" s="663">
        <v>20</v>
      </c>
      <c r="H2099" s="662" t="s">
        <v>807</v>
      </c>
      <c r="I2099" s="666" t="s">
        <v>859</v>
      </c>
      <c r="J2099" s="667" t="s">
        <v>865</v>
      </c>
      <c r="K2099" s="662">
        <v>10</v>
      </c>
      <c r="L2099" s="685">
        <f t="shared" si="61"/>
        <v>18.8</v>
      </c>
      <c r="M2099" s="686">
        <f t="shared" si="62"/>
        <v>188</v>
      </c>
    </row>
    <row r="2100" spans="2:13" s="645" customFormat="1" ht="21.75" customHeight="1">
      <c r="B2100" s="661">
        <v>44430</v>
      </c>
      <c r="C2100" s="662" t="s">
        <v>837</v>
      </c>
      <c r="D2100" s="663" t="s">
        <v>835</v>
      </c>
      <c r="E2100" s="664" t="s">
        <v>831</v>
      </c>
      <c r="F2100" s="665"/>
      <c r="G2100" s="663">
        <v>20</v>
      </c>
      <c r="H2100" s="662" t="s">
        <v>807</v>
      </c>
      <c r="I2100" s="666" t="s">
        <v>859</v>
      </c>
      <c r="J2100" s="667" t="s">
        <v>865</v>
      </c>
      <c r="K2100" s="662">
        <v>2</v>
      </c>
      <c r="L2100" s="685">
        <f t="shared" si="61"/>
        <v>18.8</v>
      </c>
      <c r="M2100" s="686">
        <f t="shared" si="62"/>
        <v>37.6</v>
      </c>
    </row>
    <row r="2101" spans="2:13" s="645" customFormat="1" ht="21.75" customHeight="1">
      <c r="B2101" s="661">
        <v>44430</v>
      </c>
      <c r="C2101" s="662" t="s">
        <v>837</v>
      </c>
      <c r="D2101" s="663" t="s">
        <v>841</v>
      </c>
      <c r="E2101" s="664" t="s">
        <v>831</v>
      </c>
      <c r="F2101" s="665"/>
      <c r="G2101" s="663">
        <v>20</v>
      </c>
      <c r="H2101" s="662" t="s">
        <v>807</v>
      </c>
      <c r="I2101" s="666" t="s">
        <v>859</v>
      </c>
      <c r="J2101" s="667" t="s">
        <v>865</v>
      </c>
      <c r="K2101" s="662">
        <v>3</v>
      </c>
      <c r="L2101" s="685">
        <f t="shared" si="61"/>
        <v>18.8</v>
      </c>
      <c r="M2101" s="686">
        <f t="shared" si="62"/>
        <v>56.400000000000006</v>
      </c>
    </row>
    <row r="2102" spans="2:13" s="645" customFormat="1" ht="21.75" customHeight="1">
      <c r="B2102" s="661">
        <v>44430</v>
      </c>
      <c r="C2102" s="662" t="s">
        <v>837</v>
      </c>
      <c r="D2102" s="663" t="s">
        <v>834</v>
      </c>
      <c r="E2102" s="664" t="s">
        <v>831</v>
      </c>
      <c r="F2102" s="665"/>
      <c r="G2102" s="663">
        <v>20</v>
      </c>
      <c r="H2102" s="662" t="s">
        <v>807</v>
      </c>
      <c r="I2102" s="666" t="s">
        <v>859</v>
      </c>
      <c r="J2102" s="667" t="s">
        <v>865</v>
      </c>
      <c r="K2102" s="662">
        <v>10</v>
      </c>
      <c r="L2102" s="685">
        <f t="shared" si="61"/>
        <v>18.8</v>
      </c>
      <c r="M2102" s="686">
        <f t="shared" si="62"/>
        <v>188</v>
      </c>
    </row>
    <row r="2103" spans="2:13" s="645" customFormat="1" ht="21.75" customHeight="1">
      <c r="B2103" s="661">
        <v>44430</v>
      </c>
      <c r="C2103" s="662" t="s">
        <v>837</v>
      </c>
      <c r="D2103" s="663" t="s">
        <v>848</v>
      </c>
      <c r="E2103" s="664" t="s">
        <v>831</v>
      </c>
      <c r="F2103" s="665"/>
      <c r="G2103" s="663">
        <v>20</v>
      </c>
      <c r="H2103" s="662" t="s">
        <v>807</v>
      </c>
      <c r="I2103" s="666" t="s">
        <v>859</v>
      </c>
      <c r="J2103" s="667" t="s">
        <v>865</v>
      </c>
      <c r="K2103" s="662">
        <v>9</v>
      </c>
      <c r="L2103" s="685">
        <f t="shared" si="61"/>
        <v>18.8</v>
      </c>
      <c r="M2103" s="686">
        <f t="shared" si="62"/>
        <v>169.20000000000002</v>
      </c>
    </row>
    <row r="2104" spans="2:13" s="645" customFormat="1" ht="21.75" customHeight="1">
      <c r="B2104" s="661">
        <v>44430</v>
      </c>
      <c r="C2104" s="662" t="s">
        <v>837</v>
      </c>
      <c r="D2104" s="663" t="s">
        <v>856</v>
      </c>
      <c r="E2104" s="664" t="s">
        <v>831</v>
      </c>
      <c r="F2104" s="665"/>
      <c r="G2104" s="663">
        <v>20</v>
      </c>
      <c r="H2104" s="662" t="s">
        <v>807</v>
      </c>
      <c r="I2104" s="666" t="s">
        <v>859</v>
      </c>
      <c r="J2104" s="667" t="s">
        <v>865</v>
      </c>
      <c r="K2104" s="662">
        <v>10</v>
      </c>
      <c r="L2104" s="685">
        <f t="shared" si="61"/>
        <v>18.8</v>
      </c>
      <c r="M2104" s="686">
        <f t="shared" si="62"/>
        <v>188</v>
      </c>
    </row>
    <row r="2105" spans="2:13" s="645" customFormat="1" ht="21.75" customHeight="1">
      <c r="B2105" s="661">
        <v>44430</v>
      </c>
      <c r="C2105" s="662" t="s">
        <v>837</v>
      </c>
      <c r="D2105" s="663" t="s">
        <v>855</v>
      </c>
      <c r="E2105" s="664" t="s">
        <v>831</v>
      </c>
      <c r="F2105" s="665"/>
      <c r="G2105" s="663">
        <v>20</v>
      </c>
      <c r="H2105" s="662" t="s">
        <v>807</v>
      </c>
      <c r="I2105" s="666" t="s">
        <v>859</v>
      </c>
      <c r="J2105" s="667" t="s">
        <v>865</v>
      </c>
      <c r="K2105" s="662">
        <v>2</v>
      </c>
      <c r="L2105" s="685">
        <f t="shared" si="61"/>
        <v>18.8</v>
      </c>
      <c r="M2105" s="686">
        <f t="shared" si="62"/>
        <v>37.6</v>
      </c>
    </row>
    <row r="2106" spans="2:13" s="645" customFormat="1" ht="21.75" customHeight="1">
      <c r="B2106" s="670">
        <v>44431</v>
      </c>
      <c r="C2106" s="671" t="s">
        <v>819</v>
      </c>
      <c r="D2106" s="672" t="s">
        <v>835</v>
      </c>
      <c r="E2106" s="673" t="s">
        <v>831</v>
      </c>
      <c r="F2106" s="670"/>
      <c r="G2106" s="672">
        <v>20</v>
      </c>
      <c r="H2106" s="671" t="s">
        <v>807</v>
      </c>
      <c r="I2106" s="675" t="s">
        <v>854</v>
      </c>
      <c r="J2106" s="671" t="s">
        <v>804</v>
      </c>
      <c r="K2106" s="676">
        <v>6</v>
      </c>
      <c r="L2106" s="676">
        <f t="shared" si="61"/>
        <v>18.8</v>
      </c>
      <c r="M2106" s="676">
        <f t="shared" si="62"/>
        <v>112.80000000000001</v>
      </c>
    </row>
    <row r="2107" spans="2:13" s="645" customFormat="1" ht="21.75" customHeight="1">
      <c r="B2107" s="670">
        <v>44431</v>
      </c>
      <c r="C2107" s="671" t="s">
        <v>819</v>
      </c>
      <c r="D2107" s="672" t="s">
        <v>833</v>
      </c>
      <c r="E2107" s="673" t="s">
        <v>831</v>
      </c>
      <c r="F2107" s="670"/>
      <c r="G2107" s="672">
        <v>15</v>
      </c>
      <c r="H2107" s="671" t="s">
        <v>807</v>
      </c>
      <c r="I2107" s="675" t="s">
        <v>854</v>
      </c>
      <c r="J2107" s="671" t="s">
        <v>804</v>
      </c>
      <c r="K2107" s="676">
        <v>10</v>
      </c>
      <c r="L2107" s="676">
        <f t="shared" si="61"/>
        <v>14.1</v>
      </c>
      <c r="M2107" s="676">
        <f t="shared" si="62"/>
        <v>141</v>
      </c>
    </row>
    <row r="2108" spans="2:13" s="645" customFormat="1" ht="21.75" customHeight="1">
      <c r="B2108" s="670">
        <v>44431</v>
      </c>
      <c r="C2108" s="671" t="s">
        <v>819</v>
      </c>
      <c r="D2108" s="672" t="s">
        <v>830</v>
      </c>
      <c r="E2108" s="673" t="s">
        <v>831</v>
      </c>
      <c r="F2108" s="670"/>
      <c r="G2108" s="672">
        <v>15</v>
      </c>
      <c r="H2108" s="671" t="s">
        <v>807</v>
      </c>
      <c r="I2108" s="675" t="s">
        <v>854</v>
      </c>
      <c r="J2108" s="671" t="s">
        <v>804</v>
      </c>
      <c r="K2108" s="676">
        <v>11</v>
      </c>
      <c r="L2108" s="676">
        <f t="shared" si="61"/>
        <v>14.1</v>
      </c>
      <c r="M2108" s="676">
        <f t="shared" si="62"/>
        <v>155.1</v>
      </c>
    </row>
    <row r="2109" spans="2:13" s="645" customFormat="1" ht="21.75" customHeight="1">
      <c r="B2109" s="670">
        <v>44431</v>
      </c>
      <c r="C2109" s="671" t="s">
        <v>819</v>
      </c>
      <c r="D2109" s="672" t="s">
        <v>850</v>
      </c>
      <c r="E2109" s="673" t="s">
        <v>831</v>
      </c>
      <c r="F2109" s="670"/>
      <c r="G2109" s="672">
        <v>15</v>
      </c>
      <c r="H2109" s="671" t="s">
        <v>807</v>
      </c>
      <c r="I2109" s="675" t="s">
        <v>854</v>
      </c>
      <c r="J2109" s="671" t="s">
        <v>804</v>
      </c>
      <c r="K2109" s="676">
        <v>11</v>
      </c>
      <c r="L2109" s="676">
        <f t="shared" si="61"/>
        <v>14.1</v>
      </c>
      <c r="M2109" s="676">
        <f t="shared" si="62"/>
        <v>155.1</v>
      </c>
    </row>
    <row r="2110" spans="2:13" s="645" customFormat="1" ht="21.75" customHeight="1">
      <c r="B2110" s="670">
        <v>44431</v>
      </c>
      <c r="C2110" s="671" t="s">
        <v>819</v>
      </c>
      <c r="D2110" s="672" t="s">
        <v>845</v>
      </c>
      <c r="E2110" s="673" t="s">
        <v>831</v>
      </c>
      <c r="F2110" s="670"/>
      <c r="G2110" s="672">
        <v>17</v>
      </c>
      <c r="H2110" s="671" t="s">
        <v>807</v>
      </c>
      <c r="I2110" s="675" t="s">
        <v>854</v>
      </c>
      <c r="J2110" s="671" t="s">
        <v>804</v>
      </c>
      <c r="K2110" s="676">
        <v>12</v>
      </c>
      <c r="L2110" s="676">
        <f t="shared" si="61"/>
        <v>15.98</v>
      </c>
      <c r="M2110" s="676">
        <f t="shared" si="62"/>
        <v>191.76</v>
      </c>
    </row>
    <row r="2111" spans="2:13" s="645" customFormat="1" ht="21.75" customHeight="1">
      <c r="B2111" s="670">
        <v>44431</v>
      </c>
      <c r="C2111" s="671" t="s">
        <v>819</v>
      </c>
      <c r="D2111" s="672" t="s">
        <v>847</v>
      </c>
      <c r="E2111" s="673" t="s">
        <v>831</v>
      </c>
      <c r="F2111" s="670"/>
      <c r="G2111" s="672">
        <v>17</v>
      </c>
      <c r="H2111" s="671" t="s">
        <v>807</v>
      </c>
      <c r="I2111" s="675" t="s">
        <v>854</v>
      </c>
      <c r="J2111" s="671" t="s">
        <v>804</v>
      </c>
      <c r="K2111" s="676">
        <v>18</v>
      </c>
      <c r="L2111" s="676">
        <f t="shared" si="61"/>
        <v>15.98</v>
      </c>
      <c r="M2111" s="676">
        <f t="shared" si="62"/>
        <v>287.64</v>
      </c>
    </row>
    <row r="2112" spans="2:13" s="645" customFormat="1" ht="21.75" customHeight="1">
      <c r="B2112" s="661">
        <v>44431</v>
      </c>
      <c r="C2112" s="662" t="s">
        <v>819</v>
      </c>
      <c r="D2112" s="663" t="s">
        <v>840</v>
      </c>
      <c r="E2112" s="664" t="s">
        <v>831</v>
      </c>
      <c r="F2112" s="665"/>
      <c r="G2112" s="663">
        <v>20</v>
      </c>
      <c r="H2112" s="662" t="s">
        <v>807</v>
      </c>
      <c r="I2112" s="666" t="s">
        <v>859</v>
      </c>
      <c r="J2112" s="667" t="s">
        <v>805</v>
      </c>
      <c r="K2112" s="662">
        <v>9</v>
      </c>
      <c r="L2112" s="685">
        <f t="shared" si="61"/>
        <v>18.8</v>
      </c>
      <c r="M2112" s="686">
        <f t="shared" si="62"/>
        <v>169.20000000000002</v>
      </c>
    </row>
    <row r="2113" spans="2:13" s="645" customFormat="1" ht="21.75" customHeight="1">
      <c r="B2113" s="661">
        <v>44431</v>
      </c>
      <c r="C2113" s="662" t="s">
        <v>819</v>
      </c>
      <c r="D2113" s="663" t="s">
        <v>835</v>
      </c>
      <c r="E2113" s="664" t="s">
        <v>831</v>
      </c>
      <c r="F2113" s="665"/>
      <c r="G2113" s="663">
        <v>20</v>
      </c>
      <c r="H2113" s="662" t="s">
        <v>807</v>
      </c>
      <c r="I2113" s="666" t="s">
        <v>859</v>
      </c>
      <c r="J2113" s="667" t="s">
        <v>805</v>
      </c>
      <c r="K2113" s="662">
        <v>7</v>
      </c>
      <c r="L2113" s="685">
        <f t="shared" si="61"/>
        <v>18.8</v>
      </c>
      <c r="M2113" s="686">
        <f t="shared" si="62"/>
        <v>131.6</v>
      </c>
    </row>
    <row r="2114" spans="2:13" s="645" customFormat="1" ht="21.75" customHeight="1">
      <c r="B2114" s="661">
        <v>44431</v>
      </c>
      <c r="C2114" s="662" t="s">
        <v>819</v>
      </c>
      <c r="D2114" s="663" t="s">
        <v>834</v>
      </c>
      <c r="E2114" s="664" t="s">
        <v>831</v>
      </c>
      <c r="F2114" s="665"/>
      <c r="G2114" s="663">
        <v>20</v>
      </c>
      <c r="H2114" s="662" t="s">
        <v>807</v>
      </c>
      <c r="I2114" s="666" t="s">
        <v>859</v>
      </c>
      <c r="J2114" s="667" t="s">
        <v>805</v>
      </c>
      <c r="K2114" s="662">
        <v>10</v>
      </c>
      <c r="L2114" s="685">
        <f t="shared" si="61"/>
        <v>18.8</v>
      </c>
      <c r="M2114" s="686">
        <f t="shared" si="62"/>
        <v>188</v>
      </c>
    </row>
    <row r="2115" spans="2:13" s="645" customFormat="1" ht="21.75" customHeight="1">
      <c r="B2115" s="661">
        <v>44431</v>
      </c>
      <c r="C2115" s="662" t="s">
        <v>819</v>
      </c>
      <c r="D2115" s="663" t="s">
        <v>848</v>
      </c>
      <c r="E2115" s="664" t="s">
        <v>831</v>
      </c>
      <c r="F2115" s="665"/>
      <c r="G2115" s="663">
        <v>20</v>
      </c>
      <c r="H2115" s="662" t="s">
        <v>807</v>
      </c>
      <c r="I2115" s="666" t="s">
        <v>859</v>
      </c>
      <c r="J2115" s="667" t="s">
        <v>805</v>
      </c>
      <c r="K2115" s="662">
        <v>11</v>
      </c>
      <c r="L2115" s="685">
        <f t="shared" si="61"/>
        <v>18.8</v>
      </c>
      <c r="M2115" s="686">
        <f t="shared" si="62"/>
        <v>206.8</v>
      </c>
    </row>
    <row r="2116" spans="2:13" s="645" customFormat="1" ht="21.75" customHeight="1">
      <c r="B2116" s="661">
        <v>44431</v>
      </c>
      <c r="C2116" s="662" t="s">
        <v>819</v>
      </c>
      <c r="D2116" s="663" t="s">
        <v>836</v>
      </c>
      <c r="E2116" s="664" t="s">
        <v>831</v>
      </c>
      <c r="F2116" s="665"/>
      <c r="G2116" s="663">
        <v>20</v>
      </c>
      <c r="H2116" s="662" t="s">
        <v>807</v>
      </c>
      <c r="I2116" s="666" t="s">
        <v>859</v>
      </c>
      <c r="J2116" s="667" t="s">
        <v>805</v>
      </c>
      <c r="K2116" s="662">
        <v>6</v>
      </c>
      <c r="L2116" s="685">
        <f t="shared" si="61"/>
        <v>18.8</v>
      </c>
      <c r="M2116" s="686">
        <f t="shared" si="62"/>
        <v>112.80000000000001</v>
      </c>
    </row>
    <row r="2117" spans="2:13" s="645" customFormat="1" ht="21.75" customHeight="1">
      <c r="B2117" s="661">
        <v>44431</v>
      </c>
      <c r="C2117" s="662" t="s">
        <v>819</v>
      </c>
      <c r="D2117" s="663" t="s">
        <v>833</v>
      </c>
      <c r="E2117" s="664" t="s">
        <v>831</v>
      </c>
      <c r="F2117" s="665"/>
      <c r="G2117" s="663">
        <v>15</v>
      </c>
      <c r="H2117" s="662" t="s">
        <v>807</v>
      </c>
      <c r="I2117" s="666" t="s">
        <v>859</v>
      </c>
      <c r="J2117" s="667" t="s">
        <v>805</v>
      </c>
      <c r="K2117" s="662">
        <v>2</v>
      </c>
      <c r="L2117" s="685">
        <f t="shared" si="61"/>
        <v>14.1</v>
      </c>
      <c r="M2117" s="686">
        <f t="shared" si="62"/>
        <v>28.2</v>
      </c>
    </row>
    <row r="2118" spans="2:13" s="645" customFormat="1" ht="21.75" customHeight="1">
      <c r="B2118" s="661">
        <v>44431</v>
      </c>
      <c r="C2118" s="662" t="s">
        <v>819</v>
      </c>
      <c r="D2118" s="663" t="s">
        <v>830</v>
      </c>
      <c r="E2118" s="664" t="s">
        <v>831</v>
      </c>
      <c r="F2118" s="665"/>
      <c r="G2118" s="663">
        <v>15</v>
      </c>
      <c r="H2118" s="662" t="s">
        <v>807</v>
      </c>
      <c r="I2118" s="666" t="s">
        <v>859</v>
      </c>
      <c r="J2118" s="667" t="s">
        <v>805</v>
      </c>
      <c r="K2118" s="662">
        <v>4</v>
      </c>
      <c r="L2118" s="685">
        <f t="shared" si="61"/>
        <v>14.1</v>
      </c>
      <c r="M2118" s="686">
        <f t="shared" si="62"/>
        <v>56.4</v>
      </c>
    </row>
    <row r="2119" spans="2:13" s="645" customFormat="1" ht="21.75" customHeight="1">
      <c r="B2119" s="661">
        <v>44431</v>
      </c>
      <c r="C2119" s="662" t="s">
        <v>819</v>
      </c>
      <c r="D2119" s="663" t="s">
        <v>850</v>
      </c>
      <c r="E2119" s="664" t="s">
        <v>831</v>
      </c>
      <c r="F2119" s="665"/>
      <c r="G2119" s="663">
        <v>15</v>
      </c>
      <c r="H2119" s="662" t="s">
        <v>807</v>
      </c>
      <c r="I2119" s="666" t="s">
        <v>859</v>
      </c>
      <c r="J2119" s="667" t="s">
        <v>805</v>
      </c>
      <c r="K2119" s="662">
        <v>1</v>
      </c>
      <c r="L2119" s="685">
        <f t="shared" si="61"/>
        <v>14.1</v>
      </c>
      <c r="M2119" s="686">
        <f t="shared" si="62"/>
        <v>14.1</v>
      </c>
    </row>
    <row r="2120" spans="2:13" s="645" customFormat="1" ht="21.75" customHeight="1">
      <c r="B2120" s="661">
        <v>44431</v>
      </c>
      <c r="C2120" s="662" t="s">
        <v>819</v>
      </c>
      <c r="D2120" s="663" t="s">
        <v>845</v>
      </c>
      <c r="E2120" s="664" t="s">
        <v>831</v>
      </c>
      <c r="F2120" s="665"/>
      <c r="G2120" s="663">
        <v>17</v>
      </c>
      <c r="H2120" s="662" t="s">
        <v>807</v>
      </c>
      <c r="I2120" s="666" t="s">
        <v>859</v>
      </c>
      <c r="J2120" s="667" t="s">
        <v>805</v>
      </c>
      <c r="K2120" s="662">
        <v>2</v>
      </c>
      <c r="L2120" s="685">
        <f t="shared" si="61"/>
        <v>15.98</v>
      </c>
      <c r="M2120" s="686">
        <f t="shared" si="62"/>
        <v>31.96</v>
      </c>
    </row>
    <row r="2121" spans="2:13" s="645" customFormat="1" ht="21.75" customHeight="1">
      <c r="B2121" s="661">
        <v>44431</v>
      </c>
      <c r="C2121" s="662" t="s">
        <v>819</v>
      </c>
      <c r="D2121" s="663" t="s">
        <v>849</v>
      </c>
      <c r="E2121" s="664" t="s">
        <v>831</v>
      </c>
      <c r="F2121" s="665"/>
      <c r="G2121" s="663">
        <v>20</v>
      </c>
      <c r="H2121" s="662" t="s">
        <v>807</v>
      </c>
      <c r="I2121" s="666" t="s">
        <v>859</v>
      </c>
      <c r="J2121" s="667" t="s">
        <v>865</v>
      </c>
      <c r="K2121" s="662">
        <v>11</v>
      </c>
      <c r="L2121" s="685">
        <f t="shared" ref="L2121:L2184" si="63">VLOOKUP(G2121,$Q$4:$V$7,6,FALSE)</f>
        <v>18.8</v>
      </c>
      <c r="M2121" s="686">
        <f t="shared" si="62"/>
        <v>206.8</v>
      </c>
    </row>
    <row r="2122" spans="2:13" s="645" customFormat="1" ht="21.75" customHeight="1">
      <c r="B2122" s="661">
        <v>44431</v>
      </c>
      <c r="C2122" s="662" t="s">
        <v>819</v>
      </c>
      <c r="D2122" s="663" t="s">
        <v>841</v>
      </c>
      <c r="E2122" s="664" t="s">
        <v>831</v>
      </c>
      <c r="F2122" s="665"/>
      <c r="G2122" s="663">
        <v>20</v>
      </c>
      <c r="H2122" s="662" t="s">
        <v>807</v>
      </c>
      <c r="I2122" s="666" t="s">
        <v>859</v>
      </c>
      <c r="J2122" s="667" t="s">
        <v>865</v>
      </c>
      <c r="K2122" s="662">
        <v>10</v>
      </c>
      <c r="L2122" s="685">
        <f t="shared" si="63"/>
        <v>18.8</v>
      </c>
      <c r="M2122" s="686">
        <f t="shared" si="62"/>
        <v>188</v>
      </c>
    </row>
    <row r="2123" spans="2:13" s="645" customFormat="1" ht="21.75" customHeight="1">
      <c r="B2123" s="661">
        <v>44431</v>
      </c>
      <c r="C2123" s="662" t="s">
        <v>819</v>
      </c>
      <c r="D2123" s="663" t="s">
        <v>834</v>
      </c>
      <c r="E2123" s="664" t="s">
        <v>831</v>
      </c>
      <c r="F2123" s="665"/>
      <c r="G2123" s="663">
        <v>20</v>
      </c>
      <c r="H2123" s="662" t="s">
        <v>807</v>
      </c>
      <c r="I2123" s="666" t="s">
        <v>859</v>
      </c>
      <c r="J2123" s="667" t="s">
        <v>865</v>
      </c>
      <c r="K2123" s="662">
        <v>2</v>
      </c>
      <c r="L2123" s="685">
        <f t="shared" si="63"/>
        <v>18.8</v>
      </c>
      <c r="M2123" s="686">
        <f t="shared" si="62"/>
        <v>37.6</v>
      </c>
    </row>
    <row r="2124" spans="2:13" s="645" customFormat="1" ht="21.75" customHeight="1">
      <c r="B2124" s="661">
        <v>44431</v>
      </c>
      <c r="C2124" s="662" t="s">
        <v>819</v>
      </c>
      <c r="D2124" s="663" t="s">
        <v>836</v>
      </c>
      <c r="E2124" s="664" t="s">
        <v>831</v>
      </c>
      <c r="F2124" s="665"/>
      <c r="G2124" s="663">
        <v>20</v>
      </c>
      <c r="H2124" s="662" t="s">
        <v>807</v>
      </c>
      <c r="I2124" s="666" t="s">
        <v>859</v>
      </c>
      <c r="J2124" s="667" t="s">
        <v>865</v>
      </c>
      <c r="K2124" s="662">
        <v>2</v>
      </c>
      <c r="L2124" s="685">
        <f t="shared" si="63"/>
        <v>18.8</v>
      </c>
      <c r="M2124" s="686">
        <f t="shared" si="62"/>
        <v>37.6</v>
      </c>
    </row>
    <row r="2125" spans="2:13" s="645" customFormat="1" ht="21.75" customHeight="1">
      <c r="B2125" s="661">
        <v>44431</v>
      </c>
      <c r="C2125" s="662" t="s">
        <v>819</v>
      </c>
      <c r="D2125" s="663" t="s">
        <v>856</v>
      </c>
      <c r="E2125" s="664" t="s">
        <v>831</v>
      </c>
      <c r="F2125" s="665"/>
      <c r="G2125" s="663">
        <v>20</v>
      </c>
      <c r="H2125" s="662" t="s">
        <v>807</v>
      </c>
      <c r="I2125" s="666" t="s">
        <v>859</v>
      </c>
      <c r="J2125" s="667" t="s">
        <v>865</v>
      </c>
      <c r="K2125" s="662">
        <v>13</v>
      </c>
      <c r="L2125" s="685">
        <f t="shared" si="63"/>
        <v>18.8</v>
      </c>
      <c r="M2125" s="686">
        <f t="shared" si="62"/>
        <v>244.4</v>
      </c>
    </row>
    <row r="2126" spans="2:13" s="645" customFormat="1" ht="21.75" customHeight="1">
      <c r="B2126" s="661">
        <v>44431</v>
      </c>
      <c r="C2126" s="662" t="s">
        <v>819</v>
      </c>
      <c r="D2126" s="663" t="s">
        <v>855</v>
      </c>
      <c r="E2126" s="664" t="s">
        <v>831</v>
      </c>
      <c r="F2126" s="665"/>
      <c r="G2126" s="663">
        <v>20</v>
      </c>
      <c r="H2126" s="662" t="s">
        <v>807</v>
      </c>
      <c r="I2126" s="666" t="s">
        <v>859</v>
      </c>
      <c r="J2126" s="667" t="s">
        <v>865</v>
      </c>
      <c r="K2126" s="662">
        <v>13</v>
      </c>
      <c r="L2126" s="685">
        <f t="shared" si="63"/>
        <v>18.8</v>
      </c>
      <c r="M2126" s="686">
        <f t="shared" si="62"/>
        <v>244.4</v>
      </c>
    </row>
    <row r="2127" spans="2:13" s="645" customFormat="1" ht="21.75" customHeight="1">
      <c r="B2127" s="670">
        <v>44432</v>
      </c>
      <c r="C2127" s="671" t="s">
        <v>819</v>
      </c>
      <c r="D2127" s="672" t="s">
        <v>833</v>
      </c>
      <c r="E2127" s="673" t="s">
        <v>831</v>
      </c>
      <c r="F2127" s="670"/>
      <c r="G2127" s="672">
        <v>15</v>
      </c>
      <c r="H2127" s="671" t="s">
        <v>807</v>
      </c>
      <c r="I2127" s="675" t="s">
        <v>854</v>
      </c>
      <c r="J2127" s="671" t="s">
        <v>804</v>
      </c>
      <c r="K2127" s="676">
        <v>14</v>
      </c>
      <c r="L2127" s="676">
        <f t="shared" si="63"/>
        <v>14.1</v>
      </c>
      <c r="M2127" s="676">
        <f t="shared" si="62"/>
        <v>197.4</v>
      </c>
    </row>
    <row r="2128" spans="2:13" s="645" customFormat="1" ht="21.75" customHeight="1">
      <c r="B2128" s="670">
        <v>44432</v>
      </c>
      <c r="C2128" s="671" t="s">
        <v>819</v>
      </c>
      <c r="D2128" s="672" t="s">
        <v>830</v>
      </c>
      <c r="E2128" s="673" t="s">
        <v>831</v>
      </c>
      <c r="F2128" s="670"/>
      <c r="G2128" s="672">
        <v>15</v>
      </c>
      <c r="H2128" s="671" t="s">
        <v>807</v>
      </c>
      <c r="I2128" s="675" t="s">
        <v>854</v>
      </c>
      <c r="J2128" s="671" t="s">
        <v>804</v>
      </c>
      <c r="K2128" s="676">
        <v>17</v>
      </c>
      <c r="L2128" s="676">
        <f t="shared" si="63"/>
        <v>14.1</v>
      </c>
      <c r="M2128" s="676">
        <f t="shared" si="62"/>
        <v>239.7</v>
      </c>
    </row>
    <row r="2129" spans="2:13" s="645" customFormat="1" ht="21.75" customHeight="1">
      <c r="B2129" s="670">
        <v>44432</v>
      </c>
      <c r="C2129" s="671" t="s">
        <v>819</v>
      </c>
      <c r="D2129" s="672" t="s">
        <v>850</v>
      </c>
      <c r="E2129" s="673" t="s">
        <v>831</v>
      </c>
      <c r="F2129" s="670"/>
      <c r="G2129" s="672">
        <v>15</v>
      </c>
      <c r="H2129" s="671" t="s">
        <v>807</v>
      </c>
      <c r="I2129" s="675" t="s">
        <v>854</v>
      </c>
      <c r="J2129" s="671" t="s">
        <v>804</v>
      </c>
      <c r="K2129" s="676">
        <v>16</v>
      </c>
      <c r="L2129" s="676">
        <f t="shared" si="63"/>
        <v>14.1</v>
      </c>
      <c r="M2129" s="676">
        <f t="shared" si="62"/>
        <v>225.6</v>
      </c>
    </row>
    <row r="2130" spans="2:13" s="645" customFormat="1" ht="21.75" customHeight="1">
      <c r="B2130" s="670">
        <v>44432</v>
      </c>
      <c r="C2130" s="671" t="s">
        <v>819</v>
      </c>
      <c r="D2130" s="672" t="s">
        <v>845</v>
      </c>
      <c r="E2130" s="673" t="s">
        <v>831</v>
      </c>
      <c r="F2130" s="670"/>
      <c r="G2130" s="672">
        <v>17</v>
      </c>
      <c r="H2130" s="671" t="s">
        <v>807</v>
      </c>
      <c r="I2130" s="675" t="s">
        <v>854</v>
      </c>
      <c r="J2130" s="671" t="s">
        <v>804</v>
      </c>
      <c r="K2130" s="676">
        <v>17</v>
      </c>
      <c r="L2130" s="676">
        <f t="shared" si="63"/>
        <v>15.98</v>
      </c>
      <c r="M2130" s="676">
        <f t="shared" si="62"/>
        <v>271.66000000000003</v>
      </c>
    </row>
    <row r="2131" spans="2:13" s="645" customFormat="1" ht="21.75" customHeight="1">
      <c r="B2131" s="670">
        <v>44432</v>
      </c>
      <c r="C2131" s="671" t="s">
        <v>819</v>
      </c>
      <c r="D2131" s="672" t="s">
        <v>847</v>
      </c>
      <c r="E2131" s="673" t="s">
        <v>831</v>
      </c>
      <c r="F2131" s="670"/>
      <c r="G2131" s="672">
        <v>17</v>
      </c>
      <c r="H2131" s="671" t="s">
        <v>807</v>
      </c>
      <c r="I2131" s="675" t="s">
        <v>854</v>
      </c>
      <c r="J2131" s="671" t="s">
        <v>804</v>
      </c>
      <c r="K2131" s="676">
        <v>14</v>
      </c>
      <c r="L2131" s="676">
        <f t="shared" si="63"/>
        <v>15.98</v>
      </c>
      <c r="M2131" s="676">
        <f t="shared" si="62"/>
        <v>223.72</v>
      </c>
    </row>
    <row r="2132" spans="2:13" s="645" customFormat="1" ht="21.75" customHeight="1">
      <c r="B2132" s="661">
        <v>44432</v>
      </c>
      <c r="C2132" s="662" t="s">
        <v>819</v>
      </c>
      <c r="D2132" s="663" t="s">
        <v>849</v>
      </c>
      <c r="E2132" s="664" t="s">
        <v>831</v>
      </c>
      <c r="F2132" s="665"/>
      <c r="G2132" s="663">
        <v>20</v>
      </c>
      <c r="H2132" s="662" t="s">
        <v>807</v>
      </c>
      <c r="I2132" s="666" t="s">
        <v>859</v>
      </c>
      <c r="J2132" s="667" t="s">
        <v>805</v>
      </c>
      <c r="K2132" s="662">
        <v>8</v>
      </c>
      <c r="L2132" s="685">
        <f t="shared" si="63"/>
        <v>18.8</v>
      </c>
      <c r="M2132" s="686">
        <f t="shared" si="62"/>
        <v>150.4</v>
      </c>
    </row>
    <row r="2133" spans="2:13" s="645" customFormat="1" ht="21.75" customHeight="1">
      <c r="B2133" s="661">
        <v>44432</v>
      </c>
      <c r="C2133" s="662" t="s">
        <v>819</v>
      </c>
      <c r="D2133" s="663" t="s">
        <v>840</v>
      </c>
      <c r="E2133" s="664" t="s">
        <v>831</v>
      </c>
      <c r="F2133" s="665"/>
      <c r="G2133" s="663">
        <v>20</v>
      </c>
      <c r="H2133" s="662" t="s">
        <v>807</v>
      </c>
      <c r="I2133" s="666" t="s">
        <v>859</v>
      </c>
      <c r="J2133" s="667" t="s">
        <v>805</v>
      </c>
      <c r="K2133" s="662">
        <v>9</v>
      </c>
      <c r="L2133" s="685">
        <f t="shared" si="63"/>
        <v>18.8</v>
      </c>
      <c r="M2133" s="686">
        <f t="shared" si="62"/>
        <v>169.20000000000002</v>
      </c>
    </row>
    <row r="2134" spans="2:13" s="645" customFormat="1" ht="21.75" customHeight="1">
      <c r="B2134" s="661">
        <v>44432</v>
      </c>
      <c r="C2134" s="662" t="s">
        <v>819</v>
      </c>
      <c r="D2134" s="663" t="s">
        <v>835</v>
      </c>
      <c r="E2134" s="664" t="s">
        <v>831</v>
      </c>
      <c r="F2134" s="665"/>
      <c r="G2134" s="663">
        <v>20</v>
      </c>
      <c r="H2134" s="662" t="s">
        <v>807</v>
      </c>
      <c r="I2134" s="666" t="s">
        <v>859</v>
      </c>
      <c r="J2134" s="667" t="s">
        <v>805</v>
      </c>
      <c r="K2134" s="662">
        <v>9</v>
      </c>
      <c r="L2134" s="685">
        <f t="shared" si="63"/>
        <v>18.8</v>
      </c>
      <c r="M2134" s="686">
        <f t="shared" si="62"/>
        <v>169.20000000000002</v>
      </c>
    </row>
    <row r="2135" spans="2:13" s="645" customFormat="1" ht="21.75" customHeight="1">
      <c r="B2135" s="661">
        <v>44432</v>
      </c>
      <c r="C2135" s="662" t="s">
        <v>819</v>
      </c>
      <c r="D2135" s="663" t="s">
        <v>841</v>
      </c>
      <c r="E2135" s="664" t="s">
        <v>831</v>
      </c>
      <c r="F2135" s="665"/>
      <c r="G2135" s="663">
        <v>20</v>
      </c>
      <c r="H2135" s="662" t="s">
        <v>807</v>
      </c>
      <c r="I2135" s="666" t="s">
        <v>859</v>
      </c>
      <c r="J2135" s="667" t="s">
        <v>805</v>
      </c>
      <c r="K2135" s="662">
        <v>11</v>
      </c>
      <c r="L2135" s="685">
        <f t="shared" si="63"/>
        <v>18.8</v>
      </c>
      <c r="M2135" s="686">
        <f t="shared" si="62"/>
        <v>206.8</v>
      </c>
    </row>
    <row r="2136" spans="2:13" s="645" customFormat="1" ht="21.75" customHeight="1">
      <c r="B2136" s="661">
        <v>44432</v>
      </c>
      <c r="C2136" s="662" t="s">
        <v>819</v>
      </c>
      <c r="D2136" s="663" t="s">
        <v>834</v>
      </c>
      <c r="E2136" s="664" t="s">
        <v>831</v>
      </c>
      <c r="F2136" s="665"/>
      <c r="G2136" s="663">
        <v>20</v>
      </c>
      <c r="H2136" s="662" t="s">
        <v>807</v>
      </c>
      <c r="I2136" s="666" t="s">
        <v>859</v>
      </c>
      <c r="J2136" s="667" t="s">
        <v>805</v>
      </c>
      <c r="K2136" s="662">
        <v>11</v>
      </c>
      <c r="L2136" s="685">
        <f t="shared" si="63"/>
        <v>18.8</v>
      </c>
      <c r="M2136" s="686">
        <f t="shared" si="62"/>
        <v>206.8</v>
      </c>
    </row>
    <row r="2137" spans="2:13" s="645" customFormat="1" ht="21.75" customHeight="1">
      <c r="B2137" s="661">
        <v>44432</v>
      </c>
      <c r="C2137" s="662" t="s">
        <v>819</v>
      </c>
      <c r="D2137" s="663" t="s">
        <v>848</v>
      </c>
      <c r="E2137" s="664" t="s">
        <v>831</v>
      </c>
      <c r="F2137" s="665"/>
      <c r="G2137" s="663">
        <v>20</v>
      </c>
      <c r="H2137" s="662" t="s">
        <v>807</v>
      </c>
      <c r="I2137" s="666" t="s">
        <v>859</v>
      </c>
      <c r="J2137" s="667" t="s">
        <v>805</v>
      </c>
      <c r="K2137" s="662">
        <v>12</v>
      </c>
      <c r="L2137" s="685">
        <f t="shared" si="63"/>
        <v>18.8</v>
      </c>
      <c r="M2137" s="686">
        <f t="shared" si="62"/>
        <v>225.60000000000002</v>
      </c>
    </row>
    <row r="2138" spans="2:13" s="645" customFormat="1" ht="21.75" customHeight="1">
      <c r="B2138" s="661">
        <v>44432</v>
      </c>
      <c r="C2138" s="662" t="s">
        <v>819</v>
      </c>
      <c r="D2138" s="663" t="s">
        <v>836</v>
      </c>
      <c r="E2138" s="664" t="s">
        <v>831</v>
      </c>
      <c r="F2138" s="665"/>
      <c r="G2138" s="663">
        <v>20</v>
      </c>
      <c r="H2138" s="662" t="s">
        <v>807</v>
      </c>
      <c r="I2138" s="666" t="s">
        <v>859</v>
      </c>
      <c r="J2138" s="667" t="s">
        <v>805</v>
      </c>
      <c r="K2138" s="662">
        <v>10</v>
      </c>
      <c r="L2138" s="685">
        <f t="shared" si="63"/>
        <v>18.8</v>
      </c>
      <c r="M2138" s="686">
        <f t="shared" si="62"/>
        <v>188</v>
      </c>
    </row>
    <row r="2139" spans="2:13" s="645" customFormat="1" ht="21.75" customHeight="1">
      <c r="B2139" s="661">
        <v>44432</v>
      </c>
      <c r="C2139" s="662" t="s">
        <v>819</v>
      </c>
      <c r="D2139" s="663" t="s">
        <v>856</v>
      </c>
      <c r="E2139" s="664" t="s">
        <v>831</v>
      </c>
      <c r="F2139" s="665"/>
      <c r="G2139" s="663">
        <v>20</v>
      </c>
      <c r="H2139" s="662" t="s">
        <v>807</v>
      </c>
      <c r="I2139" s="666" t="s">
        <v>859</v>
      </c>
      <c r="J2139" s="667" t="s">
        <v>805</v>
      </c>
      <c r="K2139" s="662">
        <v>10</v>
      </c>
      <c r="L2139" s="685">
        <f t="shared" si="63"/>
        <v>18.8</v>
      </c>
      <c r="M2139" s="686">
        <f t="shared" si="62"/>
        <v>188</v>
      </c>
    </row>
    <row r="2140" spans="2:13" s="645" customFormat="1" ht="21.75" customHeight="1">
      <c r="B2140" s="661">
        <v>44432</v>
      </c>
      <c r="C2140" s="662" t="s">
        <v>819</v>
      </c>
      <c r="D2140" s="663" t="s">
        <v>855</v>
      </c>
      <c r="E2140" s="664" t="s">
        <v>831</v>
      </c>
      <c r="F2140" s="665"/>
      <c r="G2140" s="663">
        <v>20</v>
      </c>
      <c r="H2140" s="662" t="s">
        <v>807</v>
      </c>
      <c r="I2140" s="666" t="s">
        <v>859</v>
      </c>
      <c r="J2140" s="667" t="s">
        <v>805</v>
      </c>
      <c r="K2140" s="662">
        <v>11</v>
      </c>
      <c r="L2140" s="685">
        <f t="shared" si="63"/>
        <v>18.8</v>
      </c>
      <c r="M2140" s="686">
        <f t="shared" si="62"/>
        <v>206.8</v>
      </c>
    </row>
    <row r="2141" spans="2:13" s="645" customFormat="1" ht="21.75" customHeight="1">
      <c r="B2141" s="661">
        <v>44432</v>
      </c>
      <c r="C2141" s="662" t="s">
        <v>837</v>
      </c>
      <c r="D2141" s="663" t="s">
        <v>849</v>
      </c>
      <c r="E2141" s="664" t="s">
        <v>831</v>
      </c>
      <c r="F2141" s="665"/>
      <c r="G2141" s="663">
        <v>20</v>
      </c>
      <c r="H2141" s="662" t="s">
        <v>807</v>
      </c>
      <c r="I2141" s="666" t="s">
        <v>859</v>
      </c>
      <c r="J2141" s="667" t="s">
        <v>865</v>
      </c>
      <c r="K2141" s="662">
        <v>2</v>
      </c>
      <c r="L2141" s="685">
        <f t="shared" si="63"/>
        <v>18.8</v>
      </c>
      <c r="M2141" s="686">
        <f t="shared" si="62"/>
        <v>37.6</v>
      </c>
    </row>
    <row r="2142" spans="2:13" s="645" customFormat="1" ht="21.75" customHeight="1">
      <c r="B2142" s="661">
        <v>44432</v>
      </c>
      <c r="C2142" s="662" t="s">
        <v>837</v>
      </c>
      <c r="D2142" s="663" t="s">
        <v>849</v>
      </c>
      <c r="E2142" s="664" t="s">
        <v>831</v>
      </c>
      <c r="F2142" s="665"/>
      <c r="G2142" s="663">
        <v>20</v>
      </c>
      <c r="H2142" s="662" t="s">
        <v>807</v>
      </c>
      <c r="I2142" s="666" t="s">
        <v>863</v>
      </c>
      <c r="J2142" s="667" t="s">
        <v>865</v>
      </c>
      <c r="K2142" s="662">
        <v>9</v>
      </c>
      <c r="L2142" s="685">
        <f t="shared" si="63"/>
        <v>18.8</v>
      </c>
      <c r="M2142" s="686">
        <f t="shared" si="62"/>
        <v>169.20000000000002</v>
      </c>
    </row>
    <row r="2143" spans="2:13" s="645" customFormat="1" ht="21.75" customHeight="1">
      <c r="B2143" s="661">
        <v>44432</v>
      </c>
      <c r="C2143" s="662" t="s">
        <v>837</v>
      </c>
      <c r="D2143" s="663" t="s">
        <v>840</v>
      </c>
      <c r="E2143" s="664" t="s">
        <v>831</v>
      </c>
      <c r="F2143" s="665"/>
      <c r="G2143" s="663">
        <v>20</v>
      </c>
      <c r="H2143" s="662" t="s">
        <v>807</v>
      </c>
      <c r="I2143" s="666" t="s">
        <v>859</v>
      </c>
      <c r="J2143" s="667" t="s">
        <v>865</v>
      </c>
      <c r="K2143" s="662">
        <v>2</v>
      </c>
      <c r="L2143" s="685">
        <f t="shared" si="63"/>
        <v>18.8</v>
      </c>
      <c r="M2143" s="686">
        <f t="shared" si="62"/>
        <v>37.6</v>
      </c>
    </row>
    <row r="2144" spans="2:13" s="645" customFormat="1" ht="21.75" customHeight="1">
      <c r="B2144" s="661">
        <v>44432</v>
      </c>
      <c r="C2144" s="662" t="s">
        <v>837</v>
      </c>
      <c r="D2144" s="663" t="s">
        <v>840</v>
      </c>
      <c r="E2144" s="664" t="s">
        <v>831</v>
      </c>
      <c r="F2144" s="665"/>
      <c r="G2144" s="663">
        <v>20</v>
      </c>
      <c r="H2144" s="662" t="s">
        <v>807</v>
      </c>
      <c r="I2144" s="666" t="s">
        <v>863</v>
      </c>
      <c r="J2144" s="667" t="s">
        <v>865</v>
      </c>
      <c r="K2144" s="662">
        <v>9</v>
      </c>
      <c r="L2144" s="685">
        <f t="shared" si="63"/>
        <v>18.8</v>
      </c>
      <c r="M2144" s="686">
        <f t="shared" si="62"/>
        <v>169.20000000000002</v>
      </c>
    </row>
    <row r="2145" spans="2:13" s="645" customFormat="1" ht="21.75" customHeight="1">
      <c r="B2145" s="661">
        <v>44432</v>
      </c>
      <c r="C2145" s="662" t="s">
        <v>837</v>
      </c>
      <c r="D2145" s="663" t="s">
        <v>835</v>
      </c>
      <c r="E2145" s="664" t="s">
        <v>831</v>
      </c>
      <c r="F2145" s="665"/>
      <c r="G2145" s="663">
        <v>20</v>
      </c>
      <c r="H2145" s="662" t="s">
        <v>807</v>
      </c>
      <c r="I2145" s="666" t="s">
        <v>859</v>
      </c>
      <c r="J2145" s="667" t="s">
        <v>865</v>
      </c>
      <c r="K2145" s="662">
        <v>2</v>
      </c>
      <c r="L2145" s="685">
        <f t="shared" si="63"/>
        <v>18.8</v>
      </c>
      <c r="M2145" s="686">
        <f t="shared" si="62"/>
        <v>37.6</v>
      </c>
    </row>
    <row r="2146" spans="2:13" s="645" customFormat="1" ht="21.75" customHeight="1">
      <c r="B2146" s="661">
        <v>44432</v>
      </c>
      <c r="C2146" s="662" t="s">
        <v>837</v>
      </c>
      <c r="D2146" s="663" t="s">
        <v>835</v>
      </c>
      <c r="E2146" s="664" t="s">
        <v>831</v>
      </c>
      <c r="F2146" s="665"/>
      <c r="G2146" s="663">
        <v>20</v>
      </c>
      <c r="H2146" s="662" t="s">
        <v>807</v>
      </c>
      <c r="I2146" s="666" t="s">
        <v>863</v>
      </c>
      <c r="J2146" s="667" t="s">
        <v>865</v>
      </c>
      <c r="K2146" s="662">
        <v>10</v>
      </c>
      <c r="L2146" s="685">
        <f t="shared" si="63"/>
        <v>18.8</v>
      </c>
      <c r="M2146" s="686">
        <f t="shared" si="62"/>
        <v>188</v>
      </c>
    </row>
    <row r="2147" spans="2:13" s="645" customFormat="1" ht="21.75" customHeight="1">
      <c r="B2147" s="661">
        <v>44432</v>
      </c>
      <c r="C2147" s="662" t="s">
        <v>837</v>
      </c>
      <c r="D2147" s="663" t="s">
        <v>841</v>
      </c>
      <c r="E2147" s="664" t="s">
        <v>831</v>
      </c>
      <c r="F2147" s="665"/>
      <c r="G2147" s="663">
        <v>20</v>
      </c>
      <c r="H2147" s="662" t="s">
        <v>807</v>
      </c>
      <c r="I2147" s="666" t="s">
        <v>859</v>
      </c>
      <c r="J2147" s="667" t="s">
        <v>865</v>
      </c>
      <c r="K2147" s="662">
        <v>3</v>
      </c>
      <c r="L2147" s="685">
        <f t="shared" si="63"/>
        <v>18.8</v>
      </c>
      <c r="M2147" s="686">
        <f t="shared" si="62"/>
        <v>56.400000000000006</v>
      </c>
    </row>
    <row r="2148" spans="2:13" s="645" customFormat="1" ht="21.75" customHeight="1">
      <c r="B2148" s="661">
        <v>44432</v>
      </c>
      <c r="C2148" s="662" t="s">
        <v>837</v>
      </c>
      <c r="D2148" s="663" t="s">
        <v>841</v>
      </c>
      <c r="E2148" s="664" t="s">
        <v>831</v>
      </c>
      <c r="F2148" s="665"/>
      <c r="G2148" s="663">
        <v>20</v>
      </c>
      <c r="H2148" s="662" t="s">
        <v>807</v>
      </c>
      <c r="I2148" s="666" t="s">
        <v>863</v>
      </c>
      <c r="J2148" s="667" t="s">
        <v>865</v>
      </c>
      <c r="K2148" s="662">
        <v>9</v>
      </c>
      <c r="L2148" s="685">
        <f t="shared" si="63"/>
        <v>18.8</v>
      </c>
      <c r="M2148" s="686">
        <f t="shared" si="62"/>
        <v>169.20000000000002</v>
      </c>
    </row>
    <row r="2149" spans="2:13" s="645" customFormat="1" ht="21.75" customHeight="1">
      <c r="B2149" s="661">
        <v>44432</v>
      </c>
      <c r="C2149" s="662" t="s">
        <v>837</v>
      </c>
      <c r="D2149" s="663" t="s">
        <v>834</v>
      </c>
      <c r="E2149" s="664" t="s">
        <v>831</v>
      </c>
      <c r="F2149" s="665"/>
      <c r="G2149" s="663">
        <v>20</v>
      </c>
      <c r="H2149" s="662" t="s">
        <v>807</v>
      </c>
      <c r="I2149" s="666" t="s">
        <v>859</v>
      </c>
      <c r="J2149" s="667" t="s">
        <v>865</v>
      </c>
      <c r="K2149" s="662">
        <v>2</v>
      </c>
      <c r="L2149" s="685">
        <f t="shared" si="63"/>
        <v>18.8</v>
      </c>
      <c r="M2149" s="686">
        <f t="shared" si="62"/>
        <v>37.6</v>
      </c>
    </row>
    <row r="2150" spans="2:13" s="645" customFormat="1" ht="21.75" customHeight="1">
      <c r="B2150" s="661">
        <v>44432</v>
      </c>
      <c r="C2150" s="662" t="s">
        <v>837</v>
      </c>
      <c r="D2150" s="663" t="s">
        <v>834</v>
      </c>
      <c r="E2150" s="664" t="s">
        <v>831</v>
      </c>
      <c r="F2150" s="665"/>
      <c r="G2150" s="663">
        <v>20</v>
      </c>
      <c r="H2150" s="662" t="s">
        <v>807</v>
      </c>
      <c r="I2150" s="666" t="s">
        <v>863</v>
      </c>
      <c r="J2150" s="667" t="s">
        <v>865</v>
      </c>
      <c r="K2150" s="662">
        <v>9</v>
      </c>
      <c r="L2150" s="685">
        <f t="shared" si="63"/>
        <v>18.8</v>
      </c>
      <c r="M2150" s="686">
        <f t="shared" si="62"/>
        <v>169.20000000000002</v>
      </c>
    </row>
    <row r="2151" spans="2:13" s="645" customFormat="1" ht="21.75" customHeight="1">
      <c r="B2151" s="661">
        <v>44432</v>
      </c>
      <c r="C2151" s="662" t="s">
        <v>837</v>
      </c>
      <c r="D2151" s="663" t="s">
        <v>856</v>
      </c>
      <c r="E2151" s="664" t="s">
        <v>831</v>
      </c>
      <c r="F2151" s="665"/>
      <c r="G2151" s="663">
        <v>20</v>
      </c>
      <c r="H2151" s="662" t="s">
        <v>807</v>
      </c>
      <c r="I2151" s="666" t="s">
        <v>859</v>
      </c>
      <c r="J2151" s="667" t="s">
        <v>865</v>
      </c>
      <c r="K2151" s="662">
        <v>3</v>
      </c>
      <c r="L2151" s="685">
        <f t="shared" si="63"/>
        <v>18.8</v>
      </c>
      <c r="M2151" s="686">
        <f t="shared" ref="M2151:M2214" si="64">L2151*K2151</f>
        <v>56.400000000000006</v>
      </c>
    </row>
    <row r="2152" spans="2:13" s="645" customFormat="1" ht="21.75" customHeight="1">
      <c r="B2152" s="661">
        <v>44432</v>
      </c>
      <c r="C2152" s="662" t="s">
        <v>837</v>
      </c>
      <c r="D2152" s="663" t="s">
        <v>856</v>
      </c>
      <c r="E2152" s="664" t="s">
        <v>831</v>
      </c>
      <c r="F2152" s="665"/>
      <c r="G2152" s="663">
        <v>20</v>
      </c>
      <c r="H2152" s="662" t="s">
        <v>807</v>
      </c>
      <c r="I2152" s="666" t="s">
        <v>863</v>
      </c>
      <c r="J2152" s="667" t="s">
        <v>865</v>
      </c>
      <c r="K2152" s="662">
        <v>10</v>
      </c>
      <c r="L2152" s="685">
        <f t="shared" si="63"/>
        <v>18.8</v>
      </c>
      <c r="M2152" s="686">
        <f t="shared" si="64"/>
        <v>188</v>
      </c>
    </row>
    <row r="2153" spans="2:13" s="645" customFormat="1" ht="21.75" customHeight="1">
      <c r="B2153" s="661">
        <v>44432</v>
      </c>
      <c r="C2153" s="662" t="s">
        <v>837</v>
      </c>
      <c r="D2153" s="663" t="s">
        <v>855</v>
      </c>
      <c r="E2153" s="664" t="s">
        <v>831</v>
      </c>
      <c r="F2153" s="665"/>
      <c r="G2153" s="663">
        <v>20</v>
      </c>
      <c r="H2153" s="662" t="s">
        <v>807</v>
      </c>
      <c r="I2153" s="666" t="s">
        <v>859</v>
      </c>
      <c r="J2153" s="667" t="s">
        <v>865</v>
      </c>
      <c r="K2153" s="662">
        <v>7</v>
      </c>
      <c r="L2153" s="685">
        <f t="shared" si="63"/>
        <v>18.8</v>
      </c>
      <c r="M2153" s="686">
        <f t="shared" si="64"/>
        <v>131.6</v>
      </c>
    </row>
    <row r="2154" spans="2:13" s="645" customFormat="1" ht="21.75" customHeight="1">
      <c r="B2154" s="661">
        <v>44432</v>
      </c>
      <c r="C2154" s="662" t="s">
        <v>837</v>
      </c>
      <c r="D2154" s="663" t="s">
        <v>855</v>
      </c>
      <c r="E2154" s="664" t="s">
        <v>831</v>
      </c>
      <c r="F2154" s="665"/>
      <c r="G2154" s="663">
        <v>20</v>
      </c>
      <c r="H2154" s="662" t="s">
        <v>807</v>
      </c>
      <c r="I2154" s="666" t="s">
        <v>863</v>
      </c>
      <c r="J2154" s="667" t="s">
        <v>865</v>
      </c>
      <c r="K2154" s="662">
        <v>4</v>
      </c>
      <c r="L2154" s="685">
        <f t="shared" si="63"/>
        <v>18.8</v>
      </c>
      <c r="M2154" s="686">
        <f t="shared" si="64"/>
        <v>75.2</v>
      </c>
    </row>
    <row r="2155" spans="2:13" s="645" customFormat="1" ht="21.75" customHeight="1">
      <c r="B2155" s="670">
        <v>44433</v>
      </c>
      <c r="C2155" s="671" t="s">
        <v>819</v>
      </c>
      <c r="D2155" s="672" t="s">
        <v>835</v>
      </c>
      <c r="E2155" s="673" t="s">
        <v>831</v>
      </c>
      <c r="F2155" s="670"/>
      <c r="G2155" s="672">
        <v>20</v>
      </c>
      <c r="H2155" s="671" t="s">
        <v>807</v>
      </c>
      <c r="I2155" s="675" t="s">
        <v>854</v>
      </c>
      <c r="J2155" s="671" t="s">
        <v>804</v>
      </c>
      <c r="K2155" s="676">
        <v>2</v>
      </c>
      <c r="L2155" s="676">
        <f t="shared" si="63"/>
        <v>18.8</v>
      </c>
      <c r="M2155" s="676">
        <f t="shared" si="64"/>
        <v>37.6</v>
      </c>
    </row>
    <row r="2156" spans="2:13" s="645" customFormat="1" ht="21.75" customHeight="1">
      <c r="B2156" s="670">
        <v>44433</v>
      </c>
      <c r="C2156" s="671" t="s">
        <v>819</v>
      </c>
      <c r="D2156" s="672" t="s">
        <v>833</v>
      </c>
      <c r="E2156" s="673" t="s">
        <v>831</v>
      </c>
      <c r="F2156" s="670"/>
      <c r="G2156" s="672">
        <v>15</v>
      </c>
      <c r="H2156" s="671" t="s">
        <v>807</v>
      </c>
      <c r="I2156" s="675" t="s">
        <v>854</v>
      </c>
      <c r="J2156" s="671" t="s">
        <v>804</v>
      </c>
      <c r="K2156" s="676">
        <v>11</v>
      </c>
      <c r="L2156" s="676">
        <f t="shared" si="63"/>
        <v>14.1</v>
      </c>
      <c r="M2156" s="676">
        <f t="shared" si="64"/>
        <v>155.1</v>
      </c>
    </row>
    <row r="2157" spans="2:13" s="645" customFormat="1" ht="21.75" customHeight="1">
      <c r="B2157" s="670">
        <v>44433</v>
      </c>
      <c r="C2157" s="671" t="s">
        <v>819</v>
      </c>
      <c r="D2157" s="672" t="s">
        <v>830</v>
      </c>
      <c r="E2157" s="673" t="s">
        <v>831</v>
      </c>
      <c r="F2157" s="670"/>
      <c r="G2157" s="672">
        <v>15</v>
      </c>
      <c r="H2157" s="671" t="s">
        <v>807</v>
      </c>
      <c r="I2157" s="675" t="s">
        <v>854</v>
      </c>
      <c r="J2157" s="671" t="s">
        <v>804</v>
      </c>
      <c r="K2157" s="676">
        <v>12</v>
      </c>
      <c r="L2157" s="676">
        <f t="shared" si="63"/>
        <v>14.1</v>
      </c>
      <c r="M2157" s="676">
        <f t="shared" si="64"/>
        <v>169.2</v>
      </c>
    </row>
    <row r="2158" spans="2:13" s="645" customFormat="1" ht="21.75" customHeight="1">
      <c r="B2158" s="670">
        <v>44433</v>
      </c>
      <c r="C2158" s="671" t="s">
        <v>819</v>
      </c>
      <c r="D2158" s="672" t="s">
        <v>850</v>
      </c>
      <c r="E2158" s="673" t="s">
        <v>831</v>
      </c>
      <c r="F2158" s="670"/>
      <c r="G2158" s="672">
        <v>15</v>
      </c>
      <c r="H2158" s="671" t="s">
        <v>807</v>
      </c>
      <c r="I2158" s="675" t="s">
        <v>854</v>
      </c>
      <c r="J2158" s="671" t="s">
        <v>804</v>
      </c>
      <c r="K2158" s="676">
        <v>11</v>
      </c>
      <c r="L2158" s="676">
        <f t="shared" si="63"/>
        <v>14.1</v>
      </c>
      <c r="M2158" s="676">
        <f t="shared" si="64"/>
        <v>155.1</v>
      </c>
    </row>
    <row r="2159" spans="2:13" s="645" customFormat="1" ht="21.75" customHeight="1">
      <c r="B2159" s="670">
        <v>44433</v>
      </c>
      <c r="C2159" s="671" t="s">
        <v>819</v>
      </c>
      <c r="D2159" s="672" t="s">
        <v>845</v>
      </c>
      <c r="E2159" s="673" t="s">
        <v>831</v>
      </c>
      <c r="F2159" s="670"/>
      <c r="G2159" s="672">
        <v>17</v>
      </c>
      <c r="H2159" s="671" t="s">
        <v>807</v>
      </c>
      <c r="I2159" s="675" t="s">
        <v>854</v>
      </c>
      <c r="J2159" s="671" t="s">
        <v>804</v>
      </c>
      <c r="K2159" s="676">
        <v>12</v>
      </c>
      <c r="L2159" s="676">
        <f t="shared" si="63"/>
        <v>15.98</v>
      </c>
      <c r="M2159" s="676">
        <f t="shared" si="64"/>
        <v>191.76</v>
      </c>
    </row>
    <row r="2160" spans="2:13" s="645" customFormat="1" ht="21.75" customHeight="1">
      <c r="B2160" s="670">
        <v>44433</v>
      </c>
      <c r="C2160" s="671" t="s">
        <v>819</v>
      </c>
      <c r="D2160" s="672" t="s">
        <v>847</v>
      </c>
      <c r="E2160" s="673" t="s">
        <v>831</v>
      </c>
      <c r="F2160" s="670"/>
      <c r="G2160" s="672">
        <v>17</v>
      </c>
      <c r="H2160" s="671" t="s">
        <v>807</v>
      </c>
      <c r="I2160" s="675" t="s">
        <v>854</v>
      </c>
      <c r="J2160" s="671" t="s">
        <v>804</v>
      </c>
      <c r="K2160" s="676">
        <v>13</v>
      </c>
      <c r="L2160" s="676">
        <f t="shared" si="63"/>
        <v>15.98</v>
      </c>
      <c r="M2160" s="676">
        <f t="shared" si="64"/>
        <v>207.74</v>
      </c>
    </row>
    <row r="2161" spans="2:13" s="645" customFormat="1" ht="21.75" customHeight="1">
      <c r="B2161" s="661">
        <v>44433</v>
      </c>
      <c r="C2161" s="662" t="s">
        <v>819</v>
      </c>
      <c r="D2161" s="663" t="s">
        <v>835</v>
      </c>
      <c r="E2161" s="664" t="s">
        <v>831</v>
      </c>
      <c r="F2161" s="665"/>
      <c r="G2161" s="663">
        <v>20</v>
      </c>
      <c r="H2161" s="662" t="s">
        <v>807</v>
      </c>
      <c r="I2161" s="666" t="s">
        <v>859</v>
      </c>
      <c r="J2161" s="667" t="s">
        <v>805</v>
      </c>
      <c r="K2161" s="662">
        <v>7</v>
      </c>
      <c r="L2161" s="685">
        <f t="shared" si="63"/>
        <v>18.8</v>
      </c>
      <c r="M2161" s="686">
        <f t="shared" si="64"/>
        <v>131.6</v>
      </c>
    </row>
    <row r="2162" spans="2:13" s="645" customFormat="1" ht="21.75" customHeight="1">
      <c r="B2162" s="661">
        <v>44433</v>
      </c>
      <c r="C2162" s="662" t="s">
        <v>819</v>
      </c>
      <c r="D2162" s="663" t="s">
        <v>841</v>
      </c>
      <c r="E2162" s="664" t="s">
        <v>831</v>
      </c>
      <c r="F2162" s="665"/>
      <c r="G2162" s="663">
        <v>20</v>
      </c>
      <c r="H2162" s="662" t="s">
        <v>807</v>
      </c>
      <c r="I2162" s="666" t="s">
        <v>859</v>
      </c>
      <c r="J2162" s="667" t="s">
        <v>805</v>
      </c>
      <c r="K2162" s="662">
        <v>11</v>
      </c>
      <c r="L2162" s="685">
        <f t="shared" si="63"/>
        <v>18.8</v>
      </c>
      <c r="M2162" s="686">
        <f t="shared" si="64"/>
        <v>206.8</v>
      </c>
    </row>
    <row r="2163" spans="2:13" s="645" customFormat="1" ht="21.75" customHeight="1">
      <c r="B2163" s="661">
        <v>44433</v>
      </c>
      <c r="C2163" s="662" t="s">
        <v>819</v>
      </c>
      <c r="D2163" s="663" t="s">
        <v>848</v>
      </c>
      <c r="E2163" s="664" t="s">
        <v>831</v>
      </c>
      <c r="F2163" s="665"/>
      <c r="G2163" s="663">
        <v>20</v>
      </c>
      <c r="H2163" s="662" t="s">
        <v>807</v>
      </c>
      <c r="I2163" s="666" t="s">
        <v>859</v>
      </c>
      <c r="J2163" s="667" t="s">
        <v>805</v>
      </c>
      <c r="K2163" s="662">
        <v>11</v>
      </c>
      <c r="L2163" s="685">
        <f t="shared" si="63"/>
        <v>18.8</v>
      </c>
      <c r="M2163" s="686">
        <f t="shared" si="64"/>
        <v>206.8</v>
      </c>
    </row>
    <row r="2164" spans="2:13" s="645" customFormat="1" ht="21.75" customHeight="1">
      <c r="B2164" s="661">
        <v>44433</v>
      </c>
      <c r="C2164" s="662" t="s">
        <v>819</v>
      </c>
      <c r="D2164" s="663" t="s">
        <v>836</v>
      </c>
      <c r="E2164" s="664" t="s">
        <v>831</v>
      </c>
      <c r="F2164" s="665"/>
      <c r="G2164" s="663">
        <v>20</v>
      </c>
      <c r="H2164" s="662" t="s">
        <v>807</v>
      </c>
      <c r="I2164" s="666" t="s">
        <v>859</v>
      </c>
      <c r="J2164" s="667" t="s">
        <v>805</v>
      </c>
      <c r="K2164" s="662">
        <v>2</v>
      </c>
      <c r="L2164" s="685">
        <f t="shared" si="63"/>
        <v>18.8</v>
      </c>
      <c r="M2164" s="686">
        <f t="shared" si="64"/>
        <v>37.6</v>
      </c>
    </row>
    <row r="2165" spans="2:13" s="645" customFormat="1" ht="21.75" customHeight="1">
      <c r="B2165" s="661">
        <v>44433</v>
      </c>
      <c r="C2165" s="662" t="s">
        <v>819</v>
      </c>
      <c r="D2165" s="663" t="s">
        <v>833</v>
      </c>
      <c r="E2165" s="664" t="s">
        <v>831</v>
      </c>
      <c r="F2165" s="665"/>
      <c r="G2165" s="663">
        <v>15</v>
      </c>
      <c r="H2165" s="662" t="s">
        <v>807</v>
      </c>
      <c r="I2165" s="666" t="s">
        <v>859</v>
      </c>
      <c r="J2165" s="667" t="s">
        <v>805</v>
      </c>
      <c r="K2165" s="662">
        <v>1</v>
      </c>
      <c r="L2165" s="685">
        <f t="shared" si="63"/>
        <v>14.1</v>
      </c>
      <c r="M2165" s="686">
        <f t="shared" si="64"/>
        <v>14.1</v>
      </c>
    </row>
    <row r="2166" spans="2:13" s="645" customFormat="1" ht="21.75" customHeight="1">
      <c r="B2166" s="661">
        <v>44433</v>
      </c>
      <c r="C2166" s="662" t="s">
        <v>819</v>
      </c>
      <c r="D2166" s="663" t="s">
        <v>830</v>
      </c>
      <c r="E2166" s="664" t="s">
        <v>831</v>
      </c>
      <c r="F2166" s="665"/>
      <c r="G2166" s="663">
        <v>15</v>
      </c>
      <c r="H2166" s="662" t="s">
        <v>807</v>
      </c>
      <c r="I2166" s="666" t="s">
        <v>859</v>
      </c>
      <c r="J2166" s="667" t="s">
        <v>805</v>
      </c>
      <c r="K2166" s="662">
        <v>1</v>
      </c>
      <c r="L2166" s="685">
        <f t="shared" si="63"/>
        <v>14.1</v>
      </c>
      <c r="M2166" s="686">
        <f t="shared" si="64"/>
        <v>14.1</v>
      </c>
    </row>
    <row r="2167" spans="2:13" s="645" customFormat="1" ht="21.75" customHeight="1">
      <c r="B2167" s="661">
        <v>44433</v>
      </c>
      <c r="C2167" s="662" t="s">
        <v>819</v>
      </c>
      <c r="D2167" s="663" t="s">
        <v>850</v>
      </c>
      <c r="E2167" s="664" t="s">
        <v>831</v>
      </c>
      <c r="F2167" s="665"/>
      <c r="G2167" s="663">
        <v>15</v>
      </c>
      <c r="H2167" s="662" t="s">
        <v>807</v>
      </c>
      <c r="I2167" s="666" t="s">
        <v>859</v>
      </c>
      <c r="J2167" s="667" t="s">
        <v>805</v>
      </c>
      <c r="K2167" s="662">
        <v>2</v>
      </c>
      <c r="L2167" s="685">
        <f t="shared" si="63"/>
        <v>14.1</v>
      </c>
      <c r="M2167" s="686">
        <f t="shared" si="64"/>
        <v>28.2</v>
      </c>
    </row>
    <row r="2168" spans="2:13" s="645" customFormat="1" ht="21.75" customHeight="1">
      <c r="B2168" s="661">
        <v>44433</v>
      </c>
      <c r="C2168" s="662" t="s">
        <v>819</v>
      </c>
      <c r="D2168" s="663" t="s">
        <v>849</v>
      </c>
      <c r="E2168" s="664" t="s">
        <v>831</v>
      </c>
      <c r="F2168" s="665"/>
      <c r="G2168" s="663">
        <v>20</v>
      </c>
      <c r="H2168" s="662" t="s">
        <v>807</v>
      </c>
      <c r="I2168" s="666" t="s">
        <v>859</v>
      </c>
      <c r="J2168" s="667" t="s">
        <v>865</v>
      </c>
      <c r="K2168" s="662">
        <v>10</v>
      </c>
      <c r="L2168" s="685">
        <f t="shared" si="63"/>
        <v>18.8</v>
      </c>
      <c r="M2168" s="686">
        <f t="shared" si="64"/>
        <v>188</v>
      </c>
    </row>
    <row r="2169" spans="2:13" s="645" customFormat="1" ht="21.75" customHeight="1">
      <c r="B2169" s="661">
        <v>44433</v>
      </c>
      <c r="C2169" s="662" t="s">
        <v>819</v>
      </c>
      <c r="D2169" s="663" t="s">
        <v>840</v>
      </c>
      <c r="E2169" s="664" t="s">
        <v>831</v>
      </c>
      <c r="F2169" s="665"/>
      <c r="G2169" s="663">
        <v>20</v>
      </c>
      <c r="H2169" s="662" t="s">
        <v>807</v>
      </c>
      <c r="I2169" s="666" t="s">
        <v>859</v>
      </c>
      <c r="J2169" s="667" t="s">
        <v>865</v>
      </c>
      <c r="K2169" s="662">
        <v>10</v>
      </c>
      <c r="L2169" s="685">
        <f t="shared" si="63"/>
        <v>18.8</v>
      </c>
      <c r="M2169" s="686">
        <f t="shared" si="64"/>
        <v>188</v>
      </c>
    </row>
    <row r="2170" spans="2:13" s="645" customFormat="1" ht="21.75" customHeight="1">
      <c r="B2170" s="661">
        <v>44433</v>
      </c>
      <c r="C2170" s="662" t="s">
        <v>819</v>
      </c>
      <c r="D2170" s="663" t="s">
        <v>834</v>
      </c>
      <c r="E2170" s="664" t="s">
        <v>831</v>
      </c>
      <c r="F2170" s="665"/>
      <c r="G2170" s="663">
        <v>20</v>
      </c>
      <c r="H2170" s="662" t="s">
        <v>807</v>
      </c>
      <c r="I2170" s="666" t="s">
        <v>859</v>
      </c>
      <c r="J2170" s="667" t="s">
        <v>865</v>
      </c>
      <c r="K2170" s="662">
        <v>11</v>
      </c>
      <c r="L2170" s="685">
        <f t="shared" si="63"/>
        <v>18.8</v>
      </c>
      <c r="M2170" s="686">
        <f t="shared" si="64"/>
        <v>206.8</v>
      </c>
    </row>
    <row r="2171" spans="2:13" s="645" customFormat="1" ht="21.75" customHeight="1">
      <c r="B2171" s="661">
        <v>44433</v>
      </c>
      <c r="C2171" s="662" t="s">
        <v>819</v>
      </c>
      <c r="D2171" s="663" t="s">
        <v>836</v>
      </c>
      <c r="E2171" s="664" t="s">
        <v>831</v>
      </c>
      <c r="F2171" s="665"/>
      <c r="G2171" s="663">
        <v>20</v>
      </c>
      <c r="H2171" s="662" t="s">
        <v>807</v>
      </c>
      <c r="I2171" s="666" t="s">
        <v>859</v>
      </c>
      <c r="J2171" s="667" t="s">
        <v>865</v>
      </c>
      <c r="K2171" s="662">
        <v>3</v>
      </c>
      <c r="L2171" s="685">
        <f t="shared" si="63"/>
        <v>18.8</v>
      </c>
      <c r="M2171" s="686">
        <f t="shared" si="64"/>
        <v>56.400000000000006</v>
      </c>
    </row>
    <row r="2172" spans="2:13" s="645" customFormat="1" ht="21.75" customHeight="1">
      <c r="B2172" s="661">
        <v>44433</v>
      </c>
      <c r="C2172" s="662" t="s">
        <v>837</v>
      </c>
      <c r="D2172" s="663" t="s">
        <v>849</v>
      </c>
      <c r="E2172" s="664" t="s">
        <v>831</v>
      </c>
      <c r="F2172" s="665"/>
      <c r="G2172" s="663">
        <v>20</v>
      </c>
      <c r="H2172" s="662" t="s">
        <v>807</v>
      </c>
      <c r="I2172" s="666" t="s">
        <v>859</v>
      </c>
      <c r="J2172" s="667" t="s">
        <v>865</v>
      </c>
      <c r="K2172" s="662">
        <v>2</v>
      </c>
      <c r="L2172" s="685">
        <f t="shared" si="63"/>
        <v>18.8</v>
      </c>
      <c r="M2172" s="686">
        <f t="shared" si="64"/>
        <v>37.6</v>
      </c>
    </row>
    <row r="2173" spans="2:13" s="645" customFormat="1" ht="21.75" customHeight="1">
      <c r="B2173" s="661">
        <v>44433</v>
      </c>
      <c r="C2173" s="662" t="s">
        <v>837</v>
      </c>
      <c r="D2173" s="663" t="s">
        <v>840</v>
      </c>
      <c r="E2173" s="664" t="s">
        <v>831</v>
      </c>
      <c r="F2173" s="665"/>
      <c r="G2173" s="663">
        <v>20</v>
      </c>
      <c r="H2173" s="662" t="s">
        <v>807</v>
      </c>
      <c r="I2173" s="666" t="s">
        <v>859</v>
      </c>
      <c r="J2173" s="667" t="s">
        <v>865</v>
      </c>
      <c r="K2173" s="662">
        <v>2</v>
      </c>
      <c r="L2173" s="685">
        <f t="shared" si="63"/>
        <v>18.8</v>
      </c>
      <c r="M2173" s="686">
        <f t="shared" si="64"/>
        <v>37.6</v>
      </c>
    </row>
    <row r="2174" spans="2:13" s="645" customFormat="1" ht="21.75" customHeight="1">
      <c r="B2174" s="661">
        <v>44433</v>
      </c>
      <c r="C2174" s="662" t="s">
        <v>837</v>
      </c>
      <c r="D2174" s="663" t="s">
        <v>835</v>
      </c>
      <c r="E2174" s="664" t="s">
        <v>831</v>
      </c>
      <c r="F2174" s="665"/>
      <c r="G2174" s="663">
        <v>20</v>
      </c>
      <c r="H2174" s="662" t="s">
        <v>807</v>
      </c>
      <c r="I2174" s="666" t="s">
        <v>859</v>
      </c>
      <c r="J2174" s="667" t="s">
        <v>865</v>
      </c>
      <c r="K2174" s="662">
        <v>2</v>
      </c>
      <c r="L2174" s="685">
        <f t="shared" si="63"/>
        <v>18.8</v>
      </c>
      <c r="M2174" s="686">
        <f t="shared" si="64"/>
        <v>37.6</v>
      </c>
    </row>
    <row r="2175" spans="2:13" s="645" customFormat="1" ht="21.75" customHeight="1">
      <c r="B2175" s="661">
        <v>44433</v>
      </c>
      <c r="C2175" s="662" t="s">
        <v>837</v>
      </c>
      <c r="D2175" s="663" t="s">
        <v>841</v>
      </c>
      <c r="E2175" s="664" t="s">
        <v>831</v>
      </c>
      <c r="F2175" s="665"/>
      <c r="G2175" s="663">
        <v>20</v>
      </c>
      <c r="H2175" s="662" t="s">
        <v>807</v>
      </c>
      <c r="I2175" s="666" t="s">
        <v>859</v>
      </c>
      <c r="J2175" s="667" t="s">
        <v>865</v>
      </c>
      <c r="K2175" s="662">
        <v>4</v>
      </c>
      <c r="L2175" s="685">
        <f t="shared" si="63"/>
        <v>18.8</v>
      </c>
      <c r="M2175" s="686">
        <f t="shared" si="64"/>
        <v>75.2</v>
      </c>
    </row>
    <row r="2176" spans="2:13" s="645" customFormat="1" ht="21.75" customHeight="1">
      <c r="B2176" s="661">
        <v>44433</v>
      </c>
      <c r="C2176" s="662" t="s">
        <v>837</v>
      </c>
      <c r="D2176" s="663" t="s">
        <v>834</v>
      </c>
      <c r="E2176" s="664" t="s">
        <v>831</v>
      </c>
      <c r="F2176" s="665"/>
      <c r="G2176" s="663">
        <v>20</v>
      </c>
      <c r="H2176" s="662" t="s">
        <v>807</v>
      </c>
      <c r="I2176" s="666" t="s">
        <v>859</v>
      </c>
      <c r="J2176" s="667" t="s">
        <v>865</v>
      </c>
      <c r="K2176" s="662">
        <v>4</v>
      </c>
      <c r="L2176" s="685">
        <f t="shared" si="63"/>
        <v>18.8</v>
      </c>
      <c r="M2176" s="686">
        <f t="shared" si="64"/>
        <v>75.2</v>
      </c>
    </row>
    <row r="2177" spans="2:13" s="645" customFormat="1" ht="21.75" customHeight="1">
      <c r="B2177" s="661">
        <v>44433</v>
      </c>
      <c r="C2177" s="662" t="s">
        <v>837</v>
      </c>
      <c r="D2177" s="663" t="s">
        <v>856</v>
      </c>
      <c r="E2177" s="664" t="s">
        <v>831</v>
      </c>
      <c r="F2177" s="665"/>
      <c r="G2177" s="663">
        <v>20</v>
      </c>
      <c r="H2177" s="662" t="s">
        <v>807</v>
      </c>
      <c r="I2177" s="666" t="s">
        <v>859</v>
      </c>
      <c r="J2177" s="667" t="s">
        <v>865</v>
      </c>
      <c r="K2177" s="662">
        <v>4</v>
      </c>
      <c r="L2177" s="685">
        <f t="shared" si="63"/>
        <v>18.8</v>
      </c>
      <c r="M2177" s="686">
        <f t="shared" si="64"/>
        <v>75.2</v>
      </c>
    </row>
    <row r="2178" spans="2:13" s="645" customFormat="1" ht="21.75" customHeight="1">
      <c r="B2178" s="661">
        <v>44433</v>
      </c>
      <c r="C2178" s="662" t="s">
        <v>837</v>
      </c>
      <c r="D2178" s="663" t="s">
        <v>855</v>
      </c>
      <c r="E2178" s="664" t="s">
        <v>831</v>
      </c>
      <c r="F2178" s="665"/>
      <c r="G2178" s="663">
        <v>20</v>
      </c>
      <c r="H2178" s="662" t="s">
        <v>807</v>
      </c>
      <c r="I2178" s="666" t="s">
        <v>859</v>
      </c>
      <c r="J2178" s="667" t="s">
        <v>865</v>
      </c>
      <c r="K2178" s="662">
        <v>4</v>
      </c>
      <c r="L2178" s="685">
        <f t="shared" si="63"/>
        <v>18.8</v>
      </c>
      <c r="M2178" s="686">
        <f t="shared" si="64"/>
        <v>75.2</v>
      </c>
    </row>
    <row r="2179" spans="2:13" s="645" customFormat="1" ht="21.75" customHeight="1">
      <c r="B2179" s="661">
        <v>44434</v>
      </c>
      <c r="C2179" s="662" t="s">
        <v>819</v>
      </c>
      <c r="D2179" s="663" t="s">
        <v>840</v>
      </c>
      <c r="E2179" s="664" t="s">
        <v>831</v>
      </c>
      <c r="F2179" s="665"/>
      <c r="G2179" s="663">
        <v>20</v>
      </c>
      <c r="H2179" s="662" t="s">
        <v>807</v>
      </c>
      <c r="I2179" s="666" t="s">
        <v>859</v>
      </c>
      <c r="J2179" s="667" t="s">
        <v>805</v>
      </c>
      <c r="K2179" s="662">
        <v>6</v>
      </c>
      <c r="L2179" s="685">
        <f t="shared" si="63"/>
        <v>18.8</v>
      </c>
      <c r="M2179" s="686">
        <f t="shared" si="64"/>
        <v>112.80000000000001</v>
      </c>
    </row>
    <row r="2180" spans="2:13" s="645" customFormat="1" ht="21.75" customHeight="1">
      <c r="B2180" s="661">
        <v>44434</v>
      </c>
      <c r="C2180" s="662" t="s">
        <v>819</v>
      </c>
      <c r="D2180" s="663" t="s">
        <v>835</v>
      </c>
      <c r="E2180" s="664" t="s">
        <v>831</v>
      </c>
      <c r="F2180" s="665"/>
      <c r="G2180" s="663">
        <v>20</v>
      </c>
      <c r="H2180" s="662" t="s">
        <v>807</v>
      </c>
      <c r="I2180" s="666" t="s">
        <v>859</v>
      </c>
      <c r="J2180" s="667" t="s">
        <v>805</v>
      </c>
      <c r="K2180" s="662">
        <v>1</v>
      </c>
      <c r="L2180" s="685">
        <f t="shared" si="63"/>
        <v>18.8</v>
      </c>
      <c r="M2180" s="686">
        <f t="shared" si="64"/>
        <v>18.8</v>
      </c>
    </row>
    <row r="2181" spans="2:13" s="645" customFormat="1" ht="21.75" customHeight="1">
      <c r="B2181" s="661">
        <v>44434</v>
      </c>
      <c r="C2181" s="662" t="s">
        <v>819</v>
      </c>
      <c r="D2181" s="663" t="s">
        <v>835</v>
      </c>
      <c r="E2181" s="664" t="s">
        <v>831</v>
      </c>
      <c r="F2181" s="665"/>
      <c r="G2181" s="663">
        <v>20</v>
      </c>
      <c r="H2181" s="662" t="s">
        <v>807</v>
      </c>
      <c r="I2181" s="666" t="s">
        <v>863</v>
      </c>
      <c r="J2181" s="667" t="s">
        <v>805</v>
      </c>
      <c r="K2181" s="662">
        <v>8</v>
      </c>
      <c r="L2181" s="685">
        <f t="shared" si="63"/>
        <v>18.8</v>
      </c>
      <c r="M2181" s="686">
        <f t="shared" si="64"/>
        <v>150.4</v>
      </c>
    </row>
    <row r="2182" spans="2:13" s="645" customFormat="1" ht="21.75" customHeight="1">
      <c r="B2182" s="661">
        <v>44434</v>
      </c>
      <c r="C2182" s="662" t="s">
        <v>819</v>
      </c>
      <c r="D2182" s="663" t="s">
        <v>841</v>
      </c>
      <c r="E2182" s="664" t="s">
        <v>831</v>
      </c>
      <c r="F2182" s="665"/>
      <c r="G2182" s="663">
        <v>20</v>
      </c>
      <c r="H2182" s="662" t="s">
        <v>807</v>
      </c>
      <c r="I2182" s="666" t="s">
        <v>859</v>
      </c>
      <c r="J2182" s="667" t="s">
        <v>805</v>
      </c>
      <c r="K2182" s="662">
        <v>9</v>
      </c>
      <c r="L2182" s="685">
        <f t="shared" si="63"/>
        <v>18.8</v>
      </c>
      <c r="M2182" s="686">
        <f t="shared" si="64"/>
        <v>169.20000000000002</v>
      </c>
    </row>
    <row r="2183" spans="2:13" s="645" customFormat="1" ht="21.75" customHeight="1">
      <c r="B2183" s="661">
        <v>44434</v>
      </c>
      <c r="C2183" s="662" t="s">
        <v>819</v>
      </c>
      <c r="D2183" s="663" t="s">
        <v>834</v>
      </c>
      <c r="E2183" s="664" t="s">
        <v>831</v>
      </c>
      <c r="F2183" s="665"/>
      <c r="G2183" s="663">
        <v>20</v>
      </c>
      <c r="H2183" s="662" t="s">
        <v>807</v>
      </c>
      <c r="I2183" s="666" t="s">
        <v>859</v>
      </c>
      <c r="J2183" s="667" t="s">
        <v>805</v>
      </c>
      <c r="K2183" s="662">
        <v>7</v>
      </c>
      <c r="L2183" s="685">
        <f t="shared" si="63"/>
        <v>18.8</v>
      </c>
      <c r="M2183" s="686">
        <f t="shared" si="64"/>
        <v>131.6</v>
      </c>
    </row>
    <row r="2184" spans="2:13" s="645" customFormat="1" ht="21.75" customHeight="1">
      <c r="B2184" s="661">
        <v>44434</v>
      </c>
      <c r="C2184" s="662" t="s">
        <v>819</v>
      </c>
      <c r="D2184" s="663" t="s">
        <v>848</v>
      </c>
      <c r="E2184" s="664" t="s">
        <v>831</v>
      </c>
      <c r="F2184" s="665"/>
      <c r="G2184" s="663">
        <v>20</v>
      </c>
      <c r="H2184" s="662" t="s">
        <v>807</v>
      </c>
      <c r="I2184" s="666" t="s">
        <v>859</v>
      </c>
      <c r="J2184" s="667" t="s">
        <v>805</v>
      </c>
      <c r="K2184" s="662">
        <v>2</v>
      </c>
      <c r="L2184" s="685">
        <f t="shared" si="63"/>
        <v>18.8</v>
      </c>
      <c r="M2184" s="686">
        <f t="shared" si="64"/>
        <v>37.6</v>
      </c>
    </row>
    <row r="2185" spans="2:13" s="645" customFormat="1" ht="21.75" customHeight="1">
      <c r="B2185" s="661">
        <v>44434</v>
      </c>
      <c r="C2185" s="662" t="s">
        <v>819</v>
      </c>
      <c r="D2185" s="663" t="s">
        <v>848</v>
      </c>
      <c r="E2185" s="664" t="s">
        <v>831</v>
      </c>
      <c r="F2185" s="665"/>
      <c r="G2185" s="663">
        <v>20</v>
      </c>
      <c r="H2185" s="662" t="s">
        <v>807</v>
      </c>
      <c r="I2185" s="666" t="s">
        <v>863</v>
      </c>
      <c r="J2185" s="667" t="s">
        <v>805</v>
      </c>
      <c r="K2185" s="662">
        <v>8</v>
      </c>
      <c r="L2185" s="685">
        <f t="shared" ref="L2185:L2248" si="65">VLOOKUP(G2185,$Q$4:$V$7,6,FALSE)</f>
        <v>18.8</v>
      </c>
      <c r="M2185" s="686">
        <f t="shared" si="64"/>
        <v>150.4</v>
      </c>
    </row>
    <row r="2186" spans="2:13" s="645" customFormat="1" ht="21.75" customHeight="1">
      <c r="B2186" s="661">
        <v>44434</v>
      </c>
      <c r="C2186" s="662" t="s">
        <v>819</v>
      </c>
      <c r="D2186" s="663" t="s">
        <v>836</v>
      </c>
      <c r="E2186" s="664" t="s">
        <v>831</v>
      </c>
      <c r="F2186" s="665"/>
      <c r="G2186" s="663">
        <v>20</v>
      </c>
      <c r="H2186" s="662" t="s">
        <v>807</v>
      </c>
      <c r="I2186" s="666" t="s">
        <v>859</v>
      </c>
      <c r="J2186" s="667" t="s">
        <v>805</v>
      </c>
      <c r="K2186" s="662">
        <v>1</v>
      </c>
      <c r="L2186" s="685">
        <f t="shared" si="65"/>
        <v>18.8</v>
      </c>
      <c r="M2186" s="686">
        <f t="shared" si="64"/>
        <v>18.8</v>
      </c>
    </row>
    <row r="2187" spans="2:13" s="645" customFormat="1" ht="21.75" customHeight="1">
      <c r="B2187" s="661">
        <v>44434</v>
      </c>
      <c r="C2187" s="662" t="s">
        <v>819</v>
      </c>
      <c r="D2187" s="663" t="s">
        <v>836</v>
      </c>
      <c r="E2187" s="664" t="s">
        <v>831</v>
      </c>
      <c r="F2187" s="665"/>
      <c r="G2187" s="663">
        <v>20</v>
      </c>
      <c r="H2187" s="662" t="s">
        <v>807</v>
      </c>
      <c r="I2187" s="666" t="s">
        <v>863</v>
      </c>
      <c r="J2187" s="667" t="s">
        <v>805</v>
      </c>
      <c r="K2187" s="662">
        <v>8</v>
      </c>
      <c r="L2187" s="685">
        <f t="shared" si="65"/>
        <v>18.8</v>
      </c>
      <c r="M2187" s="686">
        <f t="shared" si="64"/>
        <v>150.4</v>
      </c>
    </row>
    <row r="2188" spans="2:13" s="645" customFormat="1" ht="21.75" customHeight="1">
      <c r="B2188" s="661">
        <v>44434</v>
      </c>
      <c r="C2188" s="662" t="s">
        <v>819</v>
      </c>
      <c r="D2188" s="663" t="s">
        <v>833</v>
      </c>
      <c r="E2188" s="664" t="s">
        <v>831</v>
      </c>
      <c r="F2188" s="665"/>
      <c r="G2188" s="663">
        <v>15</v>
      </c>
      <c r="H2188" s="662" t="s">
        <v>807</v>
      </c>
      <c r="I2188" s="666" t="s">
        <v>863</v>
      </c>
      <c r="J2188" s="667" t="s">
        <v>805</v>
      </c>
      <c r="K2188" s="662">
        <v>1</v>
      </c>
      <c r="L2188" s="685">
        <f t="shared" si="65"/>
        <v>14.1</v>
      </c>
      <c r="M2188" s="686">
        <f t="shared" si="64"/>
        <v>14.1</v>
      </c>
    </row>
    <row r="2189" spans="2:13" s="645" customFormat="1" ht="21.75" customHeight="1">
      <c r="B2189" s="661">
        <v>44434</v>
      </c>
      <c r="C2189" s="662" t="s">
        <v>819</v>
      </c>
      <c r="D2189" s="663" t="s">
        <v>856</v>
      </c>
      <c r="E2189" s="664" t="s">
        <v>831</v>
      </c>
      <c r="F2189" s="665"/>
      <c r="G2189" s="663">
        <v>20</v>
      </c>
      <c r="H2189" s="662" t="s">
        <v>807</v>
      </c>
      <c r="I2189" s="666" t="s">
        <v>863</v>
      </c>
      <c r="J2189" s="667" t="s">
        <v>805</v>
      </c>
      <c r="K2189" s="662">
        <v>9</v>
      </c>
      <c r="L2189" s="685">
        <f t="shared" si="65"/>
        <v>18.8</v>
      </c>
      <c r="M2189" s="686">
        <f t="shared" si="64"/>
        <v>169.20000000000002</v>
      </c>
    </row>
    <row r="2190" spans="2:13" s="645" customFormat="1" ht="21.75" customHeight="1">
      <c r="B2190" s="661">
        <v>44434</v>
      </c>
      <c r="C2190" s="662" t="s">
        <v>819</v>
      </c>
      <c r="D2190" s="663" t="s">
        <v>855</v>
      </c>
      <c r="E2190" s="664" t="s">
        <v>831</v>
      </c>
      <c r="F2190" s="665"/>
      <c r="G2190" s="663">
        <v>20</v>
      </c>
      <c r="H2190" s="662" t="s">
        <v>807</v>
      </c>
      <c r="I2190" s="666" t="s">
        <v>863</v>
      </c>
      <c r="J2190" s="667" t="s">
        <v>805</v>
      </c>
      <c r="K2190" s="662">
        <v>10</v>
      </c>
      <c r="L2190" s="685">
        <f t="shared" si="65"/>
        <v>18.8</v>
      </c>
      <c r="M2190" s="686">
        <f t="shared" si="64"/>
        <v>188</v>
      </c>
    </row>
    <row r="2191" spans="2:13" s="645" customFormat="1" ht="21.75" customHeight="1">
      <c r="B2191" s="661">
        <v>44435</v>
      </c>
      <c r="C2191" s="662" t="s">
        <v>866</v>
      </c>
      <c r="D2191" s="663" t="s">
        <v>849</v>
      </c>
      <c r="E2191" s="664" t="s">
        <v>831</v>
      </c>
      <c r="F2191" s="665"/>
      <c r="G2191" s="663">
        <v>20</v>
      </c>
      <c r="H2191" s="662" t="s">
        <v>807</v>
      </c>
      <c r="I2191" s="666" t="s">
        <v>859</v>
      </c>
      <c r="J2191" s="667" t="s">
        <v>805</v>
      </c>
      <c r="K2191" s="662">
        <v>11</v>
      </c>
      <c r="L2191" s="685">
        <f t="shared" si="65"/>
        <v>18.8</v>
      </c>
      <c r="M2191" s="686">
        <f t="shared" si="64"/>
        <v>206.8</v>
      </c>
    </row>
    <row r="2192" spans="2:13" s="645" customFormat="1" ht="21.75" customHeight="1">
      <c r="B2192" s="661">
        <v>44435</v>
      </c>
      <c r="C2192" s="662" t="s">
        <v>866</v>
      </c>
      <c r="D2192" s="663" t="s">
        <v>840</v>
      </c>
      <c r="E2192" s="664" t="s">
        <v>831</v>
      </c>
      <c r="F2192" s="665"/>
      <c r="G2192" s="663">
        <v>20</v>
      </c>
      <c r="H2192" s="662" t="s">
        <v>807</v>
      </c>
      <c r="I2192" s="666" t="s">
        <v>859</v>
      </c>
      <c r="J2192" s="667" t="s">
        <v>805</v>
      </c>
      <c r="K2192" s="662">
        <v>10</v>
      </c>
      <c r="L2192" s="685">
        <f t="shared" si="65"/>
        <v>18.8</v>
      </c>
      <c r="M2192" s="686">
        <f t="shared" si="64"/>
        <v>188</v>
      </c>
    </row>
    <row r="2193" spans="2:13" s="645" customFormat="1" ht="21.75" customHeight="1">
      <c r="B2193" s="661">
        <v>44435</v>
      </c>
      <c r="C2193" s="662" t="s">
        <v>866</v>
      </c>
      <c r="D2193" s="663" t="s">
        <v>835</v>
      </c>
      <c r="E2193" s="664" t="s">
        <v>831</v>
      </c>
      <c r="F2193" s="665"/>
      <c r="G2193" s="663">
        <v>20</v>
      </c>
      <c r="H2193" s="662" t="s">
        <v>807</v>
      </c>
      <c r="I2193" s="666" t="s">
        <v>859</v>
      </c>
      <c r="J2193" s="667" t="s">
        <v>805</v>
      </c>
      <c r="K2193" s="662">
        <v>2</v>
      </c>
      <c r="L2193" s="685">
        <f t="shared" si="65"/>
        <v>18.8</v>
      </c>
      <c r="M2193" s="686">
        <f t="shared" si="64"/>
        <v>37.6</v>
      </c>
    </row>
    <row r="2194" spans="2:13" s="645" customFormat="1" ht="21.75" customHeight="1">
      <c r="B2194" s="661">
        <v>44435</v>
      </c>
      <c r="C2194" s="662" t="s">
        <v>866</v>
      </c>
      <c r="D2194" s="663" t="s">
        <v>841</v>
      </c>
      <c r="E2194" s="664" t="s">
        <v>831</v>
      </c>
      <c r="F2194" s="665"/>
      <c r="G2194" s="663">
        <v>20</v>
      </c>
      <c r="H2194" s="662" t="s">
        <v>807</v>
      </c>
      <c r="I2194" s="666" t="s">
        <v>859</v>
      </c>
      <c r="J2194" s="667" t="s">
        <v>805</v>
      </c>
      <c r="K2194" s="662">
        <v>5</v>
      </c>
      <c r="L2194" s="685">
        <f t="shared" si="65"/>
        <v>18.8</v>
      </c>
      <c r="M2194" s="686">
        <f t="shared" si="64"/>
        <v>94</v>
      </c>
    </row>
    <row r="2195" spans="2:13" s="645" customFormat="1" ht="21.75" customHeight="1">
      <c r="B2195" s="661">
        <v>44435</v>
      </c>
      <c r="C2195" s="662" t="s">
        <v>866</v>
      </c>
      <c r="D2195" s="663" t="s">
        <v>834</v>
      </c>
      <c r="E2195" s="664" t="s">
        <v>831</v>
      </c>
      <c r="F2195" s="665"/>
      <c r="G2195" s="663">
        <v>20</v>
      </c>
      <c r="H2195" s="662" t="s">
        <v>807</v>
      </c>
      <c r="I2195" s="666" t="s">
        <v>859</v>
      </c>
      <c r="J2195" s="667" t="s">
        <v>805</v>
      </c>
      <c r="K2195" s="662">
        <v>5</v>
      </c>
      <c r="L2195" s="685">
        <f t="shared" si="65"/>
        <v>18.8</v>
      </c>
      <c r="M2195" s="686">
        <f t="shared" si="64"/>
        <v>94</v>
      </c>
    </row>
    <row r="2196" spans="2:13" s="645" customFormat="1" ht="21.75" customHeight="1">
      <c r="B2196" s="661">
        <v>44435</v>
      </c>
      <c r="C2196" s="662" t="s">
        <v>866</v>
      </c>
      <c r="D2196" s="663" t="s">
        <v>834</v>
      </c>
      <c r="E2196" s="664" t="s">
        <v>831</v>
      </c>
      <c r="F2196" s="665"/>
      <c r="G2196" s="663">
        <v>20</v>
      </c>
      <c r="H2196" s="662" t="s">
        <v>807</v>
      </c>
      <c r="I2196" s="666" t="s">
        <v>863</v>
      </c>
      <c r="J2196" s="667" t="s">
        <v>805</v>
      </c>
      <c r="K2196" s="662">
        <v>6</v>
      </c>
      <c r="L2196" s="685">
        <f t="shared" si="65"/>
        <v>18.8</v>
      </c>
      <c r="M2196" s="686">
        <f t="shared" si="64"/>
        <v>112.80000000000001</v>
      </c>
    </row>
    <row r="2197" spans="2:13" s="645" customFormat="1" ht="21.75" customHeight="1">
      <c r="B2197" s="661">
        <v>44435</v>
      </c>
      <c r="C2197" s="662" t="s">
        <v>866</v>
      </c>
      <c r="D2197" s="663" t="s">
        <v>848</v>
      </c>
      <c r="E2197" s="664" t="s">
        <v>831</v>
      </c>
      <c r="F2197" s="665"/>
      <c r="G2197" s="663">
        <v>20</v>
      </c>
      <c r="H2197" s="662" t="s">
        <v>807</v>
      </c>
      <c r="I2197" s="666" t="s">
        <v>859</v>
      </c>
      <c r="J2197" s="667" t="s">
        <v>805</v>
      </c>
      <c r="K2197" s="662">
        <v>5</v>
      </c>
      <c r="L2197" s="685">
        <f t="shared" si="65"/>
        <v>18.8</v>
      </c>
      <c r="M2197" s="686">
        <f t="shared" si="64"/>
        <v>94</v>
      </c>
    </row>
    <row r="2198" spans="2:13" s="645" customFormat="1" ht="21.75" customHeight="1">
      <c r="B2198" s="661">
        <v>44435</v>
      </c>
      <c r="C2198" s="662" t="s">
        <v>866</v>
      </c>
      <c r="D2198" s="663" t="s">
        <v>848</v>
      </c>
      <c r="E2198" s="664" t="s">
        <v>831</v>
      </c>
      <c r="F2198" s="665"/>
      <c r="G2198" s="663">
        <v>20</v>
      </c>
      <c r="H2198" s="662" t="s">
        <v>807</v>
      </c>
      <c r="I2198" s="666" t="s">
        <v>863</v>
      </c>
      <c r="J2198" s="667" t="s">
        <v>805</v>
      </c>
      <c r="K2198" s="662">
        <v>6</v>
      </c>
      <c r="L2198" s="685">
        <f t="shared" si="65"/>
        <v>18.8</v>
      </c>
      <c r="M2198" s="686">
        <f t="shared" si="64"/>
        <v>112.80000000000001</v>
      </c>
    </row>
    <row r="2199" spans="2:13" s="645" customFormat="1" ht="21.75" customHeight="1">
      <c r="B2199" s="661">
        <v>44435</v>
      </c>
      <c r="C2199" s="662" t="s">
        <v>866</v>
      </c>
      <c r="D2199" s="663" t="s">
        <v>836</v>
      </c>
      <c r="E2199" s="664" t="s">
        <v>831</v>
      </c>
      <c r="F2199" s="665"/>
      <c r="G2199" s="663">
        <v>20</v>
      </c>
      <c r="H2199" s="662" t="s">
        <v>807</v>
      </c>
      <c r="I2199" s="666" t="s">
        <v>859</v>
      </c>
      <c r="J2199" s="667" t="s">
        <v>805</v>
      </c>
      <c r="K2199" s="662">
        <v>9</v>
      </c>
      <c r="L2199" s="685">
        <f t="shared" si="65"/>
        <v>18.8</v>
      </c>
      <c r="M2199" s="686">
        <f t="shared" si="64"/>
        <v>169.20000000000002</v>
      </c>
    </row>
    <row r="2200" spans="2:13" s="645" customFormat="1" ht="21.75" customHeight="1">
      <c r="B2200" s="661">
        <v>44435</v>
      </c>
      <c r="C2200" s="662" t="s">
        <v>866</v>
      </c>
      <c r="D2200" s="663" t="s">
        <v>855</v>
      </c>
      <c r="E2200" s="664" t="s">
        <v>831</v>
      </c>
      <c r="F2200" s="665"/>
      <c r="G2200" s="663">
        <v>20</v>
      </c>
      <c r="H2200" s="662" t="s">
        <v>807</v>
      </c>
      <c r="I2200" s="666" t="s">
        <v>859</v>
      </c>
      <c r="J2200" s="667" t="s">
        <v>805</v>
      </c>
      <c r="K2200" s="662">
        <v>2</v>
      </c>
      <c r="L2200" s="685">
        <f t="shared" si="65"/>
        <v>18.8</v>
      </c>
      <c r="M2200" s="686">
        <f t="shared" si="64"/>
        <v>37.6</v>
      </c>
    </row>
    <row r="2201" spans="2:13" s="645" customFormat="1" ht="21.75" customHeight="1">
      <c r="B2201" s="661">
        <v>44435</v>
      </c>
      <c r="C2201" s="662" t="s">
        <v>866</v>
      </c>
      <c r="D2201" s="663" t="s">
        <v>855</v>
      </c>
      <c r="E2201" s="664" t="s">
        <v>831</v>
      </c>
      <c r="F2201" s="665"/>
      <c r="G2201" s="663">
        <v>20</v>
      </c>
      <c r="H2201" s="662" t="s">
        <v>807</v>
      </c>
      <c r="I2201" s="666" t="s">
        <v>863</v>
      </c>
      <c r="J2201" s="667" t="s">
        <v>805</v>
      </c>
      <c r="K2201" s="662">
        <v>6</v>
      </c>
      <c r="L2201" s="685">
        <f t="shared" si="65"/>
        <v>18.8</v>
      </c>
      <c r="M2201" s="686">
        <f t="shared" si="64"/>
        <v>112.80000000000001</v>
      </c>
    </row>
    <row r="2202" spans="2:13" s="645" customFormat="1" ht="21.75" customHeight="1">
      <c r="B2202" s="661">
        <v>44435</v>
      </c>
      <c r="C2202" s="662" t="s">
        <v>866</v>
      </c>
      <c r="D2202" s="663" t="s">
        <v>855</v>
      </c>
      <c r="E2202" s="664" t="s">
        <v>831</v>
      </c>
      <c r="F2202" s="665"/>
      <c r="G2202" s="663">
        <v>20</v>
      </c>
      <c r="H2202" s="662" t="s">
        <v>807</v>
      </c>
      <c r="I2202" s="666" t="s">
        <v>859</v>
      </c>
      <c r="J2202" s="667" t="s">
        <v>805</v>
      </c>
      <c r="K2202" s="662">
        <v>3</v>
      </c>
      <c r="L2202" s="685">
        <f t="shared" si="65"/>
        <v>18.8</v>
      </c>
      <c r="M2202" s="686">
        <f t="shared" si="64"/>
        <v>56.400000000000006</v>
      </c>
    </row>
    <row r="2203" spans="2:13" s="645" customFormat="1" ht="21.75" customHeight="1">
      <c r="B2203" s="661">
        <v>44435</v>
      </c>
      <c r="C2203" s="662" t="s">
        <v>866</v>
      </c>
      <c r="D2203" s="663" t="s">
        <v>867</v>
      </c>
      <c r="E2203" s="664" t="s">
        <v>831</v>
      </c>
      <c r="F2203" s="665"/>
      <c r="G2203" s="663">
        <v>20</v>
      </c>
      <c r="H2203" s="662" t="s">
        <v>807</v>
      </c>
      <c r="I2203" s="666" t="s">
        <v>859</v>
      </c>
      <c r="J2203" s="667" t="s">
        <v>805</v>
      </c>
      <c r="K2203" s="662">
        <v>6</v>
      </c>
      <c r="L2203" s="685">
        <f t="shared" si="65"/>
        <v>18.8</v>
      </c>
      <c r="M2203" s="686">
        <f t="shared" si="64"/>
        <v>112.80000000000001</v>
      </c>
    </row>
    <row r="2204" spans="2:13" s="645" customFormat="1" ht="21.75" customHeight="1">
      <c r="B2204" s="661">
        <v>44435</v>
      </c>
      <c r="C2204" s="662" t="s">
        <v>866</v>
      </c>
      <c r="D2204" s="663" t="s">
        <v>867</v>
      </c>
      <c r="E2204" s="664" t="s">
        <v>831</v>
      </c>
      <c r="F2204" s="665"/>
      <c r="G2204" s="663">
        <v>20</v>
      </c>
      <c r="H2204" s="662" t="s">
        <v>807</v>
      </c>
      <c r="I2204" s="666" t="s">
        <v>863</v>
      </c>
      <c r="J2204" s="667" t="s">
        <v>805</v>
      </c>
      <c r="K2204" s="662">
        <v>2</v>
      </c>
      <c r="L2204" s="685">
        <f t="shared" si="65"/>
        <v>18.8</v>
      </c>
      <c r="M2204" s="686">
        <f t="shared" si="64"/>
        <v>37.6</v>
      </c>
    </row>
    <row r="2205" spans="2:13" s="645" customFormat="1" ht="21.75" customHeight="1">
      <c r="B2205" s="661">
        <v>44435</v>
      </c>
      <c r="C2205" s="662" t="s">
        <v>866</v>
      </c>
      <c r="D2205" s="663" t="s">
        <v>868</v>
      </c>
      <c r="E2205" s="664" t="s">
        <v>831</v>
      </c>
      <c r="F2205" s="665"/>
      <c r="G2205" s="663">
        <v>20</v>
      </c>
      <c r="H2205" s="662" t="s">
        <v>807</v>
      </c>
      <c r="I2205" s="666" t="s">
        <v>859</v>
      </c>
      <c r="J2205" s="667" t="s">
        <v>805</v>
      </c>
      <c r="K2205" s="662">
        <v>8</v>
      </c>
      <c r="L2205" s="685">
        <f t="shared" si="65"/>
        <v>18.8</v>
      </c>
      <c r="M2205" s="686">
        <f t="shared" si="64"/>
        <v>150.4</v>
      </c>
    </row>
    <row r="2206" spans="2:13" s="645" customFormat="1" ht="21.75" customHeight="1">
      <c r="B2206" s="661">
        <v>44435</v>
      </c>
      <c r="C2206" s="662" t="s">
        <v>866</v>
      </c>
      <c r="D2206" s="663" t="s">
        <v>869</v>
      </c>
      <c r="E2206" s="664" t="s">
        <v>831</v>
      </c>
      <c r="F2206" s="665"/>
      <c r="G2206" s="663">
        <v>20</v>
      </c>
      <c r="H2206" s="662" t="s">
        <v>807</v>
      </c>
      <c r="I2206" s="666" t="s">
        <v>859</v>
      </c>
      <c r="J2206" s="667" t="s">
        <v>805</v>
      </c>
      <c r="K2206" s="662">
        <v>6</v>
      </c>
      <c r="L2206" s="685">
        <f t="shared" si="65"/>
        <v>18.8</v>
      </c>
      <c r="M2206" s="686">
        <f t="shared" si="64"/>
        <v>112.80000000000001</v>
      </c>
    </row>
    <row r="2207" spans="2:13" s="645" customFormat="1" ht="21.75" customHeight="1">
      <c r="B2207" s="661">
        <v>44435</v>
      </c>
      <c r="C2207" s="662" t="s">
        <v>819</v>
      </c>
      <c r="D2207" s="663" t="s">
        <v>849</v>
      </c>
      <c r="E2207" s="664" t="s">
        <v>831</v>
      </c>
      <c r="F2207" s="665"/>
      <c r="G2207" s="663">
        <v>20</v>
      </c>
      <c r="H2207" s="662" t="s">
        <v>807</v>
      </c>
      <c r="I2207" s="666" t="s">
        <v>859</v>
      </c>
      <c r="J2207" s="667" t="s">
        <v>802</v>
      </c>
      <c r="K2207" s="662">
        <v>11</v>
      </c>
      <c r="L2207" s="685">
        <f t="shared" si="65"/>
        <v>18.8</v>
      </c>
      <c r="M2207" s="686">
        <f t="shared" si="64"/>
        <v>206.8</v>
      </c>
    </row>
    <row r="2208" spans="2:13" s="645" customFormat="1" ht="21.75" customHeight="1">
      <c r="B2208" s="661">
        <v>44435</v>
      </c>
      <c r="C2208" s="662" t="s">
        <v>819</v>
      </c>
      <c r="D2208" s="663" t="s">
        <v>840</v>
      </c>
      <c r="E2208" s="664" t="s">
        <v>831</v>
      </c>
      <c r="F2208" s="665"/>
      <c r="G2208" s="663">
        <v>20</v>
      </c>
      <c r="H2208" s="662" t="s">
        <v>807</v>
      </c>
      <c r="I2208" s="666" t="s">
        <v>859</v>
      </c>
      <c r="J2208" s="667" t="s">
        <v>802</v>
      </c>
      <c r="K2208" s="662">
        <v>10</v>
      </c>
      <c r="L2208" s="685">
        <f t="shared" si="65"/>
        <v>18.8</v>
      </c>
      <c r="M2208" s="686">
        <f t="shared" si="64"/>
        <v>188</v>
      </c>
    </row>
    <row r="2209" spans="2:13" s="645" customFormat="1" ht="21.75" customHeight="1">
      <c r="B2209" s="661">
        <v>44435</v>
      </c>
      <c r="C2209" s="662" t="s">
        <v>819</v>
      </c>
      <c r="D2209" s="663" t="s">
        <v>835</v>
      </c>
      <c r="E2209" s="664" t="s">
        <v>831</v>
      </c>
      <c r="F2209" s="665"/>
      <c r="G2209" s="663">
        <v>20</v>
      </c>
      <c r="H2209" s="662" t="s">
        <v>807</v>
      </c>
      <c r="I2209" s="666" t="s">
        <v>859</v>
      </c>
      <c r="J2209" s="667" t="s">
        <v>802</v>
      </c>
      <c r="K2209" s="662">
        <v>2</v>
      </c>
      <c r="L2209" s="685">
        <f t="shared" si="65"/>
        <v>18.8</v>
      </c>
      <c r="M2209" s="686">
        <f t="shared" si="64"/>
        <v>37.6</v>
      </c>
    </row>
    <row r="2210" spans="2:13" s="645" customFormat="1" ht="21.75" customHeight="1">
      <c r="B2210" s="661">
        <v>44435</v>
      </c>
      <c r="C2210" s="662" t="s">
        <v>819</v>
      </c>
      <c r="D2210" s="663" t="s">
        <v>841</v>
      </c>
      <c r="E2210" s="664" t="s">
        <v>831</v>
      </c>
      <c r="F2210" s="665"/>
      <c r="G2210" s="663">
        <v>20</v>
      </c>
      <c r="H2210" s="662" t="s">
        <v>807</v>
      </c>
      <c r="I2210" s="666" t="s">
        <v>859</v>
      </c>
      <c r="J2210" s="667" t="s">
        <v>802</v>
      </c>
      <c r="K2210" s="662">
        <v>5</v>
      </c>
      <c r="L2210" s="685">
        <f t="shared" si="65"/>
        <v>18.8</v>
      </c>
      <c r="M2210" s="686">
        <f t="shared" si="64"/>
        <v>94</v>
      </c>
    </row>
    <row r="2211" spans="2:13" s="645" customFormat="1" ht="21.75" customHeight="1">
      <c r="B2211" s="661">
        <v>44435</v>
      </c>
      <c r="C2211" s="662" t="s">
        <v>819</v>
      </c>
      <c r="D2211" s="663" t="s">
        <v>834</v>
      </c>
      <c r="E2211" s="664" t="s">
        <v>831</v>
      </c>
      <c r="F2211" s="665"/>
      <c r="G2211" s="663">
        <v>20</v>
      </c>
      <c r="H2211" s="662" t="s">
        <v>807</v>
      </c>
      <c r="I2211" s="666" t="s">
        <v>859</v>
      </c>
      <c r="J2211" s="667" t="s">
        <v>802</v>
      </c>
      <c r="K2211" s="662">
        <v>5</v>
      </c>
      <c r="L2211" s="685">
        <f t="shared" si="65"/>
        <v>18.8</v>
      </c>
      <c r="M2211" s="686">
        <f t="shared" si="64"/>
        <v>94</v>
      </c>
    </row>
    <row r="2212" spans="2:13" s="645" customFormat="1" ht="21.75" customHeight="1">
      <c r="B2212" s="661">
        <v>44435</v>
      </c>
      <c r="C2212" s="662" t="s">
        <v>819</v>
      </c>
      <c r="D2212" s="663" t="s">
        <v>834</v>
      </c>
      <c r="E2212" s="664" t="s">
        <v>831</v>
      </c>
      <c r="F2212" s="665"/>
      <c r="G2212" s="663">
        <v>20</v>
      </c>
      <c r="H2212" s="662" t="s">
        <v>807</v>
      </c>
      <c r="I2212" s="666" t="s">
        <v>863</v>
      </c>
      <c r="J2212" s="667" t="s">
        <v>802</v>
      </c>
      <c r="K2212" s="662">
        <v>6</v>
      </c>
      <c r="L2212" s="685">
        <f t="shared" si="65"/>
        <v>18.8</v>
      </c>
      <c r="M2212" s="686">
        <f t="shared" si="64"/>
        <v>112.80000000000001</v>
      </c>
    </row>
    <row r="2213" spans="2:13" s="645" customFormat="1" ht="21.75" customHeight="1">
      <c r="B2213" s="661">
        <v>44435</v>
      </c>
      <c r="C2213" s="662" t="s">
        <v>819</v>
      </c>
      <c r="D2213" s="663" t="s">
        <v>848</v>
      </c>
      <c r="E2213" s="664" t="s">
        <v>831</v>
      </c>
      <c r="F2213" s="665"/>
      <c r="G2213" s="663">
        <v>20</v>
      </c>
      <c r="H2213" s="662" t="s">
        <v>807</v>
      </c>
      <c r="I2213" s="666" t="s">
        <v>859</v>
      </c>
      <c r="J2213" s="667" t="s">
        <v>802</v>
      </c>
      <c r="K2213" s="662">
        <v>5</v>
      </c>
      <c r="L2213" s="685">
        <f t="shared" si="65"/>
        <v>18.8</v>
      </c>
      <c r="M2213" s="686">
        <f t="shared" si="64"/>
        <v>94</v>
      </c>
    </row>
    <row r="2214" spans="2:13" s="645" customFormat="1" ht="21.75" customHeight="1">
      <c r="B2214" s="661">
        <v>44435</v>
      </c>
      <c r="C2214" s="662" t="s">
        <v>819</v>
      </c>
      <c r="D2214" s="663" t="s">
        <v>848</v>
      </c>
      <c r="E2214" s="664" t="s">
        <v>831</v>
      </c>
      <c r="F2214" s="665"/>
      <c r="G2214" s="663">
        <v>20</v>
      </c>
      <c r="H2214" s="662" t="s">
        <v>807</v>
      </c>
      <c r="I2214" s="666" t="s">
        <v>863</v>
      </c>
      <c r="J2214" s="667" t="s">
        <v>802</v>
      </c>
      <c r="K2214" s="662">
        <v>6</v>
      </c>
      <c r="L2214" s="685">
        <f t="shared" si="65"/>
        <v>18.8</v>
      </c>
      <c r="M2214" s="686">
        <f t="shared" si="64"/>
        <v>112.80000000000001</v>
      </c>
    </row>
    <row r="2215" spans="2:13" s="645" customFormat="1" ht="21.75" customHeight="1">
      <c r="B2215" s="661">
        <v>44435</v>
      </c>
      <c r="C2215" s="662" t="s">
        <v>819</v>
      </c>
      <c r="D2215" s="663" t="s">
        <v>836</v>
      </c>
      <c r="E2215" s="664" t="s">
        <v>831</v>
      </c>
      <c r="F2215" s="665"/>
      <c r="G2215" s="663">
        <v>20</v>
      </c>
      <c r="H2215" s="662" t="s">
        <v>807</v>
      </c>
      <c r="I2215" s="666" t="s">
        <v>859</v>
      </c>
      <c r="J2215" s="667" t="s">
        <v>802</v>
      </c>
      <c r="K2215" s="662">
        <v>9</v>
      </c>
      <c r="L2215" s="685">
        <f t="shared" si="65"/>
        <v>18.8</v>
      </c>
      <c r="M2215" s="686">
        <f t="shared" ref="M2215:M2278" si="66">L2215*K2215</f>
        <v>169.20000000000002</v>
      </c>
    </row>
    <row r="2216" spans="2:13" s="645" customFormat="1" ht="21.75" customHeight="1">
      <c r="B2216" s="661">
        <v>44435</v>
      </c>
      <c r="C2216" s="662" t="s">
        <v>819</v>
      </c>
      <c r="D2216" s="663" t="s">
        <v>855</v>
      </c>
      <c r="E2216" s="664" t="s">
        <v>831</v>
      </c>
      <c r="F2216" s="665"/>
      <c r="G2216" s="663">
        <v>20</v>
      </c>
      <c r="H2216" s="662" t="s">
        <v>807</v>
      </c>
      <c r="I2216" s="666" t="s">
        <v>859</v>
      </c>
      <c r="J2216" s="667" t="s">
        <v>802</v>
      </c>
      <c r="K2216" s="662">
        <v>2</v>
      </c>
      <c r="L2216" s="685">
        <f t="shared" si="65"/>
        <v>18.8</v>
      </c>
      <c r="M2216" s="686">
        <f t="shared" si="66"/>
        <v>37.6</v>
      </c>
    </row>
    <row r="2217" spans="2:13" s="645" customFormat="1" ht="21.75" customHeight="1">
      <c r="B2217" s="661">
        <v>44435</v>
      </c>
      <c r="C2217" s="662" t="s">
        <v>819</v>
      </c>
      <c r="D2217" s="663" t="s">
        <v>855</v>
      </c>
      <c r="E2217" s="664" t="s">
        <v>831</v>
      </c>
      <c r="F2217" s="665"/>
      <c r="G2217" s="663">
        <v>20</v>
      </c>
      <c r="H2217" s="662" t="s">
        <v>807</v>
      </c>
      <c r="I2217" s="666" t="s">
        <v>863</v>
      </c>
      <c r="J2217" s="667" t="s">
        <v>802</v>
      </c>
      <c r="K2217" s="662">
        <v>6</v>
      </c>
      <c r="L2217" s="685">
        <f t="shared" si="65"/>
        <v>18.8</v>
      </c>
      <c r="M2217" s="686">
        <f t="shared" si="66"/>
        <v>112.80000000000001</v>
      </c>
    </row>
    <row r="2218" spans="2:13" s="645" customFormat="1" ht="21.75" customHeight="1">
      <c r="B2218" s="661">
        <v>44435</v>
      </c>
      <c r="C2218" s="662" t="s">
        <v>819</v>
      </c>
      <c r="D2218" s="663" t="s">
        <v>855</v>
      </c>
      <c r="E2218" s="664" t="s">
        <v>831</v>
      </c>
      <c r="F2218" s="665"/>
      <c r="G2218" s="663">
        <v>20</v>
      </c>
      <c r="H2218" s="662" t="s">
        <v>807</v>
      </c>
      <c r="I2218" s="666" t="s">
        <v>859</v>
      </c>
      <c r="J2218" s="667" t="s">
        <v>802</v>
      </c>
      <c r="K2218" s="662">
        <v>3</v>
      </c>
      <c r="L2218" s="685">
        <f t="shared" si="65"/>
        <v>18.8</v>
      </c>
      <c r="M2218" s="686">
        <f t="shared" si="66"/>
        <v>56.400000000000006</v>
      </c>
    </row>
    <row r="2219" spans="2:13" s="645" customFormat="1" ht="21.75" customHeight="1">
      <c r="B2219" s="661">
        <v>44435</v>
      </c>
      <c r="C2219" s="662" t="s">
        <v>819</v>
      </c>
      <c r="D2219" s="663" t="s">
        <v>867</v>
      </c>
      <c r="E2219" s="664" t="s">
        <v>831</v>
      </c>
      <c r="F2219" s="665"/>
      <c r="G2219" s="663">
        <v>20</v>
      </c>
      <c r="H2219" s="662" t="s">
        <v>807</v>
      </c>
      <c r="I2219" s="666" t="s">
        <v>859</v>
      </c>
      <c r="J2219" s="667" t="s">
        <v>802</v>
      </c>
      <c r="K2219" s="662">
        <v>6</v>
      </c>
      <c r="L2219" s="685">
        <f t="shared" si="65"/>
        <v>18.8</v>
      </c>
      <c r="M2219" s="686">
        <f t="shared" si="66"/>
        <v>112.80000000000001</v>
      </c>
    </row>
    <row r="2220" spans="2:13" s="645" customFormat="1" ht="21.75" customHeight="1">
      <c r="B2220" s="661">
        <v>44435</v>
      </c>
      <c r="C2220" s="662" t="s">
        <v>819</v>
      </c>
      <c r="D2220" s="663" t="s">
        <v>867</v>
      </c>
      <c r="E2220" s="664" t="s">
        <v>831</v>
      </c>
      <c r="F2220" s="665"/>
      <c r="G2220" s="663">
        <v>20</v>
      </c>
      <c r="H2220" s="662" t="s">
        <v>807</v>
      </c>
      <c r="I2220" s="666" t="s">
        <v>863</v>
      </c>
      <c r="J2220" s="667" t="s">
        <v>802</v>
      </c>
      <c r="K2220" s="662">
        <v>2</v>
      </c>
      <c r="L2220" s="685">
        <f t="shared" si="65"/>
        <v>18.8</v>
      </c>
      <c r="M2220" s="686">
        <f t="shared" si="66"/>
        <v>37.6</v>
      </c>
    </row>
    <row r="2221" spans="2:13" s="645" customFormat="1" ht="21.75" customHeight="1">
      <c r="B2221" s="661">
        <v>44435</v>
      </c>
      <c r="C2221" s="662" t="s">
        <v>819</v>
      </c>
      <c r="D2221" s="663" t="s">
        <v>868</v>
      </c>
      <c r="E2221" s="664" t="s">
        <v>831</v>
      </c>
      <c r="F2221" s="665"/>
      <c r="G2221" s="663">
        <v>20</v>
      </c>
      <c r="H2221" s="662" t="s">
        <v>807</v>
      </c>
      <c r="I2221" s="666" t="s">
        <v>859</v>
      </c>
      <c r="J2221" s="667" t="s">
        <v>802</v>
      </c>
      <c r="K2221" s="662">
        <v>8</v>
      </c>
      <c r="L2221" s="685">
        <f t="shared" si="65"/>
        <v>18.8</v>
      </c>
      <c r="M2221" s="686">
        <f t="shared" si="66"/>
        <v>150.4</v>
      </c>
    </row>
    <row r="2222" spans="2:13" s="645" customFormat="1" ht="21.75" customHeight="1">
      <c r="B2222" s="661">
        <v>44435</v>
      </c>
      <c r="C2222" s="662" t="s">
        <v>819</v>
      </c>
      <c r="D2222" s="663" t="s">
        <v>869</v>
      </c>
      <c r="E2222" s="664" t="s">
        <v>831</v>
      </c>
      <c r="F2222" s="665"/>
      <c r="G2222" s="663">
        <v>20</v>
      </c>
      <c r="H2222" s="662" t="s">
        <v>807</v>
      </c>
      <c r="I2222" s="666" t="s">
        <v>859</v>
      </c>
      <c r="J2222" s="667" t="s">
        <v>802</v>
      </c>
      <c r="K2222" s="662">
        <v>6</v>
      </c>
      <c r="L2222" s="685">
        <f t="shared" si="65"/>
        <v>18.8</v>
      </c>
      <c r="M2222" s="686">
        <f t="shared" si="66"/>
        <v>112.80000000000001</v>
      </c>
    </row>
    <row r="2223" spans="2:13" s="645" customFormat="1" ht="21.75" customHeight="1">
      <c r="B2223" s="661">
        <v>44435</v>
      </c>
      <c r="C2223" s="662" t="s">
        <v>837</v>
      </c>
      <c r="D2223" s="663" t="s">
        <v>849</v>
      </c>
      <c r="E2223" s="664" t="s">
        <v>831</v>
      </c>
      <c r="F2223" s="665"/>
      <c r="G2223" s="663">
        <v>20</v>
      </c>
      <c r="H2223" s="662" t="s">
        <v>807</v>
      </c>
      <c r="I2223" s="666" t="s">
        <v>859</v>
      </c>
      <c r="J2223" s="667" t="s">
        <v>802</v>
      </c>
      <c r="K2223" s="662">
        <v>4</v>
      </c>
      <c r="L2223" s="685">
        <f t="shared" si="65"/>
        <v>18.8</v>
      </c>
      <c r="M2223" s="686">
        <f t="shared" si="66"/>
        <v>75.2</v>
      </c>
    </row>
    <row r="2224" spans="2:13" s="645" customFormat="1" ht="21.75" customHeight="1">
      <c r="B2224" s="661">
        <v>44435</v>
      </c>
      <c r="C2224" s="662" t="s">
        <v>837</v>
      </c>
      <c r="D2224" s="663" t="s">
        <v>840</v>
      </c>
      <c r="E2224" s="664" t="s">
        <v>831</v>
      </c>
      <c r="F2224" s="665"/>
      <c r="G2224" s="663">
        <v>20</v>
      </c>
      <c r="H2224" s="662" t="s">
        <v>807</v>
      </c>
      <c r="I2224" s="666" t="s">
        <v>859</v>
      </c>
      <c r="J2224" s="667" t="s">
        <v>802</v>
      </c>
      <c r="K2224" s="662">
        <v>5</v>
      </c>
      <c r="L2224" s="685">
        <f t="shared" si="65"/>
        <v>18.8</v>
      </c>
      <c r="M2224" s="686">
        <f t="shared" si="66"/>
        <v>94</v>
      </c>
    </row>
    <row r="2225" spans="2:13" s="645" customFormat="1" ht="21.75" customHeight="1">
      <c r="B2225" s="661">
        <v>44435</v>
      </c>
      <c r="C2225" s="662" t="s">
        <v>837</v>
      </c>
      <c r="D2225" s="663" t="s">
        <v>835</v>
      </c>
      <c r="E2225" s="664" t="s">
        <v>831</v>
      </c>
      <c r="F2225" s="665"/>
      <c r="G2225" s="663">
        <v>20</v>
      </c>
      <c r="H2225" s="662" t="s">
        <v>807</v>
      </c>
      <c r="I2225" s="666" t="s">
        <v>859</v>
      </c>
      <c r="J2225" s="667" t="s">
        <v>802</v>
      </c>
      <c r="K2225" s="662">
        <v>1</v>
      </c>
      <c r="L2225" s="685">
        <f t="shared" si="65"/>
        <v>18.8</v>
      </c>
      <c r="M2225" s="686">
        <f t="shared" si="66"/>
        <v>18.8</v>
      </c>
    </row>
    <row r="2226" spans="2:13" s="645" customFormat="1" ht="21.75" customHeight="1">
      <c r="B2226" s="661">
        <v>44435</v>
      </c>
      <c r="C2226" s="662" t="s">
        <v>837</v>
      </c>
      <c r="D2226" s="663" t="s">
        <v>841</v>
      </c>
      <c r="E2226" s="664" t="s">
        <v>831</v>
      </c>
      <c r="F2226" s="665"/>
      <c r="G2226" s="663">
        <v>20</v>
      </c>
      <c r="H2226" s="662" t="s">
        <v>807</v>
      </c>
      <c r="I2226" s="666" t="s">
        <v>859</v>
      </c>
      <c r="J2226" s="667" t="s">
        <v>802</v>
      </c>
      <c r="K2226" s="662">
        <v>6</v>
      </c>
      <c r="L2226" s="685">
        <f t="shared" si="65"/>
        <v>18.8</v>
      </c>
      <c r="M2226" s="686">
        <f t="shared" si="66"/>
        <v>112.80000000000001</v>
      </c>
    </row>
    <row r="2227" spans="2:13" s="645" customFormat="1" ht="21.75" customHeight="1">
      <c r="B2227" s="661">
        <v>44435</v>
      </c>
      <c r="C2227" s="662" t="s">
        <v>837</v>
      </c>
      <c r="D2227" s="663" t="s">
        <v>848</v>
      </c>
      <c r="E2227" s="664" t="s">
        <v>831</v>
      </c>
      <c r="F2227" s="665"/>
      <c r="G2227" s="663">
        <v>20</v>
      </c>
      <c r="H2227" s="662" t="s">
        <v>807</v>
      </c>
      <c r="I2227" s="666" t="s">
        <v>859</v>
      </c>
      <c r="J2227" s="667" t="s">
        <v>802</v>
      </c>
      <c r="K2227" s="662">
        <v>6</v>
      </c>
      <c r="L2227" s="685">
        <f t="shared" si="65"/>
        <v>18.8</v>
      </c>
      <c r="M2227" s="686">
        <f t="shared" si="66"/>
        <v>112.80000000000001</v>
      </c>
    </row>
    <row r="2228" spans="2:13" s="645" customFormat="1" ht="21.75" customHeight="1">
      <c r="B2228" s="661">
        <v>44435</v>
      </c>
      <c r="C2228" s="662" t="s">
        <v>837</v>
      </c>
      <c r="D2228" s="663" t="s">
        <v>845</v>
      </c>
      <c r="E2228" s="664" t="s">
        <v>831</v>
      </c>
      <c r="F2228" s="665"/>
      <c r="G2228" s="663">
        <v>17</v>
      </c>
      <c r="H2228" s="662" t="s">
        <v>807</v>
      </c>
      <c r="I2228" s="666" t="s">
        <v>859</v>
      </c>
      <c r="J2228" s="667" t="s">
        <v>802</v>
      </c>
      <c r="K2228" s="662">
        <v>3</v>
      </c>
      <c r="L2228" s="685">
        <f t="shared" si="65"/>
        <v>15.98</v>
      </c>
      <c r="M2228" s="686">
        <f t="shared" si="66"/>
        <v>47.94</v>
      </c>
    </row>
    <row r="2229" spans="2:13" s="645" customFormat="1" ht="21.75" customHeight="1">
      <c r="B2229" s="661">
        <v>44435</v>
      </c>
      <c r="C2229" s="662" t="s">
        <v>837</v>
      </c>
      <c r="D2229" s="663" t="s">
        <v>847</v>
      </c>
      <c r="E2229" s="664" t="s">
        <v>831</v>
      </c>
      <c r="F2229" s="665"/>
      <c r="G2229" s="663">
        <v>17</v>
      </c>
      <c r="H2229" s="662" t="s">
        <v>807</v>
      </c>
      <c r="I2229" s="666" t="s">
        <v>859</v>
      </c>
      <c r="J2229" s="667" t="s">
        <v>802</v>
      </c>
      <c r="K2229" s="662">
        <v>2</v>
      </c>
      <c r="L2229" s="685">
        <f t="shared" si="65"/>
        <v>15.98</v>
      </c>
      <c r="M2229" s="686">
        <f t="shared" si="66"/>
        <v>31.96</v>
      </c>
    </row>
    <row r="2230" spans="2:13" s="645" customFormat="1" ht="21.75" customHeight="1">
      <c r="B2230" s="661">
        <v>44435</v>
      </c>
      <c r="C2230" s="662" t="s">
        <v>837</v>
      </c>
      <c r="D2230" s="663" t="s">
        <v>856</v>
      </c>
      <c r="E2230" s="664" t="s">
        <v>831</v>
      </c>
      <c r="F2230" s="665"/>
      <c r="G2230" s="663">
        <v>20</v>
      </c>
      <c r="H2230" s="662" t="s">
        <v>807</v>
      </c>
      <c r="I2230" s="666" t="s">
        <v>859</v>
      </c>
      <c r="J2230" s="667" t="s">
        <v>802</v>
      </c>
      <c r="K2230" s="662">
        <v>4</v>
      </c>
      <c r="L2230" s="685">
        <f t="shared" si="65"/>
        <v>18.8</v>
      </c>
      <c r="M2230" s="686">
        <f t="shared" si="66"/>
        <v>75.2</v>
      </c>
    </row>
    <row r="2231" spans="2:13" s="645" customFormat="1" ht="21.75" customHeight="1">
      <c r="B2231" s="661">
        <v>44435</v>
      </c>
      <c r="C2231" s="662" t="s">
        <v>837</v>
      </c>
      <c r="D2231" s="663" t="s">
        <v>855</v>
      </c>
      <c r="E2231" s="664" t="s">
        <v>831</v>
      </c>
      <c r="F2231" s="665"/>
      <c r="G2231" s="663">
        <v>20</v>
      </c>
      <c r="H2231" s="662" t="s">
        <v>807</v>
      </c>
      <c r="I2231" s="666" t="s">
        <v>859</v>
      </c>
      <c r="J2231" s="667" t="s">
        <v>802</v>
      </c>
      <c r="K2231" s="662">
        <v>5</v>
      </c>
      <c r="L2231" s="685">
        <f t="shared" si="65"/>
        <v>18.8</v>
      </c>
      <c r="M2231" s="686">
        <f t="shared" si="66"/>
        <v>94</v>
      </c>
    </row>
    <row r="2232" spans="2:13" s="645" customFormat="1" ht="21.75" customHeight="1">
      <c r="B2232" s="661">
        <v>44436</v>
      </c>
      <c r="C2232" s="662" t="s">
        <v>866</v>
      </c>
      <c r="D2232" s="663" t="s">
        <v>849</v>
      </c>
      <c r="E2232" s="664" t="s">
        <v>831</v>
      </c>
      <c r="F2232" s="665"/>
      <c r="G2232" s="663">
        <v>20</v>
      </c>
      <c r="H2232" s="662" t="s">
        <v>807</v>
      </c>
      <c r="I2232" s="666" t="s">
        <v>859</v>
      </c>
      <c r="J2232" s="667" t="s">
        <v>805</v>
      </c>
      <c r="K2232" s="662">
        <v>12</v>
      </c>
      <c r="L2232" s="685">
        <f t="shared" si="65"/>
        <v>18.8</v>
      </c>
      <c r="M2232" s="686">
        <f t="shared" si="66"/>
        <v>225.60000000000002</v>
      </c>
    </row>
    <row r="2233" spans="2:13" s="645" customFormat="1" ht="21.75" customHeight="1">
      <c r="B2233" s="661">
        <v>44436</v>
      </c>
      <c r="C2233" s="662" t="s">
        <v>866</v>
      </c>
      <c r="D2233" s="663" t="s">
        <v>835</v>
      </c>
      <c r="E2233" s="664" t="s">
        <v>831</v>
      </c>
      <c r="F2233" s="665"/>
      <c r="G2233" s="663">
        <v>20</v>
      </c>
      <c r="H2233" s="662" t="s">
        <v>807</v>
      </c>
      <c r="I2233" s="666" t="s">
        <v>859</v>
      </c>
      <c r="J2233" s="667" t="s">
        <v>805</v>
      </c>
      <c r="K2233" s="662">
        <v>11</v>
      </c>
      <c r="L2233" s="685">
        <f t="shared" si="65"/>
        <v>18.8</v>
      </c>
      <c r="M2233" s="686">
        <f t="shared" si="66"/>
        <v>206.8</v>
      </c>
    </row>
    <row r="2234" spans="2:13" s="645" customFormat="1" ht="21.75" customHeight="1">
      <c r="B2234" s="661">
        <v>44436</v>
      </c>
      <c r="C2234" s="662" t="s">
        <v>866</v>
      </c>
      <c r="D2234" s="663" t="s">
        <v>841</v>
      </c>
      <c r="E2234" s="664" t="s">
        <v>831</v>
      </c>
      <c r="F2234" s="665"/>
      <c r="G2234" s="663">
        <v>20</v>
      </c>
      <c r="H2234" s="662" t="s">
        <v>807</v>
      </c>
      <c r="I2234" s="666" t="s">
        <v>859</v>
      </c>
      <c r="J2234" s="667" t="s">
        <v>805</v>
      </c>
      <c r="K2234" s="662">
        <v>9</v>
      </c>
      <c r="L2234" s="685">
        <f t="shared" si="65"/>
        <v>18.8</v>
      </c>
      <c r="M2234" s="686">
        <f t="shared" si="66"/>
        <v>169.20000000000002</v>
      </c>
    </row>
    <row r="2235" spans="2:13" s="645" customFormat="1" ht="21.75" customHeight="1">
      <c r="B2235" s="661">
        <v>44436</v>
      </c>
      <c r="C2235" s="662" t="s">
        <v>866</v>
      </c>
      <c r="D2235" s="663" t="s">
        <v>834</v>
      </c>
      <c r="E2235" s="664" t="s">
        <v>831</v>
      </c>
      <c r="F2235" s="665"/>
      <c r="G2235" s="663">
        <v>20</v>
      </c>
      <c r="H2235" s="662" t="s">
        <v>807</v>
      </c>
      <c r="I2235" s="666" t="s">
        <v>859</v>
      </c>
      <c r="J2235" s="667" t="s">
        <v>805</v>
      </c>
      <c r="K2235" s="662">
        <v>2</v>
      </c>
      <c r="L2235" s="685">
        <f t="shared" si="65"/>
        <v>18.8</v>
      </c>
      <c r="M2235" s="686">
        <f t="shared" si="66"/>
        <v>37.6</v>
      </c>
    </row>
    <row r="2236" spans="2:13" s="645" customFormat="1" ht="21.75" customHeight="1">
      <c r="B2236" s="661">
        <v>44436</v>
      </c>
      <c r="C2236" s="662" t="s">
        <v>866</v>
      </c>
      <c r="D2236" s="663" t="s">
        <v>848</v>
      </c>
      <c r="E2236" s="664" t="s">
        <v>831</v>
      </c>
      <c r="F2236" s="665"/>
      <c r="G2236" s="663">
        <v>20</v>
      </c>
      <c r="H2236" s="662" t="s">
        <v>807</v>
      </c>
      <c r="I2236" s="666" t="s">
        <v>859</v>
      </c>
      <c r="J2236" s="667" t="s">
        <v>805</v>
      </c>
      <c r="K2236" s="662">
        <v>8</v>
      </c>
      <c r="L2236" s="685">
        <f t="shared" si="65"/>
        <v>18.8</v>
      </c>
      <c r="M2236" s="686">
        <f t="shared" si="66"/>
        <v>150.4</v>
      </c>
    </row>
    <row r="2237" spans="2:13" s="645" customFormat="1" ht="21.75" customHeight="1">
      <c r="B2237" s="661">
        <v>44436</v>
      </c>
      <c r="C2237" s="662" t="s">
        <v>866</v>
      </c>
      <c r="D2237" s="663" t="s">
        <v>833</v>
      </c>
      <c r="E2237" s="664" t="s">
        <v>831</v>
      </c>
      <c r="F2237" s="665"/>
      <c r="G2237" s="663">
        <v>15</v>
      </c>
      <c r="H2237" s="662" t="s">
        <v>807</v>
      </c>
      <c r="I2237" s="666" t="s">
        <v>859</v>
      </c>
      <c r="J2237" s="667" t="s">
        <v>805</v>
      </c>
      <c r="K2237" s="662">
        <v>1</v>
      </c>
      <c r="L2237" s="685">
        <f t="shared" si="65"/>
        <v>14.1</v>
      </c>
      <c r="M2237" s="686">
        <f t="shared" si="66"/>
        <v>14.1</v>
      </c>
    </row>
    <row r="2238" spans="2:13" s="645" customFormat="1" ht="21.75" customHeight="1">
      <c r="B2238" s="661">
        <v>44436</v>
      </c>
      <c r="C2238" s="662" t="s">
        <v>866</v>
      </c>
      <c r="D2238" s="663" t="s">
        <v>856</v>
      </c>
      <c r="E2238" s="664" t="s">
        <v>831</v>
      </c>
      <c r="F2238" s="665"/>
      <c r="G2238" s="663">
        <v>20</v>
      </c>
      <c r="H2238" s="662" t="s">
        <v>807</v>
      </c>
      <c r="I2238" s="666" t="s">
        <v>859</v>
      </c>
      <c r="J2238" s="667" t="s">
        <v>805</v>
      </c>
      <c r="K2238" s="662">
        <v>10</v>
      </c>
      <c r="L2238" s="685">
        <f t="shared" si="65"/>
        <v>18.8</v>
      </c>
      <c r="M2238" s="686">
        <f t="shared" si="66"/>
        <v>188</v>
      </c>
    </row>
    <row r="2239" spans="2:13" s="645" customFormat="1" ht="21.75" customHeight="1">
      <c r="B2239" s="661">
        <v>44436</v>
      </c>
      <c r="C2239" s="662" t="s">
        <v>866</v>
      </c>
      <c r="D2239" s="663" t="s">
        <v>855</v>
      </c>
      <c r="E2239" s="664" t="s">
        <v>831</v>
      </c>
      <c r="F2239" s="665"/>
      <c r="G2239" s="663">
        <v>20</v>
      </c>
      <c r="H2239" s="662" t="s">
        <v>807</v>
      </c>
      <c r="I2239" s="666" t="s">
        <v>859</v>
      </c>
      <c r="J2239" s="667" t="s">
        <v>805</v>
      </c>
      <c r="K2239" s="662">
        <v>9</v>
      </c>
      <c r="L2239" s="685">
        <f t="shared" si="65"/>
        <v>18.8</v>
      </c>
      <c r="M2239" s="686">
        <f t="shared" si="66"/>
        <v>169.20000000000002</v>
      </c>
    </row>
    <row r="2240" spans="2:13" s="645" customFormat="1" ht="21.75" customHeight="1">
      <c r="B2240" s="661">
        <v>44436</v>
      </c>
      <c r="C2240" s="662" t="s">
        <v>866</v>
      </c>
      <c r="D2240" s="663" t="s">
        <v>867</v>
      </c>
      <c r="E2240" s="664" t="s">
        <v>831</v>
      </c>
      <c r="F2240" s="665"/>
      <c r="G2240" s="663">
        <v>20</v>
      </c>
      <c r="H2240" s="662" t="s">
        <v>807</v>
      </c>
      <c r="I2240" s="666" t="s">
        <v>859</v>
      </c>
      <c r="J2240" s="667" t="s">
        <v>805</v>
      </c>
      <c r="K2240" s="662">
        <v>10</v>
      </c>
      <c r="L2240" s="685">
        <f t="shared" si="65"/>
        <v>18.8</v>
      </c>
      <c r="M2240" s="686">
        <f t="shared" si="66"/>
        <v>188</v>
      </c>
    </row>
    <row r="2241" spans="2:13" s="645" customFormat="1" ht="21.75" customHeight="1">
      <c r="B2241" s="661">
        <v>44436</v>
      </c>
      <c r="C2241" s="662" t="s">
        <v>866</v>
      </c>
      <c r="D2241" s="663" t="s">
        <v>868</v>
      </c>
      <c r="E2241" s="664" t="s">
        <v>831</v>
      </c>
      <c r="F2241" s="665"/>
      <c r="G2241" s="663">
        <v>20</v>
      </c>
      <c r="H2241" s="662" t="s">
        <v>807</v>
      </c>
      <c r="I2241" s="666" t="s">
        <v>859</v>
      </c>
      <c r="J2241" s="667" t="s">
        <v>805</v>
      </c>
      <c r="K2241" s="662">
        <v>9</v>
      </c>
      <c r="L2241" s="685">
        <f t="shared" si="65"/>
        <v>18.8</v>
      </c>
      <c r="M2241" s="686">
        <f t="shared" si="66"/>
        <v>169.20000000000002</v>
      </c>
    </row>
    <row r="2242" spans="2:13" s="645" customFormat="1" ht="21.75" customHeight="1">
      <c r="B2242" s="661">
        <v>44436</v>
      </c>
      <c r="C2242" s="662" t="s">
        <v>866</v>
      </c>
      <c r="D2242" s="663" t="s">
        <v>869</v>
      </c>
      <c r="E2242" s="664" t="s">
        <v>831</v>
      </c>
      <c r="F2242" s="665"/>
      <c r="G2242" s="663">
        <v>20</v>
      </c>
      <c r="H2242" s="662" t="s">
        <v>807</v>
      </c>
      <c r="I2242" s="666" t="s">
        <v>859</v>
      </c>
      <c r="J2242" s="667" t="s">
        <v>805</v>
      </c>
      <c r="K2242" s="662">
        <v>12</v>
      </c>
      <c r="L2242" s="685">
        <f t="shared" si="65"/>
        <v>18.8</v>
      </c>
      <c r="M2242" s="686">
        <f t="shared" si="66"/>
        <v>225.60000000000002</v>
      </c>
    </row>
    <row r="2243" spans="2:13" s="645" customFormat="1" ht="21.75" customHeight="1">
      <c r="B2243" s="661">
        <v>44437</v>
      </c>
      <c r="C2243" s="662" t="s">
        <v>866</v>
      </c>
      <c r="D2243" s="663" t="s">
        <v>849</v>
      </c>
      <c r="E2243" s="664" t="s">
        <v>831</v>
      </c>
      <c r="F2243" s="665"/>
      <c r="G2243" s="663">
        <v>20</v>
      </c>
      <c r="H2243" s="662" t="s">
        <v>807</v>
      </c>
      <c r="I2243" s="666" t="s">
        <v>859</v>
      </c>
      <c r="J2243" s="667" t="s">
        <v>805</v>
      </c>
      <c r="K2243" s="662">
        <v>6</v>
      </c>
      <c r="L2243" s="685">
        <f t="shared" si="65"/>
        <v>18.8</v>
      </c>
      <c r="M2243" s="686">
        <f t="shared" si="66"/>
        <v>112.80000000000001</v>
      </c>
    </row>
    <row r="2244" spans="2:13" s="645" customFormat="1" ht="21.75" customHeight="1">
      <c r="B2244" s="661">
        <v>44437</v>
      </c>
      <c r="C2244" s="662" t="s">
        <v>866</v>
      </c>
      <c r="D2244" s="663" t="s">
        <v>849</v>
      </c>
      <c r="E2244" s="664" t="s">
        <v>831</v>
      </c>
      <c r="F2244" s="665"/>
      <c r="G2244" s="663">
        <v>20</v>
      </c>
      <c r="H2244" s="662" t="s">
        <v>807</v>
      </c>
      <c r="I2244" s="666" t="s">
        <v>863</v>
      </c>
      <c r="J2244" s="667" t="s">
        <v>805</v>
      </c>
      <c r="K2244" s="662">
        <v>2</v>
      </c>
      <c r="L2244" s="685">
        <f t="shared" si="65"/>
        <v>18.8</v>
      </c>
      <c r="M2244" s="686">
        <f t="shared" si="66"/>
        <v>37.6</v>
      </c>
    </row>
    <row r="2245" spans="2:13" s="645" customFormat="1" ht="21.75" customHeight="1">
      <c r="B2245" s="661">
        <v>44437</v>
      </c>
      <c r="C2245" s="662" t="s">
        <v>866</v>
      </c>
      <c r="D2245" s="663" t="s">
        <v>840</v>
      </c>
      <c r="E2245" s="664" t="s">
        <v>831</v>
      </c>
      <c r="F2245" s="665"/>
      <c r="G2245" s="663">
        <v>20</v>
      </c>
      <c r="H2245" s="662" t="s">
        <v>807</v>
      </c>
      <c r="I2245" s="666" t="s">
        <v>859</v>
      </c>
      <c r="J2245" s="667" t="s">
        <v>805</v>
      </c>
      <c r="K2245" s="662">
        <v>9</v>
      </c>
      <c r="L2245" s="685">
        <f t="shared" si="65"/>
        <v>18.8</v>
      </c>
      <c r="M2245" s="686">
        <f t="shared" si="66"/>
        <v>169.20000000000002</v>
      </c>
    </row>
    <row r="2246" spans="2:13" s="645" customFormat="1" ht="21.75" customHeight="1">
      <c r="B2246" s="661">
        <v>44437</v>
      </c>
      <c r="C2246" s="662" t="s">
        <v>866</v>
      </c>
      <c r="D2246" s="663" t="s">
        <v>835</v>
      </c>
      <c r="E2246" s="664" t="s">
        <v>831</v>
      </c>
      <c r="F2246" s="665"/>
      <c r="G2246" s="663">
        <v>20</v>
      </c>
      <c r="H2246" s="662" t="s">
        <v>807</v>
      </c>
      <c r="I2246" s="666" t="s">
        <v>859</v>
      </c>
      <c r="J2246" s="667" t="s">
        <v>805</v>
      </c>
      <c r="K2246" s="662">
        <v>6</v>
      </c>
      <c r="L2246" s="685">
        <f t="shared" si="65"/>
        <v>18.8</v>
      </c>
      <c r="M2246" s="686">
        <f t="shared" si="66"/>
        <v>112.80000000000001</v>
      </c>
    </row>
    <row r="2247" spans="2:13" s="645" customFormat="1" ht="21.75" customHeight="1">
      <c r="B2247" s="661">
        <v>44437</v>
      </c>
      <c r="C2247" s="662" t="s">
        <v>866</v>
      </c>
      <c r="D2247" s="663" t="s">
        <v>835</v>
      </c>
      <c r="E2247" s="664" t="s">
        <v>831</v>
      </c>
      <c r="F2247" s="665"/>
      <c r="G2247" s="663">
        <v>20</v>
      </c>
      <c r="H2247" s="662" t="s">
        <v>807</v>
      </c>
      <c r="I2247" s="666" t="s">
        <v>863</v>
      </c>
      <c r="J2247" s="667" t="s">
        <v>805</v>
      </c>
      <c r="K2247" s="662">
        <v>2</v>
      </c>
      <c r="L2247" s="685">
        <f t="shared" si="65"/>
        <v>18.8</v>
      </c>
      <c r="M2247" s="686">
        <f t="shared" si="66"/>
        <v>37.6</v>
      </c>
    </row>
    <row r="2248" spans="2:13" s="645" customFormat="1" ht="21.75" customHeight="1">
      <c r="B2248" s="661">
        <v>44437</v>
      </c>
      <c r="C2248" s="662" t="s">
        <v>866</v>
      </c>
      <c r="D2248" s="663" t="s">
        <v>834</v>
      </c>
      <c r="E2248" s="664" t="s">
        <v>831</v>
      </c>
      <c r="F2248" s="665"/>
      <c r="G2248" s="663">
        <v>20</v>
      </c>
      <c r="H2248" s="662" t="s">
        <v>807</v>
      </c>
      <c r="I2248" s="666" t="s">
        <v>859</v>
      </c>
      <c r="J2248" s="667" t="s">
        <v>805</v>
      </c>
      <c r="K2248" s="662">
        <v>8</v>
      </c>
      <c r="L2248" s="685">
        <f t="shared" si="65"/>
        <v>18.8</v>
      </c>
      <c r="M2248" s="686">
        <f t="shared" si="66"/>
        <v>150.4</v>
      </c>
    </row>
    <row r="2249" spans="2:13" s="645" customFormat="1" ht="21.75" customHeight="1">
      <c r="B2249" s="661">
        <v>44437</v>
      </c>
      <c r="C2249" s="662" t="s">
        <v>866</v>
      </c>
      <c r="D2249" s="663" t="s">
        <v>836</v>
      </c>
      <c r="E2249" s="664" t="s">
        <v>831</v>
      </c>
      <c r="F2249" s="665"/>
      <c r="G2249" s="663">
        <v>20</v>
      </c>
      <c r="H2249" s="662" t="s">
        <v>807</v>
      </c>
      <c r="I2249" s="666" t="s">
        <v>859</v>
      </c>
      <c r="J2249" s="667" t="s">
        <v>805</v>
      </c>
      <c r="K2249" s="662">
        <v>10</v>
      </c>
      <c r="L2249" s="685">
        <f t="shared" ref="L2249:L2312" si="67">VLOOKUP(G2249,$Q$4:$V$7,6,FALSE)</f>
        <v>18.8</v>
      </c>
      <c r="M2249" s="686">
        <f t="shared" si="66"/>
        <v>188</v>
      </c>
    </row>
    <row r="2250" spans="2:13" s="645" customFormat="1" ht="21.75" customHeight="1">
      <c r="B2250" s="661">
        <v>44437</v>
      </c>
      <c r="C2250" s="662" t="s">
        <v>866</v>
      </c>
      <c r="D2250" s="663" t="s">
        <v>833</v>
      </c>
      <c r="E2250" s="664" t="s">
        <v>831</v>
      </c>
      <c r="F2250" s="665"/>
      <c r="G2250" s="663">
        <v>15</v>
      </c>
      <c r="H2250" s="662" t="s">
        <v>807</v>
      </c>
      <c r="I2250" s="666" t="s">
        <v>859</v>
      </c>
      <c r="J2250" s="667" t="s">
        <v>805</v>
      </c>
      <c r="K2250" s="662">
        <v>4</v>
      </c>
      <c r="L2250" s="685">
        <f t="shared" si="67"/>
        <v>14.1</v>
      </c>
      <c r="M2250" s="686">
        <f t="shared" si="66"/>
        <v>56.4</v>
      </c>
    </row>
    <row r="2251" spans="2:13" s="645" customFormat="1" ht="21.75" customHeight="1">
      <c r="B2251" s="661">
        <v>44437</v>
      </c>
      <c r="C2251" s="662" t="s">
        <v>866</v>
      </c>
      <c r="D2251" s="663" t="s">
        <v>830</v>
      </c>
      <c r="E2251" s="664" t="s">
        <v>831</v>
      </c>
      <c r="F2251" s="665"/>
      <c r="G2251" s="663">
        <v>15</v>
      </c>
      <c r="H2251" s="662" t="s">
        <v>807</v>
      </c>
      <c r="I2251" s="666" t="s">
        <v>859</v>
      </c>
      <c r="J2251" s="667" t="s">
        <v>805</v>
      </c>
      <c r="K2251" s="662">
        <v>5</v>
      </c>
      <c r="L2251" s="685">
        <f t="shared" si="67"/>
        <v>14.1</v>
      </c>
      <c r="M2251" s="686">
        <f t="shared" si="66"/>
        <v>70.5</v>
      </c>
    </row>
    <row r="2252" spans="2:13" s="645" customFormat="1" ht="21.75" customHeight="1">
      <c r="B2252" s="661">
        <v>44437</v>
      </c>
      <c r="C2252" s="662" t="s">
        <v>866</v>
      </c>
      <c r="D2252" s="663" t="s">
        <v>850</v>
      </c>
      <c r="E2252" s="664" t="s">
        <v>831</v>
      </c>
      <c r="F2252" s="665"/>
      <c r="G2252" s="663">
        <v>15</v>
      </c>
      <c r="H2252" s="662" t="s">
        <v>807</v>
      </c>
      <c r="I2252" s="666" t="s">
        <v>859</v>
      </c>
      <c r="J2252" s="667" t="s">
        <v>805</v>
      </c>
      <c r="K2252" s="662">
        <v>5</v>
      </c>
      <c r="L2252" s="685">
        <f t="shared" si="67"/>
        <v>14.1</v>
      </c>
      <c r="M2252" s="686">
        <f t="shared" si="66"/>
        <v>70.5</v>
      </c>
    </row>
    <row r="2253" spans="2:13" s="645" customFormat="1" ht="21.75" customHeight="1">
      <c r="B2253" s="661">
        <v>44437</v>
      </c>
      <c r="C2253" s="662" t="s">
        <v>866</v>
      </c>
      <c r="D2253" s="663" t="s">
        <v>850</v>
      </c>
      <c r="E2253" s="664" t="s">
        <v>831</v>
      </c>
      <c r="F2253" s="665"/>
      <c r="G2253" s="663">
        <v>15</v>
      </c>
      <c r="H2253" s="662" t="s">
        <v>807</v>
      </c>
      <c r="I2253" s="666" t="s">
        <v>863</v>
      </c>
      <c r="J2253" s="667" t="s">
        <v>805</v>
      </c>
      <c r="K2253" s="662">
        <v>3</v>
      </c>
      <c r="L2253" s="685">
        <f t="shared" si="67"/>
        <v>14.1</v>
      </c>
      <c r="M2253" s="686">
        <f t="shared" si="66"/>
        <v>42.3</v>
      </c>
    </row>
    <row r="2254" spans="2:13" s="645" customFormat="1" ht="21.75" customHeight="1">
      <c r="B2254" s="661">
        <v>44437</v>
      </c>
      <c r="C2254" s="662" t="s">
        <v>866</v>
      </c>
      <c r="D2254" s="663" t="s">
        <v>845</v>
      </c>
      <c r="E2254" s="664" t="s">
        <v>831</v>
      </c>
      <c r="F2254" s="665"/>
      <c r="G2254" s="663">
        <v>17</v>
      </c>
      <c r="H2254" s="662" t="s">
        <v>807</v>
      </c>
      <c r="I2254" s="666" t="s">
        <v>859</v>
      </c>
      <c r="J2254" s="667" t="s">
        <v>805</v>
      </c>
      <c r="K2254" s="662">
        <v>7</v>
      </c>
      <c r="L2254" s="685">
        <f t="shared" si="67"/>
        <v>15.98</v>
      </c>
      <c r="M2254" s="686">
        <f t="shared" si="66"/>
        <v>111.86</v>
      </c>
    </row>
    <row r="2255" spans="2:13" s="645" customFormat="1" ht="21.75" customHeight="1">
      <c r="B2255" s="661">
        <v>44437</v>
      </c>
      <c r="C2255" s="662" t="s">
        <v>866</v>
      </c>
      <c r="D2255" s="663" t="s">
        <v>856</v>
      </c>
      <c r="E2255" s="664" t="s">
        <v>831</v>
      </c>
      <c r="F2255" s="665"/>
      <c r="G2255" s="663">
        <v>20</v>
      </c>
      <c r="H2255" s="662" t="s">
        <v>807</v>
      </c>
      <c r="I2255" s="666" t="s">
        <v>859</v>
      </c>
      <c r="J2255" s="667" t="s">
        <v>805</v>
      </c>
      <c r="K2255" s="662">
        <v>7</v>
      </c>
      <c r="L2255" s="685">
        <f t="shared" si="67"/>
        <v>18.8</v>
      </c>
      <c r="M2255" s="686">
        <f t="shared" si="66"/>
        <v>131.6</v>
      </c>
    </row>
    <row r="2256" spans="2:13" s="645" customFormat="1" ht="21.75" customHeight="1">
      <c r="B2256" s="661">
        <v>44437</v>
      </c>
      <c r="C2256" s="662" t="s">
        <v>866</v>
      </c>
      <c r="D2256" s="663" t="s">
        <v>855</v>
      </c>
      <c r="E2256" s="664" t="s">
        <v>831</v>
      </c>
      <c r="F2256" s="665"/>
      <c r="G2256" s="663">
        <v>20</v>
      </c>
      <c r="H2256" s="662" t="s">
        <v>807</v>
      </c>
      <c r="I2256" s="666" t="s">
        <v>859</v>
      </c>
      <c r="J2256" s="667" t="s">
        <v>805</v>
      </c>
      <c r="K2256" s="662">
        <v>4</v>
      </c>
      <c r="L2256" s="685">
        <f t="shared" si="67"/>
        <v>18.8</v>
      </c>
      <c r="M2256" s="686">
        <f t="shared" si="66"/>
        <v>75.2</v>
      </c>
    </row>
    <row r="2257" spans="2:13" s="645" customFormat="1" ht="21.75" customHeight="1">
      <c r="B2257" s="661">
        <v>44437</v>
      </c>
      <c r="C2257" s="662" t="s">
        <v>866</v>
      </c>
      <c r="D2257" s="663" t="s">
        <v>855</v>
      </c>
      <c r="E2257" s="664" t="s">
        <v>831</v>
      </c>
      <c r="F2257" s="665"/>
      <c r="G2257" s="663">
        <v>20</v>
      </c>
      <c r="H2257" s="662" t="s">
        <v>807</v>
      </c>
      <c r="I2257" s="666" t="s">
        <v>863</v>
      </c>
      <c r="J2257" s="667" t="s">
        <v>805</v>
      </c>
      <c r="K2257" s="662">
        <v>2</v>
      </c>
      <c r="L2257" s="685">
        <f t="shared" si="67"/>
        <v>18.8</v>
      </c>
      <c r="M2257" s="686">
        <f t="shared" si="66"/>
        <v>37.6</v>
      </c>
    </row>
    <row r="2258" spans="2:13" s="645" customFormat="1" ht="21.75" customHeight="1">
      <c r="B2258" s="661">
        <v>44437</v>
      </c>
      <c r="C2258" s="662" t="s">
        <v>866</v>
      </c>
      <c r="D2258" s="663" t="s">
        <v>867</v>
      </c>
      <c r="E2258" s="664" t="s">
        <v>831</v>
      </c>
      <c r="F2258" s="665"/>
      <c r="G2258" s="663">
        <v>20</v>
      </c>
      <c r="H2258" s="662" t="s">
        <v>807</v>
      </c>
      <c r="I2258" s="666" t="s">
        <v>859</v>
      </c>
      <c r="J2258" s="667" t="s">
        <v>805</v>
      </c>
      <c r="K2258" s="662">
        <v>9</v>
      </c>
      <c r="L2258" s="685">
        <f t="shared" si="67"/>
        <v>18.8</v>
      </c>
      <c r="M2258" s="686">
        <f t="shared" si="66"/>
        <v>169.20000000000002</v>
      </c>
    </row>
    <row r="2259" spans="2:13" s="645" customFormat="1" ht="21.75" customHeight="1">
      <c r="B2259" s="661">
        <v>44437</v>
      </c>
      <c r="C2259" s="662" t="s">
        <v>866</v>
      </c>
      <c r="D2259" s="663" t="s">
        <v>868</v>
      </c>
      <c r="E2259" s="664" t="s">
        <v>831</v>
      </c>
      <c r="F2259" s="665"/>
      <c r="G2259" s="663">
        <v>20</v>
      </c>
      <c r="H2259" s="662" t="s">
        <v>807</v>
      </c>
      <c r="I2259" s="666" t="s">
        <v>859</v>
      </c>
      <c r="J2259" s="667" t="s">
        <v>805</v>
      </c>
      <c r="K2259" s="662">
        <v>9</v>
      </c>
      <c r="L2259" s="685">
        <f t="shared" si="67"/>
        <v>18.8</v>
      </c>
      <c r="M2259" s="686">
        <f t="shared" si="66"/>
        <v>169.20000000000002</v>
      </c>
    </row>
    <row r="2260" spans="2:13" s="645" customFormat="1" ht="21.75" customHeight="1">
      <c r="B2260" s="661">
        <v>44437</v>
      </c>
      <c r="C2260" s="662" t="s">
        <v>866</v>
      </c>
      <c r="D2260" s="663" t="s">
        <v>869</v>
      </c>
      <c r="E2260" s="664" t="s">
        <v>831</v>
      </c>
      <c r="F2260" s="665"/>
      <c r="G2260" s="663">
        <v>20</v>
      </c>
      <c r="H2260" s="662" t="s">
        <v>807</v>
      </c>
      <c r="I2260" s="666" t="s">
        <v>859</v>
      </c>
      <c r="J2260" s="667" t="s">
        <v>805</v>
      </c>
      <c r="K2260" s="662">
        <v>10</v>
      </c>
      <c r="L2260" s="685">
        <f t="shared" si="67"/>
        <v>18.8</v>
      </c>
      <c r="M2260" s="686">
        <f t="shared" si="66"/>
        <v>188</v>
      </c>
    </row>
    <row r="2261" spans="2:13" s="645" customFormat="1" ht="21.75" customHeight="1">
      <c r="B2261" s="661">
        <v>44437</v>
      </c>
      <c r="C2261" s="662" t="s">
        <v>866</v>
      </c>
      <c r="D2261" s="663" t="s">
        <v>870</v>
      </c>
      <c r="E2261" s="664" t="s">
        <v>831</v>
      </c>
      <c r="F2261" s="665"/>
      <c r="G2261" s="663">
        <v>20</v>
      </c>
      <c r="H2261" s="662" t="s">
        <v>807</v>
      </c>
      <c r="I2261" s="666" t="s">
        <v>859</v>
      </c>
      <c r="J2261" s="667" t="s">
        <v>805</v>
      </c>
      <c r="K2261" s="662">
        <v>10</v>
      </c>
      <c r="L2261" s="685">
        <f t="shared" si="67"/>
        <v>18.8</v>
      </c>
      <c r="M2261" s="686">
        <f t="shared" si="66"/>
        <v>188</v>
      </c>
    </row>
    <row r="2262" spans="2:13" s="645" customFormat="1" ht="21.75" customHeight="1">
      <c r="B2262" s="661">
        <v>44438</v>
      </c>
      <c r="C2262" s="662" t="s">
        <v>819</v>
      </c>
      <c r="D2262" s="663" t="s">
        <v>849</v>
      </c>
      <c r="E2262" s="664" t="s">
        <v>831</v>
      </c>
      <c r="F2262" s="665"/>
      <c r="G2262" s="663">
        <v>20</v>
      </c>
      <c r="H2262" s="662" t="s">
        <v>807</v>
      </c>
      <c r="I2262" s="666" t="s">
        <v>859</v>
      </c>
      <c r="J2262" s="667" t="s">
        <v>805</v>
      </c>
      <c r="K2262" s="662">
        <v>4</v>
      </c>
      <c r="L2262" s="685">
        <f t="shared" si="67"/>
        <v>18.8</v>
      </c>
      <c r="M2262" s="686">
        <f t="shared" si="66"/>
        <v>75.2</v>
      </c>
    </row>
    <row r="2263" spans="2:13" s="645" customFormat="1" ht="21.75" customHeight="1">
      <c r="B2263" s="661">
        <v>44438</v>
      </c>
      <c r="C2263" s="662" t="s">
        <v>819</v>
      </c>
      <c r="D2263" s="663" t="s">
        <v>849</v>
      </c>
      <c r="E2263" s="664" t="s">
        <v>831</v>
      </c>
      <c r="F2263" s="665"/>
      <c r="G2263" s="663">
        <v>20</v>
      </c>
      <c r="H2263" s="662" t="s">
        <v>807</v>
      </c>
      <c r="I2263" s="666" t="s">
        <v>863</v>
      </c>
      <c r="J2263" s="667" t="s">
        <v>805</v>
      </c>
      <c r="K2263" s="662">
        <v>5</v>
      </c>
      <c r="L2263" s="685">
        <f t="shared" si="67"/>
        <v>18.8</v>
      </c>
      <c r="M2263" s="686">
        <f t="shared" si="66"/>
        <v>94</v>
      </c>
    </row>
    <row r="2264" spans="2:13" s="645" customFormat="1" ht="21.75" customHeight="1">
      <c r="B2264" s="661">
        <v>44438</v>
      </c>
      <c r="C2264" s="662" t="s">
        <v>819</v>
      </c>
      <c r="D2264" s="663" t="s">
        <v>835</v>
      </c>
      <c r="E2264" s="664" t="s">
        <v>831</v>
      </c>
      <c r="F2264" s="665"/>
      <c r="G2264" s="663">
        <v>20</v>
      </c>
      <c r="H2264" s="662" t="s">
        <v>807</v>
      </c>
      <c r="I2264" s="666" t="s">
        <v>863</v>
      </c>
      <c r="J2264" s="667" t="s">
        <v>805</v>
      </c>
      <c r="K2264" s="662">
        <v>1</v>
      </c>
      <c r="L2264" s="685">
        <f t="shared" si="67"/>
        <v>18.8</v>
      </c>
      <c r="M2264" s="686">
        <f t="shared" si="66"/>
        <v>18.8</v>
      </c>
    </row>
    <row r="2265" spans="2:13" s="645" customFormat="1" ht="21.75" customHeight="1">
      <c r="B2265" s="661">
        <v>44438</v>
      </c>
      <c r="C2265" s="662" t="s">
        <v>819</v>
      </c>
      <c r="D2265" s="663" t="s">
        <v>834</v>
      </c>
      <c r="E2265" s="664" t="s">
        <v>831</v>
      </c>
      <c r="F2265" s="665"/>
      <c r="G2265" s="663">
        <v>20</v>
      </c>
      <c r="H2265" s="662" t="s">
        <v>807</v>
      </c>
      <c r="I2265" s="666" t="s">
        <v>863</v>
      </c>
      <c r="J2265" s="667" t="s">
        <v>805</v>
      </c>
      <c r="K2265" s="662">
        <v>6</v>
      </c>
      <c r="L2265" s="685">
        <f t="shared" si="67"/>
        <v>18.8</v>
      </c>
      <c r="M2265" s="686">
        <f t="shared" si="66"/>
        <v>112.80000000000001</v>
      </c>
    </row>
    <row r="2266" spans="2:13" s="645" customFormat="1" ht="21.75" customHeight="1">
      <c r="B2266" s="661">
        <v>44438</v>
      </c>
      <c r="C2266" s="662" t="s">
        <v>819</v>
      </c>
      <c r="D2266" s="663" t="s">
        <v>848</v>
      </c>
      <c r="E2266" s="664" t="s">
        <v>831</v>
      </c>
      <c r="F2266" s="665"/>
      <c r="G2266" s="663">
        <v>20</v>
      </c>
      <c r="H2266" s="662" t="s">
        <v>807</v>
      </c>
      <c r="I2266" s="666" t="s">
        <v>863</v>
      </c>
      <c r="J2266" s="667" t="s">
        <v>805</v>
      </c>
      <c r="K2266" s="662">
        <v>8</v>
      </c>
      <c r="L2266" s="685">
        <f t="shared" si="67"/>
        <v>18.8</v>
      </c>
      <c r="M2266" s="686">
        <f t="shared" si="66"/>
        <v>150.4</v>
      </c>
    </row>
    <row r="2267" spans="2:13" s="645" customFormat="1" ht="21.75" customHeight="1">
      <c r="B2267" s="661">
        <v>44438</v>
      </c>
      <c r="C2267" s="662" t="s">
        <v>819</v>
      </c>
      <c r="D2267" s="663" t="s">
        <v>836</v>
      </c>
      <c r="E2267" s="664" t="s">
        <v>831</v>
      </c>
      <c r="F2267" s="665"/>
      <c r="G2267" s="663">
        <v>20</v>
      </c>
      <c r="H2267" s="662" t="s">
        <v>807</v>
      </c>
      <c r="I2267" s="666" t="s">
        <v>859</v>
      </c>
      <c r="J2267" s="667" t="s">
        <v>805</v>
      </c>
      <c r="K2267" s="662">
        <v>1</v>
      </c>
      <c r="L2267" s="685">
        <f t="shared" si="67"/>
        <v>18.8</v>
      </c>
      <c r="M2267" s="686">
        <f t="shared" si="66"/>
        <v>18.8</v>
      </c>
    </row>
    <row r="2268" spans="2:13" s="645" customFormat="1" ht="21.75" customHeight="1">
      <c r="B2268" s="661">
        <v>44438</v>
      </c>
      <c r="C2268" s="662" t="s">
        <v>819</v>
      </c>
      <c r="D2268" s="663" t="s">
        <v>830</v>
      </c>
      <c r="E2268" s="664" t="s">
        <v>831</v>
      </c>
      <c r="F2268" s="665"/>
      <c r="G2268" s="663">
        <v>15</v>
      </c>
      <c r="H2268" s="662" t="s">
        <v>807</v>
      </c>
      <c r="I2268" s="666" t="s">
        <v>863</v>
      </c>
      <c r="J2268" s="667" t="s">
        <v>805</v>
      </c>
      <c r="K2268" s="662">
        <v>1</v>
      </c>
      <c r="L2268" s="685">
        <f t="shared" si="67"/>
        <v>14.1</v>
      </c>
      <c r="M2268" s="686">
        <f t="shared" si="66"/>
        <v>14.1</v>
      </c>
    </row>
    <row r="2269" spans="2:13" s="645" customFormat="1" ht="21.75" customHeight="1">
      <c r="B2269" s="661">
        <v>44438</v>
      </c>
      <c r="C2269" s="662" t="s">
        <v>819</v>
      </c>
      <c r="D2269" s="663" t="s">
        <v>850</v>
      </c>
      <c r="E2269" s="664" t="s">
        <v>831</v>
      </c>
      <c r="F2269" s="665"/>
      <c r="G2269" s="663">
        <v>15</v>
      </c>
      <c r="H2269" s="662" t="s">
        <v>807</v>
      </c>
      <c r="I2269" s="666" t="s">
        <v>863</v>
      </c>
      <c r="J2269" s="667" t="s">
        <v>805</v>
      </c>
      <c r="K2269" s="662">
        <v>2</v>
      </c>
      <c r="L2269" s="685">
        <f t="shared" si="67"/>
        <v>14.1</v>
      </c>
      <c r="M2269" s="686">
        <f t="shared" si="66"/>
        <v>28.2</v>
      </c>
    </row>
    <row r="2270" spans="2:13" s="645" customFormat="1" ht="21.75" customHeight="1">
      <c r="B2270" s="661">
        <v>44438</v>
      </c>
      <c r="C2270" s="662" t="s">
        <v>819</v>
      </c>
      <c r="D2270" s="663" t="s">
        <v>856</v>
      </c>
      <c r="E2270" s="664" t="s">
        <v>831</v>
      </c>
      <c r="F2270" s="665"/>
      <c r="G2270" s="663">
        <v>20</v>
      </c>
      <c r="H2270" s="662" t="s">
        <v>807</v>
      </c>
      <c r="I2270" s="666" t="s">
        <v>859</v>
      </c>
      <c r="J2270" s="667" t="s">
        <v>805</v>
      </c>
      <c r="K2270" s="662">
        <v>2</v>
      </c>
      <c r="L2270" s="685">
        <f t="shared" si="67"/>
        <v>18.8</v>
      </c>
      <c r="M2270" s="686">
        <f t="shared" si="66"/>
        <v>37.6</v>
      </c>
    </row>
    <row r="2271" spans="2:13" s="645" customFormat="1" ht="21.75" customHeight="1">
      <c r="B2271" s="661">
        <v>44438</v>
      </c>
      <c r="C2271" s="662" t="s">
        <v>819</v>
      </c>
      <c r="D2271" s="663" t="s">
        <v>856</v>
      </c>
      <c r="E2271" s="664" t="s">
        <v>831</v>
      </c>
      <c r="F2271" s="665"/>
      <c r="G2271" s="663">
        <v>20</v>
      </c>
      <c r="H2271" s="662" t="s">
        <v>807</v>
      </c>
      <c r="I2271" s="666" t="s">
        <v>863</v>
      </c>
      <c r="J2271" s="667" t="s">
        <v>805</v>
      </c>
      <c r="K2271" s="662">
        <v>6</v>
      </c>
      <c r="L2271" s="685">
        <f t="shared" si="67"/>
        <v>18.8</v>
      </c>
      <c r="M2271" s="686">
        <f t="shared" si="66"/>
        <v>112.80000000000001</v>
      </c>
    </row>
    <row r="2272" spans="2:13" s="645" customFormat="1" ht="21.75" customHeight="1">
      <c r="B2272" s="661">
        <v>44438</v>
      </c>
      <c r="C2272" s="662" t="s">
        <v>819</v>
      </c>
      <c r="D2272" s="663" t="s">
        <v>855</v>
      </c>
      <c r="E2272" s="664" t="s">
        <v>831</v>
      </c>
      <c r="F2272" s="665"/>
      <c r="G2272" s="663">
        <v>20</v>
      </c>
      <c r="H2272" s="662" t="s">
        <v>807</v>
      </c>
      <c r="I2272" s="666" t="s">
        <v>859</v>
      </c>
      <c r="J2272" s="667" t="s">
        <v>805</v>
      </c>
      <c r="K2272" s="662">
        <v>1</v>
      </c>
      <c r="L2272" s="685">
        <f t="shared" si="67"/>
        <v>18.8</v>
      </c>
      <c r="M2272" s="686">
        <f t="shared" si="66"/>
        <v>18.8</v>
      </c>
    </row>
    <row r="2273" spans="2:13" s="645" customFormat="1" ht="21.75" customHeight="1">
      <c r="B2273" s="661">
        <v>44438</v>
      </c>
      <c r="C2273" s="662" t="s">
        <v>819</v>
      </c>
      <c r="D2273" s="663" t="s">
        <v>867</v>
      </c>
      <c r="E2273" s="664" t="s">
        <v>831</v>
      </c>
      <c r="F2273" s="665"/>
      <c r="G2273" s="663">
        <v>20</v>
      </c>
      <c r="H2273" s="662" t="s">
        <v>807</v>
      </c>
      <c r="I2273" s="666" t="s">
        <v>859</v>
      </c>
      <c r="J2273" s="667" t="s">
        <v>805</v>
      </c>
      <c r="K2273" s="662">
        <v>11</v>
      </c>
      <c r="L2273" s="685">
        <f t="shared" si="67"/>
        <v>18.8</v>
      </c>
      <c r="M2273" s="686">
        <f t="shared" si="66"/>
        <v>206.8</v>
      </c>
    </row>
    <row r="2274" spans="2:13" s="645" customFormat="1" ht="21.75" customHeight="1">
      <c r="B2274" s="661">
        <v>44438</v>
      </c>
      <c r="C2274" s="662" t="s">
        <v>819</v>
      </c>
      <c r="D2274" s="663" t="s">
        <v>868</v>
      </c>
      <c r="E2274" s="664" t="s">
        <v>831</v>
      </c>
      <c r="F2274" s="665"/>
      <c r="G2274" s="663">
        <v>20</v>
      </c>
      <c r="H2274" s="662" t="s">
        <v>807</v>
      </c>
      <c r="I2274" s="666" t="s">
        <v>859</v>
      </c>
      <c r="J2274" s="667" t="s">
        <v>805</v>
      </c>
      <c r="K2274" s="662">
        <v>8</v>
      </c>
      <c r="L2274" s="685">
        <f t="shared" si="67"/>
        <v>18.8</v>
      </c>
      <c r="M2274" s="686">
        <f t="shared" si="66"/>
        <v>150.4</v>
      </c>
    </row>
    <row r="2275" spans="2:13" s="645" customFormat="1" ht="21.75" customHeight="1">
      <c r="B2275" s="661">
        <v>44438</v>
      </c>
      <c r="C2275" s="662" t="s">
        <v>819</v>
      </c>
      <c r="D2275" s="663" t="s">
        <v>869</v>
      </c>
      <c r="E2275" s="664" t="s">
        <v>831</v>
      </c>
      <c r="F2275" s="665"/>
      <c r="G2275" s="663">
        <v>20</v>
      </c>
      <c r="H2275" s="662" t="s">
        <v>807</v>
      </c>
      <c r="I2275" s="666" t="s">
        <v>859</v>
      </c>
      <c r="J2275" s="667" t="s">
        <v>805</v>
      </c>
      <c r="K2275" s="662">
        <v>10</v>
      </c>
      <c r="L2275" s="685">
        <f t="shared" si="67"/>
        <v>18.8</v>
      </c>
      <c r="M2275" s="686">
        <f t="shared" si="66"/>
        <v>188</v>
      </c>
    </row>
    <row r="2276" spans="2:13" s="645" customFormat="1" ht="21.75" customHeight="1">
      <c r="B2276" s="661">
        <v>44438</v>
      </c>
      <c r="C2276" s="662" t="s">
        <v>819</v>
      </c>
      <c r="D2276" s="663" t="s">
        <v>870</v>
      </c>
      <c r="E2276" s="664" t="s">
        <v>831</v>
      </c>
      <c r="F2276" s="665"/>
      <c r="G2276" s="663">
        <v>20</v>
      </c>
      <c r="H2276" s="662" t="s">
        <v>807</v>
      </c>
      <c r="I2276" s="666" t="s">
        <v>859</v>
      </c>
      <c r="J2276" s="667" t="s">
        <v>805</v>
      </c>
      <c r="K2276" s="662">
        <v>8</v>
      </c>
      <c r="L2276" s="685">
        <f t="shared" si="67"/>
        <v>18.8</v>
      </c>
      <c r="M2276" s="686">
        <f t="shared" si="66"/>
        <v>150.4</v>
      </c>
    </row>
    <row r="2277" spans="2:13" s="645" customFormat="1" ht="21.75" customHeight="1">
      <c r="B2277" s="661">
        <v>44438</v>
      </c>
      <c r="C2277" s="662" t="s">
        <v>819</v>
      </c>
      <c r="D2277" s="663" t="s">
        <v>870</v>
      </c>
      <c r="E2277" s="664" t="s">
        <v>831</v>
      </c>
      <c r="F2277" s="665"/>
      <c r="G2277" s="663">
        <v>20</v>
      </c>
      <c r="H2277" s="662" t="s">
        <v>807</v>
      </c>
      <c r="I2277" s="666" t="s">
        <v>863</v>
      </c>
      <c r="J2277" s="667" t="s">
        <v>805</v>
      </c>
      <c r="K2277" s="662">
        <v>4</v>
      </c>
      <c r="L2277" s="685">
        <f t="shared" si="67"/>
        <v>18.8</v>
      </c>
      <c r="M2277" s="686">
        <f t="shared" si="66"/>
        <v>75.2</v>
      </c>
    </row>
    <row r="2278" spans="2:13" s="645" customFormat="1" ht="21.75" customHeight="1">
      <c r="B2278" s="661">
        <v>44438</v>
      </c>
      <c r="C2278" s="662" t="s">
        <v>819</v>
      </c>
      <c r="D2278" s="663" t="s">
        <v>871</v>
      </c>
      <c r="E2278" s="664" t="s">
        <v>831</v>
      </c>
      <c r="F2278" s="665"/>
      <c r="G2278" s="663">
        <v>15</v>
      </c>
      <c r="H2278" s="662" t="s">
        <v>807</v>
      </c>
      <c r="I2278" s="666" t="s">
        <v>863</v>
      </c>
      <c r="J2278" s="667" t="s">
        <v>805</v>
      </c>
      <c r="K2278" s="662">
        <v>2</v>
      </c>
      <c r="L2278" s="685">
        <f t="shared" si="67"/>
        <v>14.1</v>
      </c>
      <c r="M2278" s="686">
        <f t="shared" si="66"/>
        <v>28.2</v>
      </c>
    </row>
    <row r="2279" spans="2:13" s="645" customFormat="1" ht="21.75" customHeight="1">
      <c r="B2279" s="661">
        <v>44438</v>
      </c>
      <c r="C2279" s="662" t="s">
        <v>837</v>
      </c>
      <c r="D2279" s="663" t="s">
        <v>840</v>
      </c>
      <c r="E2279" s="664" t="s">
        <v>831</v>
      </c>
      <c r="F2279" s="665"/>
      <c r="G2279" s="663">
        <v>20</v>
      </c>
      <c r="H2279" s="662" t="s">
        <v>807</v>
      </c>
      <c r="I2279" s="666" t="s">
        <v>859</v>
      </c>
      <c r="J2279" s="667" t="s">
        <v>805</v>
      </c>
      <c r="K2279" s="662">
        <v>5</v>
      </c>
      <c r="L2279" s="685">
        <f t="shared" si="67"/>
        <v>18.8</v>
      </c>
      <c r="M2279" s="686">
        <f t="shared" ref="M2279:M2342" si="68">L2279*K2279</f>
        <v>94</v>
      </c>
    </row>
    <row r="2280" spans="2:13" s="645" customFormat="1" ht="21.75" customHeight="1">
      <c r="B2280" s="661">
        <v>44438</v>
      </c>
      <c r="C2280" s="662" t="s">
        <v>837</v>
      </c>
      <c r="D2280" s="663" t="s">
        <v>835</v>
      </c>
      <c r="E2280" s="664" t="s">
        <v>831</v>
      </c>
      <c r="F2280" s="665"/>
      <c r="G2280" s="663">
        <v>20</v>
      </c>
      <c r="H2280" s="662" t="s">
        <v>807</v>
      </c>
      <c r="I2280" s="666" t="s">
        <v>859</v>
      </c>
      <c r="J2280" s="667" t="s">
        <v>805</v>
      </c>
      <c r="K2280" s="662">
        <v>2</v>
      </c>
      <c r="L2280" s="685">
        <f t="shared" si="67"/>
        <v>18.8</v>
      </c>
      <c r="M2280" s="686">
        <f t="shared" si="68"/>
        <v>37.6</v>
      </c>
    </row>
    <row r="2281" spans="2:13" s="645" customFormat="1" ht="21.75" customHeight="1">
      <c r="B2281" s="661">
        <v>44438</v>
      </c>
      <c r="C2281" s="662" t="s">
        <v>837</v>
      </c>
      <c r="D2281" s="663" t="s">
        <v>848</v>
      </c>
      <c r="E2281" s="664" t="s">
        <v>831</v>
      </c>
      <c r="F2281" s="665"/>
      <c r="G2281" s="663">
        <v>20</v>
      </c>
      <c r="H2281" s="662" t="s">
        <v>807</v>
      </c>
      <c r="I2281" s="666" t="s">
        <v>863</v>
      </c>
      <c r="J2281" s="667" t="s">
        <v>805</v>
      </c>
      <c r="K2281" s="662">
        <v>1</v>
      </c>
      <c r="L2281" s="685">
        <f t="shared" si="67"/>
        <v>18.8</v>
      </c>
      <c r="M2281" s="686">
        <f t="shared" si="68"/>
        <v>18.8</v>
      </c>
    </row>
    <row r="2282" spans="2:13" s="645" customFormat="1" ht="21.75" customHeight="1">
      <c r="B2282" s="661">
        <v>44438</v>
      </c>
      <c r="C2282" s="662" t="s">
        <v>837</v>
      </c>
      <c r="D2282" s="663" t="s">
        <v>836</v>
      </c>
      <c r="E2282" s="664" t="s">
        <v>831</v>
      </c>
      <c r="F2282" s="665"/>
      <c r="G2282" s="663">
        <v>20</v>
      </c>
      <c r="H2282" s="662" t="s">
        <v>807</v>
      </c>
      <c r="I2282" s="666" t="s">
        <v>859</v>
      </c>
      <c r="J2282" s="667" t="s">
        <v>805</v>
      </c>
      <c r="K2282" s="662">
        <v>9</v>
      </c>
      <c r="L2282" s="685">
        <f t="shared" si="67"/>
        <v>18.8</v>
      </c>
      <c r="M2282" s="686">
        <f t="shared" si="68"/>
        <v>169.20000000000002</v>
      </c>
    </row>
    <row r="2283" spans="2:13" s="645" customFormat="1" ht="21.75" customHeight="1">
      <c r="B2283" s="661">
        <v>44438</v>
      </c>
      <c r="C2283" s="662" t="s">
        <v>837</v>
      </c>
      <c r="D2283" s="663" t="s">
        <v>830</v>
      </c>
      <c r="E2283" s="664" t="s">
        <v>831</v>
      </c>
      <c r="F2283" s="665"/>
      <c r="G2283" s="663">
        <v>15</v>
      </c>
      <c r="H2283" s="662" t="s">
        <v>807</v>
      </c>
      <c r="I2283" s="666" t="s">
        <v>859</v>
      </c>
      <c r="J2283" s="667" t="s">
        <v>805</v>
      </c>
      <c r="K2283" s="662">
        <v>7</v>
      </c>
      <c r="L2283" s="685">
        <f t="shared" si="67"/>
        <v>14.1</v>
      </c>
      <c r="M2283" s="686">
        <f t="shared" si="68"/>
        <v>98.7</v>
      </c>
    </row>
    <row r="2284" spans="2:13" s="645" customFormat="1" ht="21.75" customHeight="1">
      <c r="B2284" s="661">
        <v>44438</v>
      </c>
      <c r="C2284" s="662" t="s">
        <v>837</v>
      </c>
      <c r="D2284" s="663" t="s">
        <v>830</v>
      </c>
      <c r="E2284" s="664" t="s">
        <v>831</v>
      </c>
      <c r="F2284" s="665"/>
      <c r="G2284" s="663">
        <v>15</v>
      </c>
      <c r="H2284" s="662" t="s">
        <v>807</v>
      </c>
      <c r="I2284" s="666" t="s">
        <v>863</v>
      </c>
      <c r="J2284" s="667" t="s">
        <v>805</v>
      </c>
      <c r="K2284" s="662">
        <v>1</v>
      </c>
      <c r="L2284" s="685">
        <f t="shared" si="67"/>
        <v>14.1</v>
      </c>
      <c r="M2284" s="686">
        <f t="shared" si="68"/>
        <v>14.1</v>
      </c>
    </row>
    <row r="2285" spans="2:13" s="645" customFormat="1" ht="21.75" customHeight="1">
      <c r="B2285" s="661">
        <v>44438</v>
      </c>
      <c r="C2285" s="662" t="s">
        <v>837</v>
      </c>
      <c r="D2285" s="663" t="s">
        <v>850</v>
      </c>
      <c r="E2285" s="664" t="s">
        <v>831</v>
      </c>
      <c r="F2285" s="665"/>
      <c r="G2285" s="663">
        <v>15</v>
      </c>
      <c r="H2285" s="662" t="s">
        <v>807</v>
      </c>
      <c r="I2285" s="666" t="s">
        <v>859</v>
      </c>
      <c r="J2285" s="667" t="s">
        <v>805</v>
      </c>
      <c r="K2285" s="662">
        <v>1</v>
      </c>
      <c r="L2285" s="685">
        <f t="shared" si="67"/>
        <v>14.1</v>
      </c>
      <c r="M2285" s="686">
        <f t="shared" si="68"/>
        <v>14.1</v>
      </c>
    </row>
    <row r="2286" spans="2:13" s="645" customFormat="1" ht="21.75" customHeight="1">
      <c r="B2286" s="661">
        <v>44438</v>
      </c>
      <c r="C2286" s="662" t="s">
        <v>837</v>
      </c>
      <c r="D2286" s="663" t="s">
        <v>850</v>
      </c>
      <c r="E2286" s="664" t="s">
        <v>831</v>
      </c>
      <c r="F2286" s="665"/>
      <c r="G2286" s="663">
        <v>15</v>
      </c>
      <c r="H2286" s="662" t="s">
        <v>807</v>
      </c>
      <c r="I2286" s="666" t="s">
        <v>863</v>
      </c>
      <c r="J2286" s="667" t="s">
        <v>805</v>
      </c>
      <c r="K2286" s="662">
        <v>5</v>
      </c>
      <c r="L2286" s="685">
        <f t="shared" si="67"/>
        <v>14.1</v>
      </c>
      <c r="M2286" s="686">
        <f t="shared" si="68"/>
        <v>70.5</v>
      </c>
    </row>
    <row r="2287" spans="2:13" s="645" customFormat="1" ht="21.75" customHeight="1">
      <c r="B2287" s="661">
        <v>44438</v>
      </c>
      <c r="C2287" s="662" t="s">
        <v>837</v>
      </c>
      <c r="D2287" s="663" t="s">
        <v>845</v>
      </c>
      <c r="E2287" s="664" t="s">
        <v>831</v>
      </c>
      <c r="F2287" s="665"/>
      <c r="G2287" s="663">
        <v>17</v>
      </c>
      <c r="H2287" s="662" t="s">
        <v>807</v>
      </c>
      <c r="I2287" s="666" t="s">
        <v>863</v>
      </c>
      <c r="J2287" s="667" t="s">
        <v>805</v>
      </c>
      <c r="K2287" s="662">
        <v>7</v>
      </c>
      <c r="L2287" s="685">
        <f t="shared" si="67"/>
        <v>15.98</v>
      </c>
      <c r="M2287" s="686">
        <f t="shared" si="68"/>
        <v>111.86</v>
      </c>
    </row>
    <row r="2288" spans="2:13" s="645" customFormat="1" ht="21.75" customHeight="1">
      <c r="B2288" s="661">
        <v>44438</v>
      </c>
      <c r="C2288" s="662" t="s">
        <v>837</v>
      </c>
      <c r="D2288" s="663" t="s">
        <v>847</v>
      </c>
      <c r="E2288" s="664" t="s">
        <v>831</v>
      </c>
      <c r="F2288" s="665"/>
      <c r="G2288" s="663">
        <v>17</v>
      </c>
      <c r="H2288" s="662" t="s">
        <v>807</v>
      </c>
      <c r="I2288" s="666" t="s">
        <v>863</v>
      </c>
      <c r="J2288" s="667" t="s">
        <v>805</v>
      </c>
      <c r="K2288" s="662">
        <v>2</v>
      </c>
      <c r="L2288" s="685">
        <f t="shared" si="67"/>
        <v>15.98</v>
      </c>
      <c r="M2288" s="686">
        <f t="shared" si="68"/>
        <v>31.96</v>
      </c>
    </row>
    <row r="2289" spans="2:13" s="645" customFormat="1" ht="21.75" customHeight="1">
      <c r="B2289" s="661">
        <v>44438</v>
      </c>
      <c r="C2289" s="662" t="s">
        <v>837</v>
      </c>
      <c r="D2289" s="663" t="s">
        <v>855</v>
      </c>
      <c r="E2289" s="664" t="s">
        <v>831</v>
      </c>
      <c r="F2289" s="665"/>
      <c r="G2289" s="663">
        <v>20</v>
      </c>
      <c r="H2289" s="662" t="s">
        <v>807</v>
      </c>
      <c r="I2289" s="666" t="s">
        <v>859</v>
      </c>
      <c r="J2289" s="667" t="s">
        <v>805</v>
      </c>
      <c r="K2289" s="662">
        <v>8</v>
      </c>
      <c r="L2289" s="685">
        <f t="shared" si="67"/>
        <v>18.8</v>
      </c>
      <c r="M2289" s="686">
        <f t="shared" si="68"/>
        <v>150.4</v>
      </c>
    </row>
    <row r="2290" spans="2:13" s="645" customFormat="1" ht="21.75" customHeight="1">
      <c r="B2290" s="661">
        <v>44438</v>
      </c>
      <c r="C2290" s="662" t="s">
        <v>837</v>
      </c>
      <c r="D2290" s="663" t="s">
        <v>855</v>
      </c>
      <c r="E2290" s="664" t="s">
        <v>831</v>
      </c>
      <c r="F2290" s="665"/>
      <c r="G2290" s="663">
        <v>20</v>
      </c>
      <c r="H2290" s="662" t="s">
        <v>807</v>
      </c>
      <c r="I2290" s="666" t="s">
        <v>863</v>
      </c>
      <c r="J2290" s="667" t="s">
        <v>805</v>
      </c>
      <c r="K2290" s="662">
        <v>3</v>
      </c>
      <c r="L2290" s="685">
        <f t="shared" si="67"/>
        <v>18.8</v>
      </c>
      <c r="M2290" s="686">
        <f t="shared" si="68"/>
        <v>56.400000000000006</v>
      </c>
    </row>
    <row r="2291" spans="2:13" s="645" customFormat="1" ht="21.75" customHeight="1">
      <c r="B2291" s="661">
        <v>44438</v>
      </c>
      <c r="C2291" s="662" t="s">
        <v>837</v>
      </c>
      <c r="D2291" s="663" t="s">
        <v>868</v>
      </c>
      <c r="E2291" s="664" t="s">
        <v>831</v>
      </c>
      <c r="F2291" s="665"/>
      <c r="G2291" s="663">
        <v>20</v>
      </c>
      <c r="H2291" s="662" t="s">
        <v>807</v>
      </c>
      <c r="I2291" s="666" t="s">
        <v>859</v>
      </c>
      <c r="J2291" s="667" t="s">
        <v>805</v>
      </c>
      <c r="K2291" s="662">
        <v>1</v>
      </c>
      <c r="L2291" s="685">
        <f t="shared" si="67"/>
        <v>18.8</v>
      </c>
      <c r="M2291" s="686">
        <f t="shared" si="68"/>
        <v>18.8</v>
      </c>
    </row>
    <row r="2292" spans="2:13" s="645" customFormat="1" ht="21.75" customHeight="1">
      <c r="B2292" s="661">
        <v>44439</v>
      </c>
      <c r="C2292" s="662" t="s">
        <v>819</v>
      </c>
      <c r="D2292" s="663" t="s">
        <v>849</v>
      </c>
      <c r="E2292" s="664" t="s">
        <v>831</v>
      </c>
      <c r="F2292" s="665"/>
      <c r="G2292" s="663">
        <v>20</v>
      </c>
      <c r="H2292" s="662" t="s">
        <v>807</v>
      </c>
      <c r="I2292" s="666" t="s">
        <v>859</v>
      </c>
      <c r="J2292" s="667" t="s">
        <v>805</v>
      </c>
      <c r="K2292" s="662">
        <v>5</v>
      </c>
      <c r="L2292" s="685">
        <f t="shared" si="67"/>
        <v>18.8</v>
      </c>
      <c r="M2292" s="686">
        <f t="shared" si="68"/>
        <v>94</v>
      </c>
    </row>
    <row r="2293" spans="2:13" s="645" customFormat="1" ht="21.75" customHeight="1">
      <c r="B2293" s="661">
        <v>44439</v>
      </c>
      <c r="C2293" s="662" t="s">
        <v>819</v>
      </c>
      <c r="D2293" s="663" t="s">
        <v>849</v>
      </c>
      <c r="E2293" s="664" t="s">
        <v>831</v>
      </c>
      <c r="F2293" s="665"/>
      <c r="G2293" s="663">
        <v>20</v>
      </c>
      <c r="H2293" s="662" t="s">
        <v>807</v>
      </c>
      <c r="I2293" s="666" t="s">
        <v>857</v>
      </c>
      <c r="J2293" s="667" t="s">
        <v>805</v>
      </c>
      <c r="K2293" s="662">
        <v>1</v>
      </c>
      <c r="L2293" s="685">
        <f t="shared" si="67"/>
        <v>18.8</v>
      </c>
      <c r="M2293" s="686">
        <f t="shared" si="68"/>
        <v>18.8</v>
      </c>
    </row>
    <row r="2294" spans="2:13" s="645" customFormat="1" ht="21.75" customHeight="1">
      <c r="B2294" s="661">
        <v>44439</v>
      </c>
      <c r="C2294" s="662" t="s">
        <v>819</v>
      </c>
      <c r="D2294" s="663" t="s">
        <v>840</v>
      </c>
      <c r="E2294" s="664" t="s">
        <v>831</v>
      </c>
      <c r="F2294" s="665"/>
      <c r="G2294" s="663">
        <v>20</v>
      </c>
      <c r="H2294" s="662" t="s">
        <v>807</v>
      </c>
      <c r="I2294" s="666" t="s">
        <v>859</v>
      </c>
      <c r="J2294" s="667" t="s">
        <v>805</v>
      </c>
      <c r="K2294" s="662">
        <v>6</v>
      </c>
      <c r="L2294" s="685">
        <f t="shared" si="67"/>
        <v>18.8</v>
      </c>
      <c r="M2294" s="686">
        <f t="shared" si="68"/>
        <v>112.80000000000001</v>
      </c>
    </row>
    <row r="2295" spans="2:13" s="645" customFormat="1" ht="21.75" customHeight="1">
      <c r="B2295" s="661">
        <v>44439</v>
      </c>
      <c r="C2295" s="662" t="s">
        <v>819</v>
      </c>
      <c r="D2295" s="663" t="s">
        <v>835</v>
      </c>
      <c r="E2295" s="664" t="s">
        <v>831</v>
      </c>
      <c r="F2295" s="665"/>
      <c r="G2295" s="663">
        <v>20</v>
      </c>
      <c r="H2295" s="662" t="s">
        <v>807</v>
      </c>
      <c r="I2295" s="666" t="s">
        <v>859</v>
      </c>
      <c r="J2295" s="667" t="s">
        <v>805</v>
      </c>
      <c r="K2295" s="662">
        <v>3</v>
      </c>
      <c r="L2295" s="685">
        <f t="shared" si="67"/>
        <v>18.8</v>
      </c>
      <c r="M2295" s="686">
        <f t="shared" si="68"/>
        <v>56.400000000000006</v>
      </c>
    </row>
    <row r="2296" spans="2:13" s="645" customFormat="1" ht="21.75" customHeight="1">
      <c r="B2296" s="661">
        <v>44439</v>
      </c>
      <c r="C2296" s="662" t="s">
        <v>819</v>
      </c>
      <c r="D2296" s="663" t="s">
        <v>835</v>
      </c>
      <c r="E2296" s="664" t="s">
        <v>831</v>
      </c>
      <c r="F2296" s="665"/>
      <c r="G2296" s="663">
        <v>20</v>
      </c>
      <c r="H2296" s="662" t="s">
        <v>807</v>
      </c>
      <c r="I2296" s="666" t="s">
        <v>863</v>
      </c>
      <c r="J2296" s="667" t="s">
        <v>805</v>
      </c>
      <c r="K2296" s="662">
        <v>1</v>
      </c>
      <c r="L2296" s="685">
        <f t="shared" si="67"/>
        <v>18.8</v>
      </c>
      <c r="M2296" s="686">
        <f t="shared" si="68"/>
        <v>18.8</v>
      </c>
    </row>
    <row r="2297" spans="2:13" s="645" customFormat="1" ht="21.75" customHeight="1">
      <c r="B2297" s="661">
        <v>44439</v>
      </c>
      <c r="C2297" s="662" t="s">
        <v>819</v>
      </c>
      <c r="D2297" s="663" t="s">
        <v>834</v>
      </c>
      <c r="E2297" s="664" t="s">
        <v>831</v>
      </c>
      <c r="F2297" s="665"/>
      <c r="G2297" s="663">
        <v>20</v>
      </c>
      <c r="H2297" s="662" t="s">
        <v>807</v>
      </c>
      <c r="I2297" s="666" t="s">
        <v>863</v>
      </c>
      <c r="J2297" s="667" t="s">
        <v>805</v>
      </c>
      <c r="K2297" s="662">
        <v>1</v>
      </c>
      <c r="L2297" s="685">
        <f t="shared" si="67"/>
        <v>18.8</v>
      </c>
      <c r="M2297" s="686">
        <f t="shared" si="68"/>
        <v>18.8</v>
      </c>
    </row>
    <row r="2298" spans="2:13" s="645" customFormat="1" ht="21.75" customHeight="1">
      <c r="B2298" s="661">
        <v>44439</v>
      </c>
      <c r="C2298" s="662" t="s">
        <v>819</v>
      </c>
      <c r="D2298" s="663" t="s">
        <v>850</v>
      </c>
      <c r="E2298" s="664" t="s">
        <v>831</v>
      </c>
      <c r="F2298" s="665"/>
      <c r="G2298" s="663">
        <v>15</v>
      </c>
      <c r="H2298" s="662" t="s">
        <v>807</v>
      </c>
      <c r="I2298" s="666" t="s">
        <v>863</v>
      </c>
      <c r="J2298" s="667" t="s">
        <v>805</v>
      </c>
      <c r="K2298" s="662">
        <v>2</v>
      </c>
      <c r="L2298" s="685">
        <f t="shared" si="67"/>
        <v>14.1</v>
      </c>
      <c r="M2298" s="686">
        <f t="shared" si="68"/>
        <v>28.2</v>
      </c>
    </row>
    <row r="2299" spans="2:13" s="645" customFormat="1" ht="21.75" customHeight="1">
      <c r="B2299" s="661">
        <v>44439</v>
      </c>
      <c r="C2299" s="662" t="s">
        <v>819</v>
      </c>
      <c r="D2299" s="663" t="s">
        <v>867</v>
      </c>
      <c r="E2299" s="664" t="s">
        <v>831</v>
      </c>
      <c r="F2299" s="665"/>
      <c r="G2299" s="663">
        <v>20</v>
      </c>
      <c r="H2299" s="662" t="s">
        <v>807</v>
      </c>
      <c r="I2299" s="666" t="s">
        <v>859</v>
      </c>
      <c r="J2299" s="667" t="s">
        <v>805</v>
      </c>
      <c r="K2299" s="662">
        <v>4</v>
      </c>
      <c r="L2299" s="685">
        <f t="shared" si="67"/>
        <v>18.8</v>
      </c>
      <c r="M2299" s="686">
        <f t="shared" si="68"/>
        <v>75.2</v>
      </c>
    </row>
    <row r="2300" spans="2:13" s="645" customFormat="1" ht="21.75" customHeight="1">
      <c r="B2300" s="661">
        <v>44439</v>
      </c>
      <c r="C2300" s="662" t="s">
        <v>819</v>
      </c>
      <c r="D2300" s="663" t="s">
        <v>869</v>
      </c>
      <c r="E2300" s="664" t="s">
        <v>831</v>
      </c>
      <c r="F2300" s="665"/>
      <c r="G2300" s="663">
        <v>20</v>
      </c>
      <c r="H2300" s="662" t="s">
        <v>807</v>
      </c>
      <c r="I2300" s="666" t="s">
        <v>872</v>
      </c>
      <c r="J2300" s="667" t="s">
        <v>805</v>
      </c>
      <c r="K2300" s="662">
        <v>1</v>
      </c>
      <c r="L2300" s="685">
        <f t="shared" si="67"/>
        <v>18.8</v>
      </c>
      <c r="M2300" s="686">
        <f t="shared" si="68"/>
        <v>18.8</v>
      </c>
    </row>
    <row r="2301" spans="2:13" s="645" customFormat="1" ht="21.75" customHeight="1">
      <c r="B2301" s="661">
        <v>44439</v>
      </c>
      <c r="C2301" s="662" t="s">
        <v>819</v>
      </c>
      <c r="D2301" s="663" t="s">
        <v>870</v>
      </c>
      <c r="E2301" s="664" t="s">
        <v>831</v>
      </c>
      <c r="F2301" s="665"/>
      <c r="G2301" s="663">
        <v>20</v>
      </c>
      <c r="H2301" s="662" t="s">
        <v>807</v>
      </c>
      <c r="I2301" s="666" t="s">
        <v>859</v>
      </c>
      <c r="J2301" s="667" t="s">
        <v>805</v>
      </c>
      <c r="K2301" s="662">
        <v>1</v>
      </c>
      <c r="L2301" s="685">
        <f t="shared" si="67"/>
        <v>18.8</v>
      </c>
      <c r="M2301" s="686">
        <f t="shared" si="68"/>
        <v>18.8</v>
      </c>
    </row>
    <row r="2302" spans="2:13" s="645" customFormat="1" ht="21.75" customHeight="1">
      <c r="B2302" s="661">
        <v>44439</v>
      </c>
      <c r="C2302" s="662" t="s">
        <v>819</v>
      </c>
      <c r="D2302" s="663" t="s">
        <v>870</v>
      </c>
      <c r="E2302" s="664" t="s">
        <v>831</v>
      </c>
      <c r="F2302" s="665"/>
      <c r="G2302" s="663">
        <v>20</v>
      </c>
      <c r="H2302" s="662" t="s">
        <v>807</v>
      </c>
      <c r="I2302" s="666" t="s">
        <v>863</v>
      </c>
      <c r="J2302" s="667" t="s">
        <v>805</v>
      </c>
      <c r="K2302" s="662">
        <v>2</v>
      </c>
      <c r="L2302" s="685">
        <f t="shared" si="67"/>
        <v>18.8</v>
      </c>
      <c r="M2302" s="686">
        <f t="shared" si="68"/>
        <v>37.6</v>
      </c>
    </row>
    <row r="2303" spans="2:13" s="645" customFormat="1" ht="21.75" customHeight="1">
      <c r="B2303" s="661">
        <v>44439</v>
      </c>
      <c r="C2303" s="662" t="s">
        <v>819</v>
      </c>
      <c r="D2303" s="663" t="s">
        <v>870</v>
      </c>
      <c r="E2303" s="664" t="s">
        <v>831</v>
      </c>
      <c r="F2303" s="665"/>
      <c r="G2303" s="663">
        <v>20</v>
      </c>
      <c r="H2303" s="662" t="s">
        <v>807</v>
      </c>
      <c r="I2303" s="666" t="s">
        <v>857</v>
      </c>
      <c r="J2303" s="667" t="s">
        <v>805</v>
      </c>
      <c r="K2303" s="662">
        <v>1</v>
      </c>
      <c r="L2303" s="685">
        <f t="shared" si="67"/>
        <v>18.8</v>
      </c>
      <c r="M2303" s="686">
        <f t="shared" si="68"/>
        <v>18.8</v>
      </c>
    </row>
    <row r="2304" spans="2:13" s="645" customFormat="1" ht="21.75" customHeight="1">
      <c r="B2304" s="661">
        <v>44439</v>
      </c>
      <c r="C2304" s="662" t="s">
        <v>819</v>
      </c>
      <c r="D2304" s="663" t="s">
        <v>871</v>
      </c>
      <c r="E2304" s="664" t="s">
        <v>831</v>
      </c>
      <c r="F2304" s="665"/>
      <c r="G2304" s="663">
        <v>15</v>
      </c>
      <c r="H2304" s="662" t="s">
        <v>807</v>
      </c>
      <c r="I2304" s="666" t="s">
        <v>863</v>
      </c>
      <c r="J2304" s="667" t="s">
        <v>805</v>
      </c>
      <c r="K2304" s="662">
        <v>3</v>
      </c>
      <c r="L2304" s="685">
        <f t="shared" si="67"/>
        <v>14.1</v>
      </c>
      <c r="M2304" s="686">
        <f t="shared" si="68"/>
        <v>42.3</v>
      </c>
    </row>
    <row r="2305" spans="2:13" s="645" customFormat="1" ht="21.75" customHeight="1">
      <c r="B2305" s="661">
        <v>44439</v>
      </c>
      <c r="C2305" s="662" t="s">
        <v>819</v>
      </c>
      <c r="D2305" s="663" t="s">
        <v>871</v>
      </c>
      <c r="E2305" s="664" t="s">
        <v>831</v>
      </c>
      <c r="F2305" s="665"/>
      <c r="G2305" s="663">
        <v>15</v>
      </c>
      <c r="H2305" s="662" t="s">
        <v>807</v>
      </c>
      <c r="I2305" s="666" t="s">
        <v>859</v>
      </c>
      <c r="J2305" s="667" t="s">
        <v>805</v>
      </c>
      <c r="K2305" s="662">
        <v>1</v>
      </c>
      <c r="L2305" s="685">
        <f t="shared" si="67"/>
        <v>14.1</v>
      </c>
      <c r="M2305" s="686">
        <f t="shared" si="68"/>
        <v>14.1</v>
      </c>
    </row>
    <row r="2306" spans="2:13" s="645" customFormat="1" ht="21.75" customHeight="1">
      <c r="B2306" s="708">
        <v>44439</v>
      </c>
      <c r="C2306" s="709" t="s">
        <v>819</v>
      </c>
      <c r="D2306" s="710" t="s">
        <v>849</v>
      </c>
      <c r="E2306" s="711" t="s">
        <v>831</v>
      </c>
      <c r="F2306" s="712"/>
      <c r="G2306" s="710">
        <v>20</v>
      </c>
      <c r="H2306" s="709" t="s">
        <v>807</v>
      </c>
      <c r="I2306" s="713" t="s">
        <v>859</v>
      </c>
      <c r="J2306" s="714" t="s">
        <v>802</v>
      </c>
      <c r="K2306" s="709">
        <v>7</v>
      </c>
      <c r="L2306" s="715">
        <f t="shared" si="67"/>
        <v>18.8</v>
      </c>
      <c r="M2306" s="716">
        <f t="shared" si="68"/>
        <v>131.6</v>
      </c>
    </row>
    <row r="2307" spans="2:13" s="645" customFormat="1" ht="21.75" customHeight="1">
      <c r="B2307" s="708">
        <v>44439</v>
      </c>
      <c r="C2307" s="709" t="s">
        <v>819</v>
      </c>
      <c r="D2307" s="710" t="s">
        <v>840</v>
      </c>
      <c r="E2307" s="711" t="s">
        <v>831</v>
      </c>
      <c r="F2307" s="712"/>
      <c r="G2307" s="710">
        <v>20</v>
      </c>
      <c r="H2307" s="709" t="s">
        <v>807</v>
      </c>
      <c r="I2307" s="713" t="s">
        <v>863</v>
      </c>
      <c r="J2307" s="714" t="s">
        <v>802</v>
      </c>
      <c r="K2307" s="709">
        <v>2</v>
      </c>
      <c r="L2307" s="715">
        <f t="shared" si="67"/>
        <v>18.8</v>
      </c>
      <c r="M2307" s="716">
        <f t="shared" si="68"/>
        <v>37.6</v>
      </c>
    </row>
    <row r="2308" spans="2:13" s="645" customFormat="1" ht="21.75" customHeight="1">
      <c r="B2308" s="708">
        <v>44439</v>
      </c>
      <c r="C2308" s="709" t="s">
        <v>819</v>
      </c>
      <c r="D2308" s="710" t="s">
        <v>835</v>
      </c>
      <c r="E2308" s="711" t="s">
        <v>831</v>
      </c>
      <c r="F2308" s="712"/>
      <c r="G2308" s="710">
        <v>20</v>
      </c>
      <c r="H2308" s="709" t="s">
        <v>807</v>
      </c>
      <c r="I2308" s="713" t="s">
        <v>863</v>
      </c>
      <c r="J2308" s="714" t="s">
        <v>802</v>
      </c>
      <c r="K2308" s="709">
        <v>5</v>
      </c>
      <c r="L2308" s="715">
        <f t="shared" si="67"/>
        <v>18.8</v>
      </c>
      <c r="M2308" s="716">
        <f t="shared" si="68"/>
        <v>94</v>
      </c>
    </row>
    <row r="2309" spans="2:13" s="645" customFormat="1" ht="21.75" customHeight="1">
      <c r="B2309" s="708">
        <v>44439</v>
      </c>
      <c r="C2309" s="709" t="s">
        <v>819</v>
      </c>
      <c r="D2309" s="710" t="s">
        <v>841</v>
      </c>
      <c r="E2309" s="711" t="s">
        <v>831</v>
      </c>
      <c r="F2309" s="712"/>
      <c r="G2309" s="710">
        <v>20</v>
      </c>
      <c r="H2309" s="709" t="s">
        <v>807</v>
      </c>
      <c r="I2309" s="713" t="s">
        <v>859</v>
      </c>
      <c r="J2309" s="714" t="s">
        <v>802</v>
      </c>
      <c r="K2309" s="709">
        <v>1</v>
      </c>
      <c r="L2309" s="715">
        <f t="shared" si="67"/>
        <v>18.8</v>
      </c>
      <c r="M2309" s="716">
        <f t="shared" si="68"/>
        <v>18.8</v>
      </c>
    </row>
    <row r="2310" spans="2:13" s="645" customFormat="1" ht="21.75" customHeight="1">
      <c r="B2310" s="708">
        <v>44439</v>
      </c>
      <c r="C2310" s="709" t="s">
        <v>819</v>
      </c>
      <c r="D2310" s="710" t="s">
        <v>848</v>
      </c>
      <c r="E2310" s="711" t="s">
        <v>831</v>
      </c>
      <c r="F2310" s="712"/>
      <c r="G2310" s="710">
        <v>20</v>
      </c>
      <c r="H2310" s="709" t="s">
        <v>807</v>
      </c>
      <c r="I2310" s="713" t="s">
        <v>859</v>
      </c>
      <c r="J2310" s="714" t="s">
        <v>802</v>
      </c>
      <c r="K2310" s="709">
        <v>4</v>
      </c>
      <c r="L2310" s="715">
        <f t="shared" si="67"/>
        <v>18.8</v>
      </c>
      <c r="M2310" s="716">
        <f t="shared" si="68"/>
        <v>75.2</v>
      </c>
    </row>
    <row r="2311" spans="2:13" s="645" customFormat="1" ht="21.75" customHeight="1">
      <c r="B2311" s="708">
        <v>44439</v>
      </c>
      <c r="C2311" s="709" t="s">
        <v>819</v>
      </c>
      <c r="D2311" s="710" t="s">
        <v>848</v>
      </c>
      <c r="E2311" s="711" t="s">
        <v>831</v>
      </c>
      <c r="F2311" s="712"/>
      <c r="G2311" s="710">
        <v>20</v>
      </c>
      <c r="H2311" s="709" t="s">
        <v>807</v>
      </c>
      <c r="I2311" s="713" t="s">
        <v>859</v>
      </c>
      <c r="J2311" s="714" t="s">
        <v>802</v>
      </c>
      <c r="K2311" s="709">
        <v>7</v>
      </c>
      <c r="L2311" s="715">
        <f t="shared" si="67"/>
        <v>18.8</v>
      </c>
      <c r="M2311" s="716">
        <f t="shared" si="68"/>
        <v>131.6</v>
      </c>
    </row>
    <row r="2312" spans="2:13" s="645" customFormat="1" ht="21.75" customHeight="1">
      <c r="B2312" s="708">
        <v>44439</v>
      </c>
      <c r="C2312" s="709" t="s">
        <v>819</v>
      </c>
      <c r="D2312" s="710" t="s">
        <v>836</v>
      </c>
      <c r="E2312" s="711" t="s">
        <v>831</v>
      </c>
      <c r="F2312" s="712"/>
      <c r="G2312" s="710">
        <v>20</v>
      </c>
      <c r="H2312" s="709" t="s">
        <v>807</v>
      </c>
      <c r="I2312" s="713" t="s">
        <v>859</v>
      </c>
      <c r="J2312" s="714" t="s">
        <v>802</v>
      </c>
      <c r="K2312" s="709">
        <v>12</v>
      </c>
      <c r="L2312" s="715">
        <f t="shared" si="67"/>
        <v>18.8</v>
      </c>
      <c r="M2312" s="716">
        <f t="shared" si="68"/>
        <v>225.60000000000002</v>
      </c>
    </row>
    <row r="2313" spans="2:13" s="645" customFormat="1" ht="21.75" customHeight="1">
      <c r="B2313" s="708">
        <v>44439</v>
      </c>
      <c r="C2313" s="709" t="s">
        <v>819</v>
      </c>
      <c r="D2313" s="710" t="s">
        <v>867</v>
      </c>
      <c r="E2313" s="711" t="s">
        <v>831</v>
      </c>
      <c r="F2313" s="712"/>
      <c r="G2313" s="710">
        <v>20</v>
      </c>
      <c r="H2313" s="709" t="s">
        <v>807</v>
      </c>
      <c r="I2313" s="713" t="s">
        <v>863</v>
      </c>
      <c r="J2313" s="714" t="s">
        <v>802</v>
      </c>
      <c r="K2313" s="709">
        <v>6</v>
      </c>
      <c r="L2313" s="715">
        <f t="shared" ref="L2313:L2376" si="69">VLOOKUP(G2313,$Q$4:$V$7,6,FALSE)</f>
        <v>18.8</v>
      </c>
      <c r="M2313" s="716">
        <f t="shared" si="68"/>
        <v>112.80000000000001</v>
      </c>
    </row>
    <row r="2314" spans="2:13" s="645" customFormat="1" ht="21.75" customHeight="1">
      <c r="B2314" s="708">
        <v>44439</v>
      </c>
      <c r="C2314" s="709" t="s">
        <v>819</v>
      </c>
      <c r="D2314" s="710" t="s">
        <v>868</v>
      </c>
      <c r="E2314" s="711" t="s">
        <v>831</v>
      </c>
      <c r="F2314" s="712"/>
      <c r="G2314" s="710">
        <v>20</v>
      </c>
      <c r="H2314" s="709" t="s">
        <v>807</v>
      </c>
      <c r="I2314" s="713" t="s">
        <v>859</v>
      </c>
      <c r="J2314" s="714" t="s">
        <v>802</v>
      </c>
      <c r="K2314" s="709">
        <v>3</v>
      </c>
      <c r="L2314" s="715">
        <f t="shared" si="69"/>
        <v>18.8</v>
      </c>
      <c r="M2314" s="716">
        <f t="shared" si="68"/>
        <v>56.400000000000006</v>
      </c>
    </row>
    <row r="2315" spans="2:13" s="645" customFormat="1" ht="21.75" customHeight="1">
      <c r="B2315" s="708">
        <v>44439</v>
      </c>
      <c r="C2315" s="709" t="s">
        <v>819</v>
      </c>
      <c r="D2315" s="710" t="s">
        <v>869</v>
      </c>
      <c r="E2315" s="711" t="s">
        <v>831</v>
      </c>
      <c r="F2315" s="712"/>
      <c r="G2315" s="710">
        <v>20</v>
      </c>
      <c r="H2315" s="709" t="s">
        <v>807</v>
      </c>
      <c r="I2315" s="713" t="s">
        <v>872</v>
      </c>
      <c r="J2315" s="714" t="s">
        <v>802</v>
      </c>
      <c r="K2315" s="709">
        <v>1</v>
      </c>
      <c r="L2315" s="715">
        <f t="shared" si="69"/>
        <v>18.8</v>
      </c>
      <c r="M2315" s="716">
        <f t="shared" si="68"/>
        <v>18.8</v>
      </c>
    </row>
    <row r="2316" spans="2:13" s="645" customFormat="1" ht="21.75" customHeight="1">
      <c r="B2316" s="708">
        <v>44439</v>
      </c>
      <c r="C2316" s="709" t="s">
        <v>819</v>
      </c>
      <c r="D2316" s="710" t="s">
        <v>869</v>
      </c>
      <c r="E2316" s="711" t="s">
        <v>831</v>
      </c>
      <c r="F2316" s="712"/>
      <c r="G2316" s="710">
        <v>20</v>
      </c>
      <c r="H2316" s="709" t="s">
        <v>807</v>
      </c>
      <c r="I2316" s="713" t="s">
        <v>859</v>
      </c>
      <c r="J2316" s="714" t="s">
        <v>802</v>
      </c>
      <c r="K2316" s="709">
        <v>6</v>
      </c>
      <c r="L2316" s="715">
        <f t="shared" si="69"/>
        <v>18.8</v>
      </c>
      <c r="M2316" s="716">
        <f t="shared" si="68"/>
        <v>112.80000000000001</v>
      </c>
    </row>
    <row r="2317" spans="2:13" s="645" customFormat="1" ht="21.75" customHeight="1">
      <c r="B2317" s="708">
        <v>44439</v>
      </c>
      <c r="C2317" s="709" t="s">
        <v>837</v>
      </c>
      <c r="D2317" s="710" t="s">
        <v>840</v>
      </c>
      <c r="E2317" s="711" t="s">
        <v>831</v>
      </c>
      <c r="F2317" s="712"/>
      <c r="G2317" s="710">
        <v>20</v>
      </c>
      <c r="H2317" s="709" t="s">
        <v>807</v>
      </c>
      <c r="I2317" s="713" t="s">
        <v>859</v>
      </c>
      <c r="J2317" s="714" t="s">
        <v>802</v>
      </c>
      <c r="K2317" s="709">
        <v>7</v>
      </c>
      <c r="L2317" s="715">
        <f t="shared" si="69"/>
        <v>18.8</v>
      </c>
      <c r="M2317" s="716">
        <f t="shared" si="68"/>
        <v>131.6</v>
      </c>
    </row>
    <row r="2318" spans="2:13" s="645" customFormat="1" ht="21.75" customHeight="1">
      <c r="B2318" s="708">
        <v>44439</v>
      </c>
      <c r="C2318" s="709" t="s">
        <v>837</v>
      </c>
      <c r="D2318" s="710" t="s">
        <v>840</v>
      </c>
      <c r="E2318" s="711" t="s">
        <v>831</v>
      </c>
      <c r="F2318" s="712"/>
      <c r="G2318" s="710">
        <v>20</v>
      </c>
      <c r="H2318" s="709" t="s">
        <v>807</v>
      </c>
      <c r="I2318" s="713" t="s">
        <v>863</v>
      </c>
      <c r="J2318" s="714" t="s">
        <v>802</v>
      </c>
      <c r="K2318" s="709">
        <v>2</v>
      </c>
      <c r="L2318" s="715">
        <f t="shared" si="69"/>
        <v>18.8</v>
      </c>
      <c r="M2318" s="716">
        <f t="shared" si="68"/>
        <v>37.6</v>
      </c>
    </row>
    <row r="2319" spans="2:13" s="645" customFormat="1" ht="21.75" customHeight="1">
      <c r="B2319" s="708">
        <v>44439</v>
      </c>
      <c r="C2319" s="709" t="s">
        <v>837</v>
      </c>
      <c r="D2319" s="710" t="s">
        <v>836</v>
      </c>
      <c r="E2319" s="711" t="s">
        <v>831</v>
      </c>
      <c r="F2319" s="712"/>
      <c r="G2319" s="710">
        <v>20</v>
      </c>
      <c r="H2319" s="709" t="s">
        <v>807</v>
      </c>
      <c r="I2319" s="713" t="s">
        <v>859</v>
      </c>
      <c r="J2319" s="714" t="s">
        <v>802</v>
      </c>
      <c r="K2319" s="709">
        <v>9</v>
      </c>
      <c r="L2319" s="715">
        <f t="shared" si="69"/>
        <v>18.8</v>
      </c>
      <c r="M2319" s="716">
        <f t="shared" si="68"/>
        <v>169.20000000000002</v>
      </c>
    </row>
    <row r="2320" spans="2:13" s="645" customFormat="1" ht="21.75" customHeight="1">
      <c r="B2320" s="708">
        <v>44439</v>
      </c>
      <c r="C2320" s="709" t="s">
        <v>837</v>
      </c>
      <c r="D2320" s="710" t="s">
        <v>850</v>
      </c>
      <c r="E2320" s="711" t="s">
        <v>831</v>
      </c>
      <c r="F2320" s="712"/>
      <c r="G2320" s="710">
        <v>15</v>
      </c>
      <c r="H2320" s="709" t="s">
        <v>807</v>
      </c>
      <c r="I2320" s="713" t="s">
        <v>863</v>
      </c>
      <c r="J2320" s="714" t="s">
        <v>802</v>
      </c>
      <c r="K2320" s="709">
        <v>7</v>
      </c>
      <c r="L2320" s="715">
        <f t="shared" si="69"/>
        <v>14.1</v>
      </c>
      <c r="M2320" s="716">
        <f t="shared" si="68"/>
        <v>98.7</v>
      </c>
    </row>
    <row r="2321" spans="2:13" s="645" customFormat="1" ht="21.75" customHeight="1">
      <c r="B2321" s="708">
        <v>44439</v>
      </c>
      <c r="C2321" s="709" t="s">
        <v>837</v>
      </c>
      <c r="D2321" s="710" t="s">
        <v>855</v>
      </c>
      <c r="E2321" s="711" t="s">
        <v>831</v>
      </c>
      <c r="F2321" s="712"/>
      <c r="G2321" s="710">
        <v>20</v>
      </c>
      <c r="H2321" s="709" t="s">
        <v>807</v>
      </c>
      <c r="I2321" s="713" t="s">
        <v>859</v>
      </c>
      <c r="J2321" s="714" t="s">
        <v>802</v>
      </c>
      <c r="K2321" s="709">
        <v>6</v>
      </c>
      <c r="L2321" s="715">
        <f t="shared" si="69"/>
        <v>18.8</v>
      </c>
      <c r="M2321" s="716">
        <f t="shared" si="68"/>
        <v>112.80000000000001</v>
      </c>
    </row>
    <row r="2322" spans="2:13" s="645" customFormat="1" ht="21.75" customHeight="1">
      <c r="B2322" s="708">
        <v>44439</v>
      </c>
      <c r="C2322" s="709" t="s">
        <v>837</v>
      </c>
      <c r="D2322" s="710" t="s">
        <v>868</v>
      </c>
      <c r="E2322" s="711" t="s">
        <v>831</v>
      </c>
      <c r="F2322" s="712"/>
      <c r="G2322" s="710">
        <v>20</v>
      </c>
      <c r="H2322" s="709" t="s">
        <v>807</v>
      </c>
      <c r="I2322" s="713" t="s">
        <v>863</v>
      </c>
      <c r="J2322" s="714" t="s">
        <v>802</v>
      </c>
      <c r="K2322" s="709">
        <v>4</v>
      </c>
      <c r="L2322" s="715">
        <f t="shared" si="69"/>
        <v>18.8</v>
      </c>
      <c r="M2322" s="716">
        <f t="shared" si="68"/>
        <v>75.2</v>
      </c>
    </row>
    <row r="2323" spans="2:13" s="645" customFormat="1" ht="21.75" customHeight="1">
      <c r="B2323" s="708">
        <v>44439</v>
      </c>
      <c r="C2323" s="709" t="s">
        <v>837</v>
      </c>
      <c r="D2323" s="710" t="s">
        <v>868</v>
      </c>
      <c r="E2323" s="711" t="s">
        <v>831</v>
      </c>
      <c r="F2323" s="712"/>
      <c r="G2323" s="710">
        <v>20</v>
      </c>
      <c r="H2323" s="709" t="s">
        <v>807</v>
      </c>
      <c r="I2323" s="713" t="s">
        <v>859</v>
      </c>
      <c r="J2323" s="714" t="s">
        <v>802</v>
      </c>
      <c r="K2323" s="709">
        <v>4</v>
      </c>
      <c r="L2323" s="715">
        <f t="shared" si="69"/>
        <v>18.8</v>
      </c>
      <c r="M2323" s="716">
        <f t="shared" si="68"/>
        <v>75.2</v>
      </c>
    </row>
    <row r="2324" spans="2:13" s="645" customFormat="1" ht="21.75" customHeight="1">
      <c r="B2324" s="708">
        <v>44439</v>
      </c>
      <c r="C2324" s="709" t="s">
        <v>837</v>
      </c>
      <c r="D2324" s="710" t="s">
        <v>871</v>
      </c>
      <c r="E2324" s="711" t="s">
        <v>831</v>
      </c>
      <c r="F2324" s="712"/>
      <c r="G2324" s="710">
        <v>20</v>
      </c>
      <c r="H2324" s="709" t="s">
        <v>807</v>
      </c>
      <c r="I2324" s="713" t="s">
        <v>859</v>
      </c>
      <c r="J2324" s="714" t="s">
        <v>802</v>
      </c>
      <c r="K2324" s="709">
        <v>8</v>
      </c>
      <c r="L2324" s="715">
        <f t="shared" si="69"/>
        <v>18.8</v>
      </c>
      <c r="M2324" s="716">
        <f t="shared" si="68"/>
        <v>150.4</v>
      </c>
    </row>
    <row r="2325" spans="2:13" s="645" customFormat="1" ht="21.75" customHeight="1">
      <c r="B2325" s="708">
        <v>44440</v>
      </c>
      <c r="C2325" s="709" t="s">
        <v>819</v>
      </c>
      <c r="D2325" s="710" t="s">
        <v>849</v>
      </c>
      <c r="E2325" s="711" t="s">
        <v>831</v>
      </c>
      <c r="F2325" s="712"/>
      <c r="G2325" s="710">
        <v>20</v>
      </c>
      <c r="H2325" s="709" t="s">
        <v>807</v>
      </c>
      <c r="I2325" s="713" t="s">
        <v>859</v>
      </c>
      <c r="J2325" s="714" t="s">
        <v>802</v>
      </c>
      <c r="K2325" s="709">
        <v>6</v>
      </c>
      <c r="L2325" s="715">
        <f t="shared" si="69"/>
        <v>18.8</v>
      </c>
      <c r="M2325" s="716">
        <f t="shared" si="68"/>
        <v>112.80000000000001</v>
      </c>
    </row>
    <row r="2326" spans="2:13" s="645" customFormat="1" ht="21.75" customHeight="1">
      <c r="B2326" s="708">
        <v>44440</v>
      </c>
      <c r="C2326" s="709" t="s">
        <v>819</v>
      </c>
      <c r="D2326" s="710" t="s">
        <v>849</v>
      </c>
      <c r="E2326" s="711" t="s">
        <v>831</v>
      </c>
      <c r="F2326" s="712"/>
      <c r="G2326" s="710">
        <v>20</v>
      </c>
      <c r="H2326" s="709" t="s">
        <v>807</v>
      </c>
      <c r="I2326" s="713" t="s">
        <v>857</v>
      </c>
      <c r="J2326" s="714" t="s">
        <v>802</v>
      </c>
      <c r="K2326" s="709">
        <v>4</v>
      </c>
      <c r="L2326" s="715">
        <f t="shared" si="69"/>
        <v>18.8</v>
      </c>
      <c r="M2326" s="716">
        <f t="shared" si="68"/>
        <v>75.2</v>
      </c>
    </row>
    <row r="2327" spans="2:13" s="645" customFormat="1" ht="21.75" customHeight="1">
      <c r="B2327" s="708">
        <v>44440</v>
      </c>
      <c r="C2327" s="709" t="s">
        <v>819</v>
      </c>
      <c r="D2327" s="710" t="s">
        <v>835</v>
      </c>
      <c r="E2327" s="711" t="s">
        <v>831</v>
      </c>
      <c r="F2327" s="712"/>
      <c r="G2327" s="710">
        <v>20</v>
      </c>
      <c r="H2327" s="709" t="s">
        <v>807</v>
      </c>
      <c r="I2327" s="713" t="s">
        <v>859</v>
      </c>
      <c r="J2327" s="714" t="s">
        <v>802</v>
      </c>
      <c r="K2327" s="709">
        <v>2</v>
      </c>
      <c r="L2327" s="715">
        <f t="shared" si="69"/>
        <v>18.8</v>
      </c>
      <c r="M2327" s="716">
        <f t="shared" si="68"/>
        <v>37.6</v>
      </c>
    </row>
    <row r="2328" spans="2:13" s="645" customFormat="1" ht="21.75" customHeight="1">
      <c r="B2328" s="708">
        <v>44440</v>
      </c>
      <c r="C2328" s="709" t="s">
        <v>819</v>
      </c>
      <c r="D2328" s="710" t="s">
        <v>835</v>
      </c>
      <c r="E2328" s="711" t="s">
        <v>831</v>
      </c>
      <c r="F2328" s="712"/>
      <c r="G2328" s="710">
        <v>20</v>
      </c>
      <c r="H2328" s="709" t="s">
        <v>807</v>
      </c>
      <c r="I2328" s="713" t="s">
        <v>863</v>
      </c>
      <c r="J2328" s="714" t="s">
        <v>802</v>
      </c>
      <c r="K2328" s="709">
        <v>7</v>
      </c>
      <c r="L2328" s="715">
        <f t="shared" si="69"/>
        <v>18.8</v>
      </c>
      <c r="M2328" s="716">
        <f t="shared" si="68"/>
        <v>131.6</v>
      </c>
    </row>
    <row r="2329" spans="2:13" s="645" customFormat="1" ht="21.75" customHeight="1">
      <c r="B2329" s="708">
        <v>44440</v>
      </c>
      <c r="C2329" s="709" t="s">
        <v>819</v>
      </c>
      <c r="D2329" s="710" t="s">
        <v>835</v>
      </c>
      <c r="E2329" s="711" t="s">
        <v>831</v>
      </c>
      <c r="F2329" s="712"/>
      <c r="G2329" s="710">
        <v>20</v>
      </c>
      <c r="H2329" s="709" t="s">
        <v>807</v>
      </c>
      <c r="I2329" s="713" t="s">
        <v>857</v>
      </c>
      <c r="J2329" s="714" t="s">
        <v>802</v>
      </c>
      <c r="K2329" s="709">
        <v>1</v>
      </c>
      <c r="L2329" s="715">
        <f t="shared" si="69"/>
        <v>18.8</v>
      </c>
      <c r="M2329" s="716">
        <f t="shared" si="68"/>
        <v>18.8</v>
      </c>
    </row>
    <row r="2330" spans="2:13" s="645" customFormat="1" ht="21.75" customHeight="1">
      <c r="B2330" s="708">
        <v>44440</v>
      </c>
      <c r="C2330" s="709" t="s">
        <v>819</v>
      </c>
      <c r="D2330" s="710" t="s">
        <v>841</v>
      </c>
      <c r="E2330" s="711" t="s">
        <v>831</v>
      </c>
      <c r="F2330" s="712"/>
      <c r="G2330" s="710">
        <v>20</v>
      </c>
      <c r="H2330" s="709" t="s">
        <v>807</v>
      </c>
      <c r="I2330" s="713" t="s">
        <v>857</v>
      </c>
      <c r="J2330" s="714" t="s">
        <v>802</v>
      </c>
      <c r="K2330" s="709">
        <v>2</v>
      </c>
      <c r="L2330" s="715">
        <f t="shared" si="69"/>
        <v>18.8</v>
      </c>
      <c r="M2330" s="716">
        <f t="shared" si="68"/>
        <v>37.6</v>
      </c>
    </row>
    <row r="2331" spans="2:13" s="645" customFormat="1" ht="21.75" customHeight="1">
      <c r="B2331" s="708">
        <v>44440</v>
      </c>
      <c r="C2331" s="709" t="s">
        <v>819</v>
      </c>
      <c r="D2331" s="710" t="s">
        <v>841</v>
      </c>
      <c r="E2331" s="711" t="s">
        <v>831</v>
      </c>
      <c r="F2331" s="712"/>
      <c r="G2331" s="710">
        <v>20</v>
      </c>
      <c r="H2331" s="709" t="s">
        <v>807</v>
      </c>
      <c r="I2331" s="713" t="s">
        <v>863</v>
      </c>
      <c r="J2331" s="714" t="s">
        <v>802</v>
      </c>
      <c r="K2331" s="709">
        <v>1</v>
      </c>
      <c r="L2331" s="715">
        <f t="shared" si="69"/>
        <v>18.8</v>
      </c>
      <c r="M2331" s="716">
        <f t="shared" si="68"/>
        <v>18.8</v>
      </c>
    </row>
    <row r="2332" spans="2:13" s="645" customFormat="1" ht="21.75" customHeight="1">
      <c r="B2332" s="708">
        <v>44440</v>
      </c>
      <c r="C2332" s="709" t="s">
        <v>819</v>
      </c>
      <c r="D2332" s="710" t="s">
        <v>848</v>
      </c>
      <c r="E2332" s="711" t="s">
        <v>831</v>
      </c>
      <c r="F2332" s="712"/>
      <c r="G2332" s="710">
        <v>20</v>
      </c>
      <c r="H2332" s="709" t="s">
        <v>807</v>
      </c>
      <c r="I2332" s="713" t="s">
        <v>857</v>
      </c>
      <c r="J2332" s="714" t="s">
        <v>802</v>
      </c>
      <c r="K2332" s="709">
        <v>1</v>
      </c>
      <c r="L2332" s="715">
        <f t="shared" si="69"/>
        <v>18.8</v>
      </c>
      <c r="M2332" s="716">
        <f t="shared" si="68"/>
        <v>18.8</v>
      </c>
    </row>
    <row r="2333" spans="2:13" s="645" customFormat="1" ht="21.75" customHeight="1">
      <c r="B2333" s="708">
        <v>44440</v>
      </c>
      <c r="C2333" s="709" t="s">
        <v>819</v>
      </c>
      <c r="D2333" s="710" t="s">
        <v>848</v>
      </c>
      <c r="E2333" s="711" t="s">
        <v>831</v>
      </c>
      <c r="F2333" s="712"/>
      <c r="G2333" s="710">
        <v>20</v>
      </c>
      <c r="H2333" s="709" t="s">
        <v>807</v>
      </c>
      <c r="I2333" s="713" t="s">
        <v>857</v>
      </c>
      <c r="J2333" s="714" t="s">
        <v>802</v>
      </c>
      <c r="K2333" s="709">
        <v>10</v>
      </c>
      <c r="L2333" s="715">
        <f t="shared" si="69"/>
        <v>18.8</v>
      </c>
      <c r="M2333" s="716">
        <f t="shared" si="68"/>
        <v>188</v>
      </c>
    </row>
    <row r="2334" spans="2:13" s="645" customFormat="1" ht="21.75" customHeight="1">
      <c r="B2334" s="708">
        <v>44440</v>
      </c>
      <c r="C2334" s="709" t="s">
        <v>819</v>
      </c>
      <c r="D2334" s="710" t="s">
        <v>836</v>
      </c>
      <c r="E2334" s="711" t="s">
        <v>831</v>
      </c>
      <c r="F2334" s="712"/>
      <c r="G2334" s="710">
        <v>20</v>
      </c>
      <c r="H2334" s="709" t="s">
        <v>807</v>
      </c>
      <c r="I2334" s="713" t="s">
        <v>863</v>
      </c>
      <c r="J2334" s="714" t="s">
        <v>802</v>
      </c>
      <c r="K2334" s="709">
        <v>7</v>
      </c>
      <c r="L2334" s="715">
        <f t="shared" si="69"/>
        <v>18.8</v>
      </c>
      <c r="M2334" s="716">
        <f t="shared" si="68"/>
        <v>131.6</v>
      </c>
    </row>
    <row r="2335" spans="2:13" s="645" customFormat="1" ht="21.75" customHeight="1">
      <c r="B2335" s="708">
        <v>44440</v>
      </c>
      <c r="C2335" s="709" t="s">
        <v>819</v>
      </c>
      <c r="D2335" s="710" t="s">
        <v>836</v>
      </c>
      <c r="E2335" s="711" t="s">
        <v>831</v>
      </c>
      <c r="F2335" s="712"/>
      <c r="G2335" s="710">
        <v>20</v>
      </c>
      <c r="H2335" s="709" t="s">
        <v>807</v>
      </c>
      <c r="I2335" s="713" t="s">
        <v>857</v>
      </c>
      <c r="J2335" s="714" t="s">
        <v>802</v>
      </c>
      <c r="K2335" s="709">
        <v>5</v>
      </c>
      <c r="L2335" s="715">
        <f t="shared" si="69"/>
        <v>18.8</v>
      </c>
      <c r="M2335" s="716">
        <f t="shared" si="68"/>
        <v>94</v>
      </c>
    </row>
    <row r="2336" spans="2:13" s="645" customFormat="1" ht="21.75" customHeight="1">
      <c r="B2336" s="708">
        <v>44440</v>
      </c>
      <c r="C2336" s="709" t="s">
        <v>819</v>
      </c>
      <c r="D2336" s="710" t="s">
        <v>830</v>
      </c>
      <c r="E2336" s="711" t="s">
        <v>831</v>
      </c>
      <c r="F2336" s="712"/>
      <c r="G2336" s="710">
        <v>15</v>
      </c>
      <c r="H2336" s="709" t="s">
        <v>807</v>
      </c>
      <c r="I2336" s="713" t="s">
        <v>863</v>
      </c>
      <c r="J2336" s="714" t="s">
        <v>802</v>
      </c>
      <c r="K2336" s="709">
        <v>1</v>
      </c>
      <c r="L2336" s="715">
        <f t="shared" si="69"/>
        <v>14.1</v>
      </c>
      <c r="M2336" s="716">
        <f t="shared" si="68"/>
        <v>14.1</v>
      </c>
    </row>
    <row r="2337" spans="2:13" s="645" customFormat="1" ht="21.75" customHeight="1">
      <c r="B2337" s="708">
        <v>44440</v>
      </c>
      <c r="C2337" s="709" t="s">
        <v>819</v>
      </c>
      <c r="D2337" s="710" t="s">
        <v>850</v>
      </c>
      <c r="E2337" s="711" t="s">
        <v>831</v>
      </c>
      <c r="F2337" s="712"/>
      <c r="G2337" s="710">
        <v>15</v>
      </c>
      <c r="H2337" s="709" t="s">
        <v>807</v>
      </c>
      <c r="I2337" s="713" t="s">
        <v>857</v>
      </c>
      <c r="J2337" s="714" t="s">
        <v>802</v>
      </c>
      <c r="K2337" s="709">
        <v>1</v>
      </c>
      <c r="L2337" s="715">
        <f t="shared" si="69"/>
        <v>14.1</v>
      </c>
      <c r="M2337" s="716">
        <f t="shared" si="68"/>
        <v>14.1</v>
      </c>
    </row>
    <row r="2338" spans="2:13" s="645" customFormat="1" ht="21.75" customHeight="1">
      <c r="B2338" s="708">
        <v>44440</v>
      </c>
      <c r="C2338" s="709" t="s">
        <v>819</v>
      </c>
      <c r="D2338" s="710" t="s">
        <v>867</v>
      </c>
      <c r="E2338" s="711" t="s">
        <v>831</v>
      </c>
      <c r="F2338" s="712"/>
      <c r="G2338" s="710">
        <v>20</v>
      </c>
      <c r="H2338" s="709" t="s">
        <v>807</v>
      </c>
      <c r="I2338" s="713" t="s">
        <v>863</v>
      </c>
      <c r="J2338" s="714" t="s">
        <v>802</v>
      </c>
      <c r="K2338" s="709">
        <v>11</v>
      </c>
      <c r="L2338" s="715">
        <f t="shared" si="69"/>
        <v>18.8</v>
      </c>
      <c r="M2338" s="716">
        <f t="shared" si="68"/>
        <v>206.8</v>
      </c>
    </row>
    <row r="2339" spans="2:13" s="645" customFormat="1" ht="21.75" customHeight="1">
      <c r="B2339" s="708">
        <v>44440</v>
      </c>
      <c r="C2339" s="709" t="s">
        <v>819</v>
      </c>
      <c r="D2339" s="710" t="s">
        <v>868</v>
      </c>
      <c r="E2339" s="711" t="s">
        <v>831</v>
      </c>
      <c r="F2339" s="712"/>
      <c r="G2339" s="710">
        <v>20</v>
      </c>
      <c r="H2339" s="709" t="s">
        <v>807</v>
      </c>
      <c r="I2339" s="713" t="s">
        <v>859</v>
      </c>
      <c r="J2339" s="714" t="s">
        <v>802</v>
      </c>
      <c r="K2339" s="709">
        <v>8</v>
      </c>
      <c r="L2339" s="715">
        <f t="shared" si="69"/>
        <v>18.8</v>
      </c>
      <c r="M2339" s="716">
        <f t="shared" si="68"/>
        <v>150.4</v>
      </c>
    </row>
    <row r="2340" spans="2:13" s="645" customFormat="1" ht="21.75" customHeight="1">
      <c r="B2340" s="708">
        <v>44440</v>
      </c>
      <c r="C2340" s="709" t="s">
        <v>819</v>
      </c>
      <c r="D2340" s="710" t="s">
        <v>868</v>
      </c>
      <c r="E2340" s="711" t="s">
        <v>831</v>
      </c>
      <c r="F2340" s="712"/>
      <c r="G2340" s="710">
        <v>20</v>
      </c>
      <c r="H2340" s="709" t="s">
        <v>807</v>
      </c>
      <c r="I2340" s="713" t="s">
        <v>857</v>
      </c>
      <c r="J2340" s="714" t="s">
        <v>802</v>
      </c>
      <c r="K2340" s="709">
        <v>2</v>
      </c>
      <c r="L2340" s="715">
        <f t="shared" si="69"/>
        <v>18.8</v>
      </c>
      <c r="M2340" s="716">
        <f t="shared" si="68"/>
        <v>37.6</v>
      </c>
    </row>
    <row r="2341" spans="2:13" s="645" customFormat="1" ht="21.75" customHeight="1">
      <c r="B2341" s="708">
        <v>44440</v>
      </c>
      <c r="C2341" s="709" t="s">
        <v>819</v>
      </c>
      <c r="D2341" s="710" t="s">
        <v>869</v>
      </c>
      <c r="E2341" s="711" t="s">
        <v>831</v>
      </c>
      <c r="F2341" s="712"/>
      <c r="G2341" s="710">
        <v>20</v>
      </c>
      <c r="H2341" s="709" t="s">
        <v>807</v>
      </c>
      <c r="I2341" s="713" t="s">
        <v>859</v>
      </c>
      <c r="J2341" s="714" t="s">
        <v>802</v>
      </c>
      <c r="K2341" s="709">
        <v>1</v>
      </c>
      <c r="L2341" s="715">
        <f t="shared" si="69"/>
        <v>18.8</v>
      </c>
      <c r="M2341" s="716">
        <f t="shared" si="68"/>
        <v>18.8</v>
      </c>
    </row>
    <row r="2342" spans="2:13" s="645" customFormat="1" ht="21.75" customHeight="1">
      <c r="B2342" s="708">
        <v>44440</v>
      </c>
      <c r="C2342" s="709" t="s">
        <v>819</v>
      </c>
      <c r="D2342" s="710" t="s">
        <v>869</v>
      </c>
      <c r="E2342" s="711" t="s">
        <v>831</v>
      </c>
      <c r="F2342" s="712"/>
      <c r="G2342" s="710">
        <v>20</v>
      </c>
      <c r="H2342" s="709" t="s">
        <v>807</v>
      </c>
      <c r="I2342" s="713" t="s">
        <v>872</v>
      </c>
      <c r="J2342" s="714" t="s">
        <v>802</v>
      </c>
      <c r="K2342" s="709">
        <v>10</v>
      </c>
      <c r="L2342" s="715">
        <f t="shared" si="69"/>
        <v>18.8</v>
      </c>
      <c r="M2342" s="716">
        <f t="shared" si="68"/>
        <v>188</v>
      </c>
    </row>
    <row r="2343" spans="2:13" s="645" customFormat="1" ht="21.75" customHeight="1">
      <c r="B2343" s="708">
        <v>44440</v>
      </c>
      <c r="C2343" s="709" t="s">
        <v>819</v>
      </c>
      <c r="D2343" s="710" t="s">
        <v>870</v>
      </c>
      <c r="E2343" s="711" t="s">
        <v>831</v>
      </c>
      <c r="F2343" s="712"/>
      <c r="G2343" s="710">
        <v>20</v>
      </c>
      <c r="H2343" s="709" t="s">
        <v>807</v>
      </c>
      <c r="I2343" s="713" t="s">
        <v>863</v>
      </c>
      <c r="J2343" s="714" t="s">
        <v>802</v>
      </c>
      <c r="K2343" s="709">
        <v>9</v>
      </c>
      <c r="L2343" s="715">
        <f t="shared" si="69"/>
        <v>18.8</v>
      </c>
      <c r="M2343" s="716">
        <f t="shared" ref="M2343:M2406" si="70">L2343*K2343</f>
        <v>169.20000000000002</v>
      </c>
    </row>
    <row r="2344" spans="2:13" s="645" customFormat="1" ht="21.75" customHeight="1">
      <c r="B2344" s="708">
        <v>44440</v>
      </c>
      <c r="C2344" s="709" t="s">
        <v>819</v>
      </c>
      <c r="D2344" s="710" t="s">
        <v>870</v>
      </c>
      <c r="E2344" s="711" t="s">
        <v>831</v>
      </c>
      <c r="F2344" s="712"/>
      <c r="G2344" s="710">
        <v>20</v>
      </c>
      <c r="H2344" s="709" t="s">
        <v>807</v>
      </c>
      <c r="I2344" s="713" t="s">
        <v>857</v>
      </c>
      <c r="J2344" s="714" t="s">
        <v>802</v>
      </c>
      <c r="K2344" s="709">
        <v>1</v>
      </c>
      <c r="L2344" s="715">
        <f t="shared" si="69"/>
        <v>18.8</v>
      </c>
      <c r="M2344" s="716">
        <f t="shared" si="70"/>
        <v>18.8</v>
      </c>
    </row>
    <row r="2345" spans="2:13" s="645" customFormat="1" ht="21.75" customHeight="1">
      <c r="B2345" s="708">
        <v>44440</v>
      </c>
      <c r="C2345" s="709" t="s">
        <v>819</v>
      </c>
      <c r="D2345" s="710" t="s">
        <v>870</v>
      </c>
      <c r="E2345" s="711" t="s">
        <v>831</v>
      </c>
      <c r="F2345" s="712"/>
      <c r="G2345" s="710">
        <v>20</v>
      </c>
      <c r="H2345" s="709" t="s">
        <v>807</v>
      </c>
      <c r="I2345" s="713" t="s">
        <v>859</v>
      </c>
      <c r="J2345" s="714" t="s">
        <v>802</v>
      </c>
      <c r="K2345" s="709">
        <v>1</v>
      </c>
      <c r="L2345" s="715">
        <f t="shared" si="69"/>
        <v>18.8</v>
      </c>
      <c r="M2345" s="716">
        <f t="shared" si="70"/>
        <v>18.8</v>
      </c>
    </row>
    <row r="2346" spans="2:13" s="645" customFormat="1" ht="21.75" customHeight="1">
      <c r="B2346" s="708">
        <v>44440</v>
      </c>
      <c r="C2346" s="709" t="s">
        <v>819</v>
      </c>
      <c r="D2346" s="710" t="s">
        <v>871</v>
      </c>
      <c r="E2346" s="711" t="s">
        <v>831</v>
      </c>
      <c r="F2346" s="712"/>
      <c r="G2346" s="710">
        <v>15</v>
      </c>
      <c r="H2346" s="709" t="s">
        <v>807</v>
      </c>
      <c r="I2346" s="713" t="s">
        <v>857</v>
      </c>
      <c r="J2346" s="714" t="s">
        <v>802</v>
      </c>
      <c r="K2346" s="709">
        <v>1</v>
      </c>
      <c r="L2346" s="715">
        <f t="shared" si="69"/>
        <v>14.1</v>
      </c>
      <c r="M2346" s="716">
        <f t="shared" si="70"/>
        <v>14.1</v>
      </c>
    </row>
    <row r="2347" spans="2:13" s="645" customFormat="1" ht="21.75" customHeight="1">
      <c r="B2347" s="708">
        <v>44440</v>
      </c>
      <c r="C2347" s="709" t="s">
        <v>837</v>
      </c>
      <c r="D2347" s="710" t="s">
        <v>849</v>
      </c>
      <c r="E2347" s="711" t="s">
        <v>831</v>
      </c>
      <c r="F2347" s="712"/>
      <c r="G2347" s="710">
        <v>20</v>
      </c>
      <c r="H2347" s="709" t="s">
        <v>807</v>
      </c>
      <c r="I2347" s="713" t="s">
        <v>863</v>
      </c>
      <c r="J2347" s="714" t="s">
        <v>802</v>
      </c>
      <c r="K2347" s="709">
        <v>1</v>
      </c>
      <c r="L2347" s="715">
        <f t="shared" si="69"/>
        <v>18.8</v>
      </c>
      <c r="M2347" s="716">
        <f t="shared" si="70"/>
        <v>18.8</v>
      </c>
    </row>
    <row r="2348" spans="2:13" s="645" customFormat="1" ht="21.75" customHeight="1">
      <c r="B2348" s="708">
        <v>44440</v>
      </c>
      <c r="C2348" s="709" t="s">
        <v>837</v>
      </c>
      <c r="D2348" s="710" t="s">
        <v>840</v>
      </c>
      <c r="E2348" s="711" t="s">
        <v>831</v>
      </c>
      <c r="F2348" s="712"/>
      <c r="G2348" s="710">
        <v>20</v>
      </c>
      <c r="H2348" s="709" t="s">
        <v>807</v>
      </c>
      <c r="I2348" s="713" t="s">
        <v>863</v>
      </c>
      <c r="J2348" s="714" t="s">
        <v>802</v>
      </c>
      <c r="K2348" s="709">
        <v>4</v>
      </c>
      <c r="L2348" s="715">
        <f t="shared" si="69"/>
        <v>18.8</v>
      </c>
      <c r="M2348" s="716">
        <f t="shared" si="70"/>
        <v>75.2</v>
      </c>
    </row>
    <row r="2349" spans="2:13" s="645" customFormat="1" ht="21.75" customHeight="1">
      <c r="B2349" s="708">
        <v>44440</v>
      </c>
      <c r="C2349" s="709" t="s">
        <v>837</v>
      </c>
      <c r="D2349" s="710" t="s">
        <v>848</v>
      </c>
      <c r="E2349" s="711" t="s">
        <v>831</v>
      </c>
      <c r="F2349" s="712"/>
      <c r="G2349" s="710">
        <v>20</v>
      </c>
      <c r="H2349" s="709" t="s">
        <v>807</v>
      </c>
      <c r="I2349" s="713" t="s">
        <v>857</v>
      </c>
      <c r="J2349" s="714" t="s">
        <v>802</v>
      </c>
      <c r="K2349" s="709">
        <v>1</v>
      </c>
      <c r="L2349" s="715">
        <f t="shared" si="69"/>
        <v>18.8</v>
      </c>
      <c r="M2349" s="716">
        <f t="shared" si="70"/>
        <v>18.8</v>
      </c>
    </row>
    <row r="2350" spans="2:13" s="645" customFormat="1" ht="21.75" customHeight="1">
      <c r="B2350" s="708">
        <v>44440</v>
      </c>
      <c r="C2350" s="709" t="s">
        <v>837</v>
      </c>
      <c r="D2350" s="710" t="s">
        <v>836</v>
      </c>
      <c r="E2350" s="711" t="s">
        <v>831</v>
      </c>
      <c r="F2350" s="712"/>
      <c r="G2350" s="710">
        <v>20</v>
      </c>
      <c r="H2350" s="709" t="s">
        <v>807</v>
      </c>
      <c r="I2350" s="713" t="s">
        <v>863</v>
      </c>
      <c r="J2350" s="714" t="s">
        <v>802</v>
      </c>
      <c r="K2350" s="709">
        <v>9</v>
      </c>
      <c r="L2350" s="715">
        <f t="shared" si="69"/>
        <v>18.8</v>
      </c>
      <c r="M2350" s="716">
        <f t="shared" si="70"/>
        <v>169.20000000000002</v>
      </c>
    </row>
    <row r="2351" spans="2:13" s="645" customFormat="1" ht="21.75" customHeight="1">
      <c r="B2351" s="708">
        <v>44440</v>
      </c>
      <c r="C2351" s="709" t="s">
        <v>837</v>
      </c>
      <c r="D2351" s="710" t="s">
        <v>830</v>
      </c>
      <c r="E2351" s="711" t="s">
        <v>831</v>
      </c>
      <c r="F2351" s="712"/>
      <c r="G2351" s="710">
        <v>15</v>
      </c>
      <c r="H2351" s="709" t="s">
        <v>807</v>
      </c>
      <c r="I2351" s="713" t="s">
        <v>859</v>
      </c>
      <c r="J2351" s="714" t="s">
        <v>802</v>
      </c>
      <c r="K2351" s="709">
        <v>1</v>
      </c>
      <c r="L2351" s="715">
        <f t="shared" si="69"/>
        <v>14.1</v>
      </c>
      <c r="M2351" s="716">
        <f t="shared" si="70"/>
        <v>14.1</v>
      </c>
    </row>
    <row r="2352" spans="2:13" s="645" customFormat="1" ht="21.75" customHeight="1">
      <c r="B2352" s="708">
        <v>44440</v>
      </c>
      <c r="C2352" s="709" t="s">
        <v>837</v>
      </c>
      <c r="D2352" s="710" t="s">
        <v>830</v>
      </c>
      <c r="E2352" s="711" t="s">
        <v>831</v>
      </c>
      <c r="F2352" s="712"/>
      <c r="G2352" s="710">
        <v>15</v>
      </c>
      <c r="H2352" s="709" t="s">
        <v>807</v>
      </c>
      <c r="I2352" s="713" t="s">
        <v>863</v>
      </c>
      <c r="J2352" s="714" t="s">
        <v>802</v>
      </c>
      <c r="K2352" s="709">
        <v>7</v>
      </c>
      <c r="L2352" s="715">
        <f t="shared" si="69"/>
        <v>14.1</v>
      </c>
      <c r="M2352" s="716">
        <f t="shared" si="70"/>
        <v>98.7</v>
      </c>
    </row>
    <row r="2353" spans="2:13" s="645" customFormat="1" ht="21.75" customHeight="1">
      <c r="B2353" s="708">
        <v>44440</v>
      </c>
      <c r="C2353" s="709" t="s">
        <v>837</v>
      </c>
      <c r="D2353" s="710" t="s">
        <v>850</v>
      </c>
      <c r="E2353" s="711" t="s">
        <v>831</v>
      </c>
      <c r="F2353" s="712"/>
      <c r="G2353" s="710">
        <v>15</v>
      </c>
      <c r="H2353" s="709" t="s">
        <v>807</v>
      </c>
      <c r="I2353" s="713" t="s">
        <v>859</v>
      </c>
      <c r="J2353" s="714" t="s">
        <v>802</v>
      </c>
      <c r="K2353" s="709">
        <v>10</v>
      </c>
      <c r="L2353" s="715">
        <f t="shared" si="69"/>
        <v>14.1</v>
      </c>
      <c r="M2353" s="716">
        <f t="shared" si="70"/>
        <v>141</v>
      </c>
    </row>
    <row r="2354" spans="2:13" s="645" customFormat="1" ht="21.75" customHeight="1">
      <c r="B2354" s="708">
        <v>44440</v>
      </c>
      <c r="C2354" s="709" t="s">
        <v>837</v>
      </c>
      <c r="D2354" s="710" t="s">
        <v>847</v>
      </c>
      <c r="E2354" s="711" t="s">
        <v>831</v>
      </c>
      <c r="F2354" s="712"/>
      <c r="G2354" s="710">
        <v>17</v>
      </c>
      <c r="H2354" s="709" t="s">
        <v>807</v>
      </c>
      <c r="I2354" s="713" t="s">
        <v>859</v>
      </c>
      <c r="J2354" s="714" t="s">
        <v>802</v>
      </c>
      <c r="K2354" s="709">
        <v>3</v>
      </c>
      <c r="L2354" s="715">
        <f t="shared" si="69"/>
        <v>15.98</v>
      </c>
      <c r="M2354" s="716">
        <f t="shared" si="70"/>
        <v>47.94</v>
      </c>
    </row>
    <row r="2355" spans="2:13" s="645" customFormat="1" ht="21.75" customHeight="1">
      <c r="B2355" s="708">
        <v>44440</v>
      </c>
      <c r="C2355" s="709" t="s">
        <v>837</v>
      </c>
      <c r="D2355" s="710" t="s">
        <v>847</v>
      </c>
      <c r="E2355" s="711" t="s">
        <v>831</v>
      </c>
      <c r="F2355" s="712"/>
      <c r="G2355" s="710">
        <v>17</v>
      </c>
      <c r="H2355" s="709" t="s">
        <v>807</v>
      </c>
      <c r="I2355" s="713" t="s">
        <v>863</v>
      </c>
      <c r="J2355" s="714" t="s">
        <v>802</v>
      </c>
      <c r="K2355" s="709">
        <v>7</v>
      </c>
      <c r="L2355" s="715">
        <f t="shared" si="69"/>
        <v>15.98</v>
      </c>
      <c r="M2355" s="716">
        <f t="shared" si="70"/>
        <v>111.86</v>
      </c>
    </row>
    <row r="2356" spans="2:13" s="645" customFormat="1" ht="21.75" customHeight="1">
      <c r="B2356" s="708">
        <v>44440</v>
      </c>
      <c r="C2356" s="709" t="s">
        <v>837</v>
      </c>
      <c r="D2356" s="710" t="s">
        <v>855</v>
      </c>
      <c r="E2356" s="711" t="s">
        <v>831</v>
      </c>
      <c r="F2356" s="712"/>
      <c r="G2356" s="710">
        <v>20</v>
      </c>
      <c r="H2356" s="709" t="s">
        <v>807</v>
      </c>
      <c r="I2356" s="713" t="s">
        <v>859</v>
      </c>
      <c r="J2356" s="714" t="s">
        <v>802</v>
      </c>
      <c r="K2356" s="709">
        <v>2</v>
      </c>
      <c r="L2356" s="715">
        <f t="shared" si="69"/>
        <v>18.8</v>
      </c>
      <c r="M2356" s="716">
        <f t="shared" si="70"/>
        <v>37.6</v>
      </c>
    </row>
    <row r="2357" spans="2:13" s="645" customFormat="1" ht="21.75" customHeight="1">
      <c r="B2357" s="708">
        <v>44440</v>
      </c>
      <c r="C2357" s="709" t="s">
        <v>837</v>
      </c>
      <c r="D2357" s="710" t="s">
        <v>855</v>
      </c>
      <c r="E2357" s="711" t="s">
        <v>831</v>
      </c>
      <c r="F2357" s="712"/>
      <c r="G2357" s="710">
        <v>20</v>
      </c>
      <c r="H2357" s="709" t="s">
        <v>807</v>
      </c>
      <c r="I2357" s="713" t="s">
        <v>863</v>
      </c>
      <c r="J2357" s="714" t="s">
        <v>802</v>
      </c>
      <c r="K2357" s="709">
        <v>6</v>
      </c>
      <c r="L2357" s="715">
        <f t="shared" si="69"/>
        <v>18.8</v>
      </c>
      <c r="M2357" s="716">
        <f t="shared" si="70"/>
        <v>112.80000000000001</v>
      </c>
    </row>
    <row r="2358" spans="2:13" s="645" customFormat="1" ht="21.75" customHeight="1">
      <c r="B2358" s="708">
        <v>44440</v>
      </c>
      <c r="C2358" s="709" t="s">
        <v>837</v>
      </c>
      <c r="D2358" s="710" t="s">
        <v>867</v>
      </c>
      <c r="E2358" s="711" t="s">
        <v>831</v>
      </c>
      <c r="F2358" s="712"/>
      <c r="G2358" s="710">
        <v>20</v>
      </c>
      <c r="H2358" s="709" t="s">
        <v>807</v>
      </c>
      <c r="I2358" s="713" t="s">
        <v>863</v>
      </c>
      <c r="J2358" s="714" t="s">
        <v>802</v>
      </c>
      <c r="K2358" s="709">
        <v>6</v>
      </c>
      <c r="L2358" s="715">
        <f t="shared" si="69"/>
        <v>18.8</v>
      </c>
      <c r="M2358" s="716">
        <f t="shared" si="70"/>
        <v>112.80000000000001</v>
      </c>
    </row>
    <row r="2359" spans="2:13" s="645" customFormat="1" ht="21.75" customHeight="1">
      <c r="B2359" s="708">
        <v>44440</v>
      </c>
      <c r="C2359" s="709" t="s">
        <v>837</v>
      </c>
      <c r="D2359" s="710" t="s">
        <v>868</v>
      </c>
      <c r="E2359" s="711" t="s">
        <v>831</v>
      </c>
      <c r="F2359" s="712"/>
      <c r="G2359" s="710">
        <v>20</v>
      </c>
      <c r="H2359" s="709" t="s">
        <v>807</v>
      </c>
      <c r="I2359" s="713" t="s">
        <v>863</v>
      </c>
      <c r="J2359" s="714" t="s">
        <v>802</v>
      </c>
      <c r="K2359" s="709">
        <v>8</v>
      </c>
      <c r="L2359" s="715">
        <f t="shared" si="69"/>
        <v>18.8</v>
      </c>
      <c r="M2359" s="716">
        <f t="shared" si="70"/>
        <v>150.4</v>
      </c>
    </row>
    <row r="2360" spans="2:13" s="645" customFormat="1" ht="21.75" customHeight="1">
      <c r="B2360" s="708">
        <v>44440</v>
      </c>
      <c r="C2360" s="709" t="s">
        <v>837</v>
      </c>
      <c r="D2360" s="710" t="s">
        <v>868</v>
      </c>
      <c r="E2360" s="711" t="s">
        <v>831</v>
      </c>
      <c r="F2360" s="712"/>
      <c r="G2360" s="710">
        <v>20</v>
      </c>
      <c r="H2360" s="709" t="s">
        <v>807</v>
      </c>
      <c r="I2360" s="713" t="s">
        <v>859</v>
      </c>
      <c r="J2360" s="714" t="s">
        <v>802</v>
      </c>
      <c r="K2360" s="709">
        <v>1</v>
      </c>
      <c r="L2360" s="715">
        <f t="shared" si="69"/>
        <v>18.8</v>
      </c>
      <c r="M2360" s="716">
        <f t="shared" si="70"/>
        <v>18.8</v>
      </c>
    </row>
    <row r="2361" spans="2:13" s="645" customFormat="1" ht="21.75" customHeight="1">
      <c r="B2361" s="708">
        <v>44440</v>
      </c>
      <c r="C2361" s="709" t="s">
        <v>837</v>
      </c>
      <c r="D2361" s="710" t="s">
        <v>871</v>
      </c>
      <c r="E2361" s="711" t="s">
        <v>831</v>
      </c>
      <c r="F2361" s="712"/>
      <c r="G2361" s="710">
        <v>20</v>
      </c>
      <c r="H2361" s="709" t="s">
        <v>807</v>
      </c>
      <c r="I2361" s="713" t="s">
        <v>859</v>
      </c>
      <c r="J2361" s="714" t="s">
        <v>802</v>
      </c>
      <c r="K2361" s="709">
        <v>3</v>
      </c>
      <c r="L2361" s="715">
        <f t="shared" si="69"/>
        <v>18.8</v>
      </c>
      <c r="M2361" s="716">
        <f t="shared" si="70"/>
        <v>56.400000000000006</v>
      </c>
    </row>
    <row r="2362" spans="2:13" s="645" customFormat="1" ht="21.75" customHeight="1">
      <c r="B2362" s="708">
        <v>44440</v>
      </c>
      <c r="C2362" s="709" t="s">
        <v>837</v>
      </c>
      <c r="D2362" s="710" t="s">
        <v>871</v>
      </c>
      <c r="E2362" s="711" t="s">
        <v>831</v>
      </c>
      <c r="F2362" s="712"/>
      <c r="G2362" s="710">
        <v>20</v>
      </c>
      <c r="H2362" s="709" t="s">
        <v>807</v>
      </c>
      <c r="I2362" s="713" t="s">
        <v>863</v>
      </c>
      <c r="J2362" s="714" t="s">
        <v>802</v>
      </c>
      <c r="K2362" s="709">
        <v>5</v>
      </c>
      <c r="L2362" s="715">
        <f t="shared" si="69"/>
        <v>18.8</v>
      </c>
      <c r="M2362" s="716">
        <f t="shared" si="70"/>
        <v>94</v>
      </c>
    </row>
    <row r="2363" spans="2:13" s="645" customFormat="1" ht="21.75" customHeight="1">
      <c r="B2363" s="708">
        <v>44441</v>
      </c>
      <c r="C2363" s="709" t="s">
        <v>819</v>
      </c>
      <c r="D2363" s="710" t="s">
        <v>849</v>
      </c>
      <c r="E2363" s="711" t="s">
        <v>831</v>
      </c>
      <c r="F2363" s="712"/>
      <c r="G2363" s="710">
        <v>20</v>
      </c>
      <c r="H2363" s="709" t="s">
        <v>807</v>
      </c>
      <c r="I2363" s="713" t="s">
        <v>859</v>
      </c>
      <c r="J2363" s="714" t="s">
        <v>802</v>
      </c>
      <c r="K2363" s="709">
        <v>4</v>
      </c>
      <c r="L2363" s="715">
        <f t="shared" si="69"/>
        <v>18.8</v>
      </c>
      <c r="M2363" s="716">
        <f t="shared" si="70"/>
        <v>75.2</v>
      </c>
    </row>
    <row r="2364" spans="2:13" s="645" customFormat="1" ht="21.75" customHeight="1">
      <c r="B2364" s="708">
        <v>44441</v>
      </c>
      <c r="C2364" s="709" t="s">
        <v>819</v>
      </c>
      <c r="D2364" s="710" t="s">
        <v>849</v>
      </c>
      <c r="E2364" s="711" t="s">
        <v>831</v>
      </c>
      <c r="F2364" s="712"/>
      <c r="G2364" s="710">
        <v>20</v>
      </c>
      <c r="H2364" s="709" t="s">
        <v>807</v>
      </c>
      <c r="I2364" s="713" t="s">
        <v>863</v>
      </c>
      <c r="J2364" s="714" t="s">
        <v>802</v>
      </c>
      <c r="K2364" s="709">
        <v>7</v>
      </c>
      <c r="L2364" s="715">
        <f t="shared" si="69"/>
        <v>18.8</v>
      </c>
      <c r="M2364" s="716">
        <f t="shared" si="70"/>
        <v>131.6</v>
      </c>
    </row>
    <row r="2365" spans="2:13" s="645" customFormat="1" ht="21.75" customHeight="1">
      <c r="B2365" s="708">
        <v>44441</v>
      </c>
      <c r="C2365" s="709" t="s">
        <v>819</v>
      </c>
      <c r="D2365" s="710" t="s">
        <v>841</v>
      </c>
      <c r="E2365" s="711" t="s">
        <v>831</v>
      </c>
      <c r="F2365" s="712"/>
      <c r="G2365" s="710">
        <v>20</v>
      </c>
      <c r="H2365" s="709" t="s">
        <v>807</v>
      </c>
      <c r="I2365" s="713" t="s">
        <v>859</v>
      </c>
      <c r="J2365" s="714" t="s">
        <v>802</v>
      </c>
      <c r="K2365" s="709">
        <v>4</v>
      </c>
      <c r="L2365" s="715">
        <f t="shared" si="69"/>
        <v>18.8</v>
      </c>
      <c r="M2365" s="716">
        <f t="shared" si="70"/>
        <v>75.2</v>
      </c>
    </row>
    <row r="2366" spans="2:13" s="645" customFormat="1" ht="21.75" customHeight="1">
      <c r="B2366" s="708">
        <v>44441</v>
      </c>
      <c r="C2366" s="709" t="s">
        <v>819</v>
      </c>
      <c r="D2366" s="710" t="s">
        <v>841</v>
      </c>
      <c r="E2366" s="711" t="s">
        <v>831</v>
      </c>
      <c r="F2366" s="712"/>
      <c r="G2366" s="710">
        <v>20</v>
      </c>
      <c r="H2366" s="709" t="s">
        <v>807</v>
      </c>
      <c r="I2366" s="713" t="s">
        <v>863</v>
      </c>
      <c r="J2366" s="714" t="s">
        <v>802</v>
      </c>
      <c r="K2366" s="709">
        <v>6</v>
      </c>
      <c r="L2366" s="715">
        <f t="shared" si="69"/>
        <v>18.8</v>
      </c>
      <c r="M2366" s="716">
        <f t="shared" si="70"/>
        <v>112.80000000000001</v>
      </c>
    </row>
    <row r="2367" spans="2:13" s="645" customFormat="1" ht="21.75" customHeight="1">
      <c r="B2367" s="708">
        <v>44441</v>
      </c>
      <c r="C2367" s="709" t="s">
        <v>819</v>
      </c>
      <c r="D2367" s="710" t="s">
        <v>834</v>
      </c>
      <c r="E2367" s="711" t="s">
        <v>831</v>
      </c>
      <c r="F2367" s="712"/>
      <c r="G2367" s="710">
        <v>20</v>
      </c>
      <c r="H2367" s="709" t="s">
        <v>807</v>
      </c>
      <c r="I2367" s="713" t="s">
        <v>859</v>
      </c>
      <c r="J2367" s="714" t="s">
        <v>802</v>
      </c>
      <c r="K2367" s="709">
        <v>1</v>
      </c>
      <c r="L2367" s="715">
        <f t="shared" si="69"/>
        <v>18.8</v>
      </c>
      <c r="M2367" s="716">
        <f t="shared" si="70"/>
        <v>18.8</v>
      </c>
    </row>
    <row r="2368" spans="2:13" s="645" customFormat="1" ht="21.75" customHeight="1">
      <c r="B2368" s="708">
        <v>44441</v>
      </c>
      <c r="C2368" s="709" t="s">
        <v>819</v>
      </c>
      <c r="D2368" s="710" t="s">
        <v>836</v>
      </c>
      <c r="E2368" s="711" t="s">
        <v>831</v>
      </c>
      <c r="F2368" s="712"/>
      <c r="G2368" s="710">
        <v>20</v>
      </c>
      <c r="H2368" s="709" t="s">
        <v>807</v>
      </c>
      <c r="I2368" s="713" t="s">
        <v>859</v>
      </c>
      <c r="J2368" s="714" t="s">
        <v>802</v>
      </c>
      <c r="K2368" s="709">
        <v>8</v>
      </c>
      <c r="L2368" s="715">
        <f t="shared" si="69"/>
        <v>18.8</v>
      </c>
      <c r="M2368" s="716">
        <f t="shared" si="70"/>
        <v>150.4</v>
      </c>
    </row>
    <row r="2369" spans="2:13" s="645" customFormat="1" ht="21.75" customHeight="1">
      <c r="B2369" s="708">
        <v>44441</v>
      </c>
      <c r="C2369" s="709" t="s">
        <v>819</v>
      </c>
      <c r="D2369" s="710" t="s">
        <v>836</v>
      </c>
      <c r="E2369" s="711" t="s">
        <v>831</v>
      </c>
      <c r="F2369" s="712"/>
      <c r="G2369" s="710">
        <v>20</v>
      </c>
      <c r="H2369" s="709" t="s">
        <v>807</v>
      </c>
      <c r="I2369" s="713" t="s">
        <v>863</v>
      </c>
      <c r="J2369" s="714" t="s">
        <v>802</v>
      </c>
      <c r="K2369" s="709">
        <v>4</v>
      </c>
      <c r="L2369" s="715">
        <f t="shared" si="69"/>
        <v>18.8</v>
      </c>
      <c r="M2369" s="716">
        <f t="shared" si="70"/>
        <v>75.2</v>
      </c>
    </row>
    <row r="2370" spans="2:13" s="645" customFormat="1" ht="21.75" customHeight="1">
      <c r="B2370" s="708">
        <v>44441</v>
      </c>
      <c r="C2370" s="709" t="s">
        <v>819</v>
      </c>
      <c r="D2370" s="710" t="s">
        <v>830</v>
      </c>
      <c r="E2370" s="711" t="s">
        <v>831</v>
      </c>
      <c r="F2370" s="712"/>
      <c r="G2370" s="710">
        <v>15</v>
      </c>
      <c r="H2370" s="709" t="s">
        <v>807</v>
      </c>
      <c r="I2370" s="713" t="s">
        <v>859</v>
      </c>
      <c r="J2370" s="714" t="s">
        <v>802</v>
      </c>
      <c r="K2370" s="709">
        <v>4</v>
      </c>
      <c r="L2370" s="715">
        <f t="shared" si="69"/>
        <v>14.1</v>
      </c>
      <c r="M2370" s="716">
        <f t="shared" si="70"/>
        <v>56.4</v>
      </c>
    </row>
    <row r="2371" spans="2:13" s="645" customFormat="1" ht="21.75" customHeight="1">
      <c r="B2371" s="708">
        <v>44441</v>
      </c>
      <c r="C2371" s="709" t="s">
        <v>819</v>
      </c>
      <c r="D2371" s="710" t="s">
        <v>830</v>
      </c>
      <c r="E2371" s="711" t="s">
        <v>831</v>
      </c>
      <c r="F2371" s="712"/>
      <c r="G2371" s="710">
        <v>15</v>
      </c>
      <c r="H2371" s="709" t="s">
        <v>807</v>
      </c>
      <c r="I2371" s="713" t="s">
        <v>863</v>
      </c>
      <c r="J2371" s="714" t="s">
        <v>802</v>
      </c>
      <c r="K2371" s="709">
        <v>3</v>
      </c>
      <c r="L2371" s="715">
        <f t="shared" si="69"/>
        <v>14.1</v>
      </c>
      <c r="M2371" s="716">
        <f t="shared" si="70"/>
        <v>42.3</v>
      </c>
    </row>
    <row r="2372" spans="2:13" s="645" customFormat="1" ht="21.75" customHeight="1">
      <c r="B2372" s="708">
        <v>44441</v>
      </c>
      <c r="C2372" s="709" t="s">
        <v>819</v>
      </c>
      <c r="D2372" s="710" t="s">
        <v>855</v>
      </c>
      <c r="E2372" s="711" t="s">
        <v>831</v>
      </c>
      <c r="F2372" s="712"/>
      <c r="G2372" s="710">
        <v>20</v>
      </c>
      <c r="H2372" s="709" t="s">
        <v>807</v>
      </c>
      <c r="I2372" s="713" t="s">
        <v>863</v>
      </c>
      <c r="J2372" s="714" t="s">
        <v>802</v>
      </c>
      <c r="K2372" s="709">
        <v>2</v>
      </c>
      <c r="L2372" s="715">
        <f t="shared" si="69"/>
        <v>18.8</v>
      </c>
      <c r="M2372" s="716">
        <f t="shared" si="70"/>
        <v>37.6</v>
      </c>
    </row>
    <row r="2373" spans="2:13" s="645" customFormat="1" ht="21.75" customHeight="1">
      <c r="B2373" s="708">
        <v>44441</v>
      </c>
      <c r="C2373" s="709" t="s">
        <v>819</v>
      </c>
      <c r="D2373" s="710" t="s">
        <v>867</v>
      </c>
      <c r="E2373" s="711" t="s">
        <v>831</v>
      </c>
      <c r="F2373" s="712"/>
      <c r="G2373" s="710">
        <v>20</v>
      </c>
      <c r="H2373" s="709" t="s">
        <v>807</v>
      </c>
      <c r="I2373" s="713" t="s">
        <v>859</v>
      </c>
      <c r="J2373" s="714" t="s">
        <v>802</v>
      </c>
      <c r="K2373" s="709">
        <v>10</v>
      </c>
      <c r="L2373" s="715">
        <f t="shared" si="69"/>
        <v>18.8</v>
      </c>
      <c r="M2373" s="716">
        <f t="shared" si="70"/>
        <v>188</v>
      </c>
    </row>
    <row r="2374" spans="2:13" s="645" customFormat="1" ht="21.75" customHeight="1">
      <c r="B2374" s="708">
        <v>44441</v>
      </c>
      <c r="C2374" s="709" t="s">
        <v>819</v>
      </c>
      <c r="D2374" s="710" t="s">
        <v>868</v>
      </c>
      <c r="E2374" s="711" t="s">
        <v>831</v>
      </c>
      <c r="F2374" s="712"/>
      <c r="G2374" s="710">
        <v>20</v>
      </c>
      <c r="H2374" s="709" t="s">
        <v>807</v>
      </c>
      <c r="I2374" s="713" t="s">
        <v>857</v>
      </c>
      <c r="J2374" s="714" t="s">
        <v>802</v>
      </c>
      <c r="K2374" s="709">
        <v>10</v>
      </c>
      <c r="L2374" s="715">
        <f t="shared" si="69"/>
        <v>18.8</v>
      </c>
      <c r="M2374" s="716">
        <f t="shared" si="70"/>
        <v>188</v>
      </c>
    </row>
    <row r="2375" spans="2:13" s="645" customFormat="1" ht="21.75" customHeight="1">
      <c r="B2375" s="708">
        <v>44441</v>
      </c>
      <c r="C2375" s="709" t="s">
        <v>819</v>
      </c>
      <c r="D2375" s="710" t="s">
        <v>869</v>
      </c>
      <c r="E2375" s="711" t="s">
        <v>831</v>
      </c>
      <c r="F2375" s="712"/>
      <c r="G2375" s="710">
        <v>20</v>
      </c>
      <c r="H2375" s="709" t="s">
        <v>807</v>
      </c>
      <c r="I2375" s="713" t="s">
        <v>859</v>
      </c>
      <c r="J2375" s="714" t="s">
        <v>802</v>
      </c>
      <c r="K2375" s="709">
        <v>11</v>
      </c>
      <c r="L2375" s="715">
        <f t="shared" si="69"/>
        <v>18.8</v>
      </c>
      <c r="M2375" s="716">
        <f t="shared" si="70"/>
        <v>206.8</v>
      </c>
    </row>
    <row r="2376" spans="2:13" s="645" customFormat="1" ht="21.75" customHeight="1">
      <c r="B2376" s="708">
        <v>44441</v>
      </c>
      <c r="C2376" s="709" t="s">
        <v>819</v>
      </c>
      <c r="D2376" s="710" t="s">
        <v>869</v>
      </c>
      <c r="E2376" s="711" t="s">
        <v>831</v>
      </c>
      <c r="F2376" s="712"/>
      <c r="G2376" s="710">
        <v>20</v>
      </c>
      <c r="H2376" s="709" t="s">
        <v>807</v>
      </c>
      <c r="I2376" s="713" t="s">
        <v>872</v>
      </c>
      <c r="J2376" s="714" t="s">
        <v>802</v>
      </c>
      <c r="K2376" s="709">
        <v>1</v>
      </c>
      <c r="L2376" s="715">
        <f t="shared" si="69"/>
        <v>18.8</v>
      </c>
      <c r="M2376" s="716">
        <f t="shared" si="70"/>
        <v>18.8</v>
      </c>
    </row>
    <row r="2377" spans="2:13" s="645" customFormat="1" ht="21.75" customHeight="1">
      <c r="B2377" s="708">
        <v>44441</v>
      </c>
      <c r="C2377" s="709" t="s">
        <v>819</v>
      </c>
      <c r="D2377" s="710" t="s">
        <v>870</v>
      </c>
      <c r="E2377" s="711" t="s">
        <v>831</v>
      </c>
      <c r="F2377" s="712"/>
      <c r="G2377" s="710">
        <v>20</v>
      </c>
      <c r="H2377" s="709" t="s">
        <v>807</v>
      </c>
      <c r="I2377" s="713" t="s">
        <v>859</v>
      </c>
      <c r="J2377" s="714" t="s">
        <v>802</v>
      </c>
      <c r="K2377" s="709">
        <v>6</v>
      </c>
      <c r="L2377" s="715">
        <f t="shared" ref="L2377:L2440" si="71">VLOOKUP(G2377,$Q$4:$V$7,6,FALSE)</f>
        <v>18.8</v>
      </c>
      <c r="M2377" s="716">
        <f t="shared" si="70"/>
        <v>112.80000000000001</v>
      </c>
    </row>
    <row r="2378" spans="2:13" s="645" customFormat="1" ht="21.75" customHeight="1">
      <c r="B2378" s="708">
        <v>44441</v>
      </c>
      <c r="C2378" s="709" t="s">
        <v>819</v>
      </c>
      <c r="D2378" s="710" t="s">
        <v>870</v>
      </c>
      <c r="E2378" s="711" t="s">
        <v>831</v>
      </c>
      <c r="F2378" s="712"/>
      <c r="G2378" s="710">
        <v>20</v>
      </c>
      <c r="H2378" s="709" t="s">
        <v>807</v>
      </c>
      <c r="I2378" s="713" t="s">
        <v>863</v>
      </c>
      <c r="J2378" s="714" t="s">
        <v>802</v>
      </c>
      <c r="K2378" s="709">
        <v>5</v>
      </c>
      <c r="L2378" s="715">
        <f t="shared" si="71"/>
        <v>18.8</v>
      </c>
      <c r="M2378" s="716">
        <f t="shared" si="70"/>
        <v>94</v>
      </c>
    </row>
    <row r="2379" spans="2:13" s="645" customFormat="1" ht="21.75" customHeight="1">
      <c r="B2379" s="708">
        <v>44441</v>
      </c>
      <c r="C2379" s="709" t="s">
        <v>837</v>
      </c>
      <c r="D2379" s="710" t="s">
        <v>836</v>
      </c>
      <c r="E2379" s="711" t="s">
        <v>831</v>
      </c>
      <c r="F2379" s="712"/>
      <c r="G2379" s="710">
        <v>20</v>
      </c>
      <c r="H2379" s="709" t="s">
        <v>807</v>
      </c>
      <c r="I2379" s="713" t="s">
        <v>859</v>
      </c>
      <c r="J2379" s="714" t="s">
        <v>802</v>
      </c>
      <c r="K2379" s="709">
        <v>5</v>
      </c>
      <c r="L2379" s="715">
        <f t="shared" si="71"/>
        <v>18.8</v>
      </c>
      <c r="M2379" s="716">
        <f t="shared" si="70"/>
        <v>94</v>
      </c>
    </row>
    <row r="2380" spans="2:13" s="645" customFormat="1" ht="21.75" customHeight="1">
      <c r="B2380" s="708">
        <v>44441</v>
      </c>
      <c r="C2380" s="709" t="s">
        <v>837</v>
      </c>
      <c r="D2380" s="710" t="s">
        <v>830</v>
      </c>
      <c r="E2380" s="711" t="s">
        <v>831</v>
      </c>
      <c r="F2380" s="712"/>
      <c r="G2380" s="710">
        <v>15</v>
      </c>
      <c r="H2380" s="709" t="s">
        <v>807</v>
      </c>
      <c r="I2380" s="713" t="s">
        <v>863</v>
      </c>
      <c r="J2380" s="714" t="s">
        <v>802</v>
      </c>
      <c r="K2380" s="709">
        <v>6</v>
      </c>
      <c r="L2380" s="715">
        <f t="shared" si="71"/>
        <v>14.1</v>
      </c>
      <c r="M2380" s="716">
        <f t="shared" si="70"/>
        <v>84.6</v>
      </c>
    </row>
    <row r="2381" spans="2:13" s="645" customFormat="1" ht="21.75" customHeight="1">
      <c r="B2381" s="708">
        <v>44441</v>
      </c>
      <c r="C2381" s="709" t="s">
        <v>837</v>
      </c>
      <c r="D2381" s="710" t="s">
        <v>850</v>
      </c>
      <c r="E2381" s="711" t="s">
        <v>831</v>
      </c>
      <c r="F2381" s="712"/>
      <c r="G2381" s="710">
        <v>15</v>
      </c>
      <c r="H2381" s="709" t="s">
        <v>807</v>
      </c>
      <c r="I2381" s="713" t="s">
        <v>859</v>
      </c>
      <c r="J2381" s="714" t="s">
        <v>802</v>
      </c>
      <c r="K2381" s="709">
        <v>5</v>
      </c>
      <c r="L2381" s="715">
        <f t="shared" si="71"/>
        <v>14.1</v>
      </c>
      <c r="M2381" s="716">
        <f t="shared" si="70"/>
        <v>70.5</v>
      </c>
    </row>
    <row r="2382" spans="2:13" s="645" customFormat="1" ht="21.75" customHeight="1">
      <c r="B2382" s="708">
        <v>44441</v>
      </c>
      <c r="C2382" s="709" t="s">
        <v>837</v>
      </c>
      <c r="D2382" s="710" t="s">
        <v>855</v>
      </c>
      <c r="E2382" s="711" t="s">
        <v>831</v>
      </c>
      <c r="F2382" s="712"/>
      <c r="G2382" s="710">
        <v>20</v>
      </c>
      <c r="H2382" s="709" t="s">
        <v>807</v>
      </c>
      <c r="I2382" s="713" t="s">
        <v>863</v>
      </c>
      <c r="J2382" s="714" t="s">
        <v>802</v>
      </c>
      <c r="K2382" s="709">
        <v>1</v>
      </c>
      <c r="L2382" s="715">
        <f t="shared" si="71"/>
        <v>18.8</v>
      </c>
      <c r="M2382" s="716">
        <f t="shared" si="70"/>
        <v>18.8</v>
      </c>
    </row>
    <row r="2383" spans="2:13" s="645" customFormat="1" ht="21.75" customHeight="1">
      <c r="B2383" s="708">
        <v>44441</v>
      </c>
      <c r="C2383" s="709" t="s">
        <v>837</v>
      </c>
      <c r="D2383" s="710" t="s">
        <v>867</v>
      </c>
      <c r="E2383" s="711" t="s">
        <v>831</v>
      </c>
      <c r="F2383" s="712"/>
      <c r="G2383" s="710">
        <v>20</v>
      </c>
      <c r="H2383" s="709" t="s">
        <v>807</v>
      </c>
      <c r="I2383" s="713" t="s">
        <v>863</v>
      </c>
      <c r="J2383" s="714" t="s">
        <v>802</v>
      </c>
      <c r="K2383" s="709">
        <v>4</v>
      </c>
      <c r="L2383" s="715">
        <f t="shared" si="71"/>
        <v>18.8</v>
      </c>
      <c r="M2383" s="716">
        <f t="shared" si="70"/>
        <v>75.2</v>
      </c>
    </row>
    <row r="2384" spans="2:13" s="645" customFormat="1" ht="21.75" customHeight="1">
      <c r="B2384" s="708">
        <v>44441</v>
      </c>
      <c r="C2384" s="709" t="s">
        <v>837</v>
      </c>
      <c r="D2384" s="710" t="s">
        <v>868</v>
      </c>
      <c r="E2384" s="711" t="s">
        <v>831</v>
      </c>
      <c r="F2384" s="712"/>
      <c r="G2384" s="710">
        <v>20</v>
      </c>
      <c r="H2384" s="709" t="s">
        <v>807</v>
      </c>
      <c r="I2384" s="713" t="s">
        <v>863</v>
      </c>
      <c r="J2384" s="714" t="s">
        <v>802</v>
      </c>
      <c r="K2384" s="709">
        <v>6</v>
      </c>
      <c r="L2384" s="715">
        <f t="shared" si="71"/>
        <v>18.8</v>
      </c>
      <c r="M2384" s="716">
        <f t="shared" si="70"/>
        <v>112.80000000000001</v>
      </c>
    </row>
    <row r="2385" spans="2:13" s="645" customFormat="1" ht="21.75" customHeight="1">
      <c r="B2385" s="708">
        <v>44441</v>
      </c>
      <c r="C2385" s="709" t="s">
        <v>837</v>
      </c>
      <c r="D2385" s="710" t="s">
        <v>869</v>
      </c>
      <c r="E2385" s="711" t="s">
        <v>831</v>
      </c>
      <c r="F2385" s="712"/>
      <c r="G2385" s="710">
        <v>20</v>
      </c>
      <c r="H2385" s="709" t="s">
        <v>807</v>
      </c>
      <c r="I2385" s="713" t="s">
        <v>863</v>
      </c>
      <c r="J2385" s="714" t="s">
        <v>802</v>
      </c>
      <c r="K2385" s="709">
        <v>2</v>
      </c>
      <c r="L2385" s="715">
        <f t="shared" si="71"/>
        <v>18.8</v>
      </c>
      <c r="M2385" s="716">
        <f t="shared" si="70"/>
        <v>37.6</v>
      </c>
    </row>
    <row r="2386" spans="2:13" s="645" customFormat="1" ht="21.75" customHeight="1">
      <c r="B2386" s="708">
        <v>44441</v>
      </c>
      <c r="C2386" s="709" t="s">
        <v>837</v>
      </c>
      <c r="D2386" s="710" t="s">
        <v>871</v>
      </c>
      <c r="E2386" s="711" t="s">
        <v>831</v>
      </c>
      <c r="F2386" s="712"/>
      <c r="G2386" s="710">
        <v>20</v>
      </c>
      <c r="H2386" s="709" t="s">
        <v>807</v>
      </c>
      <c r="I2386" s="713" t="s">
        <v>863</v>
      </c>
      <c r="J2386" s="714" t="s">
        <v>802</v>
      </c>
      <c r="K2386" s="709">
        <v>5</v>
      </c>
      <c r="L2386" s="715">
        <f t="shared" si="71"/>
        <v>18.8</v>
      </c>
      <c r="M2386" s="716">
        <f t="shared" si="70"/>
        <v>94</v>
      </c>
    </row>
    <row r="2387" spans="2:13" s="645" customFormat="1" ht="21.75" customHeight="1">
      <c r="B2387" s="661">
        <v>44442</v>
      </c>
      <c r="C2387" s="662" t="s">
        <v>819</v>
      </c>
      <c r="D2387" s="663" t="s">
        <v>840</v>
      </c>
      <c r="E2387" s="664" t="s">
        <v>831</v>
      </c>
      <c r="F2387" s="665"/>
      <c r="G2387" s="663">
        <v>20</v>
      </c>
      <c r="H2387" s="662" t="s">
        <v>807</v>
      </c>
      <c r="I2387" s="666" t="s">
        <v>857</v>
      </c>
      <c r="J2387" s="667" t="s">
        <v>865</v>
      </c>
      <c r="K2387" s="662">
        <v>1</v>
      </c>
      <c r="L2387" s="685">
        <f t="shared" si="71"/>
        <v>18.8</v>
      </c>
      <c r="M2387" s="686">
        <f t="shared" si="70"/>
        <v>18.8</v>
      </c>
    </row>
    <row r="2388" spans="2:13" s="645" customFormat="1" ht="21.75" customHeight="1">
      <c r="B2388" s="661">
        <v>44442</v>
      </c>
      <c r="C2388" s="662" t="s">
        <v>819</v>
      </c>
      <c r="D2388" s="663" t="s">
        <v>836</v>
      </c>
      <c r="E2388" s="664" t="s">
        <v>831</v>
      </c>
      <c r="F2388" s="665"/>
      <c r="G2388" s="663">
        <v>20</v>
      </c>
      <c r="H2388" s="662" t="s">
        <v>807</v>
      </c>
      <c r="I2388" s="666" t="s">
        <v>859</v>
      </c>
      <c r="J2388" s="667" t="s">
        <v>865</v>
      </c>
      <c r="K2388" s="662">
        <v>2</v>
      </c>
      <c r="L2388" s="685">
        <f t="shared" si="71"/>
        <v>18.8</v>
      </c>
      <c r="M2388" s="686">
        <f t="shared" si="70"/>
        <v>37.6</v>
      </c>
    </row>
    <row r="2389" spans="2:13" s="645" customFormat="1" ht="21.75" customHeight="1">
      <c r="B2389" s="661">
        <v>44442</v>
      </c>
      <c r="C2389" s="662" t="s">
        <v>819</v>
      </c>
      <c r="D2389" s="663" t="s">
        <v>869</v>
      </c>
      <c r="E2389" s="664" t="s">
        <v>831</v>
      </c>
      <c r="F2389" s="665"/>
      <c r="G2389" s="663">
        <v>20</v>
      </c>
      <c r="H2389" s="662" t="s">
        <v>807</v>
      </c>
      <c r="I2389" s="666" t="s">
        <v>857</v>
      </c>
      <c r="J2389" s="667" t="s">
        <v>865</v>
      </c>
      <c r="K2389" s="662">
        <v>2</v>
      </c>
      <c r="L2389" s="685">
        <f t="shared" si="71"/>
        <v>18.8</v>
      </c>
      <c r="M2389" s="686">
        <f t="shared" si="70"/>
        <v>37.6</v>
      </c>
    </row>
    <row r="2390" spans="2:13" s="645" customFormat="1" ht="21.75" customHeight="1">
      <c r="B2390" s="708">
        <v>44442</v>
      </c>
      <c r="C2390" s="709" t="s">
        <v>819</v>
      </c>
      <c r="D2390" s="710" t="s">
        <v>849</v>
      </c>
      <c r="E2390" s="711" t="s">
        <v>831</v>
      </c>
      <c r="F2390" s="712"/>
      <c r="G2390" s="710">
        <v>20</v>
      </c>
      <c r="H2390" s="709" t="s">
        <v>807</v>
      </c>
      <c r="I2390" s="713" t="s">
        <v>863</v>
      </c>
      <c r="J2390" s="714" t="s">
        <v>802</v>
      </c>
      <c r="K2390" s="709">
        <v>6</v>
      </c>
      <c r="L2390" s="715">
        <f t="shared" si="71"/>
        <v>18.8</v>
      </c>
      <c r="M2390" s="716">
        <f t="shared" si="70"/>
        <v>112.80000000000001</v>
      </c>
    </row>
    <row r="2391" spans="2:13" s="645" customFormat="1" ht="21.75" customHeight="1">
      <c r="B2391" s="708">
        <v>44442</v>
      </c>
      <c r="C2391" s="709" t="s">
        <v>819</v>
      </c>
      <c r="D2391" s="710" t="s">
        <v>849</v>
      </c>
      <c r="E2391" s="711" t="s">
        <v>831</v>
      </c>
      <c r="F2391" s="712"/>
      <c r="G2391" s="710">
        <v>20</v>
      </c>
      <c r="H2391" s="709" t="s">
        <v>807</v>
      </c>
      <c r="I2391" s="713" t="s">
        <v>857</v>
      </c>
      <c r="J2391" s="714" t="s">
        <v>802</v>
      </c>
      <c r="K2391" s="709">
        <v>1</v>
      </c>
      <c r="L2391" s="715">
        <f t="shared" si="71"/>
        <v>18.8</v>
      </c>
      <c r="M2391" s="716">
        <f t="shared" si="70"/>
        <v>18.8</v>
      </c>
    </row>
    <row r="2392" spans="2:13" s="645" customFormat="1" ht="21.75" customHeight="1">
      <c r="B2392" s="708">
        <v>44442</v>
      </c>
      <c r="C2392" s="709" t="s">
        <v>819</v>
      </c>
      <c r="D2392" s="710" t="s">
        <v>835</v>
      </c>
      <c r="E2392" s="711" t="s">
        <v>831</v>
      </c>
      <c r="F2392" s="712"/>
      <c r="G2392" s="710">
        <v>20</v>
      </c>
      <c r="H2392" s="709" t="s">
        <v>807</v>
      </c>
      <c r="I2392" s="713" t="s">
        <v>859</v>
      </c>
      <c r="J2392" s="714" t="s">
        <v>802</v>
      </c>
      <c r="K2392" s="709">
        <v>6</v>
      </c>
      <c r="L2392" s="715">
        <f t="shared" si="71"/>
        <v>18.8</v>
      </c>
      <c r="M2392" s="716">
        <f t="shared" si="70"/>
        <v>112.80000000000001</v>
      </c>
    </row>
    <row r="2393" spans="2:13" s="645" customFormat="1" ht="21.75" customHeight="1">
      <c r="B2393" s="708">
        <v>44442</v>
      </c>
      <c r="C2393" s="709" t="s">
        <v>819</v>
      </c>
      <c r="D2393" s="710" t="s">
        <v>835</v>
      </c>
      <c r="E2393" s="711" t="s">
        <v>831</v>
      </c>
      <c r="F2393" s="712"/>
      <c r="G2393" s="710">
        <v>20</v>
      </c>
      <c r="H2393" s="709" t="s">
        <v>807</v>
      </c>
      <c r="I2393" s="713" t="s">
        <v>857</v>
      </c>
      <c r="J2393" s="714" t="s">
        <v>802</v>
      </c>
      <c r="K2393" s="709">
        <v>1</v>
      </c>
      <c r="L2393" s="715">
        <f t="shared" si="71"/>
        <v>18.8</v>
      </c>
      <c r="M2393" s="716">
        <f t="shared" si="70"/>
        <v>18.8</v>
      </c>
    </row>
    <row r="2394" spans="2:13" s="645" customFormat="1" ht="21.75" customHeight="1">
      <c r="B2394" s="708">
        <v>44442</v>
      </c>
      <c r="C2394" s="709" t="s">
        <v>819</v>
      </c>
      <c r="D2394" s="710" t="s">
        <v>841</v>
      </c>
      <c r="E2394" s="711" t="s">
        <v>831</v>
      </c>
      <c r="F2394" s="712"/>
      <c r="G2394" s="710">
        <v>20</v>
      </c>
      <c r="H2394" s="709" t="s">
        <v>807</v>
      </c>
      <c r="I2394" s="713" t="s">
        <v>859</v>
      </c>
      <c r="J2394" s="714" t="s">
        <v>802</v>
      </c>
      <c r="K2394" s="709">
        <v>1</v>
      </c>
      <c r="L2394" s="715">
        <f t="shared" si="71"/>
        <v>18.8</v>
      </c>
      <c r="M2394" s="716">
        <f t="shared" si="70"/>
        <v>18.8</v>
      </c>
    </row>
    <row r="2395" spans="2:13" s="645" customFormat="1" ht="21.75" customHeight="1">
      <c r="B2395" s="708">
        <v>44442</v>
      </c>
      <c r="C2395" s="709" t="s">
        <v>819</v>
      </c>
      <c r="D2395" s="710" t="s">
        <v>841</v>
      </c>
      <c r="E2395" s="711" t="s">
        <v>831</v>
      </c>
      <c r="F2395" s="712"/>
      <c r="G2395" s="710">
        <v>20</v>
      </c>
      <c r="H2395" s="709" t="s">
        <v>807</v>
      </c>
      <c r="I2395" s="713" t="s">
        <v>857</v>
      </c>
      <c r="J2395" s="714" t="s">
        <v>802</v>
      </c>
      <c r="K2395" s="709">
        <v>1</v>
      </c>
      <c r="L2395" s="715">
        <f t="shared" si="71"/>
        <v>18.8</v>
      </c>
      <c r="M2395" s="716">
        <f t="shared" si="70"/>
        <v>18.8</v>
      </c>
    </row>
    <row r="2396" spans="2:13" s="645" customFormat="1" ht="21.75" customHeight="1">
      <c r="B2396" s="708">
        <v>44442</v>
      </c>
      <c r="C2396" s="709" t="s">
        <v>819</v>
      </c>
      <c r="D2396" s="710" t="s">
        <v>848</v>
      </c>
      <c r="E2396" s="711" t="s">
        <v>831</v>
      </c>
      <c r="F2396" s="712"/>
      <c r="G2396" s="710">
        <v>20</v>
      </c>
      <c r="H2396" s="709" t="s">
        <v>807</v>
      </c>
      <c r="I2396" s="713" t="s">
        <v>859</v>
      </c>
      <c r="J2396" s="714" t="s">
        <v>802</v>
      </c>
      <c r="K2396" s="709">
        <v>1</v>
      </c>
      <c r="L2396" s="715">
        <f t="shared" si="71"/>
        <v>18.8</v>
      </c>
      <c r="M2396" s="716">
        <f t="shared" si="70"/>
        <v>18.8</v>
      </c>
    </row>
    <row r="2397" spans="2:13" s="645" customFormat="1" ht="21.75" customHeight="1">
      <c r="B2397" s="708">
        <v>44442</v>
      </c>
      <c r="C2397" s="709" t="s">
        <v>819</v>
      </c>
      <c r="D2397" s="710" t="s">
        <v>836</v>
      </c>
      <c r="E2397" s="711" t="s">
        <v>831</v>
      </c>
      <c r="F2397" s="712"/>
      <c r="G2397" s="710">
        <v>20</v>
      </c>
      <c r="H2397" s="709" t="s">
        <v>807</v>
      </c>
      <c r="I2397" s="713" t="s">
        <v>859</v>
      </c>
      <c r="J2397" s="714" t="s">
        <v>802</v>
      </c>
      <c r="K2397" s="709">
        <v>4</v>
      </c>
      <c r="L2397" s="715">
        <f t="shared" si="71"/>
        <v>18.8</v>
      </c>
      <c r="M2397" s="716">
        <f t="shared" si="70"/>
        <v>75.2</v>
      </c>
    </row>
    <row r="2398" spans="2:13" s="645" customFormat="1" ht="21.75" customHeight="1">
      <c r="B2398" s="708">
        <v>44442</v>
      </c>
      <c r="C2398" s="709" t="s">
        <v>819</v>
      </c>
      <c r="D2398" s="710" t="s">
        <v>830</v>
      </c>
      <c r="E2398" s="711" t="s">
        <v>831</v>
      </c>
      <c r="F2398" s="712"/>
      <c r="G2398" s="710">
        <v>15</v>
      </c>
      <c r="H2398" s="709" t="s">
        <v>807</v>
      </c>
      <c r="I2398" s="713" t="s">
        <v>859</v>
      </c>
      <c r="J2398" s="714" t="s">
        <v>802</v>
      </c>
      <c r="K2398" s="709">
        <v>1</v>
      </c>
      <c r="L2398" s="715">
        <f t="shared" si="71"/>
        <v>14.1</v>
      </c>
      <c r="M2398" s="716">
        <f t="shared" si="70"/>
        <v>14.1</v>
      </c>
    </row>
    <row r="2399" spans="2:13" s="645" customFormat="1" ht="21.75" customHeight="1">
      <c r="B2399" s="708">
        <v>44442</v>
      </c>
      <c r="C2399" s="709" t="s">
        <v>819</v>
      </c>
      <c r="D2399" s="710" t="s">
        <v>850</v>
      </c>
      <c r="E2399" s="711" t="s">
        <v>831</v>
      </c>
      <c r="F2399" s="712"/>
      <c r="G2399" s="710">
        <v>15</v>
      </c>
      <c r="H2399" s="709" t="s">
        <v>807</v>
      </c>
      <c r="I2399" s="713" t="s">
        <v>859</v>
      </c>
      <c r="J2399" s="714" t="s">
        <v>802</v>
      </c>
      <c r="K2399" s="709">
        <v>2</v>
      </c>
      <c r="L2399" s="715">
        <f t="shared" si="71"/>
        <v>14.1</v>
      </c>
      <c r="M2399" s="716">
        <f t="shared" si="70"/>
        <v>28.2</v>
      </c>
    </row>
    <row r="2400" spans="2:13" s="645" customFormat="1" ht="21.75" customHeight="1">
      <c r="B2400" s="708">
        <v>44442</v>
      </c>
      <c r="C2400" s="709" t="s">
        <v>819</v>
      </c>
      <c r="D2400" s="710" t="s">
        <v>850</v>
      </c>
      <c r="E2400" s="711" t="s">
        <v>831</v>
      </c>
      <c r="F2400" s="712"/>
      <c r="G2400" s="710">
        <v>15</v>
      </c>
      <c r="H2400" s="709" t="s">
        <v>807</v>
      </c>
      <c r="I2400" s="713" t="s">
        <v>857</v>
      </c>
      <c r="J2400" s="714" t="s">
        <v>802</v>
      </c>
      <c r="K2400" s="709">
        <v>1</v>
      </c>
      <c r="L2400" s="715">
        <f t="shared" si="71"/>
        <v>14.1</v>
      </c>
      <c r="M2400" s="716">
        <f t="shared" si="70"/>
        <v>14.1</v>
      </c>
    </row>
    <row r="2401" spans="2:13" s="645" customFormat="1" ht="21.75" customHeight="1">
      <c r="B2401" s="708">
        <v>44442</v>
      </c>
      <c r="C2401" s="709" t="s">
        <v>819</v>
      </c>
      <c r="D2401" s="710" t="s">
        <v>845</v>
      </c>
      <c r="E2401" s="711" t="s">
        <v>831</v>
      </c>
      <c r="F2401" s="712"/>
      <c r="G2401" s="710">
        <v>17</v>
      </c>
      <c r="H2401" s="709" t="s">
        <v>807</v>
      </c>
      <c r="I2401" s="713" t="s">
        <v>859</v>
      </c>
      <c r="J2401" s="714" t="s">
        <v>802</v>
      </c>
      <c r="K2401" s="709">
        <v>1</v>
      </c>
      <c r="L2401" s="715">
        <f t="shared" si="71"/>
        <v>15.98</v>
      </c>
      <c r="M2401" s="716">
        <f t="shared" si="70"/>
        <v>15.98</v>
      </c>
    </row>
    <row r="2402" spans="2:13" s="645" customFormat="1" ht="21.75" customHeight="1">
      <c r="B2402" s="708">
        <v>44442</v>
      </c>
      <c r="C2402" s="709" t="s">
        <v>819</v>
      </c>
      <c r="D2402" s="710" t="s">
        <v>856</v>
      </c>
      <c r="E2402" s="711" t="s">
        <v>831</v>
      </c>
      <c r="F2402" s="712"/>
      <c r="G2402" s="710">
        <v>20</v>
      </c>
      <c r="H2402" s="709" t="s">
        <v>807</v>
      </c>
      <c r="I2402" s="713" t="s">
        <v>859</v>
      </c>
      <c r="J2402" s="714" t="s">
        <v>802</v>
      </c>
      <c r="K2402" s="709">
        <v>2</v>
      </c>
      <c r="L2402" s="715">
        <f t="shared" si="71"/>
        <v>18.8</v>
      </c>
      <c r="M2402" s="716">
        <f t="shared" si="70"/>
        <v>37.6</v>
      </c>
    </row>
    <row r="2403" spans="2:13" s="645" customFormat="1" ht="21.75" customHeight="1">
      <c r="B2403" s="708">
        <v>44442</v>
      </c>
      <c r="C2403" s="709" t="s">
        <v>819</v>
      </c>
      <c r="D2403" s="710" t="s">
        <v>855</v>
      </c>
      <c r="E2403" s="711" t="s">
        <v>831</v>
      </c>
      <c r="F2403" s="712"/>
      <c r="G2403" s="710">
        <v>20</v>
      </c>
      <c r="H2403" s="709" t="s">
        <v>807</v>
      </c>
      <c r="I2403" s="713" t="s">
        <v>859</v>
      </c>
      <c r="J2403" s="714" t="s">
        <v>802</v>
      </c>
      <c r="K2403" s="709">
        <v>3</v>
      </c>
      <c r="L2403" s="715">
        <f t="shared" si="71"/>
        <v>18.8</v>
      </c>
      <c r="M2403" s="716">
        <f t="shared" si="70"/>
        <v>56.400000000000006</v>
      </c>
    </row>
    <row r="2404" spans="2:13" s="645" customFormat="1" ht="21.75" customHeight="1">
      <c r="B2404" s="708">
        <v>44442</v>
      </c>
      <c r="C2404" s="709" t="s">
        <v>819</v>
      </c>
      <c r="D2404" s="710" t="s">
        <v>867</v>
      </c>
      <c r="E2404" s="711" t="s">
        <v>831</v>
      </c>
      <c r="F2404" s="712"/>
      <c r="G2404" s="710">
        <v>20</v>
      </c>
      <c r="H2404" s="709" t="s">
        <v>807</v>
      </c>
      <c r="I2404" s="713" t="s">
        <v>859</v>
      </c>
      <c r="J2404" s="714" t="s">
        <v>802</v>
      </c>
      <c r="K2404" s="709">
        <v>5</v>
      </c>
      <c r="L2404" s="715">
        <f t="shared" si="71"/>
        <v>18.8</v>
      </c>
      <c r="M2404" s="716">
        <f t="shared" si="70"/>
        <v>94</v>
      </c>
    </row>
    <row r="2405" spans="2:13" s="645" customFormat="1" ht="21.75" customHeight="1">
      <c r="B2405" s="708">
        <v>44442</v>
      </c>
      <c r="C2405" s="709" t="s">
        <v>819</v>
      </c>
      <c r="D2405" s="710" t="s">
        <v>868</v>
      </c>
      <c r="E2405" s="711" t="s">
        <v>831</v>
      </c>
      <c r="F2405" s="712"/>
      <c r="G2405" s="710">
        <v>20</v>
      </c>
      <c r="H2405" s="709" t="s">
        <v>807</v>
      </c>
      <c r="I2405" s="713" t="s">
        <v>859</v>
      </c>
      <c r="J2405" s="714" t="s">
        <v>802</v>
      </c>
      <c r="K2405" s="709">
        <v>5</v>
      </c>
      <c r="L2405" s="715">
        <f t="shared" si="71"/>
        <v>18.8</v>
      </c>
      <c r="M2405" s="716">
        <f t="shared" si="70"/>
        <v>94</v>
      </c>
    </row>
    <row r="2406" spans="2:13" s="645" customFormat="1" ht="21.75" customHeight="1">
      <c r="B2406" s="708">
        <v>44442</v>
      </c>
      <c r="C2406" s="709" t="s">
        <v>819</v>
      </c>
      <c r="D2406" s="710" t="s">
        <v>869</v>
      </c>
      <c r="E2406" s="711" t="s">
        <v>831</v>
      </c>
      <c r="F2406" s="712"/>
      <c r="G2406" s="710">
        <v>20</v>
      </c>
      <c r="H2406" s="709" t="s">
        <v>807</v>
      </c>
      <c r="I2406" s="713" t="s">
        <v>859</v>
      </c>
      <c r="J2406" s="714" t="s">
        <v>802</v>
      </c>
      <c r="K2406" s="709">
        <v>4</v>
      </c>
      <c r="L2406" s="715">
        <f t="shared" si="71"/>
        <v>18.8</v>
      </c>
      <c r="M2406" s="716">
        <f t="shared" si="70"/>
        <v>75.2</v>
      </c>
    </row>
    <row r="2407" spans="2:13" s="645" customFormat="1" ht="21.75" customHeight="1">
      <c r="B2407" s="708">
        <v>44442</v>
      </c>
      <c r="C2407" s="709" t="s">
        <v>819</v>
      </c>
      <c r="D2407" s="710" t="s">
        <v>870</v>
      </c>
      <c r="E2407" s="711" t="s">
        <v>831</v>
      </c>
      <c r="F2407" s="712"/>
      <c r="G2407" s="710">
        <v>20</v>
      </c>
      <c r="H2407" s="709" t="s">
        <v>807</v>
      </c>
      <c r="I2407" s="713" t="s">
        <v>859</v>
      </c>
      <c r="J2407" s="714" t="s">
        <v>802</v>
      </c>
      <c r="K2407" s="709">
        <v>6</v>
      </c>
      <c r="L2407" s="715">
        <f t="shared" si="71"/>
        <v>18.8</v>
      </c>
      <c r="M2407" s="716">
        <f t="shared" ref="M2407:M2470" si="72">L2407*K2407</f>
        <v>112.80000000000001</v>
      </c>
    </row>
    <row r="2408" spans="2:13" s="645" customFormat="1" ht="21.75" customHeight="1">
      <c r="B2408" s="708">
        <v>44442</v>
      </c>
      <c r="C2408" s="709" t="s">
        <v>819</v>
      </c>
      <c r="D2408" s="710" t="s">
        <v>870</v>
      </c>
      <c r="E2408" s="711" t="s">
        <v>831</v>
      </c>
      <c r="F2408" s="712"/>
      <c r="G2408" s="710">
        <v>20</v>
      </c>
      <c r="H2408" s="709" t="s">
        <v>807</v>
      </c>
      <c r="I2408" s="713" t="s">
        <v>857</v>
      </c>
      <c r="J2408" s="714" t="s">
        <v>802</v>
      </c>
      <c r="K2408" s="709">
        <v>2</v>
      </c>
      <c r="L2408" s="715">
        <f t="shared" si="71"/>
        <v>18.8</v>
      </c>
      <c r="M2408" s="716">
        <f t="shared" si="72"/>
        <v>37.6</v>
      </c>
    </row>
    <row r="2409" spans="2:13" s="645" customFormat="1" ht="21.75" customHeight="1">
      <c r="B2409" s="708">
        <v>44442</v>
      </c>
      <c r="C2409" s="709" t="s">
        <v>819</v>
      </c>
      <c r="D2409" s="710" t="s">
        <v>871</v>
      </c>
      <c r="E2409" s="711" t="s">
        <v>831</v>
      </c>
      <c r="F2409" s="712"/>
      <c r="G2409" s="710">
        <v>15</v>
      </c>
      <c r="H2409" s="709" t="s">
        <v>807</v>
      </c>
      <c r="I2409" s="713" t="s">
        <v>859</v>
      </c>
      <c r="J2409" s="714" t="s">
        <v>802</v>
      </c>
      <c r="K2409" s="709">
        <v>1</v>
      </c>
      <c r="L2409" s="715">
        <f t="shared" si="71"/>
        <v>14.1</v>
      </c>
      <c r="M2409" s="716">
        <f t="shared" si="72"/>
        <v>14.1</v>
      </c>
    </row>
    <row r="2410" spans="2:13" s="645" customFormat="1" ht="21.75" customHeight="1">
      <c r="B2410" s="708">
        <v>44442</v>
      </c>
      <c r="C2410" s="709" t="s">
        <v>819</v>
      </c>
      <c r="D2410" s="710" t="s">
        <v>871</v>
      </c>
      <c r="E2410" s="711" t="s">
        <v>831</v>
      </c>
      <c r="F2410" s="712"/>
      <c r="G2410" s="710">
        <v>15</v>
      </c>
      <c r="H2410" s="709" t="s">
        <v>807</v>
      </c>
      <c r="I2410" s="713" t="s">
        <v>857</v>
      </c>
      <c r="J2410" s="714" t="s">
        <v>802</v>
      </c>
      <c r="K2410" s="709">
        <v>1</v>
      </c>
      <c r="L2410" s="715">
        <f t="shared" si="71"/>
        <v>14.1</v>
      </c>
      <c r="M2410" s="716">
        <f t="shared" si="72"/>
        <v>14.1</v>
      </c>
    </row>
    <row r="2411" spans="2:13" s="645" customFormat="1" ht="21.75" customHeight="1">
      <c r="B2411" s="708">
        <v>44442</v>
      </c>
      <c r="C2411" s="709" t="s">
        <v>837</v>
      </c>
      <c r="D2411" s="710" t="s">
        <v>836</v>
      </c>
      <c r="E2411" s="711" t="s">
        <v>831</v>
      </c>
      <c r="F2411" s="712"/>
      <c r="G2411" s="710">
        <v>20</v>
      </c>
      <c r="H2411" s="709" t="s">
        <v>807</v>
      </c>
      <c r="I2411" s="713" t="s">
        <v>857</v>
      </c>
      <c r="J2411" s="714" t="s">
        <v>802</v>
      </c>
      <c r="K2411" s="709">
        <v>6</v>
      </c>
      <c r="L2411" s="715">
        <f t="shared" si="71"/>
        <v>18.8</v>
      </c>
      <c r="M2411" s="716">
        <f t="shared" si="72"/>
        <v>112.80000000000001</v>
      </c>
    </row>
    <row r="2412" spans="2:13" s="645" customFormat="1" ht="21.75" customHeight="1">
      <c r="B2412" s="708">
        <v>44442</v>
      </c>
      <c r="C2412" s="709" t="s">
        <v>837</v>
      </c>
      <c r="D2412" s="710" t="s">
        <v>830</v>
      </c>
      <c r="E2412" s="711" t="s">
        <v>831</v>
      </c>
      <c r="F2412" s="712"/>
      <c r="G2412" s="710">
        <v>15</v>
      </c>
      <c r="H2412" s="709" t="s">
        <v>807</v>
      </c>
      <c r="I2412" s="713" t="s">
        <v>857</v>
      </c>
      <c r="J2412" s="714" t="s">
        <v>802</v>
      </c>
      <c r="K2412" s="709">
        <v>8</v>
      </c>
      <c r="L2412" s="715">
        <f t="shared" si="71"/>
        <v>14.1</v>
      </c>
      <c r="M2412" s="716">
        <f t="shared" si="72"/>
        <v>112.8</v>
      </c>
    </row>
    <row r="2413" spans="2:13" s="645" customFormat="1" ht="21.75" customHeight="1">
      <c r="B2413" s="708">
        <v>44442</v>
      </c>
      <c r="C2413" s="709" t="s">
        <v>837</v>
      </c>
      <c r="D2413" s="710" t="s">
        <v>850</v>
      </c>
      <c r="E2413" s="711" t="s">
        <v>831</v>
      </c>
      <c r="F2413" s="712"/>
      <c r="G2413" s="710">
        <v>15</v>
      </c>
      <c r="H2413" s="709" t="s">
        <v>807</v>
      </c>
      <c r="I2413" s="713" t="s">
        <v>857</v>
      </c>
      <c r="J2413" s="714" t="s">
        <v>802</v>
      </c>
      <c r="K2413" s="709">
        <v>8</v>
      </c>
      <c r="L2413" s="715">
        <f t="shared" si="71"/>
        <v>14.1</v>
      </c>
      <c r="M2413" s="716">
        <f t="shared" si="72"/>
        <v>112.8</v>
      </c>
    </row>
    <row r="2414" spans="2:13" s="645" customFormat="1" ht="21.75" customHeight="1">
      <c r="B2414" s="708">
        <v>44442</v>
      </c>
      <c r="C2414" s="709" t="s">
        <v>837</v>
      </c>
      <c r="D2414" s="710" t="s">
        <v>845</v>
      </c>
      <c r="E2414" s="711" t="s">
        <v>831</v>
      </c>
      <c r="F2414" s="712"/>
      <c r="G2414" s="710">
        <v>17</v>
      </c>
      <c r="H2414" s="709" t="s">
        <v>807</v>
      </c>
      <c r="I2414" s="713" t="s">
        <v>857</v>
      </c>
      <c r="J2414" s="714" t="s">
        <v>802</v>
      </c>
      <c r="K2414" s="709">
        <v>1</v>
      </c>
      <c r="L2414" s="715">
        <f t="shared" si="71"/>
        <v>15.98</v>
      </c>
      <c r="M2414" s="716">
        <f t="shared" si="72"/>
        <v>15.98</v>
      </c>
    </row>
    <row r="2415" spans="2:13" s="645" customFormat="1" ht="21.75" customHeight="1">
      <c r="B2415" s="708">
        <v>44442</v>
      </c>
      <c r="C2415" s="709" t="s">
        <v>837</v>
      </c>
      <c r="D2415" s="710" t="s">
        <v>867</v>
      </c>
      <c r="E2415" s="711" t="s">
        <v>831</v>
      </c>
      <c r="F2415" s="712"/>
      <c r="G2415" s="710">
        <v>20</v>
      </c>
      <c r="H2415" s="709" t="s">
        <v>807</v>
      </c>
      <c r="I2415" s="713" t="s">
        <v>857</v>
      </c>
      <c r="J2415" s="714" t="s">
        <v>802</v>
      </c>
      <c r="K2415" s="709">
        <v>8</v>
      </c>
      <c r="L2415" s="715">
        <f t="shared" si="71"/>
        <v>18.8</v>
      </c>
      <c r="M2415" s="716">
        <f t="shared" si="72"/>
        <v>150.4</v>
      </c>
    </row>
    <row r="2416" spans="2:13" s="645" customFormat="1" ht="21.75" customHeight="1">
      <c r="B2416" s="708">
        <v>44442</v>
      </c>
      <c r="C2416" s="709" t="s">
        <v>837</v>
      </c>
      <c r="D2416" s="710" t="s">
        <v>868</v>
      </c>
      <c r="E2416" s="711" t="s">
        <v>831</v>
      </c>
      <c r="F2416" s="712"/>
      <c r="G2416" s="710">
        <v>20</v>
      </c>
      <c r="H2416" s="709" t="s">
        <v>807</v>
      </c>
      <c r="I2416" s="713" t="s">
        <v>857</v>
      </c>
      <c r="J2416" s="714" t="s">
        <v>802</v>
      </c>
      <c r="K2416" s="709">
        <v>8</v>
      </c>
      <c r="L2416" s="715">
        <f t="shared" si="71"/>
        <v>18.8</v>
      </c>
      <c r="M2416" s="716">
        <f t="shared" si="72"/>
        <v>150.4</v>
      </c>
    </row>
    <row r="2417" spans="2:13" s="645" customFormat="1" ht="21.75" customHeight="1">
      <c r="B2417" s="708">
        <v>44442</v>
      </c>
      <c r="C2417" s="709" t="s">
        <v>837</v>
      </c>
      <c r="D2417" s="710" t="s">
        <v>869</v>
      </c>
      <c r="E2417" s="711" t="s">
        <v>831</v>
      </c>
      <c r="F2417" s="712"/>
      <c r="G2417" s="710">
        <v>20</v>
      </c>
      <c r="H2417" s="709" t="s">
        <v>807</v>
      </c>
      <c r="I2417" s="713" t="s">
        <v>857</v>
      </c>
      <c r="J2417" s="714" t="s">
        <v>802</v>
      </c>
      <c r="K2417" s="709">
        <v>1</v>
      </c>
      <c r="L2417" s="715">
        <f t="shared" si="71"/>
        <v>18.8</v>
      </c>
      <c r="M2417" s="716">
        <f t="shared" si="72"/>
        <v>18.8</v>
      </c>
    </row>
    <row r="2418" spans="2:13" s="645" customFormat="1" ht="21.75" customHeight="1">
      <c r="B2418" s="708">
        <v>44442</v>
      </c>
      <c r="C2418" s="709" t="s">
        <v>837</v>
      </c>
      <c r="D2418" s="710" t="s">
        <v>870</v>
      </c>
      <c r="E2418" s="711" t="s">
        <v>831</v>
      </c>
      <c r="F2418" s="712"/>
      <c r="G2418" s="710">
        <v>20</v>
      </c>
      <c r="H2418" s="709" t="s">
        <v>807</v>
      </c>
      <c r="I2418" s="713" t="s">
        <v>857</v>
      </c>
      <c r="J2418" s="714" t="s">
        <v>802</v>
      </c>
      <c r="K2418" s="709">
        <v>5</v>
      </c>
      <c r="L2418" s="715">
        <f t="shared" si="71"/>
        <v>18.8</v>
      </c>
      <c r="M2418" s="716">
        <f t="shared" si="72"/>
        <v>94</v>
      </c>
    </row>
    <row r="2419" spans="2:13" s="645" customFormat="1" ht="21.75" customHeight="1">
      <c r="B2419" s="708">
        <v>44442</v>
      </c>
      <c r="C2419" s="709" t="s">
        <v>837</v>
      </c>
      <c r="D2419" s="710" t="s">
        <v>871</v>
      </c>
      <c r="E2419" s="711" t="s">
        <v>831</v>
      </c>
      <c r="F2419" s="712"/>
      <c r="G2419" s="710">
        <v>20</v>
      </c>
      <c r="H2419" s="709" t="s">
        <v>807</v>
      </c>
      <c r="I2419" s="713" t="s">
        <v>857</v>
      </c>
      <c r="J2419" s="714" t="s">
        <v>802</v>
      </c>
      <c r="K2419" s="709">
        <v>6</v>
      </c>
      <c r="L2419" s="715">
        <f t="shared" si="71"/>
        <v>18.8</v>
      </c>
      <c r="M2419" s="716">
        <f t="shared" si="72"/>
        <v>112.80000000000001</v>
      </c>
    </row>
    <row r="2420" spans="2:13" s="645" customFormat="1" ht="21.75" customHeight="1">
      <c r="B2420" s="708">
        <v>44443</v>
      </c>
      <c r="C2420" s="709" t="s">
        <v>819</v>
      </c>
      <c r="D2420" s="710" t="s">
        <v>841</v>
      </c>
      <c r="E2420" s="711" t="s">
        <v>831</v>
      </c>
      <c r="F2420" s="712"/>
      <c r="G2420" s="710">
        <v>20</v>
      </c>
      <c r="H2420" s="709" t="s">
        <v>807</v>
      </c>
      <c r="I2420" s="713" t="s">
        <v>859</v>
      </c>
      <c r="J2420" s="714" t="s">
        <v>802</v>
      </c>
      <c r="K2420" s="709">
        <v>1</v>
      </c>
      <c r="L2420" s="715">
        <f t="shared" si="71"/>
        <v>18.8</v>
      </c>
      <c r="M2420" s="716">
        <f t="shared" si="72"/>
        <v>18.8</v>
      </c>
    </row>
    <row r="2421" spans="2:13" s="645" customFormat="1" ht="21.75" customHeight="1">
      <c r="B2421" s="708">
        <v>44443</v>
      </c>
      <c r="C2421" s="709" t="s">
        <v>819</v>
      </c>
      <c r="D2421" s="710" t="s">
        <v>841</v>
      </c>
      <c r="E2421" s="711" t="s">
        <v>831</v>
      </c>
      <c r="F2421" s="712"/>
      <c r="G2421" s="710">
        <v>20</v>
      </c>
      <c r="H2421" s="709" t="s">
        <v>807</v>
      </c>
      <c r="I2421" s="713" t="s">
        <v>857</v>
      </c>
      <c r="J2421" s="714" t="s">
        <v>802</v>
      </c>
      <c r="K2421" s="709">
        <v>1</v>
      </c>
      <c r="L2421" s="715">
        <f t="shared" si="71"/>
        <v>18.8</v>
      </c>
      <c r="M2421" s="716">
        <f t="shared" si="72"/>
        <v>18.8</v>
      </c>
    </row>
    <row r="2422" spans="2:13" s="645" customFormat="1" ht="21.75" customHeight="1">
      <c r="B2422" s="708">
        <v>44443</v>
      </c>
      <c r="C2422" s="709" t="s">
        <v>819</v>
      </c>
      <c r="D2422" s="710" t="s">
        <v>833</v>
      </c>
      <c r="E2422" s="711" t="s">
        <v>831</v>
      </c>
      <c r="F2422" s="712"/>
      <c r="G2422" s="710">
        <v>15</v>
      </c>
      <c r="H2422" s="709" t="s">
        <v>807</v>
      </c>
      <c r="I2422" s="713" t="s">
        <v>857</v>
      </c>
      <c r="J2422" s="714" t="s">
        <v>802</v>
      </c>
      <c r="K2422" s="709">
        <v>1</v>
      </c>
      <c r="L2422" s="715">
        <f t="shared" si="71"/>
        <v>14.1</v>
      </c>
      <c r="M2422" s="716">
        <f t="shared" si="72"/>
        <v>14.1</v>
      </c>
    </row>
    <row r="2423" spans="2:13" s="645" customFormat="1" ht="21.75" customHeight="1">
      <c r="B2423" s="708">
        <v>44443</v>
      </c>
      <c r="C2423" s="709" t="s">
        <v>819</v>
      </c>
      <c r="D2423" s="710" t="s">
        <v>830</v>
      </c>
      <c r="E2423" s="711" t="s">
        <v>831</v>
      </c>
      <c r="F2423" s="712"/>
      <c r="G2423" s="710">
        <v>15</v>
      </c>
      <c r="H2423" s="709" t="s">
        <v>807</v>
      </c>
      <c r="I2423" s="713" t="s">
        <v>859</v>
      </c>
      <c r="J2423" s="714" t="s">
        <v>802</v>
      </c>
      <c r="K2423" s="709">
        <v>1</v>
      </c>
      <c r="L2423" s="715">
        <f t="shared" si="71"/>
        <v>14.1</v>
      </c>
      <c r="M2423" s="716">
        <f t="shared" si="72"/>
        <v>14.1</v>
      </c>
    </row>
    <row r="2424" spans="2:13" s="645" customFormat="1" ht="21.75" customHeight="1">
      <c r="B2424" s="708">
        <v>44443</v>
      </c>
      <c r="C2424" s="709" t="s">
        <v>819</v>
      </c>
      <c r="D2424" s="710" t="s">
        <v>845</v>
      </c>
      <c r="E2424" s="711" t="s">
        <v>831</v>
      </c>
      <c r="F2424" s="712"/>
      <c r="G2424" s="710">
        <v>17</v>
      </c>
      <c r="H2424" s="709" t="s">
        <v>807</v>
      </c>
      <c r="I2424" s="713" t="s">
        <v>857</v>
      </c>
      <c r="J2424" s="714" t="s">
        <v>802</v>
      </c>
      <c r="K2424" s="709">
        <v>1</v>
      </c>
      <c r="L2424" s="715">
        <f t="shared" si="71"/>
        <v>15.98</v>
      </c>
      <c r="M2424" s="716">
        <f t="shared" si="72"/>
        <v>15.98</v>
      </c>
    </row>
    <row r="2425" spans="2:13" s="645" customFormat="1" ht="21.75" customHeight="1">
      <c r="B2425" s="708">
        <v>44443</v>
      </c>
      <c r="C2425" s="709" t="s">
        <v>819</v>
      </c>
      <c r="D2425" s="710" t="s">
        <v>867</v>
      </c>
      <c r="E2425" s="711" t="s">
        <v>831</v>
      </c>
      <c r="F2425" s="712"/>
      <c r="G2425" s="710">
        <v>20</v>
      </c>
      <c r="H2425" s="709" t="s">
        <v>807</v>
      </c>
      <c r="I2425" s="713" t="s">
        <v>857</v>
      </c>
      <c r="J2425" s="714" t="s">
        <v>802</v>
      </c>
      <c r="K2425" s="709">
        <v>1</v>
      </c>
      <c r="L2425" s="715">
        <f t="shared" si="71"/>
        <v>18.8</v>
      </c>
      <c r="M2425" s="716">
        <f t="shared" si="72"/>
        <v>18.8</v>
      </c>
    </row>
    <row r="2426" spans="2:13" s="645" customFormat="1" ht="21.75" customHeight="1">
      <c r="B2426" s="708">
        <v>44443</v>
      </c>
      <c r="C2426" s="709" t="s">
        <v>819</v>
      </c>
      <c r="D2426" s="710" t="s">
        <v>868</v>
      </c>
      <c r="E2426" s="711" t="s">
        <v>831</v>
      </c>
      <c r="F2426" s="712"/>
      <c r="G2426" s="710">
        <v>20</v>
      </c>
      <c r="H2426" s="709" t="s">
        <v>807</v>
      </c>
      <c r="I2426" s="713" t="s">
        <v>857</v>
      </c>
      <c r="J2426" s="714" t="s">
        <v>802</v>
      </c>
      <c r="K2426" s="709">
        <v>2</v>
      </c>
      <c r="L2426" s="715">
        <f t="shared" si="71"/>
        <v>18.8</v>
      </c>
      <c r="M2426" s="716">
        <f t="shared" si="72"/>
        <v>37.6</v>
      </c>
    </row>
    <row r="2427" spans="2:13" s="645" customFormat="1" ht="21.75" customHeight="1">
      <c r="B2427" s="708">
        <v>44443</v>
      </c>
      <c r="C2427" s="709" t="s">
        <v>819</v>
      </c>
      <c r="D2427" s="710" t="s">
        <v>869</v>
      </c>
      <c r="E2427" s="711" t="s">
        <v>831</v>
      </c>
      <c r="F2427" s="712"/>
      <c r="G2427" s="710">
        <v>20</v>
      </c>
      <c r="H2427" s="709" t="s">
        <v>807</v>
      </c>
      <c r="I2427" s="713" t="s">
        <v>859</v>
      </c>
      <c r="J2427" s="714" t="s">
        <v>802</v>
      </c>
      <c r="K2427" s="709">
        <v>1</v>
      </c>
      <c r="L2427" s="715">
        <f t="shared" si="71"/>
        <v>18.8</v>
      </c>
      <c r="M2427" s="716">
        <f t="shared" si="72"/>
        <v>18.8</v>
      </c>
    </row>
    <row r="2428" spans="2:13" s="645" customFormat="1" ht="21.75" customHeight="1">
      <c r="B2428" s="708">
        <v>44443</v>
      </c>
      <c r="C2428" s="709" t="s">
        <v>819</v>
      </c>
      <c r="D2428" s="710" t="s">
        <v>870</v>
      </c>
      <c r="E2428" s="711" t="s">
        <v>831</v>
      </c>
      <c r="F2428" s="712"/>
      <c r="G2428" s="710">
        <v>20</v>
      </c>
      <c r="H2428" s="709" t="s">
        <v>807</v>
      </c>
      <c r="I2428" s="713" t="s">
        <v>859</v>
      </c>
      <c r="J2428" s="714" t="s">
        <v>802</v>
      </c>
      <c r="K2428" s="709">
        <v>1</v>
      </c>
      <c r="L2428" s="715">
        <f t="shared" si="71"/>
        <v>18.8</v>
      </c>
      <c r="M2428" s="716">
        <f t="shared" si="72"/>
        <v>18.8</v>
      </c>
    </row>
    <row r="2429" spans="2:13" s="645" customFormat="1" ht="21.75" customHeight="1">
      <c r="B2429" s="708">
        <v>44443</v>
      </c>
      <c r="C2429" s="709" t="s">
        <v>819</v>
      </c>
      <c r="D2429" s="710" t="s">
        <v>870</v>
      </c>
      <c r="E2429" s="711" t="s">
        <v>831</v>
      </c>
      <c r="F2429" s="712"/>
      <c r="G2429" s="710">
        <v>20</v>
      </c>
      <c r="H2429" s="709" t="s">
        <v>807</v>
      </c>
      <c r="I2429" s="713" t="s">
        <v>857</v>
      </c>
      <c r="J2429" s="714" t="s">
        <v>802</v>
      </c>
      <c r="K2429" s="709">
        <v>1</v>
      </c>
      <c r="L2429" s="715">
        <f t="shared" si="71"/>
        <v>18.8</v>
      </c>
      <c r="M2429" s="716">
        <f t="shared" si="72"/>
        <v>18.8</v>
      </c>
    </row>
    <row r="2430" spans="2:13" s="645" customFormat="1" ht="21.75" customHeight="1">
      <c r="B2430" s="708">
        <v>44443</v>
      </c>
      <c r="C2430" s="709" t="s">
        <v>819</v>
      </c>
      <c r="D2430" s="710" t="s">
        <v>871</v>
      </c>
      <c r="E2430" s="711" t="s">
        <v>831</v>
      </c>
      <c r="F2430" s="712"/>
      <c r="G2430" s="710">
        <v>15</v>
      </c>
      <c r="H2430" s="709" t="s">
        <v>807</v>
      </c>
      <c r="I2430" s="713" t="s">
        <v>859</v>
      </c>
      <c r="J2430" s="714" t="s">
        <v>802</v>
      </c>
      <c r="K2430" s="709">
        <v>1</v>
      </c>
      <c r="L2430" s="715">
        <f t="shared" si="71"/>
        <v>14.1</v>
      </c>
      <c r="M2430" s="716">
        <f t="shared" si="72"/>
        <v>14.1</v>
      </c>
    </row>
    <row r="2431" spans="2:13" s="645" customFormat="1" ht="21.75" customHeight="1">
      <c r="B2431" s="708">
        <v>44443</v>
      </c>
      <c r="C2431" s="709" t="s">
        <v>837</v>
      </c>
      <c r="D2431" s="710" t="s">
        <v>849</v>
      </c>
      <c r="E2431" s="711" t="s">
        <v>831</v>
      </c>
      <c r="F2431" s="712"/>
      <c r="G2431" s="710">
        <v>20</v>
      </c>
      <c r="H2431" s="709" t="s">
        <v>807</v>
      </c>
      <c r="I2431" s="713" t="s">
        <v>859</v>
      </c>
      <c r="J2431" s="714" t="s">
        <v>802</v>
      </c>
      <c r="K2431" s="709">
        <v>2</v>
      </c>
      <c r="L2431" s="715">
        <f t="shared" si="71"/>
        <v>18.8</v>
      </c>
      <c r="M2431" s="716">
        <f t="shared" si="72"/>
        <v>37.6</v>
      </c>
    </row>
    <row r="2432" spans="2:13" s="645" customFormat="1" ht="21.75" customHeight="1">
      <c r="B2432" s="708">
        <v>44443</v>
      </c>
      <c r="C2432" s="709" t="s">
        <v>837</v>
      </c>
      <c r="D2432" s="710" t="s">
        <v>840</v>
      </c>
      <c r="E2432" s="711" t="s">
        <v>831</v>
      </c>
      <c r="F2432" s="712"/>
      <c r="G2432" s="710">
        <v>20</v>
      </c>
      <c r="H2432" s="709" t="s">
        <v>807</v>
      </c>
      <c r="I2432" s="713" t="s">
        <v>859</v>
      </c>
      <c r="J2432" s="714" t="s">
        <v>802</v>
      </c>
      <c r="K2432" s="709">
        <v>1</v>
      </c>
      <c r="L2432" s="715">
        <f t="shared" si="71"/>
        <v>18.8</v>
      </c>
      <c r="M2432" s="716">
        <f t="shared" si="72"/>
        <v>18.8</v>
      </c>
    </row>
    <row r="2433" spans="2:13" s="645" customFormat="1" ht="21.75" customHeight="1">
      <c r="B2433" s="708">
        <v>44443</v>
      </c>
      <c r="C2433" s="709" t="s">
        <v>837</v>
      </c>
      <c r="D2433" s="710" t="s">
        <v>835</v>
      </c>
      <c r="E2433" s="711" t="s">
        <v>831</v>
      </c>
      <c r="F2433" s="712"/>
      <c r="G2433" s="710">
        <v>20</v>
      </c>
      <c r="H2433" s="709" t="s">
        <v>807</v>
      </c>
      <c r="I2433" s="713" t="s">
        <v>859</v>
      </c>
      <c r="J2433" s="714" t="s">
        <v>802</v>
      </c>
      <c r="K2433" s="709">
        <v>2</v>
      </c>
      <c r="L2433" s="715">
        <f t="shared" si="71"/>
        <v>18.8</v>
      </c>
      <c r="M2433" s="716">
        <f t="shared" si="72"/>
        <v>37.6</v>
      </c>
    </row>
    <row r="2434" spans="2:13" s="645" customFormat="1" ht="21.75" customHeight="1">
      <c r="B2434" s="708">
        <v>44443</v>
      </c>
      <c r="C2434" s="709" t="s">
        <v>837</v>
      </c>
      <c r="D2434" s="710" t="s">
        <v>841</v>
      </c>
      <c r="E2434" s="711" t="s">
        <v>831</v>
      </c>
      <c r="F2434" s="712"/>
      <c r="G2434" s="710">
        <v>20</v>
      </c>
      <c r="H2434" s="709" t="s">
        <v>807</v>
      </c>
      <c r="I2434" s="713" t="s">
        <v>859</v>
      </c>
      <c r="J2434" s="714" t="s">
        <v>802</v>
      </c>
      <c r="K2434" s="709">
        <v>2</v>
      </c>
      <c r="L2434" s="715">
        <f t="shared" si="71"/>
        <v>18.8</v>
      </c>
      <c r="M2434" s="716">
        <f t="shared" si="72"/>
        <v>37.6</v>
      </c>
    </row>
    <row r="2435" spans="2:13" s="645" customFormat="1" ht="21.75" customHeight="1">
      <c r="B2435" s="708">
        <v>44443</v>
      </c>
      <c r="C2435" s="709" t="s">
        <v>837</v>
      </c>
      <c r="D2435" s="710" t="s">
        <v>834</v>
      </c>
      <c r="E2435" s="711" t="s">
        <v>831</v>
      </c>
      <c r="F2435" s="712"/>
      <c r="G2435" s="710">
        <v>20</v>
      </c>
      <c r="H2435" s="709" t="s">
        <v>807</v>
      </c>
      <c r="I2435" s="713" t="s">
        <v>859</v>
      </c>
      <c r="J2435" s="714" t="s">
        <v>802</v>
      </c>
      <c r="K2435" s="709">
        <v>2</v>
      </c>
      <c r="L2435" s="715">
        <f t="shared" si="71"/>
        <v>18.8</v>
      </c>
      <c r="M2435" s="716">
        <f t="shared" si="72"/>
        <v>37.6</v>
      </c>
    </row>
    <row r="2436" spans="2:13" s="645" customFormat="1" ht="21.75" customHeight="1">
      <c r="B2436" s="708">
        <v>44443</v>
      </c>
      <c r="C2436" s="709" t="s">
        <v>837</v>
      </c>
      <c r="D2436" s="710" t="s">
        <v>848</v>
      </c>
      <c r="E2436" s="711" t="s">
        <v>831</v>
      </c>
      <c r="F2436" s="712"/>
      <c r="G2436" s="710">
        <v>20</v>
      </c>
      <c r="H2436" s="709" t="s">
        <v>807</v>
      </c>
      <c r="I2436" s="713" t="s">
        <v>859</v>
      </c>
      <c r="J2436" s="714" t="s">
        <v>802</v>
      </c>
      <c r="K2436" s="709">
        <v>2</v>
      </c>
      <c r="L2436" s="715">
        <f t="shared" si="71"/>
        <v>18.8</v>
      </c>
      <c r="M2436" s="716">
        <f t="shared" si="72"/>
        <v>37.6</v>
      </c>
    </row>
    <row r="2437" spans="2:13" s="645" customFormat="1" ht="21.75" customHeight="1">
      <c r="B2437" s="708">
        <v>44443</v>
      </c>
      <c r="C2437" s="709" t="s">
        <v>837</v>
      </c>
      <c r="D2437" s="710" t="s">
        <v>830</v>
      </c>
      <c r="E2437" s="711" t="s">
        <v>831</v>
      </c>
      <c r="F2437" s="712"/>
      <c r="G2437" s="710">
        <v>15</v>
      </c>
      <c r="H2437" s="709" t="s">
        <v>807</v>
      </c>
      <c r="I2437" s="713" t="s">
        <v>859</v>
      </c>
      <c r="J2437" s="714" t="s">
        <v>802</v>
      </c>
      <c r="K2437" s="709">
        <v>2</v>
      </c>
      <c r="L2437" s="715">
        <f t="shared" si="71"/>
        <v>14.1</v>
      </c>
      <c r="M2437" s="716">
        <f t="shared" si="72"/>
        <v>28.2</v>
      </c>
    </row>
    <row r="2438" spans="2:13" s="645" customFormat="1" ht="21.75" customHeight="1">
      <c r="B2438" s="708">
        <v>44443</v>
      </c>
      <c r="C2438" s="709" t="s">
        <v>837</v>
      </c>
      <c r="D2438" s="710" t="s">
        <v>850</v>
      </c>
      <c r="E2438" s="711" t="s">
        <v>831</v>
      </c>
      <c r="F2438" s="712"/>
      <c r="G2438" s="710">
        <v>15</v>
      </c>
      <c r="H2438" s="709" t="s">
        <v>807</v>
      </c>
      <c r="I2438" s="713" t="s">
        <v>859</v>
      </c>
      <c r="J2438" s="714" t="s">
        <v>802</v>
      </c>
      <c r="K2438" s="709">
        <v>2</v>
      </c>
      <c r="L2438" s="715">
        <f t="shared" si="71"/>
        <v>14.1</v>
      </c>
      <c r="M2438" s="716">
        <f t="shared" si="72"/>
        <v>28.2</v>
      </c>
    </row>
    <row r="2439" spans="2:13" s="645" customFormat="1" ht="21.75" customHeight="1">
      <c r="B2439" s="708">
        <v>44443</v>
      </c>
      <c r="C2439" s="709" t="s">
        <v>837</v>
      </c>
      <c r="D2439" s="710" t="s">
        <v>845</v>
      </c>
      <c r="E2439" s="711" t="s">
        <v>831</v>
      </c>
      <c r="F2439" s="712"/>
      <c r="G2439" s="710">
        <v>17</v>
      </c>
      <c r="H2439" s="709" t="s">
        <v>807</v>
      </c>
      <c r="I2439" s="713" t="s">
        <v>859</v>
      </c>
      <c r="J2439" s="714" t="s">
        <v>802</v>
      </c>
      <c r="K2439" s="709">
        <v>2</v>
      </c>
      <c r="L2439" s="715">
        <f t="shared" si="71"/>
        <v>15.98</v>
      </c>
      <c r="M2439" s="716">
        <f t="shared" si="72"/>
        <v>31.96</v>
      </c>
    </row>
    <row r="2440" spans="2:13" s="645" customFormat="1" ht="21.75" customHeight="1">
      <c r="B2440" s="708">
        <v>44443</v>
      </c>
      <c r="C2440" s="709" t="s">
        <v>837</v>
      </c>
      <c r="D2440" s="710" t="s">
        <v>847</v>
      </c>
      <c r="E2440" s="711" t="s">
        <v>831</v>
      </c>
      <c r="F2440" s="712"/>
      <c r="G2440" s="710">
        <v>17</v>
      </c>
      <c r="H2440" s="709" t="s">
        <v>807</v>
      </c>
      <c r="I2440" s="713" t="s">
        <v>859</v>
      </c>
      <c r="J2440" s="714" t="s">
        <v>802</v>
      </c>
      <c r="K2440" s="709">
        <v>1</v>
      </c>
      <c r="L2440" s="715">
        <f t="shared" si="71"/>
        <v>15.98</v>
      </c>
      <c r="M2440" s="716">
        <f t="shared" si="72"/>
        <v>15.98</v>
      </c>
    </row>
    <row r="2441" spans="2:13" s="645" customFormat="1" ht="21.75" customHeight="1">
      <c r="B2441" s="708">
        <v>44443</v>
      </c>
      <c r="C2441" s="709" t="s">
        <v>837</v>
      </c>
      <c r="D2441" s="710" t="s">
        <v>856</v>
      </c>
      <c r="E2441" s="711" t="s">
        <v>831</v>
      </c>
      <c r="F2441" s="712"/>
      <c r="G2441" s="710">
        <v>20</v>
      </c>
      <c r="H2441" s="709" t="s">
        <v>807</v>
      </c>
      <c r="I2441" s="713" t="s">
        <v>859</v>
      </c>
      <c r="J2441" s="714" t="s">
        <v>802</v>
      </c>
      <c r="K2441" s="709">
        <v>2</v>
      </c>
      <c r="L2441" s="715">
        <f t="shared" ref="L2441:L2504" si="73">VLOOKUP(G2441,$Q$4:$V$7,6,FALSE)</f>
        <v>18.8</v>
      </c>
      <c r="M2441" s="716">
        <f t="shared" si="72"/>
        <v>37.6</v>
      </c>
    </row>
    <row r="2442" spans="2:13" s="645" customFormat="1" ht="21.75" customHeight="1">
      <c r="B2442" s="708">
        <v>44443</v>
      </c>
      <c r="C2442" s="709" t="s">
        <v>837</v>
      </c>
      <c r="D2442" s="710" t="s">
        <v>855</v>
      </c>
      <c r="E2442" s="711" t="s">
        <v>831</v>
      </c>
      <c r="F2442" s="712"/>
      <c r="G2442" s="710">
        <v>20</v>
      </c>
      <c r="H2442" s="709" t="s">
        <v>807</v>
      </c>
      <c r="I2442" s="713" t="s">
        <v>859</v>
      </c>
      <c r="J2442" s="714" t="s">
        <v>802</v>
      </c>
      <c r="K2442" s="709">
        <v>1</v>
      </c>
      <c r="L2442" s="715">
        <f t="shared" si="73"/>
        <v>18.8</v>
      </c>
      <c r="M2442" s="716">
        <f t="shared" si="72"/>
        <v>18.8</v>
      </c>
    </row>
    <row r="2443" spans="2:13" s="645" customFormat="1" ht="21.75" customHeight="1">
      <c r="B2443" s="708">
        <v>44443</v>
      </c>
      <c r="C2443" s="709" t="s">
        <v>837</v>
      </c>
      <c r="D2443" s="710" t="s">
        <v>867</v>
      </c>
      <c r="E2443" s="711" t="s">
        <v>831</v>
      </c>
      <c r="F2443" s="712"/>
      <c r="G2443" s="710">
        <v>20</v>
      </c>
      <c r="H2443" s="709" t="s">
        <v>807</v>
      </c>
      <c r="I2443" s="713" t="s">
        <v>859</v>
      </c>
      <c r="J2443" s="714" t="s">
        <v>802</v>
      </c>
      <c r="K2443" s="709">
        <v>3</v>
      </c>
      <c r="L2443" s="715">
        <f t="shared" si="73"/>
        <v>18.8</v>
      </c>
      <c r="M2443" s="716">
        <f t="shared" si="72"/>
        <v>56.400000000000006</v>
      </c>
    </row>
    <row r="2444" spans="2:13" s="645" customFormat="1" ht="21.75" customHeight="1">
      <c r="B2444" s="708">
        <v>44443</v>
      </c>
      <c r="C2444" s="709" t="s">
        <v>837</v>
      </c>
      <c r="D2444" s="710" t="s">
        <v>868</v>
      </c>
      <c r="E2444" s="711" t="s">
        <v>831</v>
      </c>
      <c r="F2444" s="712"/>
      <c r="G2444" s="710">
        <v>20</v>
      </c>
      <c r="H2444" s="709" t="s">
        <v>807</v>
      </c>
      <c r="I2444" s="713" t="s">
        <v>859</v>
      </c>
      <c r="J2444" s="714" t="s">
        <v>802</v>
      </c>
      <c r="K2444" s="709">
        <v>2</v>
      </c>
      <c r="L2444" s="715">
        <f t="shared" si="73"/>
        <v>18.8</v>
      </c>
      <c r="M2444" s="716">
        <f t="shared" si="72"/>
        <v>37.6</v>
      </c>
    </row>
    <row r="2445" spans="2:13" s="645" customFormat="1" ht="21.75" customHeight="1">
      <c r="B2445" s="708">
        <v>44443</v>
      </c>
      <c r="C2445" s="709" t="s">
        <v>837</v>
      </c>
      <c r="D2445" s="710" t="s">
        <v>871</v>
      </c>
      <c r="E2445" s="711" t="s">
        <v>831</v>
      </c>
      <c r="F2445" s="712"/>
      <c r="G2445" s="710">
        <v>20</v>
      </c>
      <c r="H2445" s="709" t="s">
        <v>807</v>
      </c>
      <c r="I2445" s="713" t="s">
        <v>859</v>
      </c>
      <c r="J2445" s="714" t="s">
        <v>802</v>
      </c>
      <c r="K2445" s="709">
        <v>3</v>
      </c>
      <c r="L2445" s="715">
        <f t="shared" si="73"/>
        <v>18.8</v>
      </c>
      <c r="M2445" s="716">
        <f t="shared" si="72"/>
        <v>56.400000000000006</v>
      </c>
    </row>
    <row r="2446" spans="2:13" s="645" customFormat="1" ht="21.75" customHeight="1">
      <c r="B2446" s="708">
        <v>44444</v>
      </c>
      <c r="C2446" s="709" t="s">
        <v>819</v>
      </c>
      <c r="D2446" s="710" t="s">
        <v>849</v>
      </c>
      <c r="E2446" s="711" t="s">
        <v>831</v>
      </c>
      <c r="F2446" s="712"/>
      <c r="G2446" s="710">
        <v>20</v>
      </c>
      <c r="H2446" s="709" t="s">
        <v>807</v>
      </c>
      <c r="I2446" s="713" t="s">
        <v>859</v>
      </c>
      <c r="J2446" s="714" t="s">
        <v>802</v>
      </c>
      <c r="K2446" s="709">
        <v>2</v>
      </c>
      <c r="L2446" s="715">
        <f t="shared" si="73"/>
        <v>18.8</v>
      </c>
      <c r="M2446" s="716">
        <f t="shared" si="72"/>
        <v>37.6</v>
      </c>
    </row>
    <row r="2447" spans="2:13" s="645" customFormat="1" ht="21.75" customHeight="1">
      <c r="B2447" s="708">
        <v>44444</v>
      </c>
      <c r="C2447" s="709" t="s">
        <v>819</v>
      </c>
      <c r="D2447" s="710" t="s">
        <v>841</v>
      </c>
      <c r="E2447" s="711" t="s">
        <v>831</v>
      </c>
      <c r="F2447" s="712"/>
      <c r="G2447" s="710">
        <v>20</v>
      </c>
      <c r="H2447" s="709" t="s">
        <v>807</v>
      </c>
      <c r="I2447" s="713" t="s">
        <v>859</v>
      </c>
      <c r="J2447" s="714" t="s">
        <v>802</v>
      </c>
      <c r="K2447" s="709">
        <v>2</v>
      </c>
      <c r="L2447" s="715">
        <f t="shared" si="73"/>
        <v>18.8</v>
      </c>
      <c r="M2447" s="716">
        <f t="shared" si="72"/>
        <v>37.6</v>
      </c>
    </row>
    <row r="2448" spans="2:13" s="645" customFormat="1" ht="21.75" customHeight="1">
      <c r="B2448" s="708">
        <v>44444</v>
      </c>
      <c r="C2448" s="709" t="s">
        <v>819</v>
      </c>
      <c r="D2448" s="710" t="s">
        <v>834</v>
      </c>
      <c r="E2448" s="711" t="s">
        <v>831</v>
      </c>
      <c r="F2448" s="712"/>
      <c r="G2448" s="710">
        <v>20</v>
      </c>
      <c r="H2448" s="709" t="s">
        <v>807</v>
      </c>
      <c r="I2448" s="713" t="s">
        <v>859</v>
      </c>
      <c r="J2448" s="714" t="s">
        <v>802</v>
      </c>
      <c r="K2448" s="709">
        <v>6</v>
      </c>
      <c r="L2448" s="715">
        <f t="shared" si="73"/>
        <v>18.8</v>
      </c>
      <c r="M2448" s="716">
        <f t="shared" si="72"/>
        <v>112.80000000000001</v>
      </c>
    </row>
    <row r="2449" spans="2:13" s="645" customFormat="1" ht="21.75" customHeight="1">
      <c r="B2449" s="708">
        <v>44444</v>
      </c>
      <c r="C2449" s="709" t="s">
        <v>819</v>
      </c>
      <c r="D2449" s="710" t="s">
        <v>848</v>
      </c>
      <c r="E2449" s="711" t="s">
        <v>831</v>
      </c>
      <c r="F2449" s="712"/>
      <c r="G2449" s="710">
        <v>20</v>
      </c>
      <c r="H2449" s="709" t="s">
        <v>807</v>
      </c>
      <c r="I2449" s="713" t="s">
        <v>859</v>
      </c>
      <c r="J2449" s="714" t="s">
        <v>802</v>
      </c>
      <c r="K2449" s="709">
        <v>1</v>
      </c>
      <c r="L2449" s="715">
        <f t="shared" si="73"/>
        <v>18.8</v>
      </c>
      <c r="M2449" s="716">
        <f t="shared" si="72"/>
        <v>18.8</v>
      </c>
    </row>
    <row r="2450" spans="2:13" s="645" customFormat="1" ht="21.75" customHeight="1">
      <c r="B2450" s="708">
        <v>44444</v>
      </c>
      <c r="C2450" s="709" t="s">
        <v>819</v>
      </c>
      <c r="D2450" s="710" t="s">
        <v>836</v>
      </c>
      <c r="E2450" s="711" t="s">
        <v>831</v>
      </c>
      <c r="F2450" s="712"/>
      <c r="G2450" s="710">
        <v>20</v>
      </c>
      <c r="H2450" s="709" t="s">
        <v>807</v>
      </c>
      <c r="I2450" s="713" t="s">
        <v>859</v>
      </c>
      <c r="J2450" s="714" t="s">
        <v>802</v>
      </c>
      <c r="K2450" s="709">
        <v>1</v>
      </c>
      <c r="L2450" s="715">
        <f t="shared" si="73"/>
        <v>18.8</v>
      </c>
      <c r="M2450" s="716">
        <f t="shared" si="72"/>
        <v>18.8</v>
      </c>
    </row>
    <row r="2451" spans="2:13" s="645" customFormat="1" ht="21.75" customHeight="1">
      <c r="B2451" s="708">
        <v>44444</v>
      </c>
      <c r="C2451" s="709" t="s">
        <v>819</v>
      </c>
      <c r="D2451" s="710" t="s">
        <v>833</v>
      </c>
      <c r="E2451" s="711" t="s">
        <v>831</v>
      </c>
      <c r="F2451" s="712"/>
      <c r="G2451" s="710">
        <v>15</v>
      </c>
      <c r="H2451" s="709" t="s">
        <v>807</v>
      </c>
      <c r="I2451" s="713" t="s">
        <v>859</v>
      </c>
      <c r="J2451" s="714" t="s">
        <v>802</v>
      </c>
      <c r="K2451" s="709">
        <v>2</v>
      </c>
      <c r="L2451" s="715">
        <f t="shared" si="73"/>
        <v>14.1</v>
      </c>
      <c r="M2451" s="716">
        <f t="shared" si="72"/>
        <v>28.2</v>
      </c>
    </row>
    <row r="2452" spans="2:13" s="645" customFormat="1" ht="21.75" customHeight="1">
      <c r="B2452" s="708">
        <v>44444</v>
      </c>
      <c r="C2452" s="709" t="s">
        <v>819</v>
      </c>
      <c r="D2452" s="710" t="s">
        <v>830</v>
      </c>
      <c r="E2452" s="711" t="s">
        <v>831</v>
      </c>
      <c r="F2452" s="712"/>
      <c r="G2452" s="710">
        <v>15</v>
      </c>
      <c r="H2452" s="709" t="s">
        <v>807</v>
      </c>
      <c r="I2452" s="713" t="s">
        <v>859</v>
      </c>
      <c r="J2452" s="714" t="s">
        <v>802</v>
      </c>
      <c r="K2452" s="709">
        <v>2</v>
      </c>
      <c r="L2452" s="715">
        <f t="shared" si="73"/>
        <v>14.1</v>
      </c>
      <c r="M2452" s="716">
        <f t="shared" si="72"/>
        <v>28.2</v>
      </c>
    </row>
    <row r="2453" spans="2:13" s="645" customFormat="1" ht="21.75" customHeight="1">
      <c r="B2453" s="708">
        <v>44444</v>
      </c>
      <c r="C2453" s="709" t="s">
        <v>819</v>
      </c>
      <c r="D2453" s="710" t="s">
        <v>845</v>
      </c>
      <c r="E2453" s="711" t="s">
        <v>831</v>
      </c>
      <c r="F2453" s="712"/>
      <c r="G2453" s="710">
        <v>17</v>
      </c>
      <c r="H2453" s="709" t="s">
        <v>807</v>
      </c>
      <c r="I2453" s="713" t="s">
        <v>859</v>
      </c>
      <c r="J2453" s="714" t="s">
        <v>802</v>
      </c>
      <c r="K2453" s="709">
        <v>3</v>
      </c>
      <c r="L2453" s="715">
        <f t="shared" si="73"/>
        <v>15.98</v>
      </c>
      <c r="M2453" s="716">
        <f t="shared" si="72"/>
        <v>47.94</v>
      </c>
    </row>
    <row r="2454" spans="2:13" s="645" customFormat="1" ht="21.75" customHeight="1">
      <c r="B2454" s="708">
        <v>44444</v>
      </c>
      <c r="C2454" s="709" t="s">
        <v>819</v>
      </c>
      <c r="D2454" s="710" t="s">
        <v>855</v>
      </c>
      <c r="E2454" s="711" t="s">
        <v>831</v>
      </c>
      <c r="F2454" s="712"/>
      <c r="G2454" s="710">
        <v>20</v>
      </c>
      <c r="H2454" s="709" t="s">
        <v>807</v>
      </c>
      <c r="I2454" s="713" t="s">
        <v>859</v>
      </c>
      <c r="J2454" s="714" t="s">
        <v>802</v>
      </c>
      <c r="K2454" s="709">
        <v>2</v>
      </c>
      <c r="L2454" s="715">
        <f t="shared" si="73"/>
        <v>18.8</v>
      </c>
      <c r="M2454" s="716">
        <f t="shared" si="72"/>
        <v>37.6</v>
      </c>
    </row>
    <row r="2455" spans="2:13" s="645" customFormat="1" ht="21.75" customHeight="1">
      <c r="B2455" s="708">
        <v>44444</v>
      </c>
      <c r="C2455" s="709" t="s">
        <v>819</v>
      </c>
      <c r="D2455" s="710" t="s">
        <v>868</v>
      </c>
      <c r="E2455" s="711" t="s">
        <v>831</v>
      </c>
      <c r="F2455" s="712"/>
      <c r="G2455" s="710">
        <v>20</v>
      </c>
      <c r="H2455" s="709" t="s">
        <v>807</v>
      </c>
      <c r="I2455" s="713" t="s">
        <v>859</v>
      </c>
      <c r="J2455" s="714" t="s">
        <v>802</v>
      </c>
      <c r="K2455" s="709">
        <v>5</v>
      </c>
      <c r="L2455" s="715">
        <f t="shared" si="73"/>
        <v>18.8</v>
      </c>
      <c r="M2455" s="716">
        <f t="shared" si="72"/>
        <v>94</v>
      </c>
    </row>
    <row r="2456" spans="2:13" s="645" customFormat="1" ht="21.75" customHeight="1">
      <c r="B2456" s="708">
        <v>44445</v>
      </c>
      <c r="C2456" s="709" t="s">
        <v>819</v>
      </c>
      <c r="D2456" s="710" t="s">
        <v>849</v>
      </c>
      <c r="E2456" s="711" t="s">
        <v>831</v>
      </c>
      <c r="F2456" s="712"/>
      <c r="G2456" s="710">
        <v>20</v>
      </c>
      <c r="H2456" s="709" t="s">
        <v>807</v>
      </c>
      <c r="I2456" s="713" t="s">
        <v>859</v>
      </c>
      <c r="J2456" s="714" t="s">
        <v>802</v>
      </c>
      <c r="K2456" s="709">
        <v>3</v>
      </c>
      <c r="L2456" s="715">
        <f t="shared" si="73"/>
        <v>18.8</v>
      </c>
      <c r="M2456" s="716">
        <f t="shared" si="72"/>
        <v>56.400000000000006</v>
      </c>
    </row>
    <row r="2457" spans="2:13" s="645" customFormat="1" ht="21.75" customHeight="1">
      <c r="B2457" s="708">
        <v>44445</v>
      </c>
      <c r="C2457" s="709" t="s">
        <v>819</v>
      </c>
      <c r="D2457" s="710" t="s">
        <v>835</v>
      </c>
      <c r="E2457" s="711" t="s">
        <v>831</v>
      </c>
      <c r="F2457" s="712"/>
      <c r="G2457" s="710">
        <v>20</v>
      </c>
      <c r="H2457" s="709" t="s">
        <v>807</v>
      </c>
      <c r="I2457" s="713" t="s">
        <v>859</v>
      </c>
      <c r="J2457" s="714" t="s">
        <v>802</v>
      </c>
      <c r="K2457" s="709">
        <v>2</v>
      </c>
      <c r="L2457" s="715">
        <f t="shared" si="73"/>
        <v>18.8</v>
      </c>
      <c r="M2457" s="716">
        <f t="shared" si="72"/>
        <v>37.6</v>
      </c>
    </row>
    <row r="2458" spans="2:13" s="645" customFormat="1" ht="21.75" customHeight="1">
      <c r="B2458" s="708">
        <v>44445</v>
      </c>
      <c r="C2458" s="709" t="s">
        <v>819</v>
      </c>
      <c r="D2458" s="710" t="s">
        <v>841</v>
      </c>
      <c r="E2458" s="711" t="s">
        <v>831</v>
      </c>
      <c r="F2458" s="712"/>
      <c r="G2458" s="710">
        <v>20</v>
      </c>
      <c r="H2458" s="709" t="s">
        <v>807</v>
      </c>
      <c r="I2458" s="713" t="s">
        <v>859</v>
      </c>
      <c r="J2458" s="714" t="s">
        <v>802</v>
      </c>
      <c r="K2458" s="709">
        <v>2</v>
      </c>
      <c r="L2458" s="715">
        <f t="shared" si="73"/>
        <v>18.8</v>
      </c>
      <c r="M2458" s="716">
        <f t="shared" si="72"/>
        <v>37.6</v>
      </c>
    </row>
    <row r="2459" spans="2:13" s="645" customFormat="1" ht="21.75" customHeight="1">
      <c r="B2459" s="708">
        <v>44445</v>
      </c>
      <c r="C2459" s="709" t="s">
        <v>819</v>
      </c>
      <c r="D2459" s="710" t="s">
        <v>834</v>
      </c>
      <c r="E2459" s="711" t="s">
        <v>831</v>
      </c>
      <c r="F2459" s="712"/>
      <c r="G2459" s="710">
        <v>20</v>
      </c>
      <c r="H2459" s="709" t="s">
        <v>807</v>
      </c>
      <c r="I2459" s="713" t="s">
        <v>859</v>
      </c>
      <c r="J2459" s="714" t="s">
        <v>802</v>
      </c>
      <c r="K2459" s="709">
        <v>5</v>
      </c>
      <c r="L2459" s="715">
        <f t="shared" si="73"/>
        <v>18.8</v>
      </c>
      <c r="M2459" s="716">
        <f t="shared" si="72"/>
        <v>94</v>
      </c>
    </row>
    <row r="2460" spans="2:13" s="645" customFormat="1" ht="21.75" customHeight="1">
      <c r="B2460" s="708">
        <v>44445</v>
      </c>
      <c r="C2460" s="709" t="s">
        <v>819</v>
      </c>
      <c r="D2460" s="710" t="s">
        <v>848</v>
      </c>
      <c r="E2460" s="711" t="s">
        <v>831</v>
      </c>
      <c r="F2460" s="712"/>
      <c r="G2460" s="710">
        <v>20</v>
      </c>
      <c r="H2460" s="709" t="s">
        <v>807</v>
      </c>
      <c r="I2460" s="713" t="s">
        <v>859</v>
      </c>
      <c r="J2460" s="714" t="s">
        <v>802</v>
      </c>
      <c r="K2460" s="709">
        <v>1</v>
      </c>
      <c r="L2460" s="715">
        <f t="shared" si="73"/>
        <v>18.8</v>
      </c>
      <c r="M2460" s="716">
        <f t="shared" si="72"/>
        <v>18.8</v>
      </c>
    </row>
    <row r="2461" spans="2:13" s="645" customFormat="1" ht="21.75" customHeight="1">
      <c r="B2461" s="708">
        <v>44445</v>
      </c>
      <c r="C2461" s="709" t="s">
        <v>819</v>
      </c>
      <c r="D2461" s="710" t="s">
        <v>833</v>
      </c>
      <c r="E2461" s="711" t="s">
        <v>831</v>
      </c>
      <c r="F2461" s="712"/>
      <c r="G2461" s="710">
        <v>15</v>
      </c>
      <c r="H2461" s="709" t="s">
        <v>807</v>
      </c>
      <c r="I2461" s="713" t="s">
        <v>859</v>
      </c>
      <c r="J2461" s="714" t="s">
        <v>802</v>
      </c>
      <c r="K2461" s="709">
        <v>5</v>
      </c>
      <c r="L2461" s="715">
        <f t="shared" si="73"/>
        <v>14.1</v>
      </c>
      <c r="M2461" s="716">
        <f t="shared" si="72"/>
        <v>70.5</v>
      </c>
    </row>
    <row r="2462" spans="2:13" s="645" customFormat="1" ht="21.75" customHeight="1">
      <c r="B2462" s="708">
        <v>44445</v>
      </c>
      <c r="C2462" s="709" t="s">
        <v>819</v>
      </c>
      <c r="D2462" s="710" t="s">
        <v>845</v>
      </c>
      <c r="E2462" s="711" t="s">
        <v>831</v>
      </c>
      <c r="F2462" s="712"/>
      <c r="G2462" s="710">
        <v>17</v>
      </c>
      <c r="H2462" s="709" t="s">
        <v>807</v>
      </c>
      <c r="I2462" s="713" t="s">
        <v>859</v>
      </c>
      <c r="J2462" s="714" t="s">
        <v>802</v>
      </c>
      <c r="K2462" s="709">
        <v>3</v>
      </c>
      <c r="L2462" s="715">
        <f t="shared" si="73"/>
        <v>15.98</v>
      </c>
      <c r="M2462" s="716">
        <f t="shared" si="72"/>
        <v>47.94</v>
      </c>
    </row>
    <row r="2463" spans="2:13" s="645" customFormat="1" ht="21.75" customHeight="1">
      <c r="B2463" s="708">
        <v>44445</v>
      </c>
      <c r="C2463" s="709" t="s">
        <v>819</v>
      </c>
      <c r="D2463" s="710" t="s">
        <v>856</v>
      </c>
      <c r="E2463" s="711" t="s">
        <v>831</v>
      </c>
      <c r="F2463" s="712"/>
      <c r="G2463" s="710">
        <v>20</v>
      </c>
      <c r="H2463" s="709" t="s">
        <v>807</v>
      </c>
      <c r="I2463" s="713" t="s">
        <v>859</v>
      </c>
      <c r="J2463" s="714" t="s">
        <v>802</v>
      </c>
      <c r="K2463" s="709">
        <v>5</v>
      </c>
      <c r="L2463" s="715">
        <f t="shared" si="73"/>
        <v>18.8</v>
      </c>
      <c r="M2463" s="716">
        <f t="shared" si="72"/>
        <v>94</v>
      </c>
    </row>
    <row r="2464" spans="2:13" s="645" customFormat="1" ht="21.75" customHeight="1">
      <c r="B2464" s="708">
        <v>44445</v>
      </c>
      <c r="C2464" s="709" t="s">
        <v>819</v>
      </c>
      <c r="D2464" s="710" t="s">
        <v>867</v>
      </c>
      <c r="E2464" s="711" t="s">
        <v>831</v>
      </c>
      <c r="F2464" s="712"/>
      <c r="G2464" s="710">
        <v>20</v>
      </c>
      <c r="H2464" s="709" t="s">
        <v>807</v>
      </c>
      <c r="I2464" s="713" t="s">
        <v>859</v>
      </c>
      <c r="J2464" s="714" t="s">
        <v>802</v>
      </c>
      <c r="K2464" s="709">
        <v>1</v>
      </c>
      <c r="L2464" s="715">
        <f t="shared" si="73"/>
        <v>18.8</v>
      </c>
      <c r="M2464" s="716">
        <f t="shared" si="72"/>
        <v>18.8</v>
      </c>
    </row>
    <row r="2465" spans="2:13" s="645" customFormat="1" ht="21.75" customHeight="1">
      <c r="B2465" s="708">
        <v>44445</v>
      </c>
      <c r="C2465" s="709" t="s">
        <v>819</v>
      </c>
      <c r="D2465" s="710" t="s">
        <v>870</v>
      </c>
      <c r="E2465" s="711" t="s">
        <v>831</v>
      </c>
      <c r="F2465" s="712"/>
      <c r="G2465" s="710">
        <v>20</v>
      </c>
      <c r="H2465" s="709" t="s">
        <v>807</v>
      </c>
      <c r="I2465" s="713" t="s">
        <v>859</v>
      </c>
      <c r="J2465" s="714" t="s">
        <v>802</v>
      </c>
      <c r="K2465" s="709">
        <v>1</v>
      </c>
      <c r="L2465" s="715">
        <f t="shared" si="73"/>
        <v>18.8</v>
      </c>
      <c r="M2465" s="716">
        <f t="shared" si="72"/>
        <v>18.8</v>
      </c>
    </row>
    <row r="2466" spans="2:13" s="645" customFormat="1" ht="21.75" customHeight="1">
      <c r="B2466" s="708">
        <v>44445</v>
      </c>
      <c r="C2466" s="709" t="s">
        <v>837</v>
      </c>
      <c r="D2466" s="710" t="s">
        <v>840</v>
      </c>
      <c r="E2466" s="711" t="s">
        <v>831</v>
      </c>
      <c r="F2466" s="712"/>
      <c r="G2466" s="710">
        <v>20</v>
      </c>
      <c r="H2466" s="709" t="s">
        <v>807</v>
      </c>
      <c r="I2466" s="713" t="s">
        <v>859</v>
      </c>
      <c r="J2466" s="714" t="s">
        <v>802</v>
      </c>
      <c r="K2466" s="709">
        <v>8</v>
      </c>
      <c r="L2466" s="715">
        <f t="shared" si="73"/>
        <v>18.8</v>
      </c>
      <c r="M2466" s="716">
        <f t="shared" si="72"/>
        <v>150.4</v>
      </c>
    </row>
    <row r="2467" spans="2:13" s="645" customFormat="1" ht="21.75" customHeight="1">
      <c r="B2467" s="708">
        <v>44445</v>
      </c>
      <c r="C2467" s="709" t="s">
        <v>837</v>
      </c>
      <c r="D2467" s="710" t="s">
        <v>835</v>
      </c>
      <c r="E2467" s="711" t="s">
        <v>831</v>
      </c>
      <c r="F2467" s="712"/>
      <c r="G2467" s="710">
        <v>20</v>
      </c>
      <c r="H2467" s="709" t="s">
        <v>807</v>
      </c>
      <c r="I2467" s="713" t="s">
        <v>859</v>
      </c>
      <c r="J2467" s="714" t="s">
        <v>802</v>
      </c>
      <c r="K2467" s="709">
        <v>11</v>
      </c>
      <c r="L2467" s="715">
        <f t="shared" si="73"/>
        <v>18.8</v>
      </c>
      <c r="M2467" s="716">
        <f t="shared" si="72"/>
        <v>206.8</v>
      </c>
    </row>
    <row r="2468" spans="2:13" s="645" customFormat="1" ht="21.75" customHeight="1">
      <c r="B2468" s="708">
        <v>44445</v>
      </c>
      <c r="C2468" s="709" t="s">
        <v>837</v>
      </c>
      <c r="D2468" s="710" t="s">
        <v>841</v>
      </c>
      <c r="E2468" s="711" t="s">
        <v>831</v>
      </c>
      <c r="F2468" s="712"/>
      <c r="G2468" s="710">
        <v>20</v>
      </c>
      <c r="H2468" s="709" t="s">
        <v>807</v>
      </c>
      <c r="I2468" s="713" t="s">
        <v>859</v>
      </c>
      <c r="J2468" s="714" t="s">
        <v>802</v>
      </c>
      <c r="K2468" s="709">
        <v>10</v>
      </c>
      <c r="L2468" s="715">
        <f t="shared" si="73"/>
        <v>18.8</v>
      </c>
      <c r="M2468" s="716">
        <f t="shared" si="72"/>
        <v>188</v>
      </c>
    </row>
    <row r="2469" spans="2:13" s="645" customFormat="1" ht="21.75" customHeight="1">
      <c r="B2469" s="708">
        <v>44445</v>
      </c>
      <c r="C2469" s="709" t="s">
        <v>837</v>
      </c>
      <c r="D2469" s="710" t="s">
        <v>834</v>
      </c>
      <c r="E2469" s="711" t="s">
        <v>831</v>
      </c>
      <c r="F2469" s="712"/>
      <c r="G2469" s="710">
        <v>20</v>
      </c>
      <c r="H2469" s="709" t="s">
        <v>807</v>
      </c>
      <c r="I2469" s="713" t="s">
        <v>859</v>
      </c>
      <c r="J2469" s="714" t="s">
        <v>802</v>
      </c>
      <c r="K2469" s="709">
        <v>11</v>
      </c>
      <c r="L2469" s="715">
        <f t="shared" si="73"/>
        <v>18.8</v>
      </c>
      <c r="M2469" s="716">
        <f t="shared" si="72"/>
        <v>206.8</v>
      </c>
    </row>
    <row r="2470" spans="2:13" s="645" customFormat="1" ht="21.75" customHeight="1">
      <c r="B2470" s="708">
        <v>44445</v>
      </c>
      <c r="C2470" s="709" t="s">
        <v>837</v>
      </c>
      <c r="D2470" s="710" t="s">
        <v>848</v>
      </c>
      <c r="E2470" s="711" t="s">
        <v>831</v>
      </c>
      <c r="F2470" s="712"/>
      <c r="G2470" s="710">
        <v>20</v>
      </c>
      <c r="H2470" s="709" t="s">
        <v>807</v>
      </c>
      <c r="I2470" s="713" t="s">
        <v>859</v>
      </c>
      <c r="J2470" s="714" t="s">
        <v>802</v>
      </c>
      <c r="K2470" s="709">
        <v>3</v>
      </c>
      <c r="L2470" s="715">
        <f t="shared" si="73"/>
        <v>18.8</v>
      </c>
      <c r="M2470" s="716">
        <f t="shared" si="72"/>
        <v>56.400000000000006</v>
      </c>
    </row>
    <row r="2471" spans="2:13" s="645" customFormat="1" ht="21.75" customHeight="1">
      <c r="B2471" s="708">
        <v>44445</v>
      </c>
      <c r="C2471" s="709" t="s">
        <v>837</v>
      </c>
      <c r="D2471" s="710" t="s">
        <v>833</v>
      </c>
      <c r="E2471" s="711" t="s">
        <v>831</v>
      </c>
      <c r="F2471" s="712"/>
      <c r="G2471" s="710">
        <v>15</v>
      </c>
      <c r="H2471" s="709" t="s">
        <v>807</v>
      </c>
      <c r="I2471" s="713" t="s">
        <v>859</v>
      </c>
      <c r="J2471" s="714" t="s">
        <v>802</v>
      </c>
      <c r="K2471" s="709">
        <v>12</v>
      </c>
      <c r="L2471" s="715">
        <f t="shared" si="73"/>
        <v>14.1</v>
      </c>
      <c r="M2471" s="716">
        <f t="shared" ref="M2471:M2534" si="74">L2471*K2471</f>
        <v>169.2</v>
      </c>
    </row>
    <row r="2472" spans="2:13" s="645" customFormat="1" ht="21.75" customHeight="1">
      <c r="B2472" s="708">
        <v>44445</v>
      </c>
      <c r="C2472" s="709" t="s">
        <v>837</v>
      </c>
      <c r="D2472" s="710" t="s">
        <v>845</v>
      </c>
      <c r="E2472" s="711" t="s">
        <v>831</v>
      </c>
      <c r="F2472" s="712"/>
      <c r="G2472" s="710">
        <v>17</v>
      </c>
      <c r="H2472" s="709" t="s">
        <v>807</v>
      </c>
      <c r="I2472" s="713" t="s">
        <v>859</v>
      </c>
      <c r="J2472" s="714" t="s">
        <v>802</v>
      </c>
      <c r="K2472" s="709">
        <v>11</v>
      </c>
      <c r="L2472" s="715">
        <f t="shared" si="73"/>
        <v>15.98</v>
      </c>
      <c r="M2472" s="716">
        <f t="shared" si="74"/>
        <v>175.78</v>
      </c>
    </row>
    <row r="2473" spans="2:13" s="645" customFormat="1" ht="21.75" customHeight="1">
      <c r="B2473" s="708">
        <v>44445</v>
      </c>
      <c r="C2473" s="709" t="s">
        <v>837</v>
      </c>
      <c r="D2473" s="710" t="s">
        <v>847</v>
      </c>
      <c r="E2473" s="711" t="s">
        <v>831</v>
      </c>
      <c r="F2473" s="712"/>
      <c r="G2473" s="710">
        <v>17</v>
      </c>
      <c r="H2473" s="709" t="s">
        <v>807</v>
      </c>
      <c r="I2473" s="713" t="s">
        <v>859</v>
      </c>
      <c r="J2473" s="714" t="s">
        <v>802</v>
      </c>
      <c r="K2473" s="709">
        <v>11</v>
      </c>
      <c r="L2473" s="715">
        <f t="shared" si="73"/>
        <v>15.98</v>
      </c>
      <c r="M2473" s="716">
        <f t="shared" si="74"/>
        <v>175.78</v>
      </c>
    </row>
    <row r="2474" spans="2:13" s="645" customFormat="1" ht="21.75" customHeight="1">
      <c r="B2474" s="708">
        <v>44445</v>
      </c>
      <c r="C2474" s="709" t="s">
        <v>837</v>
      </c>
      <c r="D2474" s="710" t="s">
        <v>856</v>
      </c>
      <c r="E2474" s="711" t="s">
        <v>831</v>
      </c>
      <c r="F2474" s="712"/>
      <c r="G2474" s="710">
        <v>20</v>
      </c>
      <c r="H2474" s="709" t="s">
        <v>807</v>
      </c>
      <c r="I2474" s="713" t="s">
        <v>859</v>
      </c>
      <c r="J2474" s="714" t="s">
        <v>802</v>
      </c>
      <c r="K2474" s="709">
        <v>5</v>
      </c>
      <c r="L2474" s="715">
        <f t="shared" si="73"/>
        <v>18.8</v>
      </c>
      <c r="M2474" s="716">
        <f t="shared" si="74"/>
        <v>94</v>
      </c>
    </row>
    <row r="2475" spans="2:13" s="645" customFormat="1" ht="21.75" customHeight="1">
      <c r="B2475" s="708">
        <v>44445</v>
      </c>
      <c r="C2475" s="709" t="s">
        <v>837</v>
      </c>
      <c r="D2475" s="710" t="s">
        <v>855</v>
      </c>
      <c r="E2475" s="711" t="s">
        <v>831</v>
      </c>
      <c r="F2475" s="712"/>
      <c r="G2475" s="710">
        <v>20</v>
      </c>
      <c r="H2475" s="709" t="s">
        <v>807</v>
      </c>
      <c r="I2475" s="713" t="s">
        <v>859</v>
      </c>
      <c r="J2475" s="714" t="s">
        <v>802</v>
      </c>
      <c r="K2475" s="709">
        <v>10</v>
      </c>
      <c r="L2475" s="715">
        <f t="shared" si="73"/>
        <v>18.8</v>
      </c>
      <c r="M2475" s="716">
        <f t="shared" si="74"/>
        <v>188</v>
      </c>
    </row>
    <row r="2476" spans="2:13" s="645" customFormat="1" ht="21.75" customHeight="1">
      <c r="B2476" s="708">
        <v>44445</v>
      </c>
      <c r="C2476" s="709" t="s">
        <v>837</v>
      </c>
      <c r="D2476" s="710" t="s">
        <v>869</v>
      </c>
      <c r="E2476" s="711" t="s">
        <v>831</v>
      </c>
      <c r="F2476" s="712"/>
      <c r="G2476" s="710">
        <v>20</v>
      </c>
      <c r="H2476" s="709" t="s">
        <v>807</v>
      </c>
      <c r="I2476" s="713" t="s">
        <v>859</v>
      </c>
      <c r="J2476" s="714" t="s">
        <v>802</v>
      </c>
      <c r="K2476" s="709">
        <v>12</v>
      </c>
      <c r="L2476" s="715">
        <f t="shared" si="73"/>
        <v>18.8</v>
      </c>
      <c r="M2476" s="716">
        <f t="shared" si="74"/>
        <v>225.60000000000002</v>
      </c>
    </row>
    <row r="2477" spans="2:13" s="645" customFormat="1" ht="21.75" customHeight="1">
      <c r="B2477" s="708">
        <v>44445</v>
      </c>
      <c r="C2477" s="709" t="s">
        <v>837</v>
      </c>
      <c r="D2477" s="710" t="s">
        <v>873</v>
      </c>
      <c r="E2477" s="711" t="s">
        <v>831</v>
      </c>
      <c r="F2477" s="712"/>
      <c r="G2477" s="710">
        <v>15</v>
      </c>
      <c r="H2477" s="709" t="s">
        <v>807</v>
      </c>
      <c r="I2477" s="713" t="s">
        <v>859</v>
      </c>
      <c r="J2477" s="714" t="s">
        <v>802</v>
      </c>
      <c r="K2477" s="709">
        <v>11</v>
      </c>
      <c r="L2477" s="715">
        <f t="shared" si="73"/>
        <v>14.1</v>
      </c>
      <c r="M2477" s="716">
        <f t="shared" si="74"/>
        <v>155.1</v>
      </c>
    </row>
    <row r="2478" spans="2:13" s="645" customFormat="1" ht="21.75" customHeight="1">
      <c r="B2478" s="708">
        <v>44446</v>
      </c>
      <c r="C2478" s="709" t="s">
        <v>819</v>
      </c>
      <c r="D2478" s="710" t="s">
        <v>849</v>
      </c>
      <c r="E2478" s="711" t="s">
        <v>831</v>
      </c>
      <c r="F2478" s="712"/>
      <c r="G2478" s="710">
        <v>20</v>
      </c>
      <c r="H2478" s="709" t="s">
        <v>807</v>
      </c>
      <c r="I2478" s="713" t="s">
        <v>859</v>
      </c>
      <c r="J2478" s="714" t="s">
        <v>802</v>
      </c>
      <c r="K2478" s="709">
        <v>1</v>
      </c>
      <c r="L2478" s="715">
        <f t="shared" si="73"/>
        <v>18.8</v>
      </c>
      <c r="M2478" s="716">
        <f t="shared" si="74"/>
        <v>18.8</v>
      </c>
    </row>
    <row r="2479" spans="2:13" s="645" customFormat="1" ht="21.75" customHeight="1">
      <c r="B2479" s="708">
        <v>44446</v>
      </c>
      <c r="C2479" s="709" t="s">
        <v>819</v>
      </c>
      <c r="D2479" s="710" t="s">
        <v>835</v>
      </c>
      <c r="E2479" s="711" t="s">
        <v>831</v>
      </c>
      <c r="F2479" s="712"/>
      <c r="G2479" s="710">
        <v>20</v>
      </c>
      <c r="H2479" s="709" t="s">
        <v>807</v>
      </c>
      <c r="I2479" s="713" t="s">
        <v>859</v>
      </c>
      <c r="J2479" s="714" t="s">
        <v>802</v>
      </c>
      <c r="K2479" s="709">
        <v>1</v>
      </c>
      <c r="L2479" s="715">
        <f t="shared" si="73"/>
        <v>18.8</v>
      </c>
      <c r="M2479" s="716">
        <f t="shared" si="74"/>
        <v>18.8</v>
      </c>
    </row>
    <row r="2480" spans="2:13" s="645" customFormat="1" ht="21.75" customHeight="1">
      <c r="B2480" s="708">
        <v>44446</v>
      </c>
      <c r="C2480" s="709" t="s">
        <v>819</v>
      </c>
      <c r="D2480" s="710" t="s">
        <v>841</v>
      </c>
      <c r="E2480" s="711" t="s">
        <v>831</v>
      </c>
      <c r="F2480" s="712"/>
      <c r="G2480" s="710">
        <v>20</v>
      </c>
      <c r="H2480" s="709" t="s">
        <v>807</v>
      </c>
      <c r="I2480" s="713" t="s">
        <v>859</v>
      </c>
      <c r="J2480" s="714" t="s">
        <v>802</v>
      </c>
      <c r="K2480" s="709">
        <v>1</v>
      </c>
      <c r="L2480" s="715">
        <f t="shared" si="73"/>
        <v>18.8</v>
      </c>
      <c r="M2480" s="716">
        <f t="shared" si="74"/>
        <v>18.8</v>
      </c>
    </row>
    <row r="2481" spans="2:13" s="645" customFormat="1" ht="21.75" customHeight="1">
      <c r="B2481" s="708">
        <v>44446</v>
      </c>
      <c r="C2481" s="709" t="s">
        <v>819</v>
      </c>
      <c r="D2481" s="710" t="s">
        <v>833</v>
      </c>
      <c r="E2481" s="711" t="s">
        <v>831</v>
      </c>
      <c r="F2481" s="712"/>
      <c r="G2481" s="710">
        <v>15</v>
      </c>
      <c r="H2481" s="709" t="s">
        <v>807</v>
      </c>
      <c r="I2481" s="713" t="s">
        <v>859</v>
      </c>
      <c r="J2481" s="714" t="s">
        <v>802</v>
      </c>
      <c r="K2481" s="709">
        <v>1</v>
      </c>
      <c r="L2481" s="715">
        <f t="shared" si="73"/>
        <v>14.1</v>
      </c>
      <c r="M2481" s="716">
        <f t="shared" si="74"/>
        <v>14.1</v>
      </c>
    </row>
    <row r="2482" spans="2:13" s="645" customFormat="1" ht="21.75" customHeight="1">
      <c r="B2482" s="708">
        <v>44446</v>
      </c>
      <c r="C2482" s="709" t="s">
        <v>819</v>
      </c>
      <c r="D2482" s="710" t="s">
        <v>856</v>
      </c>
      <c r="E2482" s="711" t="s">
        <v>831</v>
      </c>
      <c r="F2482" s="712"/>
      <c r="G2482" s="710">
        <v>20</v>
      </c>
      <c r="H2482" s="709" t="s">
        <v>807</v>
      </c>
      <c r="I2482" s="713" t="s">
        <v>859</v>
      </c>
      <c r="J2482" s="714" t="s">
        <v>802</v>
      </c>
      <c r="K2482" s="709">
        <v>1</v>
      </c>
      <c r="L2482" s="715">
        <f t="shared" si="73"/>
        <v>18.8</v>
      </c>
      <c r="M2482" s="716">
        <f t="shared" si="74"/>
        <v>18.8</v>
      </c>
    </row>
    <row r="2483" spans="2:13" s="645" customFormat="1" ht="21.75" customHeight="1">
      <c r="B2483" s="708">
        <v>44446</v>
      </c>
      <c r="C2483" s="709" t="s">
        <v>837</v>
      </c>
      <c r="D2483" s="710" t="s">
        <v>849</v>
      </c>
      <c r="E2483" s="711" t="s">
        <v>831</v>
      </c>
      <c r="F2483" s="712"/>
      <c r="G2483" s="710">
        <v>20</v>
      </c>
      <c r="H2483" s="709" t="s">
        <v>807</v>
      </c>
      <c r="I2483" s="713" t="s">
        <v>857</v>
      </c>
      <c r="J2483" s="714" t="s">
        <v>802</v>
      </c>
      <c r="K2483" s="709">
        <v>6</v>
      </c>
      <c r="L2483" s="715">
        <f t="shared" si="73"/>
        <v>18.8</v>
      </c>
      <c r="M2483" s="716">
        <f t="shared" si="74"/>
        <v>112.80000000000001</v>
      </c>
    </row>
    <row r="2484" spans="2:13" s="645" customFormat="1" ht="21.75" customHeight="1">
      <c r="B2484" s="708">
        <v>44446</v>
      </c>
      <c r="C2484" s="709" t="s">
        <v>837</v>
      </c>
      <c r="D2484" s="710" t="s">
        <v>835</v>
      </c>
      <c r="E2484" s="711" t="s">
        <v>831</v>
      </c>
      <c r="F2484" s="712"/>
      <c r="G2484" s="710">
        <v>20</v>
      </c>
      <c r="H2484" s="709" t="s">
        <v>807</v>
      </c>
      <c r="I2484" s="713" t="s">
        <v>857</v>
      </c>
      <c r="J2484" s="714" t="s">
        <v>802</v>
      </c>
      <c r="K2484" s="709">
        <v>6</v>
      </c>
      <c r="L2484" s="715">
        <f t="shared" si="73"/>
        <v>18.8</v>
      </c>
      <c r="M2484" s="716">
        <f t="shared" si="74"/>
        <v>112.80000000000001</v>
      </c>
    </row>
    <row r="2485" spans="2:13" s="645" customFormat="1" ht="21.75" customHeight="1">
      <c r="B2485" s="708">
        <v>44446</v>
      </c>
      <c r="C2485" s="709" t="s">
        <v>837</v>
      </c>
      <c r="D2485" s="710" t="s">
        <v>845</v>
      </c>
      <c r="E2485" s="711" t="s">
        <v>831</v>
      </c>
      <c r="F2485" s="712"/>
      <c r="G2485" s="710">
        <v>17</v>
      </c>
      <c r="H2485" s="709" t="s">
        <v>807</v>
      </c>
      <c r="I2485" s="713" t="s">
        <v>857</v>
      </c>
      <c r="J2485" s="714" t="s">
        <v>802</v>
      </c>
      <c r="K2485" s="709">
        <v>1</v>
      </c>
      <c r="L2485" s="715">
        <f t="shared" si="73"/>
        <v>15.98</v>
      </c>
      <c r="M2485" s="716">
        <f t="shared" si="74"/>
        <v>15.98</v>
      </c>
    </row>
    <row r="2486" spans="2:13" s="645" customFormat="1" ht="21.75" customHeight="1">
      <c r="B2486" s="708">
        <v>44446</v>
      </c>
      <c r="C2486" s="709" t="s">
        <v>837</v>
      </c>
      <c r="D2486" s="710" t="s">
        <v>855</v>
      </c>
      <c r="E2486" s="711" t="s">
        <v>831</v>
      </c>
      <c r="F2486" s="712"/>
      <c r="G2486" s="710">
        <v>20</v>
      </c>
      <c r="H2486" s="709" t="s">
        <v>807</v>
      </c>
      <c r="I2486" s="713" t="s">
        <v>857</v>
      </c>
      <c r="J2486" s="714" t="s">
        <v>802</v>
      </c>
      <c r="K2486" s="709">
        <v>6</v>
      </c>
      <c r="L2486" s="715">
        <f t="shared" si="73"/>
        <v>18.8</v>
      </c>
      <c r="M2486" s="716">
        <f t="shared" si="74"/>
        <v>112.80000000000001</v>
      </c>
    </row>
    <row r="2487" spans="2:13" s="645" customFormat="1" ht="21.75" customHeight="1">
      <c r="B2487" s="661">
        <v>44447</v>
      </c>
      <c r="C2487" s="662" t="s">
        <v>819</v>
      </c>
      <c r="D2487" s="663" t="s">
        <v>840</v>
      </c>
      <c r="E2487" s="664" t="s">
        <v>831</v>
      </c>
      <c r="F2487" s="665"/>
      <c r="G2487" s="663">
        <v>20</v>
      </c>
      <c r="H2487" s="662" t="s">
        <v>807</v>
      </c>
      <c r="I2487" s="666" t="s">
        <v>859</v>
      </c>
      <c r="J2487" s="667" t="s">
        <v>865</v>
      </c>
      <c r="K2487" s="662">
        <v>1</v>
      </c>
      <c r="L2487" s="685">
        <f t="shared" si="73"/>
        <v>18.8</v>
      </c>
      <c r="M2487" s="686">
        <f t="shared" si="74"/>
        <v>18.8</v>
      </c>
    </row>
    <row r="2488" spans="2:13" s="645" customFormat="1" ht="21.75" customHeight="1">
      <c r="B2488" s="661">
        <v>44447</v>
      </c>
      <c r="C2488" s="662" t="s">
        <v>819</v>
      </c>
      <c r="D2488" s="663" t="s">
        <v>830</v>
      </c>
      <c r="E2488" s="664" t="s">
        <v>831</v>
      </c>
      <c r="F2488" s="665"/>
      <c r="G2488" s="663">
        <v>15</v>
      </c>
      <c r="H2488" s="662" t="s">
        <v>807</v>
      </c>
      <c r="I2488" s="666" t="s">
        <v>859</v>
      </c>
      <c r="J2488" s="667" t="s">
        <v>865</v>
      </c>
      <c r="K2488" s="662">
        <v>1</v>
      </c>
      <c r="L2488" s="685">
        <f t="shared" si="73"/>
        <v>14.1</v>
      </c>
      <c r="M2488" s="686">
        <f t="shared" si="74"/>
        <v>14.1</v>
      </c>
    </row>
    <row r="2489" spans="2:13" s="645" customFormat="1" ht="21.75" customHeight="1">
      <c r="B2489" s="661">
        <v>44447</v>
      </c>
      <c r="C2489" s="662" t="s">
        <v>819</v>
      </c>
      <c r="D2489" s="663" t="s">
        <v>845</v>
      </c>
      <c r="E2489" s="664" t="s">
        <v>831</v>
      </c>
      <c r="F2489" s="665"/>
      <c r="G2489" s="663">
        <v>17</v>
      </c>
      <c r="H2489" s="662" t="s">
        <v>807</v>
      </c>
      <c r="I2489" s="666" t="s">
        <v>859</v>
      </c>
      <c r="J2489" s="667" t="s">
        <v>865</v>
      </c>
      <c r="K2489" s="662">
        <v>1</v>
      </c>
      <c r="L2489" s="685">
        <f t="shared" si="73"/>
        <v>15.98</v>
      </c>
      <c r="M2489" s="686">
        <f t="shared" si="74"/>
        <v>15.98</v>
      </c>
    </row>
    <row r="2490" spans="2:13" s="645" customFormat="1" ht="21.75" customHeight="1">
      <c r="B2490" s="661">
        <v>44447</v>
      </c>
      <c r="C2490" s="662" t="s">
        <v>819</v>
      </c>
      <c r="D2490" s="663" t="s">
        <v>847</v>
      </c>
      <c r="E2490" s="664" t="s">
        <v>831</v>
      </c>
      <c r="F2490" s="665"/>
      <c r="G2490" s="663">
        <v>17</v>
      </c>
      <c r="H2490" s="662" t="s">
        <v>807</v>
      </c>
      <c r="I2490" s="666" t="s">
        <v>859</v>
      </c>
      <c r="J2490" s="667" t="s">
        <v>865</v>
      </c>
      <c r="K2490" s="662">
        <v>1</v>
      </c>
      <c r="L2490" s="685">
        <f t="shared" si="73"/>
        <v>15.98</v>
      </c>
      <c r="M2490" s="686">
        <f t="shared" si="74"/>
        <v>15.98</v>
      </c>
    </row>
    <row r="2491" spans="2:13" s="645" customFormat="1" ht="21.75" customHeight="1">
      <c r="B2491" s="661">
        <v>44447</v>
      </c>
      <c r="C2491" s="662" t="s">
        <v>819</v>
      </c>
      <c r="D2491" s="663" t="s">
        <v>855</v>
      </c>
      <c r="E2491" s="664" t="s">
        <v>831</v>
      </c>
      <c r="F2491" s="665"/>
      <c r="G2491" s="663">
        <v>20</v>
      </c>
      <c r="H2491" s="662" t="s">
        <v>807</v>
      </c>
      <c r="I2491" s="666" t="s">
        <v>859</v>
      </c>
      <c r="J2491" s="667" t="s">
        <v>865</v>
      </c>
      <c r="K2491" s="662">
        <v>2</v>
      </c>
      <c r="L2491" s="685">
        <f t="shared" si="73"/>
        <v>18.8</v>
      </c>
      <c r="M2491" s="686">
        <f t="shared" si="74"/>
        <v>37.6</v>
      </c>
    </row>
    <row r="2492" spans="2:13" s="645" customFormat="1" ht="21.75" customHeight="1">
      <c r="B2492" s="661">
        <v>44447</v>
      </c>
      <c r="C2492" s="662" t="s">
        <v>819</v>
      </c>
      <c r="D2492" s="663" t="s">
        <v>873</v>
      </c>
      <c r="E2492" s="664" t="s">
        <v>831</v>
      </c>
      <c r="F2492" s="665"/>
      <c r="G2492" s="663">
        <v>17</v>
      </c>
      <c r="H2492" s="662" t="s">
        <v>807</v>
      </c>
      <c r="I2492" s="666" t="s">
        <v>859</v>
      </c>
      <c r="J2492" s="667" t="s">
        <v>865</v>
      </c>
      <c r="K2492" s="662">
        <v>6</v>
      </c>
      <c r="L2492" s="685">
        <f t="shared" si="73"/>
        <v>15.98</v>
      </c>
      <c r="M2492" s="686">
        <f t="shared" si="74"/>
        <v>95.88</v>
      </c>
    </row>
    <row r="2493" spans="2:13" s="645" customFormat="1" ht="21.75" customHeight="1">
      <c r="B2493" s="708">
        <v>44447</v>
      </c>
      <c r="C2493" s="709" t="s">
        <v>819</v>
      </c>
      <c r="D2493" s="710" t="s">
        <v>869</v>
      </c>
      <c r="E2493" s="711" t="s">
        <v>831</v>
      </c>
      <c r="F2493" s="712"/>
      <c r="G2493" s="710">
        <v>20</v>
      </c>
      <c r="H2493" s="709" t="s">
        <v>807</v>
      </c>
      <c r="I2493" s="713" t="s">
        <v>859</v>
      </c>
      <c r="J2493" s="714" t="s">
        <v>802</v>
      </c>
      <c r="K2493" s="709">
        <v>2</v>
      </c>
      <c r="L2493" s="715">
        <f t="shared" si="73"/>
        <v>18.8</v>
      </c>
      <c r="M2493" s="716">
        <f t="shared" si="74"/>
        <v>37.6</v>
      </c>
    </row>
    <row r="2494" spans="2:13" s="645" customFormat="1" ht="21.75" customHeight="1">
      <c r="B2494" s="708">
        <v>44447</v>
      </c>
      <c r="C2494" s="709" t="s">
        <v>819</v>
      </c>
      <c r="D2494" s="710" t="s">
        <v>873</v>
      </c>
      <c r="E2494" s="711" t="s">
        <v>831</v>
      </c>
      <c r="F2494" s="712"/>
      <c r="G2494" s="710">
        <v>17</v>
      </c>
      <c r="H2494" s="709" t="s">
        <v>807</v>
      </c>
      <c r="I2494" s="713" t="s">
        <v>859</v>
      </c>
      <c r="J2494" s="714" t="s">
        <v>802</v>
      </c>
      <c r="K2494" s="709">
        <v>1</v>
      </c>
      <c r="L2494" s="715">
        <f t="shared" si="73"/>
        <v>15.98</v>
      </c>
      <c r="M2494" s="716">
        <f t="shared" si="74"/>
        <v>15.98</v>
      </c>
    </row>
    <row r="2495" spans="2:13" s="645" customFormat="1" ht="21.75" customHeight="1">
      <c r="B2495" s="708">
        <v>44447</v>
      </c>
      <c r="C2495" s="709" t="s">
        <v>837</v>
      </c>
      <c r="D2495" s="710" t="s">
        <v>849</v>
      </c>
      <c r="E2495" s="711" t="s">
        <v>831</v>
      </c>
      <c r="F2495" s="712"/>
      <c r="G2495" s="710">
        <v>20</v>
      </c>
      <c r="H2495" s="709" t="s">
        <v>807</v>
      </c>
      <c r="I2495" s="713" t="s">
        <v>857</v>
      </c>
      <c r="J2495" s="714" t="s">
        <v>802</v>
      </c>
      <c r="K2495" s="709">
        <v>1</v>
      </c>
      <c r="L2495" s="715">
        <f t="shared" si="73"/>
        <v>18.8</v>
      </c>
      <c r="M2495" s="716">
        <f t="shared" si="74"/>
        <v>18.8</v>
      </c>
    </row>
    <row r="2496" spans="2:13" s="645" customFormat="1" ht="21.75" customHeight="1">
      <c r="B2496" s="708">
        <v>44447</v>
      </c>
      <c r="C2496" s="709" t="s">
        <v>837</v>
      </c>
      <c r="D2496" s="710" t="s">
        <v>849</v>
      </c>
      <c r="E2496" s="711" t="s">
        <v>831</v>
      </c>
      <c r="F2496" s="712"/>
      <c r="G2496" s="710">
        <v>20</v>
      </c>
      <c r="H2496" s="709" t="s">
        <v>807</v>
      </c>
      <c r="I2496" s="713" t="s">
        <v>859</v>
      </c>
      <c r="J2496" s="714" t="s">
        <v>802</v>
      </c>
      <c r="K2496" s="709">
        <v>3</v>
      </c>
      <c r="L2496" s="715">
        <f t="shared" si="73"/>
        <v>18.8</v>
      </c>
      <c r="M2496" s="716">
        <f t="shared" si="74"/>
        <v>56.400000000000006</v>
      </c>
    </row>
    <row r="2497" spans="2:13" s="645" customFormat="1" ht="21.75" customHeight="1">
      <c r="B2497" s="708">
        <v>44447</v>
      </c>
      <c r="C2497" s="709" t="s">
        <v>837</v>
      </c>
      <c r="D2497" s="710" t="s">
        <v>840</v>
      </c>
      <c r="E2497" s="711" t="s">
        <v>831</v>
      </c>
      <c r="F2497" s="712"/>
      <c r="G2497" s="710">
        <v>20</v>
      </c>
      <c r="H2497" s="709" t="s">
        <v>807</v>
      </c>
      <c r="I2497" s="713" t="s">
        <v>857</v>
      </c>
      <c r="J2497" s="714" t="s">
        <v>802</v>
      </c>
      <c r="K2497" s="709">
        <v>3</v>
      </c>
      <c r="L2497" s="715">
        <f t="shared" si="73"/>
        <v>18.8</v>
      </c>
      <c r="M2497" s="716">
        <f t="shared" si="74"/>
        <v>56.400000000000006</v>
      </c>
    </row>
    <row r="2498" spans="2:13" s="645" customFormat="1" ht="21.75" customHeight="1">
      <c r="B2498" s="708">
        <v>44447</v>
      </c>
      <c r="C2498" s="709" t="s">
        <v>837</v>
      </c>
      <c r="D2498" s="710" t="s">
        <v>840</v>
      </c>
      <c r="E2498" s="711" t="s">
        <v>831</v>
      </c>
      <c r="F2498" s="712"/>
      <c r="G2498" s="710">
        <v>20</v>
      </c>
      <c r="H2498" s="709" t="s">
        <v>807</v>
      </c>
      <c r="I2498" s="713" t="s">
        <v>859</v>
      </c>
      <c r="J2498" s="714" t="s">
        <v>802</v>
      </c>
      <c r="K2498" s="709">
        <v>2</v>
      </c>
      <c r="L2498" s="715">
        <f t="shared" si="73"/>
        <v>18.8</v>
      </c>
      <c r="M2498" s="716">
        <f t="shared" si="74"/>
        <v>37.6</v>
      </c>
    </row>
    <row r="2499" spans="2:13" s="645" customFormat="1" ht="21.75" customHeight="1">
      <c r="B2499" s="708">
        <v>44447</v>
      </c>
      <c r="C2499" s="709" t="s">
        <v>837</v>
      </c>
      <c r="D2499" s="710" t="s">
        <v>835</v>
      </c>
      <c r="E2499" s="711" t="s">
        <v>831</v>
      </c>
      <c r="F2499" s="712"/>
      <c r="G2499" s="710">
        <v>20</v>
      </c>
      <c r="H2499" s="709" t="s">
        <v>807</v>
      </c>
      <c r="I2499" s="713" t="s">
        <v>857</v>
      </c>
      <c r="J2499" s="714" t="s">
        <v>802</v>
      </c>
      <c r="K2499" s="709">
        <v>2</v>
      </c>
      <c r="L2499" s="715">
        <f t="shared" si="73"/>
        <v>18.8</v>
      </c>
      <c r="M2499" s="716">
        <f t="shared" si="74"/>
        <v>37.6</v>
      </c>
    </row>
    <row r="2500" spans="2:13" s="645" customFormat="1" ht="21.75" customHeight="1">
      <c r="B2500" s="708">
        <v>44447</v>
      </c>
      <c r="C2500" s="709" t="s">
        <v>837</v>
      </c>
      <c r="D2500" s="710" t="s">
        <v>835</v>
      </c>
      <c r="E2500" s="711" t="s">
        <v>831</v>
      </c>
      <c r="F2500" s="712"/>
      <c r="G2500" s="710">
        <v>20</v>
      </c>
      <c r="H2500" s="709" t="s">
        <v>807</v>
      </c>
      <c r="I2500" s="713" t="s">
        <v>859</v>
      </c>
      <c r="J2500" s="714" t="s">
        <v>802</v>
      </c>
      <c r="K2500" s="709">
        <v>3</v>
      </c>
      <c r="L2500" s="715">
        <f t="shared" si="73"/>
        <v>18.8</v>
      </c>
      <c r="M2500" s="716">
        <f t="shared" si="74"/>
        <v>56.400000000000006</v>
      </c>
    </row>
    <row r="2501" spans="2:13" s="645" customFormat="1" ht="21.75" customHeight="1">
      <c r="B2501" s="708">
        <v>44447</v>
      </c>
      <c r="C2501" s="709" t="s">
        <v>837</v>
      </c>
      <c r="D2501" s="710" t="s">
        <v>841</v>
      </c>
      <c r="E2501" s="711" t="s">
        <v>831</v>
      </c>
      <c r="F2501" s="712"/>
      <c r="G2501" s="710">
        <v>20</v>
      </c>
      <c r="H2501" s="709" t="s">
        <v>807</v>
      </c>
      <c r="I2501" s="713" t="s">
        <v>859</v>
      </c>
      <c r="J2501" s="714" t="s">
        <v>802</v>
      </c>
      <c r="K2501" s="709">
        <v>6</v>
      </c>
      <c r="L2501" s="715">
        <f t="shared" si="73"/>
        <v>18.8</v>
      </c>
      <c r="M2501" s="716">
        <f t="shared" si="74"/>
        <v>112.80000000000001</v>
      </c>
    </row>
    <row r="2502" spans="2:13" s="645" customFormat="1" ht="21.75" customHeight="1">
      <c r="B2502" s="708">
        <v>44447</v>
      </c>
      <c r="C2502" s="709" t="s">
        <v>837</v>
      </c>
      <c r="D2502" s="710" t="s">
        <v>834</v>
      </c>
      <c r="E2502" s="711" t="s">
        <v>831</v>
      </c>
      <c r="F2502" s="712"/>
      <c r="G2502" s="710">
        <v>20</v>
      </c>
      <c r="H2502" s="709" t="s">
        <v>807</v>
      </c>
      <c r="I2502" s="713" t="s">
        <v>857</v>
      </c>
      <c r="J2502" s="714" t="s">
        <v>802</v>
      </c>
      <c r="K2502" s="709">
        <v>2</v>
      </c>
      <c r="L2502" s="715">
        <f t="shared" si="73"/>
        <v>18.8</v>
      </c>
      <c r="M2502" s="716">
        <f t="shared" si="74"/>
        <v>37.6</v>
      </c>
    </row>
    <row r="2503" spans="2:13" s="645" customFormat="1" ht="21.75" customHeight="1">
      <c r="B2503" s="708">
        <v>44447</v>
      </c>
      <c r="C2503" s="709" t="s">
        <v>837</v>
      </c>
      <c r="D2503" s="710" t="s">
        <v>834</v>
      </c>
      <c r="E2503" s="711" t="s">
        <v>831</v>
      </c>
      <c r="F2503" s="712"/>
      <c r="G2503" s="710">
        <v>20</v>
      </c>
      <c r="H2503" s="709" t="s">
        <v>807</v>
      </c>
      <c r="I2503" s="713" t="s">
        <v>859</v>
      </c>
      <c r="J2503" s="714" t="s">
        <v>802</v>
      </c>
      <c r="K2503" s="709">
        <v>3</v>
      </c>
      <c r="L2503" s="715">
        <f t="shared" si="73"/>
        <v>18.8</v>
      </c>
      <c r="M2503" s="716">
        <f t="shared" si="74"/>
        <v>56.400000000000006</v>
      </c>
    </row>
    <row r="2504" spans="2:13" s="645" customFormat="1" ht="21.75" customHeight="1">
      <c r="B2504" s="708">
        <v>44447</v>
      </c>
      <c r="C2504" s="709" t="s">
        <v>837</v>
      </c>
      <c r="D2504" s="710" t="s">
        <v>848</v>
      </c>
      <c r="E2504" s="711" t="s">
        <v>831</v>
      </c>
      <c r="F2504" s="712"/>
      <c r="G2504" s="710">
        <v>20</v>
      </c>
      <c r="H2504" s="709" t="s">
        <v>807</v>
      </c>
      <c r="I2504" s="713" t="s">
        <v>857</v>
      </c>
      <c r="J2504" s="714" t="s">
        <v>802</v>
      </c>
      <c r="K2504" s="709">
        <v>2</v>
      </c>
      <c r="L2504" s="715">
        <f t="shared" si="73"/>
        <v>18.8</v>
      </c>
      <c r="M2504" s="716">
        <f t="shared" si="74"/>
        <v>37.6</v>
      </c>
    </row>
    <row r="2505" spans="2:13" s="645" customFormat="1" ht="21.75" customHeight="1">
      <c r="B2505" s="708">
        <v>44447</v>
      </c>
      <c r="C2505" s="709" t="s">
        <v>837</v>
      </c>
      <c r="D2505" s="710" t="s">
        <v>848</v>
      </c>
      <c r="E2505" s="711" t="s">
        <v>831</v>
      </c>
      <c r="F2505" s="712"/>
      <c r="G2505" s="710">
        <v>20</v>
      </c>
      <c r="H2505" s="709" t="s">
        <v>807</v>
      </c>
      <c r="I2505" s="713" t="s">
        <v>859</v>
      </c>
      <c r="J2505" s="714" t="s">
        <v>802</v>
      </c>
      <c r="K2505" s="709">
        <v>3</v>
      </c>
      <c r="L2505" s="715">
        <f t="shared" ref="L2505:L2568" si="75">VLOOKUP(G2505,$Q$4:$V$7,6,FALSE)</f>
        <v>18.8</v>
      </c>
      <c r="M2505" s="716">
        <f t="shared" si="74"/>
        <v>56.400000000000006</v>
      </c>
    </row>
    <row r="2506" spans="2:13" s="645" customFormat="1" ht="21.75" customHeight="1">
      <c r="B2506" s="708">
        <v>44447</v>
      </c>
      <c r="C2506" s="709" t="s">
        <v>837</v>
      </c>
      <c r="D2506" s="710" t="s">
        <v>845</v>
      </c>
      <c r="E2506" s="711" t="s">
        <v>831</v>
      </c>
      <c r="F2506" s="712"/>
      <c r="G2506" s="710">
        <v>17</v>
      </c>
      <c r="H2506" s="709" t="s">
        <v>807</v>
      </c>
      <c r="I2506" s="713" t="s">
        <v>857</v>
      </c>
      <c r="J2506" s="714" t="s">
        <v>802</v>
      </c>
      <c r="K2506" s="709">
        <v>3</v>
      </c>
      <c r="L2506" s="715">
        <f t="shared" si="75"/>
        <v>15.98</v>
      </c>
      <c r="M2506" s="716">
        <f t="shared" si="74"/>
        <v>47.94</v>
      </c>
    </row>
    <row r="2507" spans="2:13" s="645" customFormat="1" ht="21.75" customHeight="1">
      <c r="B2507" s="708">
        <v>44447</v>
      </c>
      <c r="C2507" s="709" t="s">
        <v>837</v>
      </c>
      <c r="D2507" s="710" t="s">
        <v>845</v>
      </c>
      <c r="E2507" s="711" t="s">
        <v>831</v>
      </c>
      <c r="F2507" s="712"/>
      <c r="G2507" s="710">
        <v>17</v>
      </c>
      <c r="H2507" s="709" t="s">
        <v>807</v>
      </c>
      <c r="I2507" s="713" t="s">
        <v>859</v>
      </c>
      <c r="J2507" s="714" t="s">
        <v>802</v>
      </c>
      <c r="K2507" s="709">
        <v>1</v>
      </c>
      <c r="L2507" s="715">
        <f t="shared" si="75"/>
        <v>15.98</v>
      </c>
      <c r="M2507" s="716">
        <f t="shared" si="74"/>
        <v>15.98</v>
      </c>
    </row>
    <row r="2508" spans="2:13" s="645" customFormat="1" ht="21.75" customHeight="1">
      <c r="B2508" s="708">
        <v>44447</v>
      </c>
      <c r="C2508" s="709" t="s">
        <v>837</v>
      </c>
      <c r="D2508" s="710" t="s">
        <v>847</v>
      </c>
      <c r="E2508" s="711" t="s">
        <v>831</v>
      </c>
      <c r="F2508" s="712"/>
      <c r="G2508" s="710">
        <v>17</v>
      </c>
      <c r="H2508" s="709" t="s">
        <v>807</v>
      </c>
      <c r="I2508" s="713" t="s">
        <v>857</v>
      </c>
      <c r="J2508" s="714" t="s">
        <v>802</v>
      </c>
      <c r="K2508" s="709">
        <v>5</v>
      </c>
      <c r="L2508" s="715">
        <f t="shared" si="75"/>
        <v>15.98</v>
      </c>
      <c r="M2508" s="716">
        <f t="shared" si="74"/>
        <v>79.900000000000006</v>
      </c>
    </row>
    <row r="2509" spans="2:13" s="645" customFormat="1" ht="21.75" customHeight="1">
      <c r="B2509" s="708">
        <v>44447</v>
      </c>
      <c r="C2509" s="709" t="s">
        <v>837</v>
      </c>
      <c r="D2509" s="710" t="s">
        <v>855</v>
      </c>
      <c r="E2509" s="711" t="s">
        <v>831</v>
      </c>
      <c r="F2509" s="712"/>
      <c r="G2509" s="710">
        <v>20</v>
      </c>
      <c r="H2509" s="709" t="s">
        <v>807</v>
      </c>
      <c r="I2509" s="713" t="s">
        <v>859</v>
      </c>
      <c r="J2509" s="714" t="s">
        <v>802</v>
      </c>
      <c r="K2509" s="709">
        <v>3</v>
      </c>
      <c r="L2509" s="715">
        <f t="shared" si="75"/>
        <v>18.8</v>
      </c>
      <c r="M2509" s="716">
        <f t="shared" si="74"/>
        <v>56.400000000000006</v>
      </c>
    </row>
    <row r="2510" spans="2:13" s="645" customFormat="1" ht="21.75" customHeight="1">
      <c r="B2510" s="708">
        <v>44447</v>
      </c>
      <c r="C2510" s="709" t="s">
        <v>837</v>
      </c>
      <c r="D2510" s="710" t="s">
        <v>870</v>
      </c>
      <c r="E2510" s="711" t="s">
        <v>831</v>
      </c>
      <c r="F2510" s="712"/>
      <c r="G2510" s="710">
        <v>20</v>
      </c>
      <c r="H2510" s="709" t="s">
        <v>807</v>
      </c>
      <c r="I2510" s="713" t="s">
        <v>857</v>
      </c>
      <c r="J2510" s="714" t="s">
        <v>802</v>
      </c>
      <c r="K2510" s="709">
        <v>2</v>
      </c>
      <c r="L2510" s="715">
        <f t="shared" si="75"/>
        <v>18.8</v>
      </c>
      <c r="M2510" s="716">
        <f t="shared" si="74"/>
        <v>37.6</v>
      </c>
    </row>
    <row r="2511" spans="2:13" s="645" customFormat="1" ht="21.75" customHeight="1">
      <c r="B2511" s="708">
        <v>44447</v>
      </c>
      <c r="C2511" s="709" t="s">
        <v>837</v>
      </c>
      <c r="D2511" s="710" t="s">
        <v>870</v>
      </c>
      <c r="E2511" s="711" t="s">
        <v>831</v>
      </c>
      <c r="F2511" s="712"/>
      <c r="G2511" s="710">
        <v>20</v>
      </c>
      <c r="H2511" s="709" t="s">
        <v>807</v>
      </c>
      <c r="I2511" s="713" t="s">
        <v>859</v>
      </c>
      <c r="J2511" s="714" t="s">
        <v>802</v>
      </c>
      <c r="K2511" s="709">
        <v>2</v>
      </c>
      <c r="L2511" s="715">
        <f t="shared" si="75"/>
        <v>18.8</v>
      </c>
      <c r="M2511" s="716">
        <f t="shared" si="74"/>
        <v>37.6</v>
      </c>
    </row>
    <row r="2512" spans="2:13" s="645" customFormat="1" ht="21.75" customHeight="1">
      <c r="B2512" s="708">
        <v>44447</v>
      </c>
      <c r="C2512" s="709" t="s">
        <v>837</v>
      </c>
      <c r="D2512" s="710" t="s">
        <v>873</v>
      </c>
      <c r="E2512" s="711" t="s">
        <v>831</v>
      </c>
      <c r="F2512" s="712"/>
      <c r="G2512" s="710">
        <v>17</v>
      </c>
      <c r="H2512" s="709" t="s">
        <v>807</v>
      </c>
      <c r="I2512" s="713" t="s">
        <v>857</v>
      </c>
      <c r="J2512" s="714" t="s">
        <v>802</v>
      </c>
      <c r="K2512" s="709">
        <v>3</v>
      </c>
      <c r="L2512" s="715">
        <f t="shared" si="75"/>
        <v>15.98</v>
      </c>
      <c r="M2512" s="716">
        <f t="shared" si="74"/>
        <v>47.94</v>
      </c>
    </row>
    <row r="2513" spans="2:13" s="645" customFormat="1" ht="21.75" customHeight="1">
      <c r="B2513" s="708">
        <v>44447</v>
      </c>
      <c r="C2513" s="709" t="s">
        <v>837</v>
      </c>
      <c r="D2513" s="710" t="s">
        <v>873</v>
      </c>
      <c r="E2513" s="711" t="s">
        <v>831</v>
      </c>
      <c r="F2513" s="712"/>
      <c r="G2513" s="710">
        <v>17</v>
      </c>
      <c r="H2513" s="709" t="s">
        <v>807</v>
      </c>
      <c r="I2513" s="713" t="s">
        <v>859</v>
      </c>
      <c r="J2513" s="714" t="s">
        <v>802</v>
      </c>
      <c r="K2513" s="709">
        <v>2</v>
      </c>
      <c r="L2513" s="715">
        <f t="shared" si="75"/>
        <v>15.98</v>
      </c>
      <c r="M2513" s="716">
        <f t="shared" si="74"/>
        <v>31.96</v>
      </c>
    </row>
    <row r="2514" spans="2:13" s="645" customFormat="1" ht="21.75" customHeight="1">
      <c r="B2514" s="661">
        <v>44448</v>
      </c>
      <c r="C2514" s="662" t="s">
        <v>819</v>
      </c>
      <c r="D2514" s="663" t="s">
        <v>849</v>
      </c>
      <c r="E2514" s="664" t="s">
        <v>831</v>
      </c>
      <c r="F2514" s="665"/>
      <c r="G2514" s="663">
        <v>20</v>
      </c>
      <c r="H2514" s="662" t="s">
        <v>807</v>
      </c>
      <c r="I2514" s="666" t="s">
        <v>859</v>
      </c>
      <c r="J2514" s="667" t="s">
        <v>805</v>
      </c>
      <c r="K2514" s="662">
        <v>1</v>
      </c>
      <c r="L2514" s="685">
        <f t="shared" si="75"/>
        <v>18.8</v>
      </c>
      <c r="M2514" s="686">
        <f t="shared" si="74"/>
        <v>18.8</v>
      </c>
    </row>
    <row r="2515" spans="2:13" s="645" customFormat="1" ht="21.75" customHeight="1">
      <c r="B2515" s="661">
        <v>44448</v>
      </c>
      <c r="C2515" s="662" t="s">
        <v>819</v>
      </c>
      <c r="D2515" s="663" t="s">
        <v>840</v>
      </c>
      <c r="E2515" s="664" t="s">
        <v>831</v>
      </c>
      <c r="F2515" s="665"/>
      <c r="G2515" s="663">
        <v>20</v>
      </c>
      <c r="H2515" s="662" t="s">
        <v>807</v>
      </c>
      <c r="I2515" s="666" t="s">
        <v>859</v>
      </c>
      <c r="J2515" s="667" t="s">
        <v>805</v>
      </c>
      <c r="K2515" s="662">
        <v>3</v>
      </c>
      <c r="L2515" s="685">
        <f t="shared" si="75"/>
        <v>18.8</v>
      </c>
      <c r="M2515" s="686">
        <f t="shared" si="74"/>
        <v>56.400000000000006</v>
      </c>
    </row>
    <row r="2516" spans="2:13" s="645" customFormat="1" ht="21.75" customHeight="1">
      <c r="B2516" s="661">
        <v>44448</v>
      </c>
      <c r="C2516" s="662" t="s">
        <v>819</v>
      </c>
      <c r="D2516" s="663" t="s">
        <v>835</v>
      </c>
      <c r="E2516" s="664" t="s">
        <v>831</v>
      </c>
      <c r="F2516" s="665"/>
      <c r="G2516" s="663">
        <v>20</v>
      </c>
      <c r="H2516" s="662" t="s">
        <v>807</v>
      </c>
      <c r="I2516" s="666" t="s">
        <v>859</v>
      </c>
      <c r="J2516" s="667" t="s">
        <v>805</v>
      </c>
      <c r="K2516" s="662">
        <v>3</v>
      </c>
      <c r="L2516" s="685">
        <f t="shared" si="75"/>
        <v>18.8</v>
      </c>
      <c r="M2516" s="686">
        <f t="shared" si="74"/>
        <v>56.400000000000006</v>
      </c>
    </row>
    <row r="2517" spans="2:13" s="645" customFormat="1" ht="21.75" customHeight="1">
      <c r="B2517" s="661">
        <v>44448</v>
      </c>
      <c r="C2517" s="662" t="s">
        <v>819</v>
      </c>
      <c r="D2517" s="663" t="s">
        <v>841</v>
      </c>
      <c r="E2517" s="664" t="s">
        <v>831</v>
      </c>
      <c r="F2517" s="665"/>
      <c r="G2517" s="663">
        <v>20</v>
      </c>
      <c r="H2517" s="662" t="s">
        <v>807</v>
      </c>
      <c r="I2517" s="666" t="s">
        <v>859</v>
      </c>
      <c r="J2517" s="667" t="s">
        <v>805</v>
      </c>
      <c r="K2517" s="662">
        <v>2</v>
      </c>
      <c r="L2517" s="685">
        <f t="shared" si="75"/>
        <v>18.8</v>
      </c>
      <c r="M2517" s="686">
        <f t="shared" si="74"/>
        <v>37.6</v>
      </c>
    </row>
    <row r="2518" spans="2:13" s="645" customFormat="1" ht="21.75" customHeight="1">
      <c r="B2518" s="661">
        <v>44448</v>
      </c>
      <c r="C2518" s="662" t="s">
        <v>819</v>
      </c>
      <c r="D2518" s="663" t="s">
        <v>848</v>
      </c>
      <c r="E2518" s="664" t="s">
        <v>831</v>
      </c>
      <c r="F2518" s="665"/>
      <c r="G2518" s="663">
        <v>20</v>
      </c>
      <c r="H2518" s="662" t="s">
        <v>807</v>
      </c>
      <c r="I2518" s="666" t="s">
        <v>859</v>
      </c>
      <c r="J2518" s="667" t="s">
        <v>805</v>
      </c>
      <c r="K2518" s="662">
        <v>2</v>
      </c>
      <c r="L2518" s="685">
        <f t="shared" si="75"/>
        <v>18.8</v>
      </c>
      <c r="M2518" s="686">
        <f t="shared" si="74"/>
        <v>37.6</v>
      </c>
    </row>
    <row r="2519" spans="2:13" s="645" customFormat="1" ht="21.75" customHeight="1">
      <c r="B2519" s="661">
        <v>44448</v>
      </c>
      <c r="C2519" s="662" t="s">
        <v>819</v>
      </c>
      <c r="D2519" s="663" t="s">
        <v>833</v>
      </c>
      <c r="E2519" s="664" t="s">
        <v>831</v>
      </c>
      <c r="F2519" s="665"/>
      <c r="G2519" s="663">
        <v>15</v>
      </c>
      <c r="H2519" s="662" t="s">
        <v>807</v>
      </c>
      <c r="I2519" s="666" t="s">
        <v>859</v>
      </c>
      <c r="J2519" s="667" t="s">
        <v>805</v>
      </c>
      <c r="K2519" s="662">
        <v>1</v>
      </c>
      <c r="L2519" s="685">
        <f t="shared" si="75"/>
        <v>14.1</v>
      </c>
      <c r="M2519" s="686">
        <f t="shared" si="74"/>
        <v>14.1</v>
      </c>
    </row>
    <row r="2520" spans="2:13" s="645" customFormat="1" ht="21.75" customHeight="1">
      <c r="B2520" s="661">
        <v>44448</v>
      </c>
      <c r="C2520" s="662" t="s">
        <v>819</v>
      </c>
      <c r="D2520" s="663" t="s">
        <v>830</v>
      </c>
      <c r="E2520" s="664" t="s">
        <v>831</v>
      </c>
      <c r="F2520" s="665"/>
      <c r="G2520" s="663">
        <v>15</v>
      </c>
      <c r="H2520" s="662" t="s">
        <v>807</v>
      </c>
      <c r="I2520" s="666" t="s">
        <v>859</v>
      </c>
      <c r="J2520" s="667" t="s">
        <v>805</v>
      </c>
      <c r="K2520" s="662">
        <v>6</v>
      </c>
      <c r="L2520" s="685">
        <f t="shared" si="75"/>
        <v>14.1</v>
      </c>
      <c r="M2520" s="686">
        <f t="shared" si="74"/>
        <v>84.6</v>
      </c>
    </row>
    <row r="2521" spans="2:13" s="645" customFormat="1" ht="21.75" customHeight="1">
      <c r="B2521" s="661">
        <v>44448</v>
      </c>
      <c r="C2521" s="662" t="s">
        <v>819</v>
      </c>
      <c r="D2521" s="663" t="s">
        <v>847</v>
      </c>
      <c r="E2521" s="664" t="s">
        <v>831</v>
      </c>
      <c r="F2521" s="665"/>
      <c r="G2521" s="663">
        <v>17</v>
      </c>
      <c r="H2521" s="662" t="s">
        <v>807</v>
      </c>
      <c r="I2521" s="666" t="s">
        <v>859</v>
      </c>
      <c r="J2521" s="667" t="s">
        <v>805</v>
      </c>
      <c r="K2521" s="662">
        <v>2</v>
      </c>
      <c r="L2521" s="685">
        <f t="shared" si="75"/>
        <v>15.98</v>
      </c>
      <c r="M2521" s="686">
        <f t="shared" si="74"/>
        <v>31.96</v>
      </c>
    </row>
    <row r="2522" spans="2:13" s="645" customFormat="1" ht="21.75" customHeight="1">
      <c r="B2522" s="661">
        <v>44448</v>
      </c>
      <c r="C2522" s="662" t="s">
        <v>819</v>
      </c>
      <c r="D2522" s="663" t="s">
        <v>855</v>
      </c>
      <c r="E2522" s="664" t="s">
        <v>831</v>
      </c>
      <c r="F2522" s="665"/>
      <c r="G2522" s="663">
        <v>20</v>
      </c>
      <c r="H2522" s="662" t="s">
        <v>807</v>
      </c>
      <c r="I2522" s="666" t="s">
        <v>859</v>
      </c>
      <c r="J2522" s="667" t="s">
        <v>805</v>
      </c>
      <c r="K2522" s="662">
        <v>2</v>
      </c>
      <c r="L2522" s="685">
        <f t="shared" si="75"/>
        <v>18.8</v>
      </c>
      <c r="M2522" s="686">
        <f t="shared" si="74"/>
        <v>37.6</v>
      </c>
    </row>
    <row r="2523" spans="2:13" s="645" customFormat="1" ht="21.75" customHeight="1">
      <c r="B2523" s="661">
        <v>44448</v>
      </c>
      <c r="C2523" s="662" t="s">
        <v>819</v>
      </c>
      <c r="D2523" s="663" t="s">
        <v>867</v>
      </c>
      <c r="E2523" s="664" t="s">
        <v>831</v>
      </c>
      <c r="F2523" s="665"/>
      <c r="G2523" s="663">
        <v>20</v>
      </c>
      <c r="H2523" s="662" t="s">
        <v>807</v>
      </c>
      <c r="I2523" s="666" t="s">
        <v>859</v>
      </c>
      <c r="J2523" s="667" t="s">
        <v>805</v>
      </c>
      <c r="K2523" s="662">
        <v>1</v>
      </c>
      <c r="L2523" s="685">
        <f t="shared" si="75"/>
        <v>18.8</v>
      </c>
      <c r="M2523" s="686">
        <f t="shared" si="74"/>
        <v>18.8</v>
      </c>
    </row>
    <row r="2524" spans="2:13" s="645" customFormat="1" ht="21.75" customHeight="1">
      <c r="B2524" s="661">
        <v>44448</v>
      </c>
      <c r="C2524" s="662" t="s">
        <v>819</v>
      </c>
      <c r="D2524" s="663" t="s">
        <v>868</v>
      </c>
      <c r="E2524" s="664" t="s">
        <v>831</v>
      </c>
      <c r="F2524" s="665"/>
      <c r="G2524" s="663">
        <v>20</v>
      </c>
      <c r="H2524" s="662" t="s">
        <v>807</v>
      </c>
      <c r="I2524" s="666" t="s">
        <v>859</v>
      </c>
      <c r="J2524" s="667" t="s">
        <v>805</v>
      </c>
      <c r="K2524" s="662">
        <v>3</v>
      </c>
      <c r="L2524" s="685">
        <f t="shared" si="75"/>
        <v>18.8</v>
      </c>
      <c r="M2524" s="686">
        <f t="shared" si="74"/>
        <v>56.400000000000006</v>
      </c>
    </row>
    <row r="2525" spans="2:13" s="645" customFormat="1" ht="21.75" customHeight="1">
      <c r="B2525" s="661">
        <v>44448</v>
      </c>
      <c r="C2525" s="662" t="s">
        <v>819</v>
      </c>
      <c r="D2525" s="663" t="s">
        <v>870</v>
      </c>
      <c r="E2525" s="664" t="s">
        <v>831</v>
      </c>
      <c r="F2525" s="665"/>
      <c r="G2525" s="663">
        <v>20</v>
      </c>
      <c r="H2525" s="662" t="s">
        <v>807</v>
      </c>
      <c r="I2525" s="666" t="s">
        <v>859</v>
      </c>
      <c r="J2525" s="667" t="s">
        <v>805</v>
      </c>
      <c r="K2525" s="662">
        <v>2</v>
      </c>
      <c r="L2525" s="685">
        <f t="shared" si="75"/>
        <v>18.8</v>
      </c>
      <c r="M2525" s="686">
        <f t="shared" si="74"/>
        <v>37.6</v>
      </c>
    </row>
    <row r="2526" spans="2:13" s="645" customFormat="1" ht="21.75" customHeight="1">
      <c r="B2526" s="661">
        <v>44448</v>
      </c>
      <c r="C2526" s="662" t="s">
        <v>819</v>
      </c>
      <c r="D2526" s="663" t="s">
        <v>873</v>
      </c>
      <c r="E2526" s="664" t="s">
        <v>831</v>
      </c>
      <c r="F2526" s="665"/>
      <c r="G2526" s="663">
        <v>17</v>
      </c>
      <c r="H2526" s="662" t="s">
        <v>807</v>
      </c>
      <c r="I2526" s="666" t="s">
        <v>859</v>
      </c>
      <c r="J2526" s="667" t="s">
        <v>805</v>
      </c>
      <c r="K2526" s="662">
        <v>2</v>
      </c>
      <c r="L2526" s="685">
        <f t="shared" si="75"/>
        <v>15.98</v>
      </c>
      <c r="M2526" s="686">
        <f t="shared" si="74"/>
        <v>31.96</v>
      </c>
    </row>
    <row r="2527" spans="2:13" s="645" customFormat="1" ht="21.75" customHeight="1">
      <c r="B2527" s="708">
        <v>44448</v>
      </c>
      <c r="C2527" s="709" t="s">
        <v>819</v>
      </c>
      <c r="D2527" s="710" t="s">
        <v>849</v>
      </c>
      <c r="E2527" s="711" t="s">
        <v>831</v>
      </c>
      <c r="F2527" s="712"/>
      <c r="G2527" s="710">
        <v>20</v>
      </c>
      <c r="H2527" s="709" t="s">
        <v>807</v>
      </c>
      <c r="I2527" s="713" t="s">
        <v>859</v>
      </c>
      <c r="J2527" s="714" t="s">
        <v>802</v>
      </c>
      <c r="K2527" s="709">
        <v>7</v>
      </c>
      <c r="L2527" s="715">
        <f t="shared" si="75"/>
        <v>18.8</v>
      </c>
      <c r="M2527" s="716">
        <f t="shared" si="74"/>
        <v>131.6</v>
      </c>
    </row>
    <row r="2528" spans="2:13" s="645" customFormat="1" ht="21.75" customHeight="1">
      <c r="B2528" s="708">
        <v>44448</v>
      </c>
      <c r="C2528" s="709" t="s">
        <v>819</v>
      </c>
      <c r="D2528" s="710" t="s">
        <v>840</v>
      </c>
      <c r="E2528" s="711" t="s">
        <v>831</v>
      </c>
      <c r="F2528" s="712"/>
      <c r="G2528" s="710">
        <v>20</v>
      </c>
      <c r="H2528" s="709" t="s">
        <v>807</v>
      </c>
      <c r="I2528" s="713" t="s">
        <v>859</v>
      </c>
      <c r="J2528" s="714" t="s">
        <v>802</v>
      </c>
      <c r="K2528" s="709">
        <v>4</v>
      </c>
      <c r="L2528" s="715">
        <f t="shared" si="75"/>
        <v>18.8</v>
      </c>
      <c r="M2528" s="716">
        <f t="shared" si="74"/>
        <v>75.2</v>
      </c>
    </row>
    <row r="2529" spans="2:13" s="645" customFormat="1" ht="21.75" customHeight="1">
      <c r="B2529" s="708">
        <v>44448</v>
      </c>
      <c r="C2529" s="709" t="s">
        <v>819</v>
      </c>
      <c r="D2529" s="710" t="s">
        <v>835</v>
      </c>
      <c r="E2529" s="711" t="s">
        <v>831</v>
      </c>
      <c r="F2529" s="712"/>
      <c r="G2529" s="710">
        <v>20</v>
      </c>
      <c r="H2529" s="709" t="s">
        <v>807</v>
      </c>
      <c r="I2529" s="713" t="s">
        <v>859</v>
      </c>
      <c r="J2529" s="714" t="s">
        <v>802</v>
      </c>
      <c r="K2529" s="709">
        <v>6</v>
      </c>
      <c r="L2529" s="715">
        <f t="shared" si="75"/>
        <v>18.8</v>
      </c>
      <c r="M2529" s="716">
        <f t="shared" si="74"/>
        <v>112.80000000000001</v>
      </c>
    </row>
    <row r="2530" spans="2:13" s="645" customFormat="1" ht="21.75" customHeight="1">
      <c r="B2530" s="708">
        <v>44448</v>
      </c>
      <c r="C2530" s="709" t="s">
        <v>819</v>
      </c>
      <c r="D2530" s="710" t="s">
        <v>841</v>
      </c>
      <c r="E2530" s="711" t="s">
        <v>831</v>
      </c>
      <c r="F2530" s="712"/>
      <c r="G2530" s="710">
        <v>20</v>
      </c>
      <c r="H2530" s="709" t="s">
        <v>807</v>
      </c>
      <c r="I2530" s="713" t="s">
        <v>859</v>
      </c>
      <c r="J2530" s="714" t="s">
        <v>802</v>
      </c>
      <c r="K2530" s="709">
        <v>6</v>
      </c>
      <c r="L2530" s="715">
        <f t="shared" si="75"/>
        <v>18.8</v>
      </c>
      <c r="M2530" s="716">
        <f t="shared" si="74"/>
        <v>112.80000000000001</v>
      </c>
    </row>
    <row r="2531" spans="2:13" s="645" customFormat="1" ht="21.75" customHeight="1">
      <c r="B2531" s="708">
        <v>44448</v>
      </c>
      <c r="C2531" s="709" t="s">
        <v>819</v>
      </c>
      <c r="D2531" s="710" t="s">
        <v>834</v>
      </c>
      <c r="E2531" s="711" t="s">
        <v>831</v>
      </c>
      <c r="F2531" s="712"/>
      <c r="G2531" s="710">
        <v>20</v>
      </c>
      <c r="H2531" s="709" t="s">
        <v>807</v>
      </c>
      <c r="I2531" s="713" t="s">
        <v>859</v>
      </c>
      <c r="J2531" s="714" t="s">
        <v>802</v>
      </c>
      <c r="K2531" s="709">
        <v>8</v>
      </c>
      <c r="L2531" s="715">
        <f t="shared" si="75"/>
        <v>18.8</v>
      </c>
      <c r="M2531" s="716">
        <f t="shared" si="74"/>
        <v>150.4</v>
      </c>
    </row>
    <row r="2532" spans="2:13" s="645" customFormat="1" ht="21.75" customHeight="1">
      <c r="B2532" s="708">
        <v>44448</v>
      </c>
      <c r="C2532" s="709" t="s">
        <v>819</v>
      </c>
      <c r="D2532" s="710" t="s">
        <v>848</v>
      </c>
      <c r="E2532" s="711" t="s">
        <v>831</v>
      </c>
      <c r="F2532" s="712"/>
      <c r="G2532" s="710">
        <v>20</v>
      </c>
      <c r="H2532" s="709" t="s">
        <v>807</v>
      </c>
      <c r="I2532" s="713" t="s">
        <v>859</v>
      </c>
      <c r="J2532" s="714" t="s">
        <v>802</v>
      </c>
      <c r="K2532" s="709">
        <v>5</v>
      </c>
      <c r="L2532" s="715">
        <f t="shared" si="75"/>
        <v>18.8</v>
      </c>
      <c r="M2532" s="716">
        <f t="shared" si="74"/>
        <v>94</v>
      </c>
    </row>
    <row r="2533" spans="2:13" s="645" customFormat="1" ht="21.75" customHeight="1">
      <c r="B2533" s="708">
        <v>44448</v>
      </c>
      <c r="C2533" s="709" t="s">
        <v>819</v>
      </c>
      <c r="D2533" s="710" t="s">
        <v>836</v>
      </c>
      <c r="E2533" s="711" t="s">
        <v>831</v>
      </c>
      <c r="F2533" s="712"/>
      <c r="G2533" s="710">
        <v>20</v>
      </c>
      <c r="H2533" s="709" t="s">
        <v>807</v>
      </c>
      <c r="I2533" s="713" t="s">
        <v>859</v>
      </c>
      <c r="J2533" s="714" t="s">
        <v>802</v>
      </c>
      <c r="K2533" s="709">
        <v>2</v>
      </c>
      <c r="L2533" s="715">
        <f t="shared" si="75"/>
        <v>18.8</v>
      </c>
      <c r="M2533" s="716">
        <f t="shared" si="74"/>
        <v>37.6</v>
      </c>
    </row>
    <row r="2534" spans="2:13" s="645" customFormat="1" ht="21.75" customHeight="1">
      <c r="B2534" s="708">
        <v>44448</v>
      </c>
      <c r="C2534" s="709" t="s">
        <v>819</v>
      </c>
      <c r="D2534" s="710" t="s">
        <v>833</v>
      </c>
      <c r="E2534" s="711" t="s">
        <v>831</v>
      </c>
      <c r="F2534" s="712"/>
      <c r="G2534" s="710">
        <v>15</v>
      </c>
      <c r="H2534" s="709" t="s">
        <v>807</v>
      </c>
      <c r="I2534" s="713" t="s">
        <v>859</v>
      </c>
      <c r="J2534" s="714" t="s">
        <v>802</v>
      </c>
      <c r="K2534" s="709">
        <v>7</v>
      </c>
      <c r="L2534" s="715">
        <f t="shared" si="75"/>
        <v>14.1</v>
      </c>
      <c r="M2534" s="716">
        <f t="shared" si="74"/>
        <v>98.7</v>
      </c>
    </row>
    <row r="2535" spans="2:13" s="645" customFormat="1" ht="21.75" customHeight="1">
      <c r="B2535" s="708">
        <v>44448</v>
      </c>
      <c r="C2535" s="709" t="s">
        <v>819</v>
      </c>
      <c r="D2535" s="710" t="s">
        <v>830</v>
      </c>
      <c r="E2535" s="711" t="s">
        <v>831</v>
      </c>
      <c r="F2535" s="712"/>
      <c r="G2535" s="710">
        <v>15</v>
      </c>
      <c r="H2535" s="709" t="s">
        <v>807</v>
      </c>
      <c r="I2535" s="713" t="s">
        <v>859</v>
      </c>
      <c r="J2535" s="714" t="s">
        <v>802</v>
      </c>
      <c r="K2535" s="709">
        <v>1</v>
      </c>
      <c r="L2535" s="715">
        <f t="shared" si="75"/>
        <v>14.1</v>
      </c>
      <c r="M2535" s="716">
        <f t="shared" ref="M2535:M2598" si="76">L2535*K2535</f>
        <v>14.1</v>
      </c>
    </row>
    <row r="2536" spans="2:13" s="645" customFormat="1" ht="21.75" customHeight="1">
      <c r="B2536" s="708">
        <v>44448</v>
      </c>
      <c r="C2536" s="709" t="s">
        <v>819</v>
      </c>
      <c r="D2536" s="710" t="s">
        <v>850</v>
      </c>
      <c r="E2536" s="711" t="s">
        <v>831</v>
      </c>
      <c r="F2536" s="712"/>
      <c r="G2536" s="710">
        <v>15</v>
      </c>
      <c r="H2536" s="709" t="s">
        <v>807</v>
      </c>
      <c r="I2536" s="713" t="s">
        <v>859</v>
      </c>
      <c r="J2536" s="714" t="s">
        <v>802</v>
      </c>
      <c r="K2536" s="709">
        <v>5</v>
      </c>
      <c r="L2536" s="715">
        <f t="shared" si="75"/>
        <v>14.1</v>
      </c>
      <c r="M2536" s="716">
        <f t="shared" si="76"/>
        <v>70.5</v>
      </c>
    </row>
    <row r="2537" spans="2:13" s="645" customFormat="1" ht="21.75" customHeight="1">
      <c r="B2537" s="708">
        <v>44448</v>
      </c>
      <c r="C2537" s="709" t="s">
        <v>819</v>
      </c>
      <c r="D2537" s="710" t="s">
        <v>845</v>
      </c>
      <c r="E2537" s="711" t="s">
        <v>831</v>
      </c>
      <c r="F2537" s="712"/>
      <c r="G2537" s="710">
        <v>17</v>
      </c>
      <c r="H2537" s="709" t="s">
        <v>807</v>
      </c>
      <c r="I2537" s="713" t="s">
        <v>859</v>
      </c>
      <c r="J2537" s="714" t="s">
        <v>802</v>
      </c>
      <c r="K2537" s="709">
        <v>9</v>
      </c>
      <c r="L2537" s="715">
        <f t="shared" si="75"/>
        <v>15.98</v>
      </c>
      <c r="M2537" s="716">
        <f t="shared" si="76"/>
        <v>143.82</v>
      </c>
    </row>
    <row r="2538" spans="2:13" s="645" customFormat="1" ht="21.75" customHeight="1">
      <c r="B2538" s="708">
        <v>44448</v>
      </c>
      <c r="C2538" s="709" t="s">
        <v>819</v>
      </c>
      <c r="D2538" s="710" t="s">
        <v>847</v>
      </c>
      <c r="E2538" s="711" t="s">
        <v>831</v>
      </c>
      <c r="F2538" s="712"/>
      <c r="G2538" s="710">
        <v>17</v>
      </c>
      <c r="H2538" s="709" t="s">
        <v>807</v>
      </c>
      <c r="I2538" s="713" t="s">
        <v>859</v>
      </c>
      <c r="J2538" s="714" t="s">
        <v>802</v>
      </c>
      <c r="K2538" s="709">
        <v>5</v>
      </c>
      <c r="L2538" s="715">
        <f t="shared" si="75"/>
        <v>15.98</v>
      </c>
      <c r="M2538" s="716">
        <f t="shared" si="76"/>
        <v>79.900000000000006</v>
      </c>
    </row>
    <row r="2539" spans="2:13" s="645" customFormat="1" ht="21.75" customHeight="1">
      <c r="B2539" s="708">
        <v>44448</v>
      </c>
      <c r="C2539" s="709" t="s">
        <v>819</v>
      </c>
      <c r="D2539" s="710" t="s">
        <v>856</v>
      </c>
      <c r="E2539" s="711" t="s">
        <v>831</v>
      </c>
      <c r="F2539" s="712"/>
      <c r="G2539" s="710">
        <v>20</v>
      </c>
      <c r="H2539" s="709" t="s">
        <v>807</v>
      </c>
      <c r="I2539" s="713" t="s">
        <v>859</v>
      </c>
      <c r="J2539" s="714" t="s">
        <v>802</v>
      </c>
      <c r="K2539" s="709">
        <v>9</v>
      </c>
      <c r="L2539" s="715">
        <f t="shared" si="75"/>
        <v>18.8</v>
      </c>
      <c r="M2539" s="716">
        <f t="shared" si="76"/>
        <v>169.20000000000002</v>
      </c>
    </row>
    <row r="2540" spans="2:13" s="645" customFormat="1" ht="21.75" customHeight="1">
      <c r="B2540" s="708">
        <v>44448</v>
      </c>
      <c r="C2540" s="709" t="s">
        <v>819</v>
      </c>
      <c r="D2540" s="710" t="s">
        <v>855</v>
      </c>
      <c r="E2540" s="711" t="s">
        <v>831</v>
      </c>
      <c r="F2540" s="712"/>
      <c r="G2540" s="710">
        <v>20</v>
      </c>
      <c r="H2540" s="709" t="s">
        <v>807</v>
      </c>
      <c r="I2540" s="713" t="s">
        <v>859</v>
      </c>
      <c r="J2540" s="714" t="s">
        <v>802</v>
      </c>
      <c r="K2540" s="709">
        <v>6</v>
      </c>
      <c r="L2540" s="715">
        <f t="shared" si="75"/>
        <v>18.8</v>
      </c>
      <c r="M2540" s="716">
        <f t="shared" si="76"/>
        <v>112.80000000000001</v>
      </c>
    </row>
    <row r="2541" spans="2:13" s="645" customFormat="1" ht="21.75" customHeight="1">
      <c r="B2541" s="708">
        <v>44448</v>
      </c>
      <c r="C2541" s="709" t="s">
        <v>819</v>
      </c>
      <c r="D2541" s="710" t="s">
        <v>867</v>
      </c>
      <c r="E2541" s="711" t="s">
        <v>831</v>
      </c>
      <c r="F2541" s="712"/>
      <c r="G2541" s="710">
        <v>20</v>
      </c>
      <c r="H2541" s="709" t="s">
        <v>807</v>
      </c>
      <c r="I2541" s="713" t="s">
        <v>859</v>
      </c>
      <c r="J2541" s="714" t="s">
        <v>802</v>
      </c>
      <c r="K2541" s="709">
        <v>5</v>
      </c>
      <c r="L2541" s="715">
        <f t="shared" si="75"/>
        <v>18.8</v>
      </c>
      <c r="M2541" s="716">
        <f t="shared" si="76"/>
        <v>94</v>
      </c>
    </row>
    <row r="2542" spans="2:13" s="645" customFormat="1" ht="21.75" customHeight="1">
      <c r="B2542" s="708">
        <v>44448</v>
      </c>
      <c r="C2542" s="709" t="s">
        <v>819</v>
      </c>
      <c r="D2542" s="710" t="s">
        <v>868</v>
      </c>
      <c r="E2542" s="711" t="s">
        <v>831</v>
      </c>
      <c r="F2542" s="712"/>
      <c r="G2542" s="710">
        <v>20</v>
      </c>
      <c r="H2542" s="709" t="s">
        <v>807</v>
      </c>
      <c r="I2542" s="713" t="s">
        <v>859</v>
      </c>
      <c r="J2542" s="714" t="s">
        <v>802</v>
      </c>
      <c r="K2542" s="709">
        <v>3</v>
      </c>
      <c r="L2542" s="715">
        <f t="shared" si="75"/>
        <v>18.8</v>
      </c>
      <c r="M2542" s="716">
        <f t="shared" si="76"/>
        <v>56.400000000000006</v>
      </c>
    </row>
    <row r="2543" spans="2:13" s="645" customFormat="1" ht="21.75" customHeight="1">
      <c r="B2543" s="708">
        <v>44448</v>
      </c>
      <c r="C2543" s="709" t="s">
        <v>819</v>
      </c>
      <c r="D2543" s="710" t="s">
        <v>870</v>
      </c>
      <c r="E2543" s="711" t="s">
        <v>831</v>
      </c>
      <c r="F2543" s="712"/>
      <c r="G2543" s="710">
        <v>20</v>
      </c>
      <c r="H2543" s="709" t="s">
        <v>807</v>
      </c>
      <c r="I2543" s="713" t="s">
        <v>859</v>
      </c>
      <c r="J2543" s="714" t="s">
        <v>802</v>
      </c>
      <c r="K2543" s="709">
        <v>4</v>
      </c>
      <c r="L2543" s="715">
        <f t="shared" si="75"/>
        <v>18.8</v>
      </c>
      <c r="M2543" s="716">
        <f t="shared" si="76"/>
        <v>75.2</v>
      </c>
    </row>
    <row r="2544" spans="2:13" s="645" customFormat="1" ht="21.75" customHeight="1">
      <c r="B2544" s="708">
        <v>44448</v>
      </c>
      <c r="C2544" s="709" t="s">
        <v>819</v>
      </c>
      <c r="D2544" s="710" t="s">
        <v>873</v>
      </c>
      <c r="E2544" s="711" t="s">
        <v>831</v>
      </c>
      <c r="F2544" s="712"/>
      <c r="G2544" s="710">
        <v>17</v>
      </c>
      <c r="H2544" s="709" t="s">
        <v>807</v>
      </c>
      <c r="I2544" s="713" t="s">
        <v>859</v>
      </c>
      <c r="J2544" s="714" t="s">
        <v>802</v>
      </c>
      <c r="K2544" s="709">
        <v>4</v>
      </c>
      <c r="L2544" s="715">
        <f t="shared" si="75"/>
        <v>15.98</v>
      </c>
      <c r="M2544" s="716">
        <f t="shared" si="76"/>
        <v>63.92</v>
      </c>
    </row>
    <row r="2545" spans="2:13" s="645" customFormat="1" ht="21.75" customHeight="1">
      <c r="B2545" s="708">
        <v>44448</v>
      </c>
      <c r="C2545" s="709" t="s">
        <v>837</v>
      </c>
      <c r="D2545" s="710" t="s">
        <v>849</v>
      </c>
      <c r="E2545" s="711" t="s">
        <v>831</v>
      </c>
      <c r="F2545" s="712"/>
      <c r="G2545" s="710">
        <v>20</v>
      </c>
      <c r="H2545" s="709" t="s">
        <v>807</v>
      </c>
      <c r="I2545" s="713" t="s">
        <v>859</v>
      </c>
      <c r="J2545" s="714" t="s">
        <v>802</v>
      </c>
      <c r="K2545" s="709">
        <v>9</v>
      </c>
      <c r="L2545" s="715">
        <f t="shared" si="75"/>
        <v>18.8</v>
      </c>
      <c r="M2545" s="716">
        <f t="shared" si="76"/>
        <v>169.20000000000002</v>
      </c>
    </row>
    <row r="2546" spans="2:13" s="645" customFormat="1" ht="21.75" customHeight="1">
      <c r="B2546" s="708">
        <v>44448</v>
      </c>
      <c r="C2546" s="709" t="s">
        <v>837</v>
      </c>
      <c r="D2546" s="710" t="s">
        <v>840</v>
      </c>
      <c r="E2546" s="711" t="s">
        <v>831</v>
      </c>
      <c r="F2546" s="712"/>
      <c r="G2546" s="710">
        <v>20</v>
      </c>
      <c r="H2546" s="709" t="s">
        <v>807</v>
      </c>
      <c r="I2546" s="713" t="s">
        <v>859</v>
      </c>
      <c r="J2546" s="714" t="s">
        <v>802</v>
      </c>
      <c r="K2546" s="709">
        <v>4</v>
      </c>
      <c r="L2546" s="715">
        <f t="shared" si="75"/>
        <v>18.8</v>
      </c>
      <c r="M2546" s="716">
        <f t="shared" si="76"/>
        <v>75.2</v>
      </c>
    </row>
    <row r="2547" spans="2:13" s="645" customFormat="1" ht="21.75" customHeight="1">
      <c r="B2547" s="708">
        <v>44448</v>
      </c>
      <c r="C2547" s="709" t="s">
        <v>837</v>
      </c>
      <c r="D2547" s="710" t="s">
        <v>835</v>
      </c>
      <c r="E2547" s="711" t="s">
        <v>831</v>
      </c>
      <c r="F2547" s="712"/>
      <c r="G2547" s="710">
        <v>20</v>
      </c>
      <c r="H2547" s="709" t="s">
        <v>807</v>
      </c>
      <c r="I2547" s="713" t="s">
        <v>859</v>
      </c>
      <c r="J2547" s="714" t="s">
        <v>802</v>
      </c>
      <c r="K2547" s="709">
        <v>3</v>
      </c>
      <c r="L2547" s="715">
        <f t="shared" si="75"/>
        <v>18.8</v>
      </c>
      <c r="M2547" s="716">
        <f t="shared" si="76"/>
        <v>56.400000000000006</v>
      </c>
    </row>
    <row r="2548" spans="2:13" s="645" customFormat="1" ht="21.75" customHeight="1">
      <c r="B2548" s="708">
        <v>44448</v>
      </c>
      <c r="C2548" s="709" t="s">
        <v>837</v>
      </c>
      <c r="D2548" s="710" t="s">
        <v>834</v>
      </c>
      <c r="E2548" s="711" t="s">
        <v>831</v>
      </c>
      <c r="F2548" s="712"/>
      <c r="G2548" s="710">
        <v>20</v>
      </c>
      <c r="H2548" s="709" t="s">
        <v>807</v>
      </c>
      <c r="I2548" s="713" t="s">
        <v>859</v>
      </c>
      <c r="J2548" s="714" t="s">
        <v>802</v>
      </c>
      <c r="K2548" s="709">
        <v>7</v>
      </c>
      <c r="L2548" s="715">
        <f t="shared" si="75"/>
        <v>18.8</v>
      </c>
      <c r="M2548" s="716">
        <f t="shared" si="76"/>
        <v>131.6</v>
      </c>
    </row>
    <row r="2549" spans="2:13" s="645" customFormat="1" ht="21.75" customHeight="1">
      <c r="B2549" s="708">
        <v>44448</v>
      </c>
      <c r="C2549" s="709" t="s">
        <v>837</v>
      </c>
      <c r="D2549" s="710" t="s">
        <v>848</v>
      </c>
      <c r="E2549" s="711" t="s">
        <v>831</v>
      </c>
      <c r="F2549" s="712"/>
      <c r="G2549" s="710">
        <v>20</v>
      </c>
      <c r="H2549" s="709" t="s">
        <v>807</v>
      </c>
      <c r="I2549" s="713" t="s">
        <v>859</v>
      </c>
      <c r="J2549" s="714" t="s">
        <v>802</v>
      </c>
      <c r="K2549" s="709">
        <v>6</v>
      </c>
      <c r="L2549" s="715">
        <f t="shared" si="75"/>
        <v>18.8</v>
      </c>
      <c r="M2549" s="716">
        <f t="shared" si="76"/>
        <v>112.80000000000001</v>
      </c>
    </row>
    <row r="2550" spans="2:13" s="645" customFormat="1" ht="21.75" customHeight="1">
      <c r="B2550" s="708">
        <v>44448</v>
      </c>
      <c r="C2550" s="709" t="s">
        <v>837</v>
      </c>
      <c r="D2550" s="710" t="s">
        <v>833</v>
      </c>
      <c r="E2550" s="711" t="s">
        <v>831</v>
      </c>
      <c r="F2550" s="712"/>
      <c r="G2550" s="710">
        <v>15</v>
      </c>
      <c r="H2550" s="709" t="s">
        <v>807</v>
      </c>
      <c r="I2550" s="713" t="s">
        <v>859</v>
      </c>
      <c r="J2550" s="714" t="s">
        <v>802</v>
      </c>
      <c r="K2550" s="709">
        <v>2</v>
      </c>
      <c r="L2550" s="715">
        <f t="shared" si="75"/>
        <v>14.1</v>
      </c>
      <c r="M2550" s="716">
        <f t="shared" si="76"/>
        <v>28.2</v>
      </c>
    </row>
    <row r="2551" spans="2:13" s="645" customFormat="1" ht="21.75" customHeight="1">
      <c r="B2551" s="708">
        <v>44448</v>
      </c>
      <c r="C2551" s="709" t="s">
        <v>837</v>
      </c>
      <c r="D2551" s="710" t="s">
        <v>845</v>
      </c>
      <c r="E2551" s="711" t="s">
        <v>831</v>
      </c>
      <c r="F2551" s="712"/>
      <c r="G2551" s="710">
        <v>17</v>
      </c>
      <c r="H2551" s="709" t="s">
        <v>807</v>
      </c>
      <c r="I2551" s="713" t="s">
        <v>859</v>
      </c>
      <c r="J2551" s="714" t="s">
        <v>802</v>
      </c>
      <c r="K2551" s="709">
        <v>6</v>
      </c>
      <c r="L2551" s="715">
        <f t="shared" si="75"/>
        <v>15.98</v>
      </c>
      <c r="M2551" s="716">
        <f t="shared" si="76"/>
        <v>95.88</v>
      </c>
    </row>
    <row r="2552" spans="2:13" s="645" customFormat="1" ht="21.75" customHeight="1">
      <c r="B2552" s="708">
        <v>44448</v>
      </c>
      <c r="C2552" s="709" t="s">
        <v>837</v>
      </c>
      <c r="D2552" s="710" t="s">
        <v>847</v>
      </c>
      <c r="E2552" s="711" t="s">
        <v>831</v>
      </c>
      <c r="F2552" s="712"/>
      <c r="G2552" s="710">
        <v>17</v>
      </c>
      <c r="H2552" s="709" t="s">
        <v>807</v>
      </c>
      <c r="I2552" s="713" t="s">
        <v>859</v>
      </c>
      <c r="J2552" s="714" t="s">
        <v>802</v>
      </c>
      <c r="K2552" s="709">
        <v>4</v>
      </c>
      <c r="L2552" s="715">
        <f t="shared" si="75"/>
        <v>15.98</v>
      </c>
      <c r="M2552" s="716">
        <f t="shared" si="76"/>
        <v>63.92</v>
      </c>
    </row>
    <row r="2553" spans="2:13" s="645" customFormat="1" ht="21.75" customHeight="1">
      <c r="B2553" s="708">
        <v>44448</v>
      </c>
      <c r="C2553" s="709" t="s">
        <v>837</v>
      </c>
      <c r="D2553" s="710" t="s">
        <v>855</v>
      </c>
      <c r="E2553" s="711" t="s">
        <v>831</v>
      </c>
      <c r="F2553" s="712"/>
      <c r="G2553" s="710">
        <v>20</v>
      </c>
      <c r="H2553" s="709" t="s">
        <v>807</v>
      </c>
      <c r="I2553" s="713" t="s">
        <v>859</v>
      </c>
      <c r="J2553" s="714" t="s">
        <v>802</v>
      </c>
      <c r="K2553" s="709">
        <v>7</v>
      </c>
      <c r="L2553" s="715">
        <f t="shared" si="75"/>
        <v>18.8</v>
      </c>
      <c r="M2553" s="716">
        <f t="shared" si="76"/>
        <v>131.6</v>
      </c>
    </row>
    <row r="2554" spans="2:13" s="645" customFormat="1" ht="21.75" customHeight="1">
      <c r="B2554" s="708">
        <v>44448</v>
      </c>
      <c r="C2554" s="709" t="s">
        <v>837</v>
      </c>
      <c r="D2554" s="710" t="s">
        <v>868</v>
      </c>
      <c r="E2554" s="711" t="s">
        <v>831</v>
      </c>
      <c r="F2554" s="712"/>
      <c r="G2554" s="710">
        <v>20</v>
      </c>
      <c r="H2554" s="709" t="s">
        <v>807</v>
      </c>
      <c r="I2554" s="713" t="s">
        <v>859</v>
      </c>
      <c r="J2554" s="714" t="s">
        <v>802</v>
      </c>
      <c r="K2554" s="709">
        <v>9</v>
      </c>
      <c r="L2554" s="715">
        <f t="shared" si="75"/>
        <v>18.8</v>
      </c>
      <c r="M2554" s="716">
        <f t="shared" si="76"/>
        <v>169.20000000000002</v>
      </c>
    </row>
    <row r="2555" spans="2:13" s="645" customFormat="1" ht="21.75" customHeight="1">
      <c r="B2555" s="708">
        <v>44448</v>
      </c>
      <c r="C2555" s="709" t="s">
        <v>837</v>
      </c>
      <c r="D2555" s="710" t="s">
        <v>873</v>
      </c>
      <c r="E2555" s="711" t="s">
        <v>831</v>
      </c>
      <c r="F2555" s="712"/>
      <c r="G2555" s="710">
        <v>17</v>
      </c>
      <c r="H2555" s="709" t="s">
        <v>807</v>
      </c>
      <c r="I2555" s="713" t="s">
        <v>859</v>
      </c>
      <c r="J2555" s="714" t="s">
        <v>802</v>
      </c>
      <c r="K2555" s="709">
        <v>7</v>
      </c>
      <c r="L2555" s="715">
        <f t="shared" si="75"/>
        <v>15.98</v>
      </c>
      <c r="M2555" s="716">
        <f t="shared" si="76"/>
        <v>111.86</v>
      </c>
    </row>
    <row r="2556" spans="2:13" s="645" customFormat="1" ht="21.75" customHeight="1">
      <c r="B2556" s="661">
        <v>44449</v>
      </c>
      <c r="C2556" s="662" t="s">
        <v>819</v>
      </c>
      <c r="D2556" s="663" t="s">
        <v>849</v>
      </c>
      <c r="E2556" s="664" t="s">
        <v>831</v>
      </c>
      <c r="F2556" s="665"/>
      <c r="G2556" s="663">
        <v>20</v>
      </c>
      <c r="H2556" s="662" t="s">
        <v>807</v>
      </c>
      <c r="I2556" s="666" t="s">
        <v>859</v>
      </c>
      <c r="J2556" s="667" t="s">
        <v>805</v>
      </c>
      <c r="K2556" s="662">
        <v>6</v>
      </c>
      <c r="L2556" s="685">
        <f t="shared" si="75"/>
        <v>18.8</v>
      </c>
      <c r="M2556" s="686">
        <f t="shared" si="76"/>
        <v>112.80000000000001</v>
      </c>
    </row>
    <row r="2557" spans="2:13" s="645" customFormat="1" ht="21.75" customHeight="1">
      <c r="B2557" s="661">
        <v>44449</v>
      </c>
      <c r="C2557" s="662" t="s">
        <v>819</v>
      </c>
      <c r="D2557" s="663" t="s">
        <v>835</v>
      </c>
      <c r="E2557" s="664" t="s">
        <v>831</v>
      </c>
      <c r="F2557" s="665"/>
      <c r="G2557" s="663">
        <v>20</v>
      </c>
      <c r="H2557" s="662" t="s">
        <v>807</v>
      </c>
      <c r="I2557" s="666" t="s">
        <v>859</v>
      </c>
      <c r="J2557" s="667" t="s">
        <v>805</v>
      </c>
      <c r="K2557" s="662">
        <v>7</v>
      </c>
      <c r="L2557" s="685">
        <f t="shared" si="75"/>
        <v>18.8</v>
      </c>
      <c r="M2557" s="686">
        <f t="shared" si="76"/>
        <v>131.6</v>
      </c>
    </row>
    <row r="2558" spans="2:13" s="645" customFormat="1" ht="21.75" customHeight="1">
      <c r="B2558" s="661">
        <v>44449</v>
      </c>
      <c r="C2558" s="662" t="s">
        <v>819</v>
      </c>
      <c r="D2558" s="663" t="s">
        <v>841</v>
      </c>
      <c r="E2558" s="664" t="s">
        <v>831</v>
      </c>
      <c r="F2558" s="665"/>
      <c r="G2558" s="663">
        <v>20</v>
      </c>
      <c r="H2558" s="662" t="s">
        <v>807</v>
      </c>
      <c r="I2558" s="666" t="s">
        <v>859</v>
      </c>
      <c r="J2558" s="667" t="s">
        <v>805</v>
      </c>
      <c r="K2558" s="662">
        <v>6</v>
      </c>
      <c r="L2558" s="685">
        <f t="shared" si="75"/>
        <v>18.8</v>
      </c>
      <c r="M2558" s="686">
        <f t="shared" si="76"/>
        <v>112.80000000000001</v>
      </c>
    </row>
    <row r="2559" spans="2:13" s="645" customFormat="1" ht="21.75" customHeight="1">
      <c r="B2559" s="661">
        <v>44449</v>
      </c>
      <c r="C2559" s="662" t="s">
        <v>819</v>
      </c>
      <c r="D2559" s="663" t="s">
        <v>834</v>
      </c>
      <c r="E2559" s="664" t="s">
        <v>831</v>
      </c>
      <c r="F2559" s="665"/>
      <c r="G2559" s="663">
        <v>20</v>
      </c>
      <c r="H2559" s="662" t="s">
        <v>807</v>
      </c>
      <c r="I2559" s="666" t="s">
        <v>859</v>
      </c>
      <c r="J2559" s="667" t="s">
        <v>805</v>
      </c>
      <c r="K2559" s="662">
        <v>6</v>
      </c>
      <c r="L2559" s="685">
        <f t="shared" si="75"/>
        <v>18.8</v>
      </c>
      <c r="M2559" s="686">
        <f t="shared" si="76"/>
        <v>112.80000000000001</v>
      </c>
    </row>
    <row r="2560" spans="2:13" s="645" customFormat="1" ht="21.75" customHeight="1">
      <c r="B2560" s="661">
        <v>44449</v>
      </c>
      <c r="C2560" s="662" t="s">
        <v>819</v>
      </c>
      <c r="D2560" s="663" t="s">
        <v>833</v>
      </c>
      <c r="E2560" s="664" t="s">
        <v>831</v>
      </c>
      <c r="F2560" s="665"/>
      <c r="G2560" s="663">
        <v>15</v>
      </c>
      <c r="H2560" s="662" t="s">
        <v>807</v>
      </c>
      <c r="I2560" s="666" t="s">
        <v>859</v>
      </c>
      <c r="J2560" s="667" t="s">
        <v>805</v>
      </c>
      <c r="K2560" s="662">
        <v>7</v>
      </c>
      <c r="L2560" s="685">
        <f t="shared" si="75"/>
        <v>14.1</v>
      </c>
      <c r="M2560" s="686">
        <f t="shared" si="76"/>
        <v>98.7</v>
      </c>
    </row>
    <row r="2561" spans="2:13" s="645" customFormat="1" ht="21.75" customHeight="1">
      <c r="B2561" s="661">
        <v>44449</v>
      </c>
      <c r="C2561" s="662" t="s">
        <v>819</v>
      </c>
      <c r="D2561" s="663" t="s">
        <v>830</v>
      </c>
      <c r="E2561" s="664" t="s">
        <v>831</v>
      </c>
      <c r="F2561" s="665"/>
      <c r="G2561" s="663">
        <v>15</v>
      </c>
      <c r="H2561" s="662" t="s">
        <v>807</v>
      </c>
      <c r="I2561" s="666" t="s">
        <v>857</v>
      </c>
      <c r="J2561" s="667" t="s">
        <v>805</v>
      </c>
      <c r="K2561" s="662">
        <v>1</v>
      </c>
      <c r="L2561" s="685">
        <f t="shared" si="75"/>
        <v>14.1</v>
      </c>
      <c r="M2561" s="686">
        <f t="shared" si="76"/>
        <v>14.1</v>
      </c>
    </row>
    <row r="2562" spans="2:13" s="645" customFormat="1" ht="21.75" customHeight="1">
      <c r="B2562" s="661">
        <v>44449</v>
      </c>
      <c r="C2562" s="662" t="s">
        <v>819</v>
      </c>
      <c r="D2562" s="663" t="s">
        <v>845</v>
      </c>
      <c r="E2562" s="664" t="s">
        <v>831</v>
      </c>
      <c r="F2562" s="665"/>
      <c r="G2562" s="663">
        <v>17</v>
      </c>
      <c r="H2562" s="662" t="s">
        <v>807</v>
      </c>
      <c r="I2562" s="666" t="s">
        <v>859</v>
      </c>
      <c r="J2562" s="667" t="s">
        <v>805</v>
      </c>
      <c r="K2562" s="662">
        <v>1</v>
      </c>
      <c r="L2562" s="685">
        <f t="shared" si="75"/>
        <v>15.98</v>
      </c>
      <c r="M2562" s="686">
        <f t="shared" si="76"/>
        <v>15.98</v>
      </c>
    </row>
    <row r="2563" spans="2:13" s="645" customFormat="1" ht="21.75" customHeight="1">
      <c r="B2563" s="661">
        <v>44449</v>
      </c>
      <c r="C2563" s="662" t="s">
        <v>819</v>
      </c>
      <c r="D2563" s="663" t="s">
        <v>847</v>
      </c>
      <c r="E2563" s="664" t="s">
        <v>831</v>
      </c>
      <c r="F2563" s="665"/>
      <c r="G2563" s="663">
        <v>17</v>
      </c>
      <c r="H2563" s="662" t="s">
        <v>807</v>
      </c>
      <c r="I2563" s="666" t="s">
        <v>857</v>
      </c>
      <c r="J2563" s="667" t="s">
        <v>805</v>
      </c>
      <c r="K2563" s="662">
        <v>1</v>
      </c>
      <c r="L2563" s="685">
        <f t="shared" si="75"/>
        <v>15.98</v>
      </c>
      <c r="M2563" s="686">
        <f t="shared" si="76"/>
        <v>15.98</v>
      </c>
    </row>
    <row r="2564" spans="2:13" s="645" customFormat="1" ht="21.75" customHeight="1">
      <c r="B2564" s="661">
        <v>44449</v>
      </c>
      <c r="C2564" s="662" t="s">
        <v>819</v>
      </c>
      <c r="D2564" s="663" t="s">
        <v>856</v>
      </c>
      <c r="E2564" s="664" t="s">
        <v>831</v>
      </c>
      <c r="F2564" s="665"/>
      <c r="G2564" s="663">
        <v>20</v>
      </c>
      <c r="H2564" s="662" t="s">
        <v>807</v>
      </c>
      <c r="I2564" s="666" t="s">
        <v>859</v>
      </c>
      <c r="J2564" s="667" t="s">
        <v>805</v>
      </c>
      <c r="K2564" s="662">
        <v>6</v>
      </c>
      <c r="L2564" s="685">
        <f t="shared" si="75"/>
        <v>18.8</v>
      </c>
      <c r="M2564" s="686">
        <f t="shared" si="76"/>
        <v>112.80000000000001</v>
      </c>
    </row>
    <row r="2565" spans="2:13" s="645" customFormat="1" ht="21.75" customHeight="1">
      <c r="B2565" s="661">
        <v>44449</v>
      </c>
      <c r="C2565" s="662" t="s">
        <v>819</v>
      </c>
      <c r="D2565" s="663" t="s">
        <v>855</v>
      </c>
      <c r="E2565" s="664" t="s">
        <v>831</v>
      </c>
      <c r="F2565" s="665"/>
      <c r="G2565" s="663">
        <v>20</v>
      </c>
      <c r="H2565" s="662" t="s">
        <v>807</v>
      </c>
      <c r="I2565" s="666" t="s">
        <v>859</v>
      </c>
      <c r="J2565" s="667" t="s">
        <v>805</v>
      </c>
      <c r="K2565" s="662">
        <v>4</v>
      </c>
      <c r="L2565" s="685">
        <f t="shared" si="75"/>
        <v>18.8</v>
      </c>
      <c r="M2565" s="686">
        <f t="shared" si="76"/>
        <v>75.2</v>
      </c>
    </row>
    <row r="2566" spans="2:13" s="645" customFormat="1" ht="21.75" customHeight="1">
      <c r="B2566" s="661">
        <v>44449</v>
      </c>
      <c r="C2566" s="662" t="s">
        <v>819</v>
      </c>
      <c r="D2566" s="663" t="s">
        <v>855</v>
      </c>
      <c r="E2566" s="664" t="s">
        <v>831</v>
      </c>
      <c r="F2566" s="665"/>
      <c r="G2566" s="663">
        <v>20</v>
      </c>
      <c r="H2566" s="662" t="s">
        <v>807</v>
      </c>
      <c r="I2566" s="666" t="s">
        <v>857</v>
      </c>
      <c r="J2566" s="667" t="s">
        <v>805</v>
      </c>
      <c r="K2566" s="662">
        <v>1</v>
      </c>
      <c r="L2566" s="685">
        <f t="shared" si="75"/>
        <v>18.8</v>
      </c>
      <c r="M2566" s="686">
        <f t="shared" si="76"/>
        <v>18.8</v>
      </c>
    </row>
    <row r="2567" spans="2:13" s="645" customFormat="1" ht="21.75" customHeight="1">
      <c r="B2567" s="661">
        <v>44449</v>
      </c>
      <c r="C2567" s="662" t="s">
        <v>819</v>
      </c>
      <c r="D2567" s="663" t="s">
        <v>867</v>
      </c>
      <c r="E2567" s="664" t="s">
        <v>831</v>
      </c>
      <c r="F2567" s="665"/>
      <c r="G2567" s="663">
        <v>20</v>
      </c>
      <c r="H2567" s="662" t="s">
        <v>807</v>
      </c>
      <c r="I2567" s="666" t="s">
        <v>857</v>
      </c>
      <c r="J2567" s="667" t="s">
        <v>805</v>
      </c>
      <c r="K2567" s="662">
        <v>1</v>
      </c>
      <c r="L2567" s="685">
        <f t="shared" si="75"/>
        <v>18.8</v>
      </c>
      <c r="M2567" s="686">
        <f t="shared" si="76"/>
        <v>18.8</v>
      </c>
    </row>
    <row r="2568" spans="2:13" s="645" customFormat="1" ht="21.75" customHeight="1">
      <c r="B2568" s="661">
        <v>44449</v>
      </c>
      <c r="C2568" s="662" t="s">
        <v>819</v>
      </c>
      <c r="D2568" s="663" t="s">
        <v>873</v>
      </c>
      <c r="E2568" s="664" t="s">
        <v>831</v>
      </c>
      <c r="F2568" s="665"/>
      <c r="G2568" s="663">
        <v>17</v>
      </c>
      <c r="H2568" s="662" t="s">
        <v>807</v>
      </c>
      <c r="I2568" s="666" t="s">
        <v>857</v>
      </c>
      <c r="J2568" s="667" t="s">
        <v>805</v>
      </c>
      <c r="K2568" s="662">
        <v>1</v>
      </c>
      <c r="L2568" s="685">
        <f t="shared" si="75"/>
        <v>15.98</v>
      </c>
      <c r="M2568" s="686">
        <f t="shared" si="76"/>
        <v>15.98</v>
      </c>
    </row>
    <row r="2569" spans="2:13" s="645" customFormat="1" ht="21.75" customHeight="1">
      <c r="B2569" s="708">
        <v>44449</v>
      </c>
      <c r="C2569" s="709" t="s">
        <v>819</v>
      </c>
      <c r="D2569" s="710" t="s">
        <v>840</v>
      </c>
      <c r="E2569" s="711" t="s">
        <v>831</v>
      </c>
      <c r="F2569" s="712"/>
      <c r="G2569" s="710">
        <v>20</v>
      </c>
      <c r="H2569" s="709" t="s">
        <v>807</v>
      </c>
      <c r="I2569" s="713" t="s">
        <v>857</v>
      </c>
      <c r="J2569" s="714" t="s">
        <v>802</v>
      </c>
      <c r="K2569" s="709">
        <v>1</v>
      </c>
      <c r="L2569" s="715">
        <f t="shared" ref="L2569:L2632" si="77">VLOOKUP(G2569,$Q$4:$V$7,6,FALSE)</f>
        <v>18.8</v>
      </c>
      <c r="M2569" s="716">
        <f t="shared" si="76"/>
        <v>18.8</v>
      </c>
    </row>
    <row r="2570" spans="2:13" s="645" customFormat="1" ht="21.75" customHeight="1">
      <c r="B2570" s="708">
        <v>44449</v>
      </c>
      <c r="C2570" s="709" t="s">
        <v>819</v>
      </c>
      <c r="D2570" s="710" t="s">
        <v>835</v>
      </c>
      <c r="E2570" s="711" t="s">
        <v>831</v>
      </c>
      <c r="F2570" s="712"/>
      <c r="G2570" s="710">
        <v>20</v>
      </c>
      <c r="H2570" s="709" t="s">
        <v>807</v>
      </c>
      <c r="I2570" s="713" t="s">
        <v>859</v>
      </c>
      <c r="J2570" s="714" t="s">
        <v>802</v>
      </c>
      <c r="K2570" s="709">
        <v>1</v>
      </c>
      <c r="L2570" s="715">
        <f t="shared" si="77"/>
        <v>18.8</v>
      </c>
      <c r="M2570" s="716">
        <f t="shared" si="76"/>
        <v>18.8</v>
      </c>
    </row>
    <row r="2571" spans="2:13" s="645" customFormat="1" ht="21.75" customHeight="1">
      <c r="B2571" s="708">
        <v>44449</v>
      </c>
      <c r="C2571" s="709" t="s">
        <v>819</v>
      </c>
      <c r="D2571" s="710" t="s">
        <v>839</v>
      </c>
      <c r="E2571" s="711" t="s">
        <v>831</v>
      </c>
      <c r="F2571" s="712"/>
      <c r="G2571" s="710">
        <v>15</v>
      </c>
      <c r="H2571" s="709" t="s">
        <v>807</v>
      </c>
      <c r="I2571" s="713" t="s">
        <v>857</v>
      </c>
      <c r="J2571" s="714" t="s">
        <v>802</v>
      </c>
      <c r="K2571" s="709">
        <v>1</v>
      </c>
      <c r="L2571" s="715">
        <f t="shared" si="77"/>
        <v>14.1</v>
      </c>
      <c r="M2571" s="716">
        <f t="shared" si="76"/>
        <v>14.1</v>
      </c>
    </row>
    <row r="2572" spans="2:13" s="645" customFormat="1" ht="21.75" customHeight="1">
      <c r="B2572" s="708">
        <v>44449</v>
      </c>
      <c r="C2572" s="709" t="s">
        <v>837</v>
      </c>
      <c r="D2572" s="710" t="s">
        <v>849</v>
      </c>
      <c r="E2572" s="711" t="s">
        <v>831</v>
      </c>
      <c r="F2572" s="712"/>
      <c r="G2572" s="710">
        <v>20</v>
      </c>
      <c r="H2572" s="709" t="s">
        <v>807</v>
      </c>
      <c r="I2572" s="713" t="s">
        <v>857</v>
      </c>
      <c r="J2572" s="714" t="s">
        <v>802</v>
      </c>
      <c r="K2572" s="709">
        <v>11</v>
      </c>
      <c r="L2572" s="715">
        <f t="shared" si="77"/>
        <v>18.8</v>
      </c>
      <c r="M2572" s="716">
        <f t="shared" si="76"/>
        <v>206.8</v>
      </c>
    </row>
    <row r="2573" spans="2:13" s="645" customFormat="1" ht="21.75" customHeight="1">
      <c r="B2573" s="708">
        <v>44449</v>
      </c>
      <c r="C2573" s="709" t="s">
        <v>837</v>
      </c>
      <c r="D2573" s="710" t="s">
        <v>840</v>
      </c>
      <c r="E2573" s="711" t="s">
        <v>831</v>
      </c>
      <c r="F2573" s="712"/>
      <c r="G2573" s="710">
        <v>20</v>
      </c>
      <c r="H2573" s="709" t="s">
        <v>807</v>
      </c>
      <c r="I2573" s="713" t="s">
        <v>857</v>
      </c>
      <c r="J2573" s="714" t="s">
        <v>802</v>
      </c>
      <c r="K2573" s="709">
        <v>10</v>
      </c>
      <c r="L2573" s="715">
        <f t="shared" si="77"/>
        <v>18.8</v>
      </c>
      <c r="M2573" s="716">
        <f t="shared" si="76"/>
        <v>188</v>
      </c>
    </row>
    <row r="2574" spans="2:13" s="645" customFormat="1" ht="21.75" customHeight="1">
      <c r="B2574" s="708">
        <v>44449</v>
      </c>
      <c r="C2574" s="709" t="s">
        <v>837</v>
      </c>
      <c r="D2574" s="710" t="s">
        <v>835</v>
      </c>
      <c r="E2574" s="711" t="s">
        <v>831</v>
      </c>
      <c r="F2574" s="712"/>
      <c r="G2574" s="710">
        <v>20</v>
      </c>
      <c r="H2574" s="709" t="s">
        <v>807</v>
      </c>
      <c r="I2574" s="713" t="s">
        <v>857</v>
      </c>
      <c r="J2574" s="714" t="s">
        <v>802</v>
      </c>
      <c r="K2574" s="709">
        <v>11</v>
      </c>
      <c r="L2574" s="715">
        <f t="shared" si="77"/>
        <v>18.8</v>
      </c>
      <c r="M2574" s="716">
        <f t="shared" si="76"/>
        <v>206.8</v>
      </c>
    </row>
    <row r="2575" spans="2:13" s="645" customFormat="1" ht="21.75" customHeight="1">
      <c r="B2575" s="708">
        <v>44449</v>
      </c>
      <c r="C2575" s="709" t="s">
        <v>837</v>
      </c>
      <c r="D2575" s="710" t="s">
        <v>841</v>
      </c>
      <c r="E2575" s="711" t="s">
        <v>831</v>
      </c>
      <c r="F2575" s="712"/>
      <c r="G2575" s="710">
        <v>20</v>
      </c>
      <c r="H2575" s="709" t="s">
        <v>807</v>
      </c>
      <c r="I2575" s="713" t="s">
        <v>857</v>
      </c>
      <c r="J2575" s="714" t="s">
        <v>802</v>
      </c>
      <c r="K2575" s="709">
        <v>12</v>
      </c>
      <c r="L2575" s="715">
        <f t="shared" si="77"/>
        <v>18.8</v>
      </c>
      <c r="M2575" s="716">
        <f t="shared" si="76"/>
        <v>225.60000000000002</v>
      </c>
    </row>
    <row r="2576" spans="2:13" s="645" customFormat="1" ht="21.75" customHeight="1">
      <c r="B2576" s="708">
        <v>44449</v>
      </c>
      <c r="C2576" s="709" t="s">
        <v>837</v>
      </c>
      <c r="D2576" s="710" t="s">
        <v>834</v>
      </c>
      <c r="E2576" s="711" t="s">
        <v>831</v>
      </c>
      <c r="F2576" s="712"/>
      <c r="G2576" s="710">
        <v>20</v>
      </c>
      <c r="H2576" s="709" t="s">
        <v>807</v>
      </c>
      <c r="I2576" s="713" t="s">
        <v>857</v>
      </c>
      <c r="J2576" s="714" t="s">
        <v>802</v>
      </c>
      <c r="K2576" s="709">
        <v>12</v>
      </c>
      <c r="L2576" s="715">
        <f t="shared" si="77"/>
        <v>18.8</v>
      </c>
      <c r="M2576" s="716">
        <f t="shared" si="76"/>
        <v>225.60000000000002</v>
      </c>
    </row>
    <row r="2577" spans="2:13" s="645" customFormat="1" ht="21.75" customHeight="1">
      <c r="B2577" s="708">
        <v>44449</v>
      </c>
      <c r="C2577" s="709" t="s">
        <v>837</v>
      </c>
      <c r="D2577" s="710" t="s">
        <v>848</v>
      </c>
      <c r="E2577" s="711" t="s">
        <v>831</v>
      </c>
      <c r="F2577" s="712"/>
      <c r="G2577" s="710">
        <v>20</v>
      </c>
      <c r="H2577" s="709" t="s">
        <v>807</v>
      </c>
      <c r="I2577" s="713" t="s">
        <v>857</v>
      </c>
      <c r="J2577" s="714" t="s">
        <v>802</v>
      </c>
      <c r="K2577" s="709">
        <v>4</v>
      </c>
      <c r="L2577" s="715">
        <f t="shared" si="77"/>
        <v>18.8</v>
      </c>
      <c r="M2577" s="716">
        <f t="shared" si="76"/>
        <v>75.2</v>
      </c>
    </row>
    <row r="2578" spans="2:13" s="645" customFormat="1" ht="21.75" customHeight="1">
      <c r="B2578" s="708">
        <v>44449</v>
      </c>
      <c r="C2578" s="709" t="s">
        <v>837</v>
      </c>
      <c r="D2578" s="710" t="s">
        <v>833</v>
      </c>
      <c r="E2578" s="711" t="s">
        <v>831</v>
      </c>
      <c r="F2578" s="712"/>
      <c r="G2578" s="710">
        <v>15</v>
      </c>
      <c r="H2578" s="709" t="s">
        <v>807</v>
      </c>
      <c r="I2578" s="713" t="s">
        <v>857</v>
      </c>
      <c r="J2578" s="714" t="s">
        <v>802</v>
      </c>
      <c r="K2578" s="709">
        <v>13</v>
      </c>
      <c r="L2578" s="715">
        <f t="shared" si="77"/>
        <v>14.1</v>
      </c>
      <c r="M2578" s="716">
        <f t="shared" si="76"/>
        <v>183.29999999999998</v>
      </c>
    </row>
    <row r="2579" spans="2:13" s="645" customFormat="1" ht="21.75" customHeight="1">
      <c r="B2579" s="708">
        <v>44449</v>
      </c>
      <c r="C2579" s="709" t="s">
        <v>837</v>
      </c>
      <c r="D2579" s="710" t="s">
        <v>839</v>
      </c>
      <c r="E2579" s="711" t="s">
        <v>831</v>
      </c>
      <c r="F2579" s="712"/>
      <c r="G2579" s="710">
        <v>15</v>
      </c>
      <c r="H2579" s="709" t="s">
        <v>807</v>
      </c>
      <c r="I2579" s="713" t="s">
        <v>857</v>
      </c>
      <c r="J2579" s="714" t="s">
        <v>802</v>
      </c>
      <c r="K2579" s="709">
        <v>11</v>
      </c>
      <c r="L2579" s="715">
        <f t="shared" si="77"/>
        <v>14.1</v>
      </c>
      <c r="M2579" s="716">
        <f t="shared" si="76"/>
        <v>155.1</v>
      </c>
    </row>
    <row r="2580" spans="2:13" s="645" customFormat="1" ht="21.75" customHeight="1">
      <c r="B2580" s="708">
        <v>44449</v>
      </c>
      <c r="C2580" s="709" t="s">
        <v>837</v>
      </c>
      <c r="D2580" s="710" t="s">
        <v>845</v>
      </c>
      <c r="E2580" s="711" t="s">
        <v>831</v>
      </c>
      <c r="F2580" s="712"/>
      <c r="G2580" s="710">
        <v>17</v>
      </c>
      <c r="H2580" s="709" t="s">
        <v>807</v>
      </c>
      <c r="I2580" s="713" t="s">
        <v>857</v>
      </c>
      <c r="J2580" s="714" t="s">
        <v>802</v>
      </c>
      <c r="K2580" s="709">
        <v>12</v>
      </c>
      <c r="L2580" s="715">
        <f t="shared" si="77"/>
        <v>15.98</v>
      </c>
      <c r="M2580" s="716">
        <f t="shared" si="76"/>
        <v>191.76</v>
      </c>
    </row>
    <row r="2581" spans="2:13" s="645" customFormat="1" ht="21.75" customHeight="1">
      <c r="B2581" s="708">
        <v>44449</v>
      </c>
      <c r="C2581" s="709" t="s">
        <v>837</v>
      </c>
      <c r="D2581" s="710" t="s">
        <v>847</v>
      </c>
      <c r="E2581" s="711" t="s">
        <v>831</v>
      </c>
      <c r="F2581" s="712"/>
      <c r="G2581" s="710">
        <v>17</v>
      </c>
      <c r="H2581" s="709" t="s">
        <v>807</v>
      </c>
      <c r="I2581" s="713" t="s">
        <v>857</v>
      </c>
      <c r="J2581" s="714" t="s">
        <v>802</v>
      </c>
      <c r="K2581" s="709">
        <v>11</v>
      </c>
      <c r="L2581" s="715">
        <f t="shared" si="77"/>
        <v>15.98</v>
      </c>
      <c r="M2581" s="716">
        <f t="shared" si="76"/>
        <v>175.78</v>
      </c>
    </row>
    <row r="2582" spans="2:13" s="645" customFormat="1" ht="21.75" customHeight="1">
      <c r="B2582" s="708">
        <v>44449</v>
      </c>
      <c r="C2582" s="709" t="s">
        <v>837</v>
      </c>
      <c r="D2582" s="710" t="s">
        <v>856</v>
      </c>
      <c r="E2582" s="711" t="s">
        <v>831</v>
      </c>
      <c r="F2582" s="712"/>
      <c r="G2582" s="710">
        <v>20</v>
      </c>
      <c r="H2582" s="709" t="s">
        <v>807</v>
      </c>
      <c r="I2582" s="713" t="s">
        <v>857</v>
      </c>
      <c r="J2582" s="714" t="s">
        <v>802</v>
      </c>
      <c r="K2582" s="709">
        <v>11</v>
      </c>
      <c r="L2582" s="715">
        <f t="shared" si="77"/>
        <v>18.8</v>
      </c>
      <c r="M2582" s="716">
        <f t="shared" si="76"/>
        <v>206.8</v>
      </c>
    </row>
    <row r="2583" spans="2:13" s="645" customFormat="1" ht="21.75" customHeight="1">
      <c r="B2583" s="708">
        <v>44449</v>
      </c>
      <c r="C2583" s="709" t="s">
        <v>837</v>
      </c>
      <c r="D2583" s="710" t="s">
        <v>855</v>
      </c>
      <c r="E2583" s="711" t="s">
        <v>831</v>
      </c>
      <c r="F2583" s="712"/>
      <c r="G2583" s="710">
        <v>20</v>
      </c>
      <c r="H2583" s="709" t="s">
        <v>807</v>
      </c>
      <c r="I2583" s="713" t="s">
        <v>857</v>
      </c>
      <c r="J2583" s="714" t="s">
        <v>802</v>
      </c>
      <c r="K2583" s="709">
        <v>11</v>
      </c>
      <c r="L2583" s="715">
        <f t="shared" si="77"/>
        <v>18.8</v>
      </c>
      <c r="M2583" s="716">
        <f t="shared" si="76"/>
        <v>206.8</v>
      </c>
    </row>
    <row r="2584" spans="2:13" s="645" customFormat="1" ht="21.75" customHeight="1">
      <c r="B2584" s="708">
        <v>44449</v>
      </c>
      <c r="C2584" s="709" t="s">
        <v>837</v>
      </c>
      <c r="D2584" s="710" t="s">
        <v>868</v>
      </c>
      <c r="E2584" s="711" t="s">
        <v>831</v>
      </c>
      <c r="F2584" s="712"/>
      <c r="G2584" s="710">
        <v>20</v>
      </c>
      <c r="H2584" s="709" t="s">
        <v>807</v>
      </c>
      <c r="I2584" s="713" t="s">
        <v>857</v>
      </c>
      <c r="J2584" s="714" t="s">
        <v>802</v>
      </c>
      <c r="K2584" s="709">
        <v>13</v>
      </c>
      <c r="L2584" s="715">
        <f t="shared" si="77"/>
        <v>18.8</v>
      </c>
      <c r="M2584" s="716">
        <f t="shared" si="76"/>
        <v>244.4</v>
      </c>
    </row>
    <row r="2585" spans="2:13" s="645" customFormat="1" ht="21.75" customHeight="1">
      <c r="B2585" s="708">
        <v>44449</v>
      </c>
      <c r="C2585" s="709" t="s">
        <v>837</v>
      </c>
      <c r="D2585" s="710" t="s">
        <v>873</v>
      </c>
      <c r="E2585" s="711" t="s">
        <v>831</v>
      </c>
      <c r="F2585" s="712"/>
      <c r="G2585" s="710">
        <v>17</v>
      </c>
      <c r="H2585" s="709" t="s">
        <v>807</v>
      </c>
      <c r="I2585" s="713" t="s">
        <v>857</v>
      </c>
      <c r="J2585" s="714" t="s">
        <v>802</v>
      </c>
      <c r="K2585" s="709">
        <v>11</v>
      </c>
      <c r="L2585" s="715">
        <f t="shared" si="77"/>
        <v>15.98</v>
      </c>
      <c r="M2585" s="716">
        <f t="shared" si="76"/>
        <v>175.78</v>
      </c>
    </row>
    <row r="2586" spans="2:13" s="645" customFormat="1" ht="21.75" customHeight="1">
      <c r="B2586" s="661">
        <v>44450</v>
      </c>
      <c r="C2586" s="662" t="s">
        <v>837</v>
      </c>
      <c r="D2586" s="663" t="s">
        <v>849</v>
      </c>
      <c r="E2586" s="664" t="s">
        <v>831</v>
      </c>
      <c r="F2586" s="665"/>
      <c r="G2586" s="663">
        <v>20</v>
      </c>
      <c r="H2586" s="662" t="s">
        <v>807</v>
      </c>
      <c r="I2586" s="666" t="s">
        <v>857</v>
      </c>
      <c r="J2586" s="667" t="s">
        <v>805</v>
      </c>
      <c r="K2586" s="662">
        <v>1</v>
      </c>
      <c r="L2586" s="685">
        <f t="shared" si="77"/>
        <v>18.8</v>
      </c>
      <c r="M2586" s="686">
        <f t="shared" si="76"/>
        <v>18.8</v>
      </c>
    </row>
    <row r="2587" spans="2:13" s="645" customFormat="1" ht="21.75" customHeight="1">
      <c r="B2587" s="661">
        <v>44450</v>
      </c>
      <c r="C2587" s="662" t="s">
        <v>837</v>
      </c>
      <c r="D2587" s="663" t="s">
        <v>840</v>
      </c>
      <c r="E2587" s="664" t="s">
        <v>831</v>
      </c>
      <c r="F2587" s="665"/>
      <c r="G2587" s="663">
        <v>20</v>
      </c>
      <c r="H2587" s="662" t="s">
        <v>807</v>
      </c>
      <c r="I2587" s="666" t="s">
        <v>857</v>
      </c>
      <c r="J2587" s="667" t="s">
        <v>805</v>
      </c>
      <c r="K2587" s="662">
        <v>1</v>
      </c>
      <c r="L2587" s="685">
        <f t="shared" si="77"/>
        <v>18.8</v>
      </c>
      <c r="M2587" s="686">
        <f t="shared" si="76"/>
        <v>18.8</v>
      </c>
    </row>
    <row r="2588" spans="2:13" s="645" customFormat="1" ht="21.75" customHeight="1">
      <c r="B2588" s="661">
        <v>44450</v>
      </c>
      <c r="C2588" s="662" t="s">
        <v>837</v>
      </c>
      <c r="D2588" s="663" t="s">
        <v>835</v>
      </c>
      <c r="E2588" s="664" t="s">
        <v>831</v>
      </c>
      <c r="F2588" s="665"/>
      <c r="G2588" s="663">
        <v>20</v>
      </c>
      <c r="H2588" s="662" t="s">
        <v>807</v>
      </c>
      <c r="I2588" s="666" t="s">
        <v>857</v>
      </c>
      <c r="J2588" s="667" t="s">
        <v>805</v>
      </c>
      <c r="K2588" s="662">
        <v>1</v>
      </c>
      <c r="L2588" s="685">
        <f t="shared" si="77"/>
        <v>18.8</v>
      </c>
      <c r="M2588" s="686">
        <f t="shared" si="76"/>
        <v>18.8</v>
      </c>
    </row>
    <row r="2589" spans="2:13" s="645" customFormat="1" ht="21.75" customHeight="1">
      <c r="B2589" s="661">
        <v>44450</v>
      </c>
      <c r="C2589" s="662" t="s">
        <v>837</v>
      </c>
      <c r="D2589" s="663" t="s">
        <v>841</v>
      </c>
      <c r="E2589" s="664" t="s">
        <v>831</v>
      </c>
      <c r="F2589" s="665"/>
      <c r="G2589" s="663">
        <v>20</v>
      </c>
      <c r="H2589" s="662" t="s">
        <v>807</v>
      </c>
      <c r="I2589" s="666" t="s">
        <v>857</v>
      </c>
      <c r="J2589" s="667" t="s">
        <v>805</v>
      </c>
      <c r="K2589" s="662">
        <v>1</v>
      </c>
      <c r="L2589" s="685">
        <f t="shared" si="77"/>
        <v>18.8</v>
      </c>
      <c r="M2589" s="686">
        <f t="shared" si="76"/>
        <v>18.8</v>
      </c>
    </row>
    <row r="2590" spans="2:13" s="645" customFormat="1" ht="21.75" customHeight="1">
      <c r="B2590" s="661">
        <v>44450</v>
      </c>
      <c r="C2590" s="662" t="s">
        <v>837</v>
      </c>
      <c r="D2590" s="663" t="s">
        <v>834</v>
      </c>
      <c r="E2590" s="664" t="s">
        <v>831</v>
      </c>
      <c r="F2590" s="665"/>
      <c r="G2590" s="663">
        <v>20</v>
      </c>
      <c r="H2590" s="662" t="s">
        <v>807</v>
      </c>
      <c r="I2590" s="666" t="s">
        <v>857</v>
      </c>
      <c r="J2590" s="667" t="s">
        <v>805</v>
      </c>
      <c r="K2590" s="662">
        <v>1</v>
      </c>
      <c r="L2590" s="685">
        <f t="shared" si="77"/>
        <v>18.8</v>
      </c>
      <c r="M2590" s="686">
        <f t="shared" si="76"/>
        <v>18.8</v>
      </c>
    </row>
    <row r="2591" spans="2:13" s="645" customFormat="1" ht="21.75" customHeight="1">
      <c r="B2591" s="661">
        <v>44450</v>
      </c>
      <c r="C2591" s="662" t="s">
        <v>837</v>
      </c>
      <c r="D2591" s="663" t="s">
        <v>848</v>
      </c>
      <c r="E2591" s="664" t="s">
        <v>831</v>
      </c>
      <c r="F2591" s="665"/>
      <c r="G2591" s="663">
        <v>20</v>
      </c>
      <c r="H2591" s="662" t="s">
        <v>807</v>
      </c>
      <c r="I2591" s="666" t="s">
        <v>857</v>
      </c>
      <c r="J2591" s="667" t="s">
        <v>805</v>
      </c>
      <c r="K2591" s="662">
        <v>1</v>
      </c>
      <c r="L2591" s="685">
        <f t="shared" si="77"/>
        <v>18.8</v>
      </c>
      <c r="M2591" s="686">
        <f t="shared" si="76"/>
        <v>18.8</v>
      </c>
    </row>
    <row r="2592" spans="2:13" s="645" customFormat="1" ht="21.75" customHeight="1">
      <c r="B2592" s="661">
        <v>44450</v>
      </c>
      <c r="C2592" s="662" t="s">
        <v>837</v>
      </c>
      <c r="D2592" s="663" t="s">
        <v>836</v>
      </c>
      <c r="E2592" s="664" t="s">
        <v>831</v>
      </c>
      <c r="F2592" s="665"/>
      <c r="G2592" s="663">
        <v>20</v>
      </c>
      <c r="H2592" s="662" t="s">
        <v>807</v>
      </c>
      <c r="I2592" s="666" t="s">
        <v>857</v>
      </c>
      <c r="J2592" s="667" t="s">
        <v>805</v>
      </c>
      <c r="K2592" s="662">
        <v>1</v>
      </c>
      <c r="L2592" s="685">
        <f t="shared" si="77"/>
        <v>18.8</v>
      </c>
      <c r="M2592" s="686">
        <f t="shared" si="76"/>
        <v>18.8</v>
      </c>
    </row>
    <row r="2593" spans="2:13" s="645" customFormat="1" ht="21.75" customHeight="1">
      <c r="B2593" s="661">
        <v>44450</v>
      </c>
      <c r="C2593" s="662" t="s">
        <v>837</v>
      </c>
      <c r="D2593" s="663" t="s">
        <v>833</v>
      </c>
      <c r="E2593" s="664" t="s">
        <v>831</v>
      </c>
      <c r="F2593" s="665"/>
      <c r="G2593" s="663">
        <v>15</v>
      </c>
      <c r="H2593" s="662" t="s">
        <v>807</v>
      </c>
      <c r="I2593" s="666" t="s">
        <v>857</v>
      </c>
      <c r="J2593" s="667" t="s">
        <v>805</v>
      </c>
      <c r="K2593" s="662">
        <v>3</v>
      </c>
      <c r="L2593" s="685">
        <f t="shared" si="77"/>
        <v>14.1</v>
      </c>
      <c r="M2593" s="686">
        <f t="shared" si="76"/>
        <v>42.3</v>
      </c>
    </row>
    <row r="2594" spans="2:13" s="645" customFormat="1" ht="21.75" customHeight="1">
      <c r="B2594" s="661">
        <v>44450</v>
      </c>
      <c r="C2594" s="662" t="s">
        <v>837</v>
      </c>
      <c r="D2594" s="663" t="s">
        <v>845</v>
      </c>
      <c r="E2594" s="664" t="s">
        <v>831</v>
      </c>
      <c r="F2594" s="665"/>
      <c r="G2594" s="663">
        <v>17</v>
      </c>
      <c r="H2594" s="662" t="s">
        <v>807</v>
      </c>
      <c r="I2594" s="666" t="s">
        <v>857</v>
      </c>
      <c r="J2594" s="667" t="s">
        <v>805</v>
      </c>
      <c r="K2594" s="662">
        <v>2</v>
      </c>
      <c r="L2594" s="685">
        <f t="shared" si="77"/>
        <v>15.98</v>
      </c>
      <c r="M2594" s="686">
        <f t="shared" si="76"/>
        <v>31.96</v>
      </c>
    </row>
    <row r="2595" spans="2:13" s="645" customFormat="1" ht="21.75" customHeight="1">
      <c r="B2595" s="661">
        <v>44450</v>
      </c>
      <c r="C2595" s="662" t="s">
        <v>837</v>
      </c>
      <c r="D2595" s="663" t="s">
        <v>847</v>
      </c>
      <c r="E2595" s="664" t="s">
        <v>831</v>
      </c>
      <c r="F2595" s="665"/>
      <c r="G2595" s="663">
        <v>17</v>
      </c>
      <c r="H2595" s="662" t="s">
        <v>807</v>
      </c>
      <c r="I2595" s="666" t="s">
        <v>857</v>
      </c>
      <c r="J2595" s="667" t="s">
        <v>805</v>
      </c>
      <c r="K2595" s="662">
        <v>1</v>
      </c>
      <c r="L2595" s="685">
        <f t="shared" si="77"/>
        <v>15.98</v>
      </c>
      <c r="M2595" s="686">
        <f t="shared" si="76"/>
        <v>15.98</v>
      </c>
    </row>
    <row r="2596" spans="2:13" s="645" customFormat="1" ht="21.75" customHeight="1">
      <c r="B2596" s="661">
        <v>44450</v>
      </c>
      <c r="C2596" s="662" t="s">
        <v>837</v>
      </c>
      <c r="D2596" s="663" t="s">
        <v>856</v>
      </c>
      <c r="E2596" s="664" t="s">
        <v>831</v>
      </c>
      <c r="F2596" s="665"/>
      <c r="G2596" s="663">
        <v>20</v>
      </c>
      <c r="H2596" s="662" t="s">
        <v>807</v>
      </c>
      <c r="I2596" s="666" t="s">
        <v>857</v>
      </c>
      <c r="J2596" s="667" t="s">
        <v>805</v>
      </c>
      <c r="K2596" s="662">
        <v>1</v>
      </c>
      <c r="L2596" s="685">
        <f t="shared" si="77"/>
        <v>18.8</v>
      </c>
      <c r="M2596" s="686">
        <f t="shared" si="76"/>
        <v>18.8</v>
      </c>
    </row>
    <row r="2597" spans="2:13" s="645" customFormat="1" ht="21.75" customHeight="1">
      <c r="B2597" s="708">
        <v>44450</v>
      </c>
      <c r="C2597" s="709" t="s">
        <v>837</v>
      </c>
      <c r="D2597" s="710" t="s">
        <v>849</v>
      </c>
      <c r="E2597" s="711" t="s">
        <v>831</v>
      </c>
      <c r="F2597" s="712"/>
      <c r="G2597" s="710">
        <v>20</v>
      </c>
      <c r="H2597" s="709" t="s">
        <v>807</v>
      </c>
      <c r="I2597" s="713" t="s">
        <v>857</v>
      </c>
      <c r="J2597" s="714" t="s">
        <v>802</v>
      </c>
      <c r="K2597" s="709">
        <v>12</v>
      </c>
      <c r="L2597" s="715">
        <f t="shared" si="77"/>
        <v>18.8</v>
      </c>
      <c r="M2597" s="716">
        <f t="shared" si="76"/>
        <v>225.60000000000002</v>
      </c>
    </row>
    <row r="2598" spans="2:13" s="645" customFormat="1" ht="21.75" customHeight="1">
      <c r="B2598" s="708">
        <v>44450</v>
      </c>
      <c r="C2598" s="709" t="s">
        <v>837</v>
      </c>
      <c r="D2598" s="710" t="s">
        <v>840</v>
      </c>
      <c r="E2598" s="711" t="s">
        <v>831</v>
      </c>
      <c r="F2598" s="712"/>
      <c r="G2598" s="710">
        <v>20</v>
      </c>
      <c r="H2598" s="709" t="s">
        <v>807</v>
      </c>
      <c r="I2598" s="713" t="s">
        <v>857</v>
      </c>
      <c r="J2598" s="714" t="s">
        <v>802</v>
      </c>
      <c r="K2598" s="709">
        <v>11</v>
      </c>
      <c r="L2598" s="715">
        <f t="shared" si="77"/>
        <v>18.8</v>
      </c>
      <c r="M2598" s="716">
        <f t="shared" si="76"/>
        <v>206.8</v>
      </c>
    </row>
    <row r="2599" spans="2:13" s="645" customFormat="1" ht="21.75" customHeight="1">
      <c r="B2599" s="708">
        <v>44450</v>
      </c>
      <c r="C2599" s="709" t="s">
        <v>837</v>
      </c>
      <c r="D2599" s="710" t="s">
        <v>835</v>
      </c>
      <c r="E2599" s="711" t="s">
        <v>831</v>
      </c>
      <c r="F2599" s="712"/>
      <c r="G2599" s="710">
        <v>20</v>
      </c>
      <c r="H2599" s="709" t="s">
        <v>807</v>
      </c>
      <c r="I2599" s="713" t="s">
        <v>857</v>
      </c>
      <c r="J2599" s="714" t="s">
        <v>802</v>
      </c>
      <c r="K2599" s="709">
        <v>11</v>
      </c>
      <c r="L2599" s="715">
        <f t="shared" si="77"/>
        <v>18.8</v>
      </c>
      <c r="M2599" s="716">
        <f t="shared" ref="M2599:M2662" si="78">L2599*K2599</f>
        <v>206.8</v>
      </c>
    </row>
    <row r="2600" spans="2:13" s="645" customFormat="1" ht="21.75" customHeight="1">
      <c r="B2600" s="708">
        <v>44450</v>
      </c>
      <c r="C2600" s="709" t="s">
        <v>837</v>
      </c>
      <c r="D2600" s="710" t="s">
        <v>841</v>
      </c>
      <c r="E2600" s="711" t="s">
        <v>831</v>
      </c>
      <c r="F2600" s="712"/>
      <c r="G2600" s="710">
        <v>20</v>
      </c>
      <c r="H2600" s="709" t="s">
        <v>807</v>
      </c>
      <c r="I2600" s="713" t="s">
        <v>857</v>
      </c>
      <c r="J2600" s="714" t="s">
        <v>802</v>
      </c>
      <c r="K2600" s="709">
        <v>12</v>
      </c>
      <c r="L2600" s="715">
        <f t="shared" si="77"/>
        <v>18.8</v>
      </c>
      <c r="M2600" s="716">
        <f t="shared" si="78"/>
        <v>225.60000000000002</v>
      </c>
    </row>
    <row r="2601" spans="2:13" s="645" customFormat="1" ht="21.75" customHeight="1">
      <c r="B2601" s="708">
        <v>44450</v>
      </c>
      <c r="C2601" s="709" t="s">
        <v>837</v>
      </c>
      <c r="D2601" s="710" t="s">
        <v>834</v>
      </c>
      <c r="E2601" s="711" t="s">
        <v>831</v>
      </c>
      <c r="F2601" s="712"/>
      <c r="G2601" s="710">
        <v>20</v>
      </c>
      <c r="H2601" s="709" t="s">
        <v>807</v>
      </c>
      <c r="I2601" s="713" t="s">
        <v>857</v>
      </c>
      <c r="J2601" s="714" t="s">
        <v>802</v>
      </c>
      <c r="K2601" s="709">
        <v>12</v>
      </c>
      <c r="L2601" s="715">
        <f t="shared" si="77"/>
        <v>18.8</v>
      </c>
      <c r="M2601" s="716">
        <f t="shared" si="78"/>
        <v>225.60000000000002</v>
      </c>
    </row>
    <row r="2602" spans="2:13" s="645" customFormat="1" ht="21.75" customHeight="1">
      <c r="B2602" s="708">
        <v>44450</v>
      </c>
      <c r="C2602" s="709" t="s">
        <v>837</v>
      </c>
      <c r="D2602" s="710" t="s">
        <v>848</v>
      </c>
      <c r="E2602" s="711" t="s">
        <v>831</v>
      </c>
      <c r="F2602" s="712"/>
      <c r="G2602" s="710">
        <v>20</v>
      </c>
      <c r="H2602" s="709" t="s">
        <v>807</v>
      </c>
      <c r="I2602" s="713" t="s">
        <v>857</v>
      </c>
      <c r="J2602" s="714" t="s">
        <v>802</v>
      </c>
      <c r="K2602" s="709">
        <v>11</v>
      </c>
      <c r="L2602" s="715">
        <f t="shared" si="77"/>
        <v>18.8</v>
      </c>
      <c r="M2602" s="716">
        <f t="shared" si="78"/>
        <v>206.8</v>
      </c>
    </row>
    <row r="2603" spans="2:13" s="645" customFormat="1" ht="21.75" customHeight="1">
      <c r="B2603" s="708">
        <v>44450</v>
      </c>
      <c r="C2603" s="709" t="s">
        <v>837</v>
      </c>
      <c r="D2603" s="710" t="s">
        <v>836</v>
      </c>
      <c r="E2603" s="711" t="s">
        <v>831</v>
      </c>
      <c r="F2603" s="712"/>
      <c r="G2603" s="710">
        <v>20</v>
      </c>
      <c r="H2603" s="709" t="s">
        <v>807</v>
      </c>
      <c r="I2603" s="713" t="s">
        <v>857</v>
      </c>
      <c r="J2603" s="714" t="s">
        <v>802</v>
      </c>
      <c r="K2603" s="709">
        <v>13</v>
      </c>
      <c r="L2603" s="715">
        <f t="shared" si="77"/>
        <v>18.8</v>
      </c>
      <c r="M2603" s="716">
        <f t="shared" si="78"/>
        <v>244.4</v>
      </c>
    </row>
    <row r="2604" spans="2:13" s="645" customFormat="1" ht="21.75" customHeight="1">
      <c r="B2604" s="708">
        <v>44450</v>
      </c>
      <c r="C2604" s="709" t="s">
        <v>837</v>
      </c>
      <c r="D2604" s="710" t="s">
        <v>833</v>
      </c>
      <c r="E2604" s="711" t="s">
        <v>831</v>
      </c>
      <c r="F2604" s="712"/>
      <c r="G2604" s="710">
        <v>15</v>
      </c>
      <c r="H2604" s="709" t="s">
        <v>807</v>
      </c>
      <c r="I2604" s="713" t="s">
        <v>857</v>
      </c>
      <c r="J2604" s="714" t="s">
        <v>802</v>
      </c>
      <c r="K2604" s="709">
        <v>11</v>
      </c>
      <c r="L2604" s="715">
        <f t="shared" si="77"/>
        <v>14.1</v>
      </c>
      <c r="M2604" s="716">
        <f t="shared" si="78"/>
        <v>155.1</v>
      </c>
    </row>
    <row r="2605" spans="2:13" s="645" customFormat="1" ht="21.75" customHeight="1">
      <c r="B2605" s="708">
        <v>44450</v>
      </c>
      <c r="C2605" s="709" t="s">
        <v>837</v>
      </c>
      <c r="D2605" s="710" t="s">
        <v>839</v>
      </c>
      <c r="E2605" s="711" t="s">
        <v>831</v>
      </c>
      <c r="F2605" s="712"/>
      <c r="G2605" s="710">
        <v>15</v>
      </c>
      <c r="H2605" s="709" t="s">
        <v>807</v>
      </c>
      <c r="I2605" s="713" t="s">
        <v>857</v>
      </c>
      <c r="J2605" s="714" t="s">
        <v>802</v>
      </c>
      <c r="K2605" s="709">
        <v>12</v>
      </c>
      <c r="L2605" s="715">
        <f t="shared" si="77"/>
        <v>14.1</v>
      </c>
      <c r="M2605" s="716">
        <f t="shared" si="78"/>
        <v>169.2</v>
      </c>
    </row>
    <row r="2606" spans="2:13" s="645" customFormat="1" ht="21.75" customHeight="1">
      <c r="B2606" s="708">
        <v>44450</v>
      </c>
      <c r="C2606" s="709" t="s">
        <v>837</v>
      </c>
      <c r="D2606" s="710" t="s">
        <v>845</v>
      </c>
      <c r="E2606" s="711" t="s">
        <v>831</v>
      </c>
      <c r="F2606" s="712"/>
      <c r="G2606" s="710">
        <v>17</v>
      </c>
      <c r="H2606" s="709" t="s">
        <v>807</v>
      </c>
      <c r="I2606" s="713" t="s">
        <v>857</v>
      </c>
      <c r="J2606" s="714" t="s">
        <v>802</v>
      </c>
      <c r="K2606" s="709">
        <v>11</v>
      </c>
      <c r="L2606" s="715">
        <f t="shared" si="77"/>
        <v>15.98</v>
      </c>
      <c r="M2606" s="716">
        <f t="shared" si="78"/>
        <v>175.78</v>
      </c>
    </row>
    <row r="2607" spans="2:13" s="645" customFormat="1" ht="21.75" customHeight="1">
      <c r="B2607" s="708">
        <v>44450</v>
      </c>
      <c r="C2607" s="709" t="s">
        <v>837</v>
      </c>
      <c r="D2607" s="710" t="s">
        <v>847</v>
      </c>
      <c r="E2607" s="711" t="s">
        <v>831</v>
      </c>
      <c r="F2607" s="712"/>
      <c r="G2607" s="710">
        <v>17</v>
      </c>
      <c r="H2607" s="709" t="s">
        <v>807</v>
      </c>
      <c r="I2607" s="713" t="s">
        <v>857</v>
      </c>
      <c r="J2607" s="714" t="s">
        <v>802</v>
      </c>
      <c r="K2607" s="709">
        <v>12</v>
      </c>
      <c r="L2607" s="715">
        <f t="shared" si="77"/>
        <v>15.98</v>
      </c>
      <c r="M2607" s="716">
        <f t="shared" si="78"/>
        <v>191.76</v>
      </c>
    </row>
    <row r="2608" spans="2:13" s="645" customFormat="1" ht="21.75" customHeight="1">
      <c r="B2608" s="708">
        <v>44450</v>
      </c>
      <c r="C2608" s="709" t="s">
        <v>837</v>
      </c>
      <c r="D2608" s="710" t="s">
        <v>856</v>
      </c>
      <c r="E2608" s="711" t="s">
        <v>831</v>
      </c>
      <c r="F2608" s="712"/>
      <c r="G2608" s="710">
        <v>20</v>
      </c>
      <c r="H2608" s="709" t="s">
        <v>807</v>
      </c>
      <c r="I2608" s="713" t="s">
        <v>857</v>
      </c>
      <c r="J2608" s="714" t="s">
        <v>802</v>
      </c>
      <c r="K2608" s="709">
        <v>12</v>
      </c>
      <c r="L2608" s="715">
        <f t="shared" si="77"/>
        <v>18.8</v>
      </c>
      <c r="M2608" s="716">
        <f t="shared" si="78"/>
        <v>225.60000000000002</v>
      </c>
    </row>
    <row r="2609" spans="2:13" s="645" customFormat="1" ht="21.75" customHeight="1">
      <c r="B2609" s="708">
        <v>44450</v>
      </c>
      <c r="C2609" s="709" t="s">
        <v>837</v>
      </c>
      <c r="D2609" s="710" t="s">
        <v>855</v>
      </c>
      <c r="E2609" s="711" t="s">
        <v>831</v>
      </c>
      <c r="F2609" s="712"/>
      <c r="G2609" s="710">
        <v>20</v>
      </c>
      <c r="H2609" s="709" t="s">
        <v>807</v>
      </c>
      <c r="I2609" s="713" t="s">
        <v>857</v>
      </c>
      <c r="J2609" s="714" t="s">
        <v>802</v>
      </c>
      <c r="K2609" s="709">
        <v>12</v>
      </c>
      <c r="L2609" s="715">
        <f t="shared" si="77"/>
        <v>18.8</v>
      </c>
      <c r="M2609" s="716">
        <f t="shared" si="78"/>
        <v>225.60000000000002</v>
      </c>
    </row>
    <row r="2610" spans="2:13" s="645" customFormat="1" ht="21.75" customHeight="1">
      <c r="B2610" s="708">
        <v>44450</v>
      </c>
      <c r="C2610" s="709" t="s">
        <v>837</v>
      </c>
      <c r="D2610" s="710" t="s">
        <v>873</v>
      </c>
      <c r="E2610" s="711" t="s">
        <v>831</v>
      </c>
      <c r="F2610" s="712"/>
      <c r="G2610" s="710">
        <v>17</v>
      </c>
      <c r="H2610" s="709" t="s">
        <v>807</v>
      </c>
      <c r="I2610" s="713" t="s">
        <v>857</v>
      </c>
      <c r="J2610" s="714" t="s">
        <v>802</v>
      </c>
      <c r="K2610" s="709">
        <v>12</v>
      </c>
      <c r="L2610" s="715">
        <f t="shared" si="77"/>
        <v>15.98</v>
      </c>
      <c r="M2610" s="716">
        <f t="shared" si="78"/>
        <v>191.76</v>
      </c>
    </row>
    <row r="2611" spans="2:13" s="645" customFormat="1" ht="21.75" customHeight="1">
      <c r="B2611" s="708">
        <v>44450</v>
      </c>
      <c r="C2611" s="709" t="s">
        <v>837</v>
      </c>
      <c r="D2611" s="710" t="s">
        <v>867</v>
      </c>
      <c r="E2611" s="711" t="s">
        <v>831</v>
      </c>
      <c r="F2611" s="712"/>
      <c r="G2611" s="710">
        <v>20</v>
      </c>
      <c r="H2611" s="709" t="s">
        <v>807</v>
      </c>
      <c r="I2611" s="713" t="s">
        <v>857</v>
      </c>
      <c r="J2611" s="714" t="s">
        <v>802</v>
      </c>
      <c r="K2611" s="709">
        <v>12</v>
      </c>
      <c r="L2611" s="715">
        <f t="shared" si="77"/>
        <v>18.8</v>
      </c>
      <c r="M2611" s="716">
        <f t="shared" si="78"/>
        <v>225.60000000000002</v>
      </c>
    </row>
    <row r="2612" spans="2:13" s="645" customFormat="1" ht="21.75" customHeight="1">
      <c r="B2612" s="717">
        <v>44450</v>
      </c>
      <c r="C2612" s="718" t="s">
        <v>819</v>
      </c>
      <c r="D2612" s="719" t="s">
        <v>849</v>
      </c>
      <c r="E2612" s="720" t="s">
        <v>831</v>
      </c>
      <c r="F2612" s="721"/>
      <c r="G2612" s="719">
        <v>20</v>
      </c>
      <c r="H2612" s="718" t="s">
        <v>806</v>
      </c>
      <c r="I2612" s="722" t="s">
        <v>889</v>
      </c>
      <c r="J2612" s="723" t="s">
        <v>892</v>
      </c>
      <c r="K2612" s="718">
        <v>1</v>
      </c>
      <c r="L2612" s="724">
        <f t="shared" si="77"/>
        <v>18.8</v>
      </c>
      <c r="M2612" s="725">
        <f t="shared" si="78"/>
        <v>18.8</v>
      </c>
    </row>
    <row r="2613" spans="2:13" s="645" customFormat="1" ht="21.75" customHeight="1">
      <c r="B2613" s="717">
        <v>44450</v>
      </c>
      <c r="C2613" s="718" t="s">
        <v>819</v>
      </c>
      <c r="D2613" s="719" t="s">
        <v>848</v>
      </c>
      <c r="E2613" s="720" t="s">
        <v>831</v>
      </c>
      <c r="F2613" s="721"/>
      <c r="G2613" s="719">
        <v>20</v>
      </c>
      <c r="H2613" s="718" t="s">
        <v>806</v>
      </c>
      <c r="I2613" s="722" t="s">
        <v>889</v>
      </c>
      <c r="J2613" s="723" t="s">
        <v>892</v>
      </c>
      <c r="K2613" s="718">
        <v>7</v>
      </c>
      <c r="L2613" s="724">
        <f t="shared" si="77"/>
        <v>18.8</v>
      </c>
      <c r="M2613" s="725">
        <f t="shared" si="78"/>
        <v>131.6</v>
      </c>
    </row>
    <row r="2614" spans="2:13" s="645" customFormat="1" ht="21.75" customHeight="1">
      <c r="B2614" s="717">
        <v>44450</v>
      </c>
      <c r="C2614" s="718" t="s">
        <v>819</v>
      </c>
      <c r="D2614" s="719" t="s">
        <v>833</v>
      </c>
      <c r="E2614" s="720" t="s">
        <v>831</v>
      </c>
      <c r="F2614" s="721"/>
      <c r="G2614" s="719">
        <v>15</v>
      </c>
      <c r="H2614" s="718" t="s">
        <v>806</v>
      </c>
      <c r="I2614" s="722" t="s">
        <v>889</v>
      </c>
      <c r="J2614" s="723" t="s">
        <v>892</v>
      </c>
      <c r="K2614" s="718">
        <v>1</v>
      </c>
      <c r="L2614" s="724">
        <f t="shared" si="77"/>
        <v>14.1</v>
      </c>
      <c r="M2614" s="725">
        <f t="shared" si="78"/>
        <v>14.1</v>
      </c>
    </row>
    <row r="2615" spans="2:13" s="645" customFormat="1" ht="21.75" customHeight="1">
      <c r="B2615" s="717">
        <v>44450</v>
      </c>
      <c r="C2615" s="718" t="s">
        <v>819</v>
      </c>
      <c r="D2615" s="719" t="s">
        <v>830</v>
      </c>
      <c r="E2615" s="720" t="s">
        <v>831</v>
      </c>
      <c r="F2615" s="721"/>
      <c r="G2615" s="719">
        <v>15</v>
      </c>
      <c r="H2615" s="718" t="s">
        <v>806</v>
      </c>
      <c r="I2615" s="722" t="s">
        <v>889</v>
      </c>
      <c r="J2615" s="723" t="s">
        <v>892</v>
      </c>
      <c r="K2615" s="718">
        <v>7</v>
      </c>
      <c r="L2615" s="724">
        <f t="shared" si="77"/>
        <v>14.1</v>
      </c>
      <c r="M2615" s="725">
        <f t="shared" si="78"/>
        <v>98.7</v>
      </c>
    </row>
    <row r="2616" spans="2:13" s="645" customFormat="1" ht="21.75" customHeight="1">
      <c r="B2616" s="717">
        <v>44450</v>
      </c>
      <c r="C2616" s="718" t="s">
        <v>819</v>
      </c>
      <c r="D2616" s="719" t="s">
        <v>839</v>
      </c>
      <c r="E2616" s="720" t="s">
        <v>831</v>
      </c>
      <c r="F2616" s="721"/>
      <c r="G2616" s="719">
        <v>15</v>
      </c>
      <c r="H2616" s="718" t="s">
        <v>806</v>
      </c>
      <c r="I2616" s="722" t="s">
        <v>889</v>
      </c>
      <c r="J2616" s="723" t="s">
        <v>892</v>
      </c>
      <c r="K2616" s="718">
        <v>6</v>
      </c>
      <c r="L2616" s="724">
        <f t="shared" si="77"/>
        <v>14.1</v>
      </c>
      <c r="M2616" s="725">
        <f t="shared" si="78"/>
        <v>84.6</v>
      </c>
    </row>
    <row r="2617" spans="2:13" s="645" customFormat="1" ht="21.75" customHeight="1">
      <c r="B2617" s="717">
        <v>44450</v>
      </c>
      <c r="C2617" s="718" t="s">
        <v>819</v>
      </c>
      <c r="D2617" s="719" t="s">
        <v>845</v>
      </c>
      <c r="E2617" s="720" t="s">
        <v>831</v>
      </c>
      <c r="F2617" s="721"/>
      <c r="G2617" s="719">
        <v>17</v>
      </c>
      <c r="H2617" s="718" t="s">
        <v>806</v>
      </c>
      <c r="I2617" s="722" t="s">
        <v>889</v>
      </c>
      <c r="J2617" s="723" t="s">
        <v>892</v>
      </c>
      <c r="K2617" s="718">
        <v>6</v>
      </c>
      <c r="L2617" s="724">
        <f t="shared" si="77"/>
        <v>15.98</v>
      </c>
      <c r="M2617" s="725">
        <f t="shared" si="78"/>
        <v>95.88</v>
      </c>
    </row>
    <row r="2618" spans="2:13" s="645" customFormat="1" ht="21.75" customHeight="1">
      <c r="B2618" s="717">
        <v>44450</v>
      </c>
      <c r="C2618" s="718" t="s">
        <v>819</v>
      </c>
      <c r="D2618" s="719" t="s">
        <v>847</v>
      </c>
      <c r="E2618" s="720" t="s">
        <v>831</v>
      </c>
      <c r="F2618" s="721"/>
      <c r="G2618" s="719">
        <v>17</v>
      </c>
      <c r="H2618" s="718" t="s">
        <v>806</v>
      </c>
      <c r="I2618" s="722" t="s">
        <v>889</v>
      </c>
      <c r="J2618" s="723" t="s">
        <v>892</v>
      </c>
      <c r="K2618" s="718">
        <v>7</v>
      </c>
      <c r="L2618" s="724">
        <f t="shared" si="77"/>
        <v>15.98</v>
      </c>
      <c r="M2618" s="725">
        <f t="shared" si="78"/>
        <v>111.86</v>
      </c>
    </row>
    <row r="2619" spans="2:13" s="645" customFormat="1" ht="21.75" customHeight="1">
      <c r="B2619" s="717">
        <v>44450</v>
      </c>
      <c r="C2619" s="718" t="s">
        <v>819</v>
      </c>
      <c r="D2619" s="719" t="s">
        <v>856</v>
      </c>
      <c r="E2619" s="720" t="s">
        <v>831</v>
      </c>
      <c r="F2619" s="721"/>
      <c r="G2619" s="719">
        <v>20</v>
      </c>
      <c r="H2619" s="718" t="s">
        <v>806</v>
      </c>
      <c r="I2619" s="722" t="s">
        <v>889</v>
      </c>
      <c r="J2619" s="723" t="s">
        <v>892</v>
      </c>
      <c r="K2619" s="718">
        <v>1</v>
      </c>
      <c r="L2619" s="724">
        <f t="shared" si="77"/>
        <v>18.8</v>
      </c>
      <c r="M2619" s="725">
        <f t="shared" si="78"/>
        <v>18.8</v>
      </c>
    </row>
    <row r="2620" spans="2:13" s="645" customFormat="1" ht="21.75" customHeight="1">
      <c r="B2620" s="717">
        <v>44450</v>
      </c>
      <c r="C2620" s="718" t="s">
        <v>819</v>
      </c>
      <c r="D2620" s="719" t="s">
        <v>855</v>
      </c>
      <c r="E2620" s="720" t="s">
        <v>831</v>
      </c>
      <c r="F2620" s="721"/>
      <c r="G2620" s="719">
        <v>20</v>
      </c>
      <c r="H2620" s="718" t="s">
        <v>806</v>
      </c>
      <c r="I2620" s="722" t="s">
        <v>889</v>
      </c>
      <c r="J2620" s="723" t="s">
        <v>892</v>
      </c>
      <c r="K2620" s="718">
        <v>2</v>
      </c>
      <c r="L2620" s="724">
        <f t="shared" si="77"/>
        <v>18.8</v>
      </c>
      <c r="M2620" s="725">
        <f t="shared" si="78"/>
        <v>37.6</v>
      </c>
    </row>
    <row r="2621" spans="2:13" s="645" customFormat="1" ht="21.75" customHeight="1">
      <c r="B2621" s="717">
        <v>44450</v>
      </c>
      <c r="C2621" s="718" t="s">
        <v>819</v>
      </c>
      <c r="D2621" s="719" t="s">
        <v>867</v>
      </c>
      <c r="E2621" s="720" t="s">
        <v>831</v>
      </c>
      <c r="F2621" s="721"/>
      <c r="G2621" s="719">
        <v>20</v>
      </c>
      <c r="H2621" s="718" t="s">
        <v>806</v>
      </c>
      <c r="I2621" s="722" t="s">
        <v>889</v>
      </c>
      <c r="J2621" s="723" t="s">
        <v>892</v>
      </c>
      <c r="K2621" s="718">
        <v>6</v>
      </c>
      <c r="L2621" s="724">
        <f t="shared" si="77"/>
        <v>18.8</v>
      </c>
      <c r="M2621" s="725">
        <f t="shared" si="78"/>
        <v>112.80000000000001</v>
      </c>
    </row>
    <row r="2622" spans="2:13" s="645" customFormat="1" ht="21.75" customHeight="1">
      <c r="B2622" s="717">
        <v>44450</v>
      </c>
      <c r="C2622" s="718" t="s">
        <v>819</v>
      </c>
      <c r="D2622" s="719" t="s">
        <v>868</v>
      </c>
      <c r="E2622" s="720" t="s">
        <v>831</v>
      </c>
      <c r="F2622" s="721"/>
      <c r="G2622" s="719">
        <v>20</v>
      </c>
      <c r="H2622" s="718" t="s">
        <v>806</v>
      </c>
      <c r="I2622" s="722" t="s">
        <v>889</v>
      </c>
      <c r="J2622" s="723" t="s">
        <v>892</v>
      </c>
      <c r="K2622" s="718">
        <v>1</v>
      </c>
      <c r="L2622" s="724">
        <f t="shared" si="77"/>
        <v>18.8</v>
      </c>
      <c r="M2622" s="725">
        <f t="shared" si="78"/>
        <v>18.8</v>
      </c>
    </row>
    <row r="2623" spans="2:13" s="645" customFormat="1" ht="21.75" customHeight="1">
      <c r="B2623" s="717">
        <v>44450</v>
      </c>
      <c r="C2623" s="718" t="s">
        <v>819</v>
      </c>
      <c r="D2623" s="719" t="s">
        <v>873</v>
      </c>
      <c r="E2623" s="720" t="s">
        <v>831</v>
      </c>
      <c r="F2623" s="721"/>
      <c r="G2623" s="719">
        <v>17</v>
      </c>
      <c r="H2623" s="718" t="s">
        <v>806</v>
      </c>
      <c r="I2623" s="722" t="s">
        <v>889</v>
      </c>
      <c r="J2623" s="723" t="s">
        <v>892</v>
      </c>
      <c r="K2623" s="718">
        <v>3</v>
      </c>
      <c r="L2623" s="724">
        <f t="shared" si="77"/>
        <v>15.98</v>
      </c>
      <c r="M2623" s="725">
        <f t="shared" si="78"/>
        <v>47.94</v>
      </c>
    </row>
    <row r="2624" spans="2:13" s="645" customFormat="1" ht="21.75" customHeight="1">
      <c r="B2624" s="661">
        <v>44451</v>
      </c>
      <c r="C2624" s="662" t="s">
        <v>819</v>
      </c>
      <c r="D2624" s="663" t="s">
        <v>840</v>
      </c>
      <c r="E2624" s="664" t="s">
        <v>831</v>
      </c>
      <c r="F2624" s="665"/>
      <c r="G2624" s="663">
        <v>20</v>
      </c>
      <c r="H2624" s="662" t="s">
        <v>807</v>
      </c>
      <c r="I2624" s="666" t="s">
        <v>859</v>
      </c>
      <c r="J2624" s="667" t="s">
        <v>805</v>
      </c>
      <c r="K2624" s="662">
        <v>5</v>
      </c>
      <c r="L2624" s="685">
        <f t="shared" si="77"/>
        <v>18.8</v>
      </c>
      <c r="M2624" s="686">
        <f t="shared" si="78"/>
        <v>94</v>
      </c>
    </row>
    <row r="2625" spans="2:13" s="645" customFormat="1" ht="21.75" customHeight="1">
      <c r="B2625" s="661">
        <v>44451</v>
      </c>
      <c r="C2625" s="662" t="s">
        <v>819</v>
      </c>
      <c r="D2625" s="663" t="s">
        <v>835</v>
      </c>
      <c r="E2625" s="664" t="s">
        <v>831</v>
      </c>
      <c r="F2625" s="665"/>
      <c r="G2625" s="663">
        <v>20</v>
      </c>
      <c r="H2625" s="662" t="s">
        <v>807</v>
      </c>
      <c r="I2625" s="666" t="s">
        <v>859</v>
      </c>
      <c r="J2625" s="667" t="s">
        <v>805</v>
      </c>
      <c r="K2625" s="662">
        <v>1</v>
      </c>
      <c r="L2625" s="685">
        <f t="shared" si="77"/>
        <v>18.8</v>
      </c>
      <c r="M2625" s="686">
        <f t="shared" si="78"/>
        <v>18.8</v>
      </c>
    </row>
    <row r="2626" spans="2:13" s="645" customFormat="1" ht="21.75" customHeight="1">
      <c r="B2626" s="661">
        <v>44451</v>
      </c>
      <c r="C2626" s="662" t="s">
        <v>819</v>
      </c>
      <c r="D2626" s="663" t="s">
        <v>848</v>
      </c>
      <c r="E2626" s="664" t="s">
        <v>831</v>
      </c>
      <c r="F2626" s="665"/>
      <c r="G2626" s="663">
        <v>20</v>
      </c>
      <c r="H2626" s="662" t="s">
        <v>807</v>
      </c>
      <c r="I2626" s="666" t="s">
        <v>859</v>
      </c>
      <c r="J2626" s="667" t="s">
        <v>805</v>
      </c>
      <c r="K2626" s="662">
        <v>8</v>
      </c>
      <c r="L2626" s="685">
        <f t="shared" si="77"/>
        <v>18.8</v>
      </c>
      <c r="M2626" s="686">
        <f t="shared" si="78"/>
        <v>150.4</v>
      </c>
    </row>
    <row r="2627" spans="2:13" s="645" customFormat="1" ht="21.75" customHeight="1">
      <c r="B2627" s="661">
        <v>44451</v>
      </c>
      <c r="C2627" s="662" t="s">
        <v>819</v>
      </c>
      <c r="D2627" s="663" t="s">
        <v>836</v>
      </c>
      <c r="E2627" s="664" t="s">
        <v>831</v>
      </c>
      <c r="F2627" s="665"/>
      <c r="G2627" s="663">
        <v>20</v>
      </c>
      <c r="H2627" s="662" t="s">
        <v>807</v>
      </c>
      <c r="I2627" s="666" t="s">
        <v>859</v>
      </c>
      <c r="J2627" s="667" t="s">
        <v>805</v>
      </c>
      <c r="K2627" s="662">
        <v>8</v>
      </c>
      <c r="L2627" s="685">
        <f t="shared" si="77"/>
        <v>18.8</v>
      </c>
      <c r="M2627" s="686">
        <f t="shared" si="78"/>
        <v>150.4</v>
      </c>
    </row>
    <row r="2628" spans="2:13" s="645" customFormat="1" ht="21.75" customHeight="1">
      <c r="B2628" s="661">
        <v>44451</v>
      </c>
      <c r="C2628" s="662" t="s">
        <v>819</v>
      </c>
      <c r="D2628" s="663" t="s">
        <v>830</v>
      </c>
      <c r="E2628" s="664" t="s">
        <v>831</v>
      </c>
      <c r="F2628" s="665"/>
      <c r="G2628" s="663">
        <v>15</v>
      </c>
      <c r="H2628" s="662" t="s">
        <v>807</v>
      </c>
      <c r="I2628" s="666" t="s">
        <v>859</v>
      </c>
      <c r="J2628" s="667" t="s">
        <v>805</v>
      </c>
      <c r="K2628" s="662">
        <v>7</v>
      </c>
      <c r="L2628" s="685">
        <f t="shared" si="77"/>
        <v>14.1</v>
      </c>
      <c r="M2628" s="686">
        <f t="shared" si="78"/>
        <v>98.7</v>
      </c>
    </row>
    <row r="2629" spans="2:13" s="645" customFormat="1" ht="21.75" customHeight="1">
      <c r="B2629" s="661">
        <v>44451</v>
      </c>
      <c r="C2629" s="662" t="s">
        <v>819</v>
      </c>
      <c r="D2629" s="663" t="s">
        <v>850</v>
      </c>
      <c r="E2629" s="664" t="s">
        <v>831</v>
      </c>
      <c r="F2629" s="665"/>
      <c r="G2629" s="663">
        <v>15</v>
      </c>
      <c r="H2629" s="662" t="s">
        <v>807</v>
      </c>
      <c r="I2629" s="666" t="s">
        <v>859</v>
      </c>
      <c r="J2629" s="667" t="s">
        <v>805</v>
      </c>
      <c r="K2629" s="662">
        <v>5</v>
      </c>
      <c r="L2629" s="685">
        <f t="shared" si="77"/>
        <v>14.1</v>
      </c>
      <c r="M2629" s="686">
        <f t="shared" si="78"/>
        <v>70.5</v>
      </c>
    </row>
    <row r="2630" spans="2:13" s="645" customFormat="1" ht="21.75" customHeight="1">
      <c r="B2630" s="661">
        <v>44451</v>
      </c>
      <c r="C2630" s="662" t="s">
        <v>819</v>
      </c>
      <c r="D2630" s="663" t="s">
        <v>839</v>
      </c>
      <c r="E2630" s="664" t="s">
        <v>831</v>
      </c>
      <c r="F2630" s="665"/>
      <c r="G2630" s="663">
        <v>15</v>
      </c>
      <c r="H2630" s="662" t="s">
        <v>807</v>
      </c>
      <c r="I2630" s="666" t="s">
        <v>859</v>
      </c>
      <c r="J2630" s="667" t="s">
        <v>805</v>
      </c>
      <c r="K2630" s="662">
        <v>9</v>
      </c>
      <c r="L2630" s="685">
        <f t="shared" si="77"/>
        <v>14.1</v>
      </c>
      <c r="M2630" s="686">
        <f t="shared" si="78"/>
        <v>126.89999999999999</v>
      </c>
    </row>
    <row r="2631" spans="2:13" s="645" customFormat="1" ht="21.75" customHeight="1">
      <c r="B2631" s="661">
        <v>44451</v>
      </c>
      <c r="C2631" s="662" t="s">
        <v>819</v>
      </c>
      <c r="D2631" s="663" t="s">
        <v>845</v>
      </c>
      <c r="E2631" s="664" t="s">
        <v>831</v>
      </c>
      <c r="F2631" s="665"/>
      <c r="G2631" s="663">
        <v>17</v>
      </c>
      <c r="H2631" s="662" t="s">
        <v>807</v>
      </c>
      <c r="I2631" s="666" t="s">
        <v>859</v>
      </c>
      <c r="J2631" s="667" t="s">
        <v>805</v>
      </c>
      <c r="K2631" s="662">
        <v>9</v>
      </c>
      <c r="L2631" s="685">
        <f t="shared" si="77"/>
        <v>15.98</v>
      </c>
      <c r="M2631" s="686">
        <f t="shared" si="78"/>
        <v>143.82</v>
      </c>
    </row>
    <row r="2632" spans="2:13" s="645" customFormat="1" ht="21.75" customHeight="1">
      <c r="B2632" s="661">
        <v>44451</v>
      </c>
      <c r="C2632" s="662" t="s">
        <v>819</v>
      </c>
      <c r="D2632" s="663" t="s">
        <v>847</v>
      </c>
      <c r="E2632" s="664" t="s">
        <v>831</v>
      </c>
      <c r="F2632" s="665"/>
      <c r="G2632" s="663">
        <v>17</v>
      </c>
      <c r="H2632" s="662" t="s">
        <v>807</v>
      </c>
      <c r="I2632" s="666" t="s">
        <v>859</v>
      </c>
      <c r="J2632" s="667" t="s">
        <v>805</v>
      </c>
      <c r="K2632" s="662">
        <v>9</v>
      </c>
      <c r="L2632" s="685">
        <f t="shared" si="77"/>
        <v>15.98</v>
      </c>
      <c r="M2632" s="686">
        <f t="shared" si="78"/>
        <v>143.82</v>
      </c>
    </row>
    <row r="2633" spans="2:13" s="645" customFormat="1" ht="21.75" customHeight="1">
      <c r="B2633" s="661">
        <v>44451</v>
      </c>
      <c r="C2633" s="662" t="s">
        <v>819</v>
      </c>
      <c r="D2633" s="663" t="s">
        <v>855</v>
      </c>
      <c r="E2633" s="664" t="s">
        <v>831</v>
      </c>
      <c r="F2633" s="665"/>
      <c r="G2633" s="663">
        <v>20</v>
      </c>
      <c r="H2633" s="662" t="s">
        <v>807</v>
      </c>
      <c r="I2633" s="666" t="s">
        <v>859</v>
      </c>
      <c r="J2633" s="667" t="s">
        <v>805</v>
      </c>
      <c r="K2633" s="662">
        <v>7</v>
      </c>
      <c r="L2633" s="685">
        <f t="shared" ref="L2633:L2696" si="79">VLOOKUP(G2633,$Q$4:$V$7,6,FALSE)</f>
        <v>18.8</v>
      </c>
      <c r="M2633" s="686">
        <f t="shared" si="78"/>
        <v>131.6</v>
      </c>
    </row>
    <row r="2634" spans="2:13" s="645" customFormat="1" ht="21.75" customHeight="1">
      <c r="B2634" s="661">
        <v>44451</v>
      </c>
      <c r="C2634" s="662" t="s">
        <v>819</v>
      </c>
      <c r="D2634" s="663" t="s">
        <v>867</v>
      </c>
      <c r="E2634" s="664" t="s">
        <v>831</v>
      </c>
      <c r="F2634" s="665"/>
      <c r="G2634" s="663">
        <v>20</v>
      </c>
      <c r="H2634" s="662" t="s">
        <v>807</v>
      </c>
      <c r="I2634" s="666" t="s">
        <v>859</v>
      </c>
      <c r="J2634" s="667" t="s">
        <v>805</v>
      </c>
      <c r="K2634" s="662">
        <v>7</v>
      </c>
      <c r="L2634" s="685">
        <f t="shared" si="79"/>
        <v>18.8</v>
      </c>
      <c r="M2634" s="686">
        <f t="shared" si="78"/>
        <v>131.6</v>
      </c>
    </row>
    <row r="2635" spans="2:13" s="645" customFormat="1" ht="21.75" customHeight="1">
      <c r="B2635" s="661">
        <v>44451</v>
      </c>
      <c r="C2635" s="662" t="s">
        <v>819</v>
      </c>
      <c r="D2635" s="663" t="s">
        <v>873</v>
      </c>
      <c r="E2635" s="664" t="s">
        <v>831</v>
      </c>
      <c r="F2635" s="665"/>
      <c r="G2635" s="663">
        <v>17</v>
      </c>
      <c r="H2635" s="662" t="s">
        <v>807</v>
      </c>
      <c r="I2635" s="666" t="s">
        <v>859</v>
      </c>
      <c r="J2635" s="667" t="s">
        <v>805</v>
      </c>
      <c r="K2635" s="662">
        <v>7</v>
      </c>
      <c r="L2635" s="685">
        <f t="shared" si="79"/>
        <v>15.98</v>
      </c>
      <c r="M2635" s="686">
        <f t="shared" si="78"/>
        <v>111.86</v>
      </c>
    </row>
    <row r="2636" spans="2:13" s="645" customFormat="1" ht="21.75" customHeight="1">
      <c r="B2636" s="661">
        <v>44451</v>
      </c>
      <c r="C2636" s="662" t="s">
        <v>837</v>
      </c>
      <c r="D2636" s="663" t="s">
        <v>849</v>
      </c>
      <c r="E2636" s="664" t="s">
        <v>831</v>
      </c>
      <c r="F2636" s="665"/>
      <c r="G2636" s="663">
        <v>20</v>
      </c>
      <c r="H2636" s="662" t="s">
        <v>807</v>
      </c>
      <c r="I2636" s="666" t="s">
        <v>859</v>
      </c>
      <c r="J2636" s="667" t="s">
        <v>805</v>
      </c>
      <c r="K2636" s="662">
        <v>7</v>
      </c>
      <c r="L2636" s="685">
        <f t="shared" si="79"/>
        <v>18.8</v>
      </c>
      <c r="M2636" s="686">
        <f t="shared" si="78"/>
        <v>131.6</v>
      </c>
    </row>
    <row r="2637" spans="2:13" s="645" customFormat="1" ht="21.75" customHeight="1">
      <c r="B2637" s="661">
        <v>44451</v>
      </c>
      <c r="C2637" s="662" t="s">
        <v>837</v>
      </c>
      <c r="D2637" s="663" t="s">
        <v>840</v>
      </c>
      <c r="E2637" s="664" t="s">
        <v>831</v>
      </c>
      <c r="F2637" s="665"/>
      <c r="G2637" s="663">
        <v>20</v>
      </c>
      <c r="H2637" s="662" t="s">
        <v>807</v>
      </c>
      <c r="I2637" s="666" t="s">
        <v>859</v>
      </c>
      <c r="J2637" s="667" t="s">
        <v>805</v>
      </c>
      <c r="K2637" s="662">
        <v>2</v>
      </c>
      <c r="L2637" s="685">
        <f t="shared" si="79"/>
        <v>18.8</v>
      </c>
      <c r="M2637" s="686">
        <f t="shared" si="78"/>
        <v>37.6</v>
      </c>
    </row>
    <row r="2638" spans="2:13" s="645" customFormat="1" ht="21.75" customHeight="1">
      <c r="B2638" s="661">
        <v>44451</v>
      </c>
      <c r="C2638" s="662" t="s">
        <v>837</v>
      </c>
      <c r="D2638" s="663" t="s">
        <v>835</v>
      </c>
      <c r="E2638" s="664" t="s">
        <v>831</v>
      </c>
      <c r="F2638" s="665"/>
      <c r="G2638" s="663">
        <v>20</v>
      </c>
      <c r="H2638" s="662" t="s">
        <v>807</v>
      </c>
      <c r="I2638" s="666" t="s">
        <v>859</v>
      </c>
      <c r="J2638" s="667" t="s">
        <v>805</v>
      </c>
      <c r="K2638" s="662">
        <v>3</v>
      </c>
      <c r="L2638" s="685">
        <f t="shared" si="79"/>
        <v>18.8</v>
      </c>
      <c r="M2638" s="686">
        <f t="shared" si="78"/>
        <v>56.400000000000006</v>
      </c>
    </row>
    <row r="2639" spans="2:13" s="645" customFormat="1" ht="21.75" customHeight="1">
      <c r="B2639" s="661">
        <v>44451</v>
      </c>
      <c r="C2639" s="662" t="s">
        <v>837</v>
      </c>
      <c r="D2639" s="663" t="s">
        <v>841</v>
      </c>
      <c r="E2639" s="664" t="s">
        <v>831</v>
      </c>
      <c r="F2639" s="665"/>
      <c r="G2639" s="663">
        <v>20</v>
      </c>
      <c r="H2639" s="662" t="s">
        <v>807</v>
      </c>
      <c r="I2639" s="666" t="s">
        <v>859</v>
      </c>
      <c r="J2639" s="667" t="s">
        <v>805</v>
      </c>
      <c r="K2639" s="662">
        <v>7</v>
      </c>
      <c r="L2639" s="685">
        <f t="shared" si="79"/>
        <v>18.8</v>
      </c>
      <c r="M2639" s="686">
        <f t="shared" si="78"/>
        <v>131.6</v>
      </c>
    </row>
    <row r="2640" spans="2:13" s="645" customFormat="1" ht="21.75" customHeight="1">
      <c r="B2640" s="661">
        <v>44451</v>
      </c>
      <c r="C2640" s="662" t="s">
        <v>837</v>
      </c>
      <c r="D2640" s="663" t="s">
        <v>834</v>
      </c>
      <c r="E2640" s="664" t="s">
        <v>831</v>
      </c>
      <c r="F2640" s="665"/>
      <c r="G2640" s="663">
        <v>20</v>
      </c>
      <c r="H2640" s="662" t="s">
        <v>807</v>
      </c>
      <c r="I2640" s="666" t="s">
        <v>859</v>
      </c>
      <c r="J2640" s="667" t="s">
        <v>805</v>
      </c>
      <c r="K2640" s="662">
        <v>3</v>
      </c>
      <c r="L2640" s="685">
        <f t="shared" si="79"/>
        <v>18.8</v>
      </c>
      <c r="M2640" s="686">
        <f t="shared" si="78"/>
        <v>56.400000000000006</v>
      </c>
    </row>
    <row r="2641" spans="2:13" s="645" customFormat="1" ht="21.75" customHeight="1">
      <c r="B2641" s="661">
        <v>44451</v>
      </c>
      <c r="C2641" s="662" t="s">
        <v>837</v>
      </c>
      <c r="D2641" s="663" t="s">
        <v>848</v>
      </c>
      <c r="E2641" s="664" t="s">
        <v>831</v>
      </c>
      <c r="F2641" s="665"/>
      <c r="G2641" s="663">
        <v>20</v>
      </c>
      <c r="H2641" s="662" t="s">
        <v>807</v>
      </c>
      <c r="I2641" s="666" t="s">
        <v>859</v>
      </c>
      <c r="J2641" s="667" t="s">
        <v>805</v>
      </c>
      <c r="K2641" s="662">
        <v>8</v>
      </c>
      <c r="L2641" s="685">
        <f t="shared" si="79"/>
        <v>18.8</v>
      </c>
      <c r="M2641" s="686">
        <f t="shared" si="78"/>
        <v>150.4</v>
      </c>
    </row>
    <row r="2642" spans="2:13" s="645" customFormat="1" ht="21.75" customHeight="1">
      <c r="B2642" s="661">
        <v>44451</v>
      </c>
      <c r="C2642" s="662" t="s">
        <v>837</v>
      </c>
      <c r="D2642" s="663" t="s">
        <v>833</v>
      </c>
      <c r="E2642" s="664" t="s">
        <v>831</v>
      </c>
      <c r="F2642" s="665"/>
      <c r="G2642" s="663">
        <v>15</v>
      </c>
      <c r="H2642" s="662" t="s">
        <v>807</v>
      </c>
      <c r="I2642" s="666" t="s">
        <v>859</v>
      </c>
      <c r="J2642" s="667" t="s">
        <v>805</v>
      </c>
      <c r="K2642" s="662">
        <v>8</v>
      </c>
      <c r="L2642" s="685">
        <f t="shared" si="79"/>
        <v>14.1</v>
      </c>
      <c r="M2642" s="686">
        <f t="shared" si="78"/>
        <v>112.8</v>
      </c>
    </row>
    <row r="2643" spans="2:13" s="645" customFormat="1" ht="21.75" customHeight="1">
      <c r="B2643" s="661">
        <v>44451</v>
      </c>
      <c r="C2643" s="662" t="s">
        <v>837</v>
      </c>
      <c r="D2643" s="663" t="s">
        <v>839</v>
      </c>
      <c r="E2643" s="664" t="s">
        <v>831</v>
      </c>
      <c r="F2643" s="665"/>
      <c r="G2643" s="663">
        <v>15</v>
      </c>
      <c r="H2643" s="662" t="s">
        <v>807</v>
      </c>
      <c r="I2643" s="666" t="s">
        <v>859</v>
      </c>
      <c r="J2643" s="667" t="s">
        <v>805</v>
      </c>
      <c r="K2643" s="662">
        <v>10</v>
      </c>
      <c r="L2643" s="685">
        <f t="shared" si="79"/>
        <v>14.1</v>
      </c>
      <c r="M2643" s="686">
        <f t="shared" si="78"/>
        <v>141</v>
      </c>
    </row>
    <row r="2644" spans="2:13" s="645" customFormat="1" ht="21.75" customHeight="1">
      <c r="B2644" s="661">
        <v>44451</v>
      </c>
      <c r="C2644" s="662" t="s">
        <v>837</v>
      </c>
      <c r="D2644" s="663" t="s">
        <v>845</v>
      </c>
      <c r="E2644" s="664" t="s">
        <v>831</v>
      </c>
      <c r="F2644" s="665"/>
      <c r="G2644" s="663">
        <v>17</v>
      </c>
      <c r="H2644" s="662" t="s">
        <v>807</v>
      </c>
      <c r="I2644" s="666" t="s">
        <v>859</v>
      </c>
      <c r="J2644" s="667" t="s">
        <v>805</v>
      </c>
      <c r="K2644" s="662">
        <v>7</v>
      </c>
      <c r="L2644" s="685">
        <f t="shared" si="79"/>
        <v>15.98</v>
      </c>
      <c r="M2644" s="686">
        <f t="shared" si="78"/>
        <v>111.86</v>
      </c>
    </row>
    <row r="2645" spans="2:13" s="645" customFormat="1" ht="21.75" customHeight="1">
      <c r="B2645" s="661">
        <v>44451</v>
      </c>
      <c r="C2645" s="662" t="s">
        <v>837</v>
      </c>
      <c r="D2645" s="663" t="s">
        <v>856</v>
      </c>
      <c r="E2645" s="664" t="s">
        <v>831</v>
      </c>
      <c r="F2645" s="665"/>
      <c r="G2645" s="663">
        <v>20</v>
      </c>
      <c r="H2645" s="662" t="s">
        <v>807</v>
      </c>
      <c r="I2645" s="666" t="s">
        <v>859</v>
      </c>
      <c r="J2645" s="667" t="s">
        <v>805</v>
      </c>
      <c r="K2645" s="662">
        <v>6</v>
      </c>
      <c r="L2645" s="685">
        <f t="shared" si="79"/>
        <v>18.8</v>
      </c>
      <c r="M2645" s="686">
        <f t="shared" si="78"/>
        <v>112.80000000000001</v>
      </c>
    </row>
    <row r="2646" spans="2:13" s="645" customFormat="1" ht="21.75" customHeight="1">
      <c r="B2646" s="661">
        <v>44451</v>
      </c>
      <c r="C2646" s="662" t="s">
        <v>837</v>
      </c>
      <c r="D2646" s="663" t="s">
        <v>855</v>
      </c>
      <c r="E2646" s="664" t="s">
        <v>831</v>
      </c>
      <c r="F2646" s="665"/>
      <c r="G2646" s="663">
        <v>20</v>
      </c>
      <c r="H2646" s="662" t="s">
        <v>807</v>
      </c>
      <c r="I2646" s="666" t="s">
        <v>859</v>
      </c>
      <c r="J2646" s="667" t="s">
        <v>805</v>
      </c>
      <c r="K2646" s="662">
        <v>5</v>
      </c>
      <c r="L2646" s="685">
        <f t="shared" si="79"/>
        <v>18.8</v>
      </c>
      <c r="M2646" s="686">
        <f t="shared" si="78"/>
        <v>94</v>
      </c>
    </row>
    <row r="2647" spans="2:13" s="645" customFormat="1" ht="21.75" customHeight="1">
      <c r="B2647" s="661">
        <v>44451</v>
      </c>
      <c r="C2647" s="662" t="s">
        <v>837</v>
      </c>
      <c r="D2647" s="663" t="s">
        <v>867</v>
      </c>
      <c r="E2647" s="664" t="s">
        <v>831</v>
      </c>
      <c r="F2647" s="665"/>
      <c r="G2647" s="663">
        <v>20</v>
      </c>
      <c r="H2647" s="662" t="s">
        <v>807</v>
      </c>
      <c r="I2647" s="666" t="s">
        <v>859</v>
      </c>
      <c r="J2647" s="667" t="s">
        <v>805</v>
      </c>
      <c r="K2647" s="662">
        <v>5</v>
      </c>
      <c r="L2647" s="685">
        <f t="shared" si="79"/>
        <v>18.8</v>
      </c>
      <c r="M2647" s="686">
        <f t="shared" si="78"/>
        <v>94</v>
      </c>
    </row>
    <row r="2648" spans="2:13" s="645" customFormat="1" ht="21.75" customHeight="1">
      <c r="B2648" s="661">
        <v>44451</v>
      </c>
      <c r="C2648" s="662" t="s">
        <v>837</v>
      </c>
      <c r="D2648" s="663" t="s">
        <v>868</v>
      </c>
      <c r="E2648" s="664" t="s">
        <v>831</v>
      </c>
      <c r="F2648" s="665"/>
      <c r="G2648" s="663">
        <v>20</v>
      </c>
      <c r="H2648" s="662" t="s">
        <v>807</v>
      </c>
      <c r="I2648" s="666" t="s">
        <v>859</v>
      </c>
      <c r="J2648" s="667" t="s">
        <v>805</v>
      </c>
      <c r="K2648" s="662">
        <v>4</v>
      </c>
      <c r="L2648" s="685">
        <f t="shared" si="79"/>
        <v>18.8</v>
      </c>
      <c r="M2648" s="686">
        <f t="shared" si="78"/>
        <v>75.2</v>
      </c>
    </row>
    <row r="2649" spans="2:13" s="645" customFormat="1" ht="21.75" customHeight="1">
      <c r="B2649" s="661">
        <v>44451</v>
      </c>
      <c r="C2649" s="662" t="s">
        <v>837</v>
      </c>
      <c r="D2649" s="663" t="s">
        <v>873</v>
      </c>
      <c r="E2649" s="664" t="s">
        <v>831</v>
      </c>
      <c r="F2649" s="665"/>
      <c r="G2649" s="663">
        <v>17</v>
      </c>
      <c r="H2649" s="662" t="s">
        <v>807</v>
      </c>
      <c r="I2649" s="666" t="s">
        <v>859</v>
      </c>
      <c r="J2649" s="667" t="s">
        <v>805</v>
      </c>
      <c r="K2649" s="662">
        <v>10</v>
      </c>
      <c r="L2649" s="685">
        <f t="shared" si="79"/>
        <v>15.98</v>
      </c>
      <c r="M2649" s="686">
        <f t="shared" si="78"/>
        <v>159.80000000000001</v>
      </c>
    </row>
    <row r="2650" spans="2:13" s="645" customFormat="1" ht="21.75" customHeight="1">
      <c r="B2650" s="661">
        <v>44451</v>
      </c>
      <c r="C2650" s="662" t="s">
        <v>819</v>
      </c>
      <c r="D2650" s="663" t="s">
        <v>855</v>
      </c>
      <c r="E2650" s="664" t="s">
        <v>831</v>
      </c>
      <c r="F2650" s="665"/>
      <c r="G2650" s="663">
        <v>20</v>
      </c>
      <c r="H2650" s="662" t="s">
        <v>807</v>
      </c>
      <c r="I2650" s="666" t="s">
        <v>859</v>
      </c>
      <c r="J2650" s="667" t="s">
        <v>865</v>
      </c>
      <c r="K2650" s="662">
        <v>1</v>
      </c>
      <c r="L2650" s="685">
        <f t="shared" si="79"/>
        <v>18.8</v>
      </c>
      <c r="M2650" s="686">
        <f t="shared" si="78"/>
        <v>18.8</v>
      </c>
    </row>
    <row r="2651" spans="2:13" s="645" customFormat="1" ht="21.75" customHeight="1">
      <c r="B2651" s="661">
        <v>44451</v>
      </c>
      <c r="C2651" s="662" t="s">
        <v>819</v>
      </c>
      <c r="D2651" s="663" t="s">
        <v>867</v>
      </c>
      <c r="E2651" s="664" t="s">
        <v>831</v>
      </c>
      <c r="F2651" s="665"/>
      <c r="G2651" s="663">
        <v>20</v>
      </c>
      <c r="H2651" s="662" t="s">
        <v>807</v>
      </c>
      <c r="I2651" s="666" t="s">
        <v>859</v>
      </c>
      <c r="J2651" s="667" t="s">
        <v>865</v>
      </c>
      <c r="K2651" s="662">
        <v>1</v>
      </c>
      <c r="L2651" s="685">
        <f t="shared" si="79"/>
        <v>18.8</v>
      </c>
      <c r="M2651" s="686">
        <f t="shared" si="78"/>
        <v>18.8</v>
      </c>
    </row>
    <row r="2652" spans="2:13" s="645" customFormat="1" ht="21.75" customHeight="1">
      <c r="B2652" s="661">
        <v>44451</v>
      </c>
      <c r="C2652" s="662" t="s">
        <v>819</v>
      </c>
      <c r="D2652" s="663" t="s">
        <v>873</v>
      </c>
      <c r="E2652" s="664" t="s">
        <v>831</v>
      </c>
      <c r="F2652" s="665"/>
      <c r="G2652" s="663">
        <v>17</v>
      </c>
      <c r="H2652" s="662" t="s">
        <v>807</v>
      </c>
      <c r="I2652" s="666" t="s">
        <v>859</v>
      </c>
      <c r="J2652" s="667" t="s">
        <v>865</v>
      </c>
      <c r="K2652" s="662">
        <v>2</v>
      </c>
      <c r="L2652" s="685">
        <f t="shared" si="79"/>
        <v>15.98</v>
      </c>
      <c r="M2652" s="686">
        <f t="shared" si="78"/>
        <v>31.96</v>
      </c>
    </row>
    <row r="2653" spans="2:13" s="645" customFormat="1" ht="21.75" customHeight="1">
      <c r="B2653" s="708">
        <v>44451</v>
      </c>
      <c r="C2653" s="709" t="s">
        <v>837</v>
      </c>
      <c r="D2653" s="710" t="s">
        <v>849</v>
      </c>
      <c r="E2653" s="711" t="s">
        <v>831</v>
      </c>
      <c r="F2653" s="712"/>
      <c r="G2653" s="710">
        <v>20</v>
      </c>
      <c r="H2653" s="709" t="s">
        <v>807</v>
      </c>
      <c r="I2653" s="713" t="s">
        <v>859</v>
      </c>
      <c r="J2653" s="714" t="s">
        <v>802</v>
      </c>
      <c r="K2653" s="709">
        <v>8</v>
      </c>
      <c r="L2653" s="715">
        <f t="shared" si="79"/>
        <v>18.8</v>
      </c>
      <c r="M2653" s="716">
        <f t="shared" si="78"/>
        <v>150.4</v>
      </c>
    </row>
    <row r="2654" spans="2:13" s="645" customFormat="1" ht="21.75" customHeight="1">
      <c r="B2654" s="708">
        <v>44451</v>
      </c>
      <c r="C2654" s="709" t="s">
        <v>837</v>
      </c>
      <c r="D2654" s="710" t="s">
        <v>840</v>
      </c>
      <c r="E2654" s="711" t="s">
        <v>831</v>
      </c>
      <c r="F2654" s="712"/>
      <c r="G2654" s="710">
        <v>20</v>
      </c>
      <c r="H2654" s="709" t="s">
        <v>807</v>
      </c>
      <c r="I2654" s="713" t="s">
        <v>859</v>
      </c>
      <c r="J2654" s="714" t="s">
        <v>802</v>
      </c>
      <c r="K2654" s="709">
        <v>10</v>
      </c>
      <c r="L2654" s="715">
        <f t="shared" si="79"/>
        <v>18.8</v>
      </c>
      <c r="M2654" s="716">
        <f t="shared" si="78"/>
        <v>188</v>
      </c>
    </row>
    <row r="2655" spans="2:13" s="645" customFormat="1" ht="21.75" customHeight="1">
      <c r="B2655" s="708">
        <v>44451</v>
      </c>
      <c r="C2655" s="709" t="s">
        <v>837</v>
      </c>
      <c r="D2655" s="710" t="s">
        <v>835</v>
      </c>
      <c r="E2655" s="711" t="s">
        <v>831</v>
      </c>
      <c r="F2655" s="712"/>
      <c r="G2655" s="710">
        <v>20</v>
      </c>
      <c r="H2655" s="709" t="s">
        <v>807</v>
      </c>
      <c r="I2655" s="713" t="s">
        <v>859</v>
      </c>
      <c r="J2655" s="714" t="s">
        <v>802</v>
      </c>
      <c r="K2655" s="709">
        <v>10</v>
      </c>
      <c r="L2655" s="715">
        <f t="shared" si="79"/>
        <v>18.8</v>
      </c>
      <c r="M2655" s="716">
        <f t="shared" si="78"/>
        <v>188</v>
      </c>
    </row>
    <row r="2656" spans="2:13" s="645" customFormat="1" ht="21.75" customHeight="1">
      <c r="B2656" s="708">
        <v>44451</v>
      </c>
      <c r="C2656" s="709" t="s">
        <v>837</v>
      </c>
      <c r="D2656" s="710" t="s">
        <v>841</v>
      </c>
      <c r="E2656" s="711" t="s">
        <v>831</v>
      </c>
      <c r="F2656" s="712"/>
      <c r="G2656" s="710">
        <v>20</v>
      </c>
      <c r="H2656" s="709" t="s">
        <v>807</v>
      </c>
      <c r="I2656" s="713" t="s">
        <v>859</v>
      </c>
      <c r="J2656" s="714" t="s">
        <v>802</v>
      </c>
      <c r="K2656" s="709">
        <v>7</v>
      </c>
      <c r="L2656" s="715">
        <f t="shared" si="79"/>
        <v>18.8</v>
      </c>
      <c r="M2656" s="716">
        <f t="shared" si="78"/>
        <v>131.6</v>
      </c>
    </row>
    <row r="2657" spans="2:13" s="645" customFormat="1" ht="21.75" customHeight="1">
      <c r="B2657" s="708">
        <v>44451</v>
      </c>
      <c r="C2657" s="709" t="s">
        <v>837</v>
      </c>
      <c r="D2657" s="710" t="s">
        <v>834</v>
      </c>
      <c r="E2657" s="711" t="s">
        <v>831</v>
      </c>
      <c r="F2657" s="712"/>
      <c r="G2657" s="710">
        <v>20</v>
      </c>
      <c r="H2657" s="709" t="s">
        <v>807</v>
      </c>
      <c r="I2657" s="713" t="s">
        <v>859</v>
      </c>
      <c r="J2657" s="714" t="s">
        <v>802</v>
      </c>
      <c r="K2657" s="709">
        <v>10</v>
      </c>
      <c r="L2657" s="715">
        <f t="shared" si="79"/>
        <v>18.8</v>
      </c>
      <c r="M2657" s="716">
        <f t="shared" si="78"/>
        <v>188</v>
      </c>
    </row>
    <row r="2658" spans="2:13" s="645" customFormat="1" ht="21.75" customHeight="1">
      <c r="B2658" s="708">
        <v>44451</v>
      </c>
      <c r="C2658" s="709" t="s">
        <v>837</v>
      </c>
      <c r="D2658" s="710" t="s">
        <v>848</v>
      </c>
      <c r="E2658" s="711" t="s">
        <v>831</v>
      </c>
      <c r="F2658" s="712"/>
      <c r="G2658" s="710">
        <v>20</v>
      </c>
      <c r="H2658" s="709" t="s">
        <v>807</v>
      </c>
      <c r="I2658" s="713" t="s">
        <v>859</v>
      </c>
      <c r="J2658" s="714" t="s">
        <v>802</v>
      </c>
      <c r="K2658" s="709">
        <v>5</v>
      </c>
      <c r="L2658" s="715">
        <f t="shared" si="79"/>
        <v>18.8</v>
      </c>
      <c r="M2658" s="716">
        <f t="shared" si="78"/>
        <v>94</v>
      </c>
    </row>
    <row r="2659" spans="2:13" s="645" customFormat="1" ht="21.75" customHeight="1">
      <c r="B2659" s="708">
        <v>44451</v>
      </c>
      <c r="C2659" s="709" t="s">
        <v>837</v>
      </c>
      <c r="D2659" s="710" t="s">
        <v>833</v>
      </c>
      <c r="E2659" s="711" t="s">
        <v>831</v>
      </c>
      <c r="F2659" s="712"/>
      <c r="G2659" s="710">
        <v>15</v>
      </c>
      <c r="H2659" s="709" t="s">
        <v>807</v>
      </c>
      <c r="I2659" s="713" t="s">
        <v>859</v>
      </c>
      <c r="J2659" s="714" t="s">
        <v>802</v>
      </c>
      <c r="K2659" s="709">
        <v>7</v>
      </c>
      <c r="L2659" s="715">
        <f t="shared" si="79"/>
        <v>14.1</v>
      </c>
      <c r="M2659" s="716">
        <f t="shared" si="78"/>
        <v>98.7</v>
      </c>
    </row>
    <row r="2660" spans="2:13" s="645" customFormat="1" ht="21.75" customHeight="1">
      <c r="B2660" s="708">
        <v>44451</v>
      </c>
      <c r="C2660" s="709" t="s">
        <v>837</v>
      </c>
      <c r="D2660" s="710" t="s">
        <v>839</v>
      </c>
      <c r="E2660" s="711" t="s">
        <v>831</v>
      </c>
      <c r="F2660" s="712"/>
      <c r="G2660" s="710">
        <v>15</v>
      </c>
      <c r="H2660" s="709" t="s">
        <v>807</v>
      </c>
      <c r="I2660" s="713" t="s">
        <v>859</v>
      </c>
      <c r="J2660" s="714" t="s">
        <v>802</v>
      </c>
      <c r="K2660" s="709">
        <v>3</v>
      </c>
      <c r="L2660" s="715">
        <f t="shared" si="79"/>
        <v>14.1</v>
      </c>
      <c r="M2660" s="716">
        <f t="shared" si="78"/>
        <v>42.3</v>
      </c>
    </row>
    <row r="2661" spans="2:13" s="645" customFormat="1" ht="21.75" customHeight="1">
      <c r="B2661" s="708">
        <v>44451</v>
      </c>
      <c r="C2661" s="709" t="s">
        <v>837</v>
      </c>
      <c r="D2661" s="710" t="s">
        <v>845</v>
      </c>
      <c r="E2661" s="711" t="s">
        <v>831</v>
      </c>
      <c r="F2661" s="712"/>
      <c r="G2661" s="710">
        <v>17</v>
      </c>
      <c r="H2661" s="709" t="s">
        <v>807</v>
      </c>
      <c r="I2661" s="713" t="s">
        <v>859</v>
      </c>
      <c r="J2661" s="714" t="s">
        <v>802</v>
      </c>
      <c r="K2661" s="709">
        <v>7</v>
      </c>
      <c r="L2661" s="715">
        <f t="shared" si="79"/>
        <v>15.98</v>
      </c>
      <c r="M2661" s="716">
        <f t="shared" si="78"/>
        <v>111.86</v>
      </c>
    </row>
    <row r="2662" spans="2:13" s="645" customFormat="1" ht="21.75" customHeight="1">
      <c r="B2662" s="708">
        <v>44451</v>
      </c>
      <c r="C2662" s="709" t="s">
        <v>837</v>
      </c>
      <c r="D2662" s="710" t="s">
        <v>856</v>
      </c>
      <c r="E2662" s="711" t="s">
        <v>831</v>
      </c>
      <c r="F2662" s="712"/>
      <c r="G2662" s="710">
        <v>20</v>
      </c>
      <c r="H2662" s="709" t="s">
        <v>807</v>
      </c>
      <c r="I2662" s="713" t="s">
        <v>859</v>
      </c>
      <c r="J2662" s="714" t="s">
        <v>802</v>
      </c>
      <c r="K2662" s="709">
        <v>7</v>
      </c>
      <c r="L2662" s="715">
        <f t="shared" si="79"/>
        <v>18.8</v>
      </c>
      <c r="M2662" s="716">
        <f t="shared" si="78"/>
        <v>131.6</v>
      </c>
    </row>
    <row r="2663" spans="2:13" s="645" customFormat="1" ht="21.75" customHeight="1">
      <c r="B2663" s="708">
        <v>44451</v>
      </c>
      <c r="C2663" s="709" t="s">
        <v>837</v>
      </c>
      <c r="D2663" s="710" t="s">
        <v>855</v>
      </c>
      <c r="E2663" s="711" t="s">
        <v>831</v>
      </c>
      <c r="F2663" s="712"/>
      <c r="G2663" s="710">
        <v>20</v>
      </c>
      <c r="H2663" s="709" t="s">
        <v>807</v>
      </c>
      <c r="I2663" s="713" t="s">
        <v>859</v>
      </c>
      <c r="J2663" s="714" t="s">
        <v>802</v>
      </c>
      <c r="K2663" s="709">
        <v>8</v>
      </c>
      <c r="L2663" s="715">
        <f t="shared" si="79"/>
        <v>18.8</v>
      </c>
      <c r="M2663" s="716">
        <f t="shared" ref="M2663:M2726" si="80">L2663*K2663</f>
        <v>150.4</v>
      </c>
    </row>
    <row r="2664" spans="2:13" s="645" customFormat="1" ht="21.75" customHeight="1">
      <c r="B2664" s="708">
        <v>44451</v>
      </c>
      <c r="C2664" s="709" t="s">
        <v>837</v>
      </c>
      <c r="D2664" s="710" t="s">
        <v>867</v>
      </c>
      <c r="E2664" s="711" t="s">
        <v>831</v>
      </c>
      <c r="F2664" s="712"/>
      <c r="G2664" s="710">
        <v>20</v>
      </c>
      <c r="H2664" s="709" t="s">
        <v>807</v>
      </c>
      <c r="I2664" s="713" t="s">
        <v>859</v>
      </c>
      <c r="J2664" s="714" t="s">
        <v>802</v>
      </c>
      <c r="K2664" s="709">
        <v>5</v>
      </c>
      <c r="L2664" s="715">
        <f t="shared" si="79"/>
        <v>18.8</v>
      </c>
      <c r="M2664" s="716">
        <f t="shared" si="80"/>
        <v>94</v>
      </c>
    </row>
    <row r="2665" spans="2:13" s="645" customFormat="1" ht="21.75" customHeight="1">
      <c r="B2665" s="708">
        <v>44451</v>
      </c>
      <c r="C2665" s="709" t="s">
        <v>837</v>
      </c>
      <c r="D2665" s="710" t="s">
        <v>868</v>
      </c>
      <c r="E2665" s="711" t="s">
        <v>831</v>
      </c>
      <c r="F2665" s="712"/>
      <c r="G2665" s="710">
        <v>20</v>
      </c>
      <c r="H2665" s="709" t="s">
        <v>807</v>
      </c>
      <c r="I2665" s="713" t="s">
        <v>859</v>
      </c>
      <c r="J2665" s="714" t="s">
        <v>802</v>
      </c>
      <c r="K2665" s="709">
        <v>11</v>
      </c>
      <c r="L2665" s="715">
        <f t="shared" si="79"/>
        <v>18.8</v>
      </c>
      <c r="M2665" s="716">
        <f t="shared" si="80"/>
        <v>206.8</v>
      </c>
    </row>
    <row r="2666" spans="2:13" s="645" customFormat="1" ht="21.75" customHeight="1">
      <c r="B2666" s="708">
        <v>44451</v>
      </c>
      <c r="C2666" s="709" t="s">
        <v>837</v>
      </c>
      <c r="D2666" s="710" t="s">
        <v>873</v>
      </c>
      <c r="E2666" s="711" t="s">
        <v>831</v>
      </c>
      <c r="F2666" s="712"/>
      <c r="G2666" s="710">
        <v>17</v>
      </c>
      <c r="H2666" s="709" t="s">
        <v>807</v>
      </c>
      <c r="I2666" s="713" t="s">
        <v>859</v>
      </c>
      <c r="J2666" s="714" t="s">
        <v>802</v>
      </c>
      <c r="K2666" s="709">
        <v>3</v>
      </c>
      <c r="L2666" s="715">
        <f t="shared" si="79"/>
        <v>15.98</v>
      </c>
      <c r="M2666" s="716">
        <f t="shared" si="80"/>
        <v>47.94</v>
      </c>
    </row>
    <row r="2667" spans="2:13" s="645" customFormat="1" ht="21.75" customHeight="1">
      <c r="B2667" s="661">
        <v>44452</v>
      </c>
      <c r="C2667" s="662" t="s">
        <v>819</v>
      </c>
      <c r="D2667" s="663" t="s">
        <v>840</v>
      </c>
      <c r="E2667" s="664" t="s">
        <v>831</v>
      </c>
      <c r="F2667" s="665"/>
      <c r="G2667" s="663">
        <v>20</v>
      </c>
      <c r="H2667" s="662" t="s">
        <v>807</v>
      </c>
      <c r="I2667" s="666" t="s">
        <v>859</v>
      </c>
      <c r="J2667" s="667" t="s">
        <v>805</v>
      </c>
      <c r="K2667" s="662">
        <v>4</v>
      </c>
      <c r="L2667" s="685">
        <f t="shared" si="79"/>
        <v>18.8</v>
      </c>
      <c r="M2667" s="686">
        <f t="shared" si="80"/>
        <v>75.2</v>
      </c>
    </row>
    <row r="2668" spans="2:13" s="645" customFormat="1" ht="21.75" customHeight="1">
      <c r="B2668" s="661">
        <v>44452</v>
      </c>
      <c r="C2668" s="662" t="s">
        <v>819</v>
      </c>
      <c r="D2668" s="663" t="s">
        <v>848</v>
      </c>
      <c r="E2668" s="664" t="s">
        <v>831</v>
      </c>
      <c r="F2668" s="665"/>
      <c r="G2668" s="663">
        <v>20</v>
      </c>
      <c r="H2668" s="662" t="s">
        <v>807</v>
      </c>
      <c r="I2668" s="666" t="s">
        <v>859</v>
      </c>
      <c r="J2668" s="667" t="s">
        <v>805</v>
      </c>
      <c r="K2668" s="662">
        <v>6</v>
      </c>
      <c r="L2668" s="685">
        <f t="shared" si="79"/>
        <v>18.8</v>
      </c>
      <c r="M2668" s="686">
        <f t="shared" si="80"/>
        <v>112.80000000000001</v>
      </c>
    </row>
    <row r="2669" spans="2:13" s="645" customFormat="1" ht="21.75" customHeight="1">
      <c r="B2669" s="661">
        <v>44452</v>
      </c>
      <c r="C2669" s="662" t="s">
        <v>819</v>
      </c>
      <c r="D2669" s="663" t="s">
        <v>836</v>
      </c>
      <c r="E2669" s="664" t="s">
        <v>831</v>
      </c>
      <c r="F2669" s="665"/>
      <c r="G2669" s="663">
        <v>20</v>
      </c>
      <c r="H2669" s="662" t="s">
        <v>807</v>
      </c>
      <c r="I2669" s="666" t="s">
        <v>859</v>
      </c>
      <c r="J2669" s="667" t="s">
        <v>805</v>
      </c>
      <c r="K2669" s="662">
        <v>5</v>
      </c>
      <c r="L2669" s="685">
        <f t="shared" si="79"/>
        <v>18.8</v>
      </c>
      <c r="M2669" s="686">
        <f t="shared" si="80"/>
        <v>94</v>
      </c>
    </row>
    <row r="2670" spans="2:13" s="645" customFormat="1" ht="21.75" customHeight="1">
      <c r="B2670" s="661">
        <v>44452</v>
      </c>
      <c r="C2670" s="662" t="s">
        <v>819</v>
      </c>
      <c r="D2670" s="663" t="s">
        <v>830</v>
      </c>
      <c r="E2670" s="664" t="s">
        <v>831</v>
      </c>
      <c r="F2670" s="665"/>
      <c r="G2670" s="663">
        <v>15</v>
      </c>
      <c r="H2670" s="662" t="s">
        <v>807</v>
      </c>
      <c r="I2670" s="666" t="s">
        <v>859</v>
      </c>
      <c r="J2670" s="667" t="s">
        <v>805</v>
      </c>
      <c r="K2670" s="662">
        <v>5</v>
      </c>
      <c r="L2670" s="685">
        <f t="shared" si="79"/>
        <v>14.1</v>
      </c>
      <c r="M2670" s="686">
        <f t="shared" si="80"/>
        <v>70.5</v>
      </c>
    </row>
    <row r="2671" spans="2:13" s="645" customFormat="1" ht="21.75" customHeight="1">
      <c r="B2671" s="661">
        <v>44452</v>
      </c>
      <c r="C2671" s="662" t="s">
        <v>819</v>
      </c>
      <c r="D2671" s="663" t="s">
        <v>850</v>
      </c>
      <c r="E2671" s="664" t="s">
        <v>831</v>
      </c>
      <c r="F2671" s="665"/>
      <c r="G2671" s="663">
        <v>15</v>
      </c>
      <c r="H2671" s="662" t="s">
        <v>807</v>
      </c>
      <c r="I2671" s="666" t="s">
        <v>859</v>
      </c>
      <c r="J2671" s="667" t="s">
        <v>805</v>
      </c>
      <c r="K2671" s="662">
        <v>5</v>
      </c>
      <c r="L2671" s="685">
        <f t="shared" si="79"/>
        <v>14.1</v>
      </c>
      <c r="M2671" s="686">
        <f t="shared" si="80"/>
        <v>70.5</v>
      </c>
    </row>
    <row r="2672" spans="2:13" s="645" customFormat="1" ht="21.75" customHeight="1">
      <c r="B2672" s="661">
        <v>44452</v>
      </c>
      <c r="C2672" s="662" t="s">
        <v>819</v>
      </c>
      <c r="D2672" s="663" t="s">
        <v>845</v>
      </c>
      <c r="E2672" s="664" t="s">
        <v>831</v>
      </c>
      <c r="F2672" s="665"/>
      <c r="G2672" s="663">
        <v>17</v>
      </c>
      <c r="H2672" s="662" t="s">
        <v>807</v>
      </c>
      <c r="I2672" s="666" t="s">
        <v>859</v>
      </c>
      <c r="J2672" s="667" t="s">
        <v>805</v>
      </c>
      <c r="K2672" s="662">
        <v>1</v>
      </c>
      <c r="L2672" s="685">
        <f t="shared" si="79"/>
        <v>15.98</v>
      </c>
      <c r="M2672" s="686">
        <f t="shared" si="80"/>
        <v>15.98</v>
      </c>
    </row>
    <row r="2673" spans="2:13" s="645" customFormat="1" ht="21.75" customHeight="1">
      <c r="B2673" s="661">
        <v>44452</v>
      </c>
      <c r="C2673" s="662" t="s">
        <v>819</v>
      </c>
      <c r="D2673" s="663" t="s">
        <v>847</v>
      </c>
      <c r="E2673" s="664" t="s">
        <v>831</v>
      </c>
      <c r="F2673" s="665"/>
      <c r="G2673" s="663">
        <v>17</v>
      </c>
      <c r="H2673" s="662" t="s">
        <v>807</v>
      </c>
      <c r="I2673" s="666" t="s">
        <v>859</v>
      </c>
      <c r="J2673" s="667" t="s">
        <v>805</v>
      </c>
      <c r="K2673" s="662">
        <v>5</v>
      </c>
      <c r="L2673" s="685">
        <f t="shared" si="79"/>
        <v>15.98</v>
      </c>
      <c r="M2673" s="686">
        <f t="shared" si="80"/>
        <v>79.900000000000006</v>
      </c>
    </row>
    <row r="2674" spans="2:13" s="645" customFormat="1" ht="21.75" customHeight="1">
      <c r="B2674" s="661">
        <v>44452</v>
      </c>
      <c r="C2674" s="662" t="s">
        <v>819</v>
      </c>
      <c r="D2674" s="663" t="s">
        <v>855</v>
      </c>
      <c r="E2674" s="664" t="s">
        <v>831</v>
      </c>
      <c r="F2674" s="665"/>
      <c r="G2674" s="663">
        <v>20</v>
      </c>
      <c r="H2674" s="662" t="s">
        <v>807</v>
      </c>
      <c r="I2674" s="666" t="s">
        <v>859</v>
      </c>
      <c r="J2674" s="667" t="s">
        <v>805</v>
      </c>
      <c r="K2674" s="662">
        <v>5</v>
      </c>
      <c r="L2674" s="685">
        <f t="shared" si="79"/>
        <v>18.8</v>
      </c>
      <c r="M2674" s="686">
        <f t="shared" si="80"/>
        <v>94</v>
      </c>
    </row>
    <row r="2675" spans="2:13" s="645" customFormat="1" ht="21.75" customHeight="1">
      <c r="B2675" s="661">
        <v>44452</v>
      </c>
      <c r="C2675" s="662" t="s">
        <v>819</v>
      </c>
      <c r="D2675" s="663" t="s">
        <v>867</v>
      </c>
      <c r="E2675" s="664" t="s">
        <v>831</v>
      </c>
      <c r="F2675" s="665"/>
      <c r="G2675" s="663">
        <v>20</v>
      </c>
      <c r="H2675" s="662" t="s">
        <v>807</v>
      </c>
      <c r="I2675" s="666" t="s">
        <v>859</v>
      </c>
      <c r="J2675" s="667" t="s">
        <v>805</v>
      </c>
      <c r="K2675" s="662">
        <v>5</v>
      </c>
      <c r="L2675" s="685">
        <f t="shared" si="79"/>
        <v>18.8</v>
      </c>
      <c r="M2675" s="686">
        <f t="shared" si="80"/>
        <v>94</v>
      </c>
    </row>
    <row r="2676" spans="2:13" s="645" customFormat="1" ht="21.75" customHeight="1">
      <c r="B2676" s="661">
        <v>44452</v>
      </c>
      <c r="C2676" s="662" t="s">
        <v>819</v>
      </c>
      <c r="D2676" s="663" t="s">
        <v>868</v>
      </c>
      <c r="E2676" s="664" t="s">
        <v>831</v>
      </c>
      <c r="F2676" s="665"/>
      <c r="G2676" s="663">
        <v>20</v>
      </c>
      <c r="H2676" s="662" t="s">
        <v>807</v>
      </c>
      <c r="I2676" s="666" t="s">
        <v>859</v>
      </c>
      <c r="J2676" s="667" t="s">
        <v>805</v>
      </c>
      <c r="K2676" s="662">
        <v>7</v>
      </c>
      <c r="L2676" s="685">
        <f t="shared" si="79"/>
        <v>18.8</v>
      </c>
      <c r="M2676" s="686">
        <f t="shared" si="80"/>
        <v>131.6</v>
      </c>
    </row>
    <row r="2677" spans="2:13" s="645" customFormat="1" ht="21.75" customHeight="1">
      <c r="B2677" s="661">
        <v>44452</v>
      </c>
      <c r="C2677" s="662" t="s">
        <v>819</v>
      </c>
      <c r="D2677" s="663" t="s">
        <v>869</v>
      </c>
      <c r="E2677" s="664" t="s">
        <v>831</v>
      </c>
      <c r="F2677" s="665"/>
      <c r="G2677" s="663">
        <v>20</v>
      </c>
      <c r="H2677" s="662" t="s">
        <v>807</v>
      </c>
      <c r="I2677" s="666" t="s">
        <v>859</v>
      </c>
      <c r="J2677" s="667" t="s">
        <v>805</v>
      </c>
      <c r="K2677" s="662">
        <v>7</v>
      </c>
      <c r="L2677" s="685">
        <f t="shared" si="79"/>
        <v>18.8</v>
      </c>
      <c r="M2677" s="686">
        <f t="shared" si="80"/>
        <v>131.6</v>
      </c>
    </row>
    <row r="2678" spans="2:13" s="645" customFormat="1" ht="21.75" customHeight="1">
      <c r="B2678" s="661">
        <v>44452</v>
      </c>
      <c r="C2678" s="662" t="s">
        <v>819</v>
      </c>
      <c r="D2678" s="663" t="s">
        <v>870</v>
      </c>
      <c r="E2678" s="664" t="s">
        <v>831</v>
      </c>
      <c r="F2678" s="665"/>
      <c r="G2678" s="663">
        <v>20</v>
      </c>
      <c r="H2678" s="662" t="s">
        <v>807</v>
      </c>
      <c r="I2678" s="666" t="s">
        <v>859</v>
      </c>
      <c r="J2678" s="667" t="s">
        <v>805</v>
      </c>
      <c r="K2678" s="662">
        <v>5</v>
      </c>
      <c r="L2678" s="685">
        <f t="shared" si="79"/>
        <v>18.8</v>
      </c>
      <c r="M2678" s="686">
        <f t="shared" si="80"/>
        <v>94</v>
      </c>
    </row>
    <row r="2679" spans="2:13" s="645" customFormat="1" ht="21.75" customHeight="1">
      <c r="B2679" s="661">
        <v>44452</v>
      </c>
      <c r="C2679" s="662" t="s">
        <v>819</v>
      </c>
      <c r="D2679" s="663" t="s">
        <v>873</v>
      </c>
      <c r="E2679" s="664" t="s">
        <v>831</v>
      </c>
      <c r="F2679" s="665"/>
      <c r="G2679" s="663">
        <v>17</v>
      </c>
      <c r="H2679" s="662" t="s">
        <v>807</v>
      </c>
      <c r="I2679" s="666" t="s">
        <v>859</v>
      </c>
      <c r="J2679" s="667" t="s">
        <v>805</v>
      </c>
      <c r="K2679" s="662">
        <v>5</v>
      </c>
      <c r="L2679" s="685">
        <f t="shared" si="79"/>
        <v>15.98</v>
      </c>
      <c r="M2679" s="686">
        <f t="shared" si="80"/>
        <v>79.900000000000006</v>
      </c>
    </row>
    <row r="2680" spans="2:13" s="645" customFormat="1" ht="21.75" customHeight="1">
      <c r="B2680" s="661">
        <v>44452</v>
      </c>
      <c r="C2680" s="662" t="s">
        <v>819</v>
      </c>
      <c r="D2680" s="663" t="s">
        <v>840</v>
      </c>
      <c r="E2680" s="664" t="s">
        <v>831</v>
      </c>
      <c r="F2680" s="665"/>
      <c r="G2680" s="663">
        <v>20</v>
      </c>
      <c r="H2680" s="662" t="s">
        <v>807</v>
      </c>
      <c r="I2680" s="666" t="s">
        <v>859</v>
      </c>
      <c r="J2680" s="667" t="s">
        <v>865</v>
      </c>
      <c r="K2680" s="662">
        <v>4</v>
      </c>
      <c r="L2680" s="685">
        <f t="shared" si="79"/>
        <v>18.8</v>
      </c>
      <c r="M2680" s="686">
        <f t="shared" si="80"/>
        <v>75.2</v>
      </c>
    </row>
    <row r="2681" spans="2:13" s="645" customFormat="1" ht="21.75" customHeight="1">
      <c r="B2681" s="661">
        <v>44452</v>
      </c>
      <c r="C2681" s="662" t="s">
        <v>819</v>
      </c>
      <c r="D2681" s="663" t="s">
        <v>848</v>
      </c>
      <c r="E2681" s="664" t="s">
        <v>831</v>
      </c>
      <c r="F2681" s="665"/>
      <c r="G2681" s="663">
        <v>20</v>
      </c>
      <c r="H2681" s="662" t="s">
        <v>807</v>
      </c>
      <c r="I2681" s="666" t="s">
        <v>859</v>
      </c>
      <c r="J2681" s="667" t="s">
        <v>865</v>
      </c>
      <c r="K2681" s="662">
        <v>4</v>
      </c>
      <c r="L2681" s="685">
        <f t="shared" si="79"/>
        <v>18.8</v>
      </c>
      <c r="M2681" s="686">
        <f t="shared" si="80"/>
        <v>75.2</v>
      </c>
    </row>
    <row r="2682" spans="2:13" s="645" customFormat="1" ht="21.75" customHeight="1">
      <c r="B2682" s="661">
        <v>44452</v>
      </c>
      <c r="C2682" s="662" t="s">
        <v>819</v>
      </c>
      <c r="D2682" s="663" t="s">
        <v>836</v>
      </c>
      <c r="E2682" s="664" t="s">
        <v>831</v>
      </c>
      <c r="F2682" s="665"/>
      <c r="G2682" s="663">
        <v>20</v>
      </c>
      <c r="H2682" s="662" t="s">
        <v>807</v>
      </c>
      <c r="I2682" s="666" t="s">
        <v>859</v>
      </c>
      <c r="J2682" s="667" t="s">
        <v>865</v>
      </c>
      <c r="K2682" s="662">
        <v>4</v>
      </c>
      <c r="L2682" s="685">
        <f t="shared" si="79"/>
        <v>18.8</v>
      </c>
      <c r="M2682" s="686">
        <f t="shared" si="80"/>
        <v>75.2</v>
      </c>
    </row>
    <row r="2683" spans="2:13" s="645" customFormat="1" ht="21.75" customHeight="1">
      <c r="B2683" s="661">
        <v>44452</v>
      </c>
      <c r="C2683" s="662" t="s">
        <v>819</v>
      </c>
      <c r="D2683" s="663" t="s">
        <v>830</v>
      </c>
      <c r="E2683" s="664" t="s">
        <v>831</v>
      </c>
      <c r="F2683" s="665"/>
      <c r="G2683" s="663">
        <v>15</v>
      </c>
      <c r="H2683" s="662" t="s">
        <v>807</v>
      </c>
      <c r="I2683" s="666" t="s">
        <v>859</v>
      </c>
      <c r="J2683" s="667" t="s">
        <v>865</v>
      </c>
      <c r="K2683" s="662">
        <v>4</v>
      </c>
      <c r="L2683" s="685">
        <f t="shared" si="79"/>
        <v>14.1</v>
      </c>
      <c r="M2683" s="686">
        <f t="shared" si="80"/>
        <v>56.4</v>
      </c>
    </row>
    <row r="2684" spans="2:13" s="645" customFormat="1" ht="21.75" customHeight="1">
      <c r="B2684" s="661">
        <v>44452</v>
      </c>
      <c r="C2684" s="662" t="s">
        <v>819</v>
      </c>
      <c r="D2684" s="663" t="s">
        <v>850</v>
      </c>
      <c r="E2684" s="664" t="s">
        <v>831</v>
      </c>
      <c r="F2684" s="665"/>
      <c r="G2684" s="663">
        <v>15</v>
      </c>
      <c r="H2684" s="662" t="s">
        <v>807</v>
      </c>
      <c r="I2684" s="666" t="s">
        <v>859</v>
      </c>
      <c r="J2684" s="667" t="s">
        <v>865</v>
      </c>
      <c r="K2684" s="662">
        <v>4</v>
      </c>
      <c r="L2684" s="685">
        <f t="shared" si="79"/>
        <v>14.1</v>
      </c>
      <c r="M2684" s="686">
        <f t="shared" si="80"/>
        <v>56.4</v>
      </c>
    </row>
    <row r="2685" spans="2:13" s="645" customFormat="1" ht="21.75" customHeight="1">
      <c r="B2685" s="661">
        <v>44452</v>
      </c>
      <c r="C2685" s="662" t="s">
        <v>819</v>
      </c>
      <c r="D2685" s="663" t="s">
        <v>839</v>
      </c>
      <c r="E2685" s="664" t="s">
        <v>831</v>
      </c>
      <c r="F2685" s="665"/>
      <c r="G2685" s="663">
        <v>15</v>
      </c>
      <c r="H2685" s="662" t="s">
        <v>807</v>
      </c>
      <c r="I2685" s="666" t="s">
        <v>859</v>
      </c>
      <c r="J2685" s="667" t="s">
        <v>865</v>
      </c>
      <c r="K2685" s="662">
        <v>4</v>
      </c>
      <c r="L2685" s="685">
        <f t="shared" si="79"/>
        <v>14.1</v>
      </c>
      <c r="M2685" s="686">
        <f t="shared" si="80"/>
        <v>56.4</v>
      </c>
    </row>
    <row r="2686" spans="2:13" s="645" customFormat="1" ht="21.75" customHeight="1">
      <c r="B2686" s="661">
        <v>44452</v>
      </c>
      <c r="C2686" s="662" t="s">
        <v>819</v>
      </c>
      <c r="D2686" s="663" t="s">
        <v>847</v>
      </c>
      <c r="E2686" s="664" t="s">
        <v>831</v>
      </c>
      <c r="F2686" s="665"/>
      <c r="G2686" s="663">
        <v>17</v>
      </c>
      <c r="H2686" s="662" t="s">
        <v>807</v>
      </c>
      <c r="I2686" s="666" t="s">
        <v>859</v>
      </c>
      <c r="J2686" s="667" t="s">
        <v>865</v>
      </c>
      <c r="K2686" s="662">
        <v>4</v>
      </c>
      <c r="L2686" s="685">
        <f t="shared" si="79"/>
        <v>15.98</v>
      </c>
      <c r="M2686" s="686">
        <f t="shared" si="80"/>
        <v>63.92</v>
      </c>
    </row>
    <row r="2687" spans="2:13" s="645" customFormat="1" ht="21.75" customHeight="1">
      <c r="B2687" s="661">
        <v>44452</v>
      </c>
      <c r="C2687" s="662" t="s">
        <v>819</v>
      </c>
      <c r="D2687" s="663" t="s">
        <v>855</v>
      </c>
      <c r="E2687" s="664" t="s">
        <v>831</v>
      </c>
      <c r="F2687" s="665"/>
      <c r="G2687" s="663">
        <v>20</v>
      </c>
      <c r="H2687" s="662" t="s">
        <v>807</v>
      </c>
      <c r="I2687" s="666" t="s">
        <v>859</v>
      </c>
      <c r="J2687" s="667" t="s">
        <v>865</v>
      </c>
      <c r="K2687" s="662">
        <v>3</v>
      </c>
      <c r="L2687" s="685">
        <f t="shared" si="79"/>
        <v>18.8</v>
      </c>
      <c r="M2687" s="686">
        <f t="shared" si="80"/>
        <v>56.400000000000006</v>
      </c>
    </row>
    <row r="2688" spans="2:13" s="645" customFormat="1" ht="21.75" customHeight="1">
      <c r="B2688" s="661">
        <v>44452</v>
      </c>
      <c r="C2688" s="662" t="s">
        <v>819</v>
      </c>
      <c r="D2688" s="663" t="s">
        <v>867</v>
      </c>
      <c r="E2688" s="664" t="s">
        <v>831</v>
      </c>
      <c r="F2688" s="665"/>
      <c r="G2688" s="663">
        <v>20</v>
      </c>
      <c r="H2688" s="662" t="s">
        <v>807</v>
      </c>
      <c r="I2688" s="666" t="s">
        <v>859</v>
      </c>
      <c r="J2688" s="667" t="s">
        <v>865</v>
      </c>
      <c r="K2688" s="662">
        <v>4</v>
      </c>
      <c r="L2688" s="685">
        <f t="shared" si="79"/>
        <v>18.8</v>
      </c>
      <c r="M2688" s="686">
        <f t="shared" si="80"/>
        <v>75.2</v>
      </c>
    </row>
    <row r="2689" spans="2:13" s="645" customFormat="1" ht="21.75" customHeight="1">
      <c r="B2689" s="661">
        <v>44452</v>
      </c>
      <c r="C2689" s="662" t="s">
        <v>819</v>
      </c>
      <c r="D2689" s="663" t="s">
        <v>868</v>
      </c>
      <c r="E2689" s="664" t="s">
        <v>831</v>
      </c>
      <c r="F2689" s="665"/>
      <c r="G2689" s="663">
        <v>20</v>
      </c>
      <c r="H2689" s="662" t="s">
        <v>807</v>
      </c>
      <c r="I2689" s="666" t="s">
        <v>859</v>
      </c>
      <c r="J2689" s="667" t="s">
        <v>865</v>
      </c>
      <c r="K2689" s="662">
        <v>3</v>
      </c>
      <c r="L2689" s="685">
        <f t="shared" si="79"/>
        <v>18.8</v>
      </c>
      <c r="M2689" s="686">
        <f t="shared" si="80"/>
        <v>56.400000000000006</v>
      </c>
    </row>
    <row r="2690" spans="2:13" s="645" customFormat="1" ht="21.75" customHeight="1">
      <c r="B2690" s="661">
        <v>44452</v>
      </c>
      <c r="C2690" s="662" t="s">
        <v>819</v>
      </c>
      <c r="D2690" s="663" t="s">
        <v>869</v>
      </c>
      <c r="E2690" s="664" t="s">
        <v>831</v>
      </c>
      <c r="F2690" s="665"/>
      <c r="G2690" s="663">
        <v>20</v>
      </c>
      <c r="H2690" s="662" t="s">
        <v>807</v>
      </c>
      <c r="I2690" s="666" t="s">
        <v>859</v>
      </c>
      <c r="J2690" s="667" t="s">
        <v>865</v>
      </c>
      <c r="K2690" s="662">
        <v>4</v>
      </c>
      <c r="L2690" s="685">
        <f t="shared" si="79"/>
        <v>18.8</v>
      </c>
      <c r="M2690" s="686">
        <f t="shared" si="80"/>
        <v>75.2</v>
      </c>
    </row>
    <row r="2691" spans="2:13" s="645" customFormat="1" ht="21.75" customHeight="1">
      <c r="B2691" s="661">
        <v>44452</v>
      </c>
      <c r="C2691" s="662" t="s">
        <v>819</v>
      </c>
      <c r="D2691" s="663" t="s">
        <v>870</v>
      </c>
      <c r="E2691" s="664" t="s">
        <v>831</v>
      </c>
      <c r="F2691" s="665"/>
      <c r="G2691" s="663">
        <v>20</v>
      </c>
      <c r="H2691" s="662" t="s">
        <v>807</v>
      </c>
      <c r="I2691" s="666" t="s">
        <v>859</v>
      </c>
      <c r="J2691" s="667" t="s">
        <v>865</v>
      </c>
      <c r="K2691" s="662">
        <v>3</v>
      </c>
      <c r="L2691" s="685">
        <f t="shared" si="79"/>
        <v>18.8</v>
      </c>
      <c r="M2691" s="686">
        <f t="shared" si="80"/>
        <v>56.400000000000006</v>
      </c>
    </row>
    <row r="2692" spans="2:13" s="645" customFormat="1" ht="21.75" customHeight="1">
      <c r="B2692" s="661">
        <v>44452</v>
      </c>
      <c r="C2692" s="662" t="s">
        <v>819</v>
      </c>
      <c r="D2692" s="663" t="s">
        <v>873</v>
      </c>
      <c r="E2692" s="664" t="s">
        <v>831</v>
      </c>
      <c r="F2692" s="665"/>
      <c r="G2692" s="663">
        <v>17</v>
      </c>
      <c r="H2692" s="662" t="s">
        <v>807</v>
      </c>
      <c r="I2692" s="666" t="s">
        <v>859</v>
      </c>
      <c r="J2692" s="667" t="s">
        <v>865</v>
      </c>
      <c r="K2692" s="662">
        <v>4</v>
      </c>
      <c r="L2692" s="685">
        <f t="shared" si="79"/>
        <v>15.98</v>
      </c>
      <c r="M2692" s="686">
        <f t="shared" si="80"/>
        <v>63.92</v>
      </c>
    </row>
    <row r="2693" spans="2:13" s="645" customFormat="1" ht="21.75" customHeight="1">
      <c r="B2693" s="661">
        <v>44452</v>
      </c>
      <c r="C2693" s="662" t="s">
        <v>837</v>
      </c>
      <c r="D2693" s="663" t="s">
        <v>849</v>
      </c>
      <c r="E2693" s="664" t="s">
        <v>831</v>
      </c>
      <c r="F2693" s="665"/>
      <c r="G2693" s="663">
        <v>20</v>
      </c>
      <c r="H2693" s="662" t="s">
        <v>807</v>
      </c>
      <c r="I2693" s="666" t="s">
        <v>859</v>
      </c>
      <c r="J2693" s="667" t="s">
        <v>865</v>
      </c>
      <c r="K2693" s="662">
        <v>1</v>
      </c>
      <c r="L2693" s="685">
        <f t="shared" si="79"/>
        <v>18.8</v>
      </c>
      <c r="M2693" s="686">
        <f t="shared" si="80"/>
        <v>18.8</v>
      </c>
    </row>
    <row r="2694" spans="2:13" s="645" customFormat="1" ht="21.75" customHeight="1">
      <c r="B2694" s="661">
        <v>44452</v>
      </c>
      <c r="C2694" s="662" t="s">
        <v>837</v>
      </c>
      <c r="D2694" s="663" t="s">
        <v>835</v>
      </c>
      <c r="E2694" s="664" t="s">
        <v>831</v>
      </c>
      <c r="F2694" s="665"/>
      <c r="G2694" s="663">
        <v>20</v>
      </c>
      <c r="H2694" s="662" t="s">
        <v>807</v>
      </c>
      <c r="I2694" s="666" t="s">
        <v>859</v>
      </c>
      <c r="J2694" s="667" t="s">
        <v>865</v>
      </c>
      <c r="K2694" s="662">
        <v>2</v>
      </c>
      <c r="L2694" s="685">
        <f t="shared" si="79"/>
        <v>18.8</v>
      </c>
      <c r="M2694" s="686">
        <f t="shared" si="80"/>
        <v>37.6</v>
      </c>
    </row>
    <row r="2695" spans="2:13" s="645" customFormat="1" ht="21.75" customHeight="1">
      <c r="B2695" s="661">
        <v>44452</v>
      </c>
      <c r="C2695" s="662" t="s">
        <v>837</v>
      </c>
      <c r="D2695" s="663" t="s">
        <v>841</v>
      </c>
      <c r="E2695" s="664" t="s">
        <v>831</v>
      </c>
      <c r="F2695" s="665"/>
      <c r="G2695" s="663">
        <v>20</v>
      </c>
      <c r="H2695" s="662" t="s">
        <v>807</v>
      </c>
      <c r="I2695" s="666" t="s">
        <v>859</v>
      </c>
      <c r="J2695" s="667" t="s">
        <v>865</v>
      </c>
      <c r="K2695" s="662">
        <v>11</v>
      </c>
      <c r="L2695" s="685">
        <f t="shared" si="79"/>
        <v>18.8</v>
      </c>
      <c r="M2695" s="686">
        <f t="shared" si="80"/>
        <v>206.8</v>
      </c>
    </row>
    <row r="2696" spans="2:13" s="645" customFormat="1" ht="21.75" customHeight="1">
      <c r="B2696" s="661">
        <v>44452</v>
      </c>
      <c r="C2696" s="662" t="s">
        <v>837</v>
      </c>
      <c r="D2696" s="663" t="s">
        <v>834</v>
      </c>
      <c r="E2696" s="664" t="s">
        <v>831</v>
      </c>
      <c r="F2696" s="665"/>
      <c r="G2696" s="663">
        <v>20</v>
      </c>
      <c r="H2696" s="662" t="s">
        <v>807</v>
      </c>
      <c r="I2696" s="666" t="s">
        <v>859</v>
      </c>
      <c r="J2696" s="667" t="s">
        <v>865</v>
      </c>
      <c r="K2696" s="662">
        <v>11</v>
      </c>
      <c r="L2696" s="685">
        <f t="shared" si="79"/>
        <v>18.8</v>
      </c>
      <c r="M2696" s="686">
        <f t="shared" si="80"/>
        <v>206.8</v>
      </c>
    </row>
    <row r="2697" spans="2:13" s="645" customFormat="1" ht="21.75" customHeight="1">
      <c r="B2697" s="661">
        <v>44452</v>
      </c>
      <c r="C2697" s="662" t="s">
        <v>837</v>
      </c>
      <c r="D2697" s="663" t="s">
        <v>848</v>
      </c>
      <c r="E2697" s="664" t="s">
        <v>831</v>
      </c>
      <c r="F2697" s="665"/>
      <c r="G2697" s="663">
        <v>20</v>
      </c>
      <c r="H2697" s="662" t="s">
        <v>807</v>
      </c>
      <c r="I2697" s="666" t="s">
        <v>859</v>
      </c>
      <c r="J2697" s="667" t="s">
        <v>865</v>
      </c>
      <c r="K2697" s="662">
        <v>1</v>
      </c>
      <c r="L2697" s="685">
        <f t="shared" ref="L2697:L2760" si="81">VLOOKUP(G2697,$Q$4:$V$7,6,FALSE)</f>
        <v>18.8</v>
      </c>
      <c r="M2697" s="686">
        <f t="shared" si="80"/>
        <v>18.8</v>
      </c>
    </row>
    <row r="2698" spans="2:13" s="645" customFormat="1" ht="21.75" customHeight="1">
      <c r="B2698" s="661">
        <v>44452</v>
      </c>
      <c r="C2698" s="662" t="s">
        <v>837</v>
      </c>
      <c r="D2698" s="663" t="s">
        <v>850</v>
      </c>
      <c r="E2698" s="664" t="s">
        <v>831</v>
      </c>
      <c r="F2698" s="665"/>
      <c r="G2698" s="663">
        <v>15</v>
      </c>
      <c r="H2698" s="662" t="s">
        <v>807</v>
      </c>
      <c r="I2698" s="666" t="s">
        <v>859</v>
      </c>
      <c r="J2698" s="667" t="s">
        <v>865</v>
      </c>
      <c r="K2698" s="662">
        <v>1</v>
      </c>
      <c r="L2698" s="685">
        <f t="shared" si="81"/>
        <v>14.1</v>
      </c>
      <c r="M2698" s="686">
        <f t="shared" si="80"/>
        <v>14.1</v>
      </c>
    </row>
    <row r="2699" spans="2:13" s="645" customFormat="1" ht="21.75" customHeight="1">
      <c r="B2699" s="661">
        <v>44452</v>
      </c>
      <c r="C2699" s="662" t="s">
        <v>837</v>
      </c>
      <c r="D2699" s="663" t="s">
        <v>839</v>
      </c>
      <c r="E2699" s="664" t="s">
        <v>831</v>
      </c>
      <c r="F2699" s="665"/>
      <c r="G2699" s="663">
        <v>15</v>
      </c>
      <c r="H2699" s="662" t="s">
        <v>807</v>
      </c>
      <c r="I2699" s="666" t="s">
        <v>859</v>
      </c>
      <c r="J2699" s="667" t="s">
        <v>865</v>
      </c>
      <c r="K2699" s="662">
        <v>1</v>
      </c>
      <c r="L2699" s="685">
        <f t="shared" si="81"/>
        <v>14.1</v>
      </c>
      <c r="M2699" s="686">
        <f t="shared" si="80"/>
        <v>14.1</v>
      </c>
    </row>
    <row r="2700" spans="2:13" s="645" customFormat="1" ht="21.75" customHeight="1">
      <c r="B2700" s="661">
        <v>44452</v>
      </c>
      <c r="C2700" s="662" t="s">
        <v>837</v>
      </c>
      <c r="D2700" s="663" t="s">
        <v>845</v>
      </c>
      <c r="E2700" s="664" t="s">
        <v>831</v>
      </c>
      <c r="F2700" s="665"/>
      <c r="G2700" s="663">
        <v>17</v>
      </c>
      <c r="H2700" s="662" t="s">
        <v>807</v>
      </c>
      <c r="I2700" s="666" t="s">
        <v>859</v>
      </c>
      <c r="J2700" s="667" t="s">
        <v>865</v>
      </c>
      <c r="K2700" s="662">
        <v>11</v>
      </c>
      <c r="L2700" s="685">
        <f t="shared" si="81"/>
        <v>15.98</v>
      </c>
      <c r="M2700" s="686">
        <f t="shared" si="80"/>
        <v>175.78</v>
      </c>
    </row>
    <row r="2701" spans="2:13" s="645" customFormat="1" ht="21.75" customHeight="1">
      <c r="B2701" s="661">
        <v>44452</v>
      </c>
      <c r="C2701" s="662" t="s">
        <v>837</v>
      </c>
      <c r="D2701" s="663" t="s">
        <v>847</v>
      </c>
      <c r="E2701" s="664" t="s">
        <v>831</v>
      </c>
      <c r="F2701" s="665"/>
      <c r="G2701" s="663">
        <v>17</v>
      </c>
      <c r="H2701" s="662" t="s">
        <v>807</v>
      </c>
      <c r="I2701" s="666" t="s">
        <v>859</v>
      </c>
      <c r="J2701" s="667" t="s">
        <v>865</v>
      </c>
      <c r="K2701" s="662">
        <v>11</v>
      </c>
      <c r="L2701" s="685">
        <f t="shared" si="81"/>
        <v>15.98</v>
      </c>
      <c r="M2701" s="686">
        <f t="shared" si="80"/>
        <v>175.78</v>
      </c>
    </row>
    <row r="2702" spans="2:13" s="645" customFormat="1" ht="21.75" customHeight="1">
      <c r="B2702" s="661">
        <v>44452</v>
      </c>
      <c r="C2702" s="662" t="s">
        <v>837</v>
      </c>
      <c r="D2702" s="663" t="s">
        <v>856</v>
      </c>
      <c r="E2702" s="664" t="s">
        <v>831</v>
      </c>
      <c r="F2702" s="665"/>
      <c r="G2702" s="663">
        <v>20</v>
      </c>
      <c r="H2702" s="662" t="s">
        <v>807</v>
      </c>
      <c r="I2702" s="666" t="s">
        <v>859</v>
      </c>
      <c r="J2702" s="667" t="s">
        <v>865</v>
      </c>
      <c r="K2702" s="662">
        <v>1</v>
      </c>
      <c r="L2702" s="685">
        <f t="shared" si="81"/>
        <v>18.8</v>
      </c>
      <c r="M2702" s="686">
        <f t="shared" si="80"/>
        <v>18.8</v>
      </c>
    </row>
    <row r="2703" spans="2:13" s="645" customFormat="1" ht="21.75" customHeight="1">
      <c r="B2703" s="661">
        <v>44452</v>
      </c>
      <c r="C2703" s="662" t="s">
        <v>837</v>
      </c>
      <c r="D2703" s="663" t="s">
        <v>855</v>
      </c>
      <c r="E2703" s="664" t="s">
        <v>831</v>
      </c>
      <c r="F2703" s="665"/>
      <c r="G2703" s="663">
        <v>20</v>
      </c>
      <c r="H2703" s="662" t="s">
        <v>807</v>
      </c>
      <c r="I2703" s="666" t="s">
        <v>859</v>
      </c>
      <c r="J2703" s="667" t="s">
        <v>865</v>
      </c>
      <c r="K2703" s="662">
        <v>1</v>
      </c>
      <c r="L2703" s="685">
        <f t="shared" si="81"/>
        <v>18.8</v>
      </c>
      <c r="M2703" s="686">
        <f t="shared" si="80"/>
        <v>18.8</v>
      </c>
    </row>
    <row r="2704" spans="2:13" s="645" customFormat="1" ht="21.75" customHeight="1">
      <c r="B2704" s="661">
        <v>44452</v>
      </c>
      <c r="C2704" s="662" t="s">
        <v>837</v>
      </c>
      <c r="D2704" s="663" t="s">
        <v>867</v>
      </c>
      <c r="E2704" s="664" t="s">
        <v>831</v>
      </c>
      <c r="F2704" s="665"/>
      <c r="G2704" s="663">
        <v>20</v>
      </c>
      <c r="H2704" s="662" t="s">
        <v>807</v>
      </c>
      <c r="I2704" s="666" t="s">
        <v>859</v>
      </c>
      <c r="J2704" s="667" t="s">
        <v>865</v>
      </c>
      <c r="K2704" s="662">
        <v>2</v>
      </c>
      <c r="L2704" s="685">
        <f t="shared" si="81"/>
        <v>18.8</v>
      </c>
      <c r="M2704" s="686">
        <f t="shared" si="80"/>
        <v>37.6</v>
      </c>
    </row>
    <row r="2705" spans="2:13" s="645" customFormat="1" ht="21.75" customHeight="1">
      <c r="B2705" s="661">
        <v>44452</v>
      </c>
      <c r="C2705" s="662" t="s">
        <v>837</v>
      </c>
      <c r="D2705" s="663" t="s">
        <v>868</v>
      </c>
      <c r="E2705" s="664" t="s">
        <v>831</v>
      </c>
      <c r="F2705" s="665"/>
      <c r="G2705" s="663">
        <v>20</v>
      </c>
      <c r="H2705" s="662" t="s">
        <v>807</v>
      </c>
      <c r="I2705" s="666" t="s">
        <v>859</v>
      </c>
      <c r="J2705" s="667" t="s">
        <v>865</v>
      </c>
      <c r="K2705" s="662">
        <v>12</v>
      </c>
      <c r="L2705" s="685">
        <f t="shared" si="81"/>
        <v>18.8</v>
      </c>
      <c r="M2705" s="686">
        <f t="shared" si="80"/>
        <v>225.60000000000002</v>
      </c>
    </row>
    <row r="2706" spans="2:13" s="645" customFormat="1" ht="21.75" customHeight="1">
      <c r="B2706" s="661">
        <v>44452</v>
      </c>
      <c r="C2706" s="662" t="s">
        <v>837</v>
      </c>
      <c r="D2706" s="663" t="s">
        <v>869</v>
      </c>
      <c r="E2706" s="664" t="s">
        <v>831</v>
      </c>
      <c r="F2706" s="665"/>
      <c r="G2706" s="663">
        <v>20</v>
      </c>
      <c r="H2706" s="662" t="s">
        <v>807</v>
      </c>
      <c r="I2706" s="666" t="s">
        <v>859</v>
      </c>
      <c r="J2706" s="667" t="s">
        <v>865</v>
      </c>
      <c r="K2706" s="662">
        <v>7</v>
      </c>
      <c r="L2706" s="685">
        <f t="shared" si="81"/>
        <v>18.8</v>
      </c>
      <c r="M2706" s="686">
        <f t="shared" si="80"/>
        <v>131.6</v>
      </c>
    </row>
    <row r="2707" spans="2:13" s="645" customFormat="1" ht="21.75" customHeight="1">
      <c r="B2707" s="661">
        <v>44452</v>
      </c>
      <c r="C2707" s="662" t="s">
        <v>837</v>
      </c>
      <c r="D2707" s="663" t="s">
        <v>870</v>
      </c>
      <c r="E2707" s="664" t="s">
        <v>831</v>
      </c>
      <c r="F2707" s="665"/>
      <c r="G2707" s="663">
        <v>20</v>
      </c>
      <c r="H2707" s="662" t="s">
        <v>807</v>
      </c>
      <c r="I2707" s="666" t="s">
        <v>859</v>
      </c>
      <c r="J2707" s="667" t="s">
        <v>865</v>
      </c>
      <c r="K2707" s="662">
        <v>1</v>
      </c>
      <c r="L2707" s="685">
        <f t="shared" si="81"/>
        <v>18.8</v>
      </c>
      <c r="M2707" s="686">
        <f t="shared" si="80"/>
        <v>18.8</v>
      </c>
    </row>
    <row r="2708" spans="2:13" s="645" customFormat="1" ht="21.75" customHeight="1">
      <c r="B2708" s="661">
        <v>44452</v>
      </c>
      <c r="C2708" s="662" t="s">
        <v>837</v>
      </c>
      <c r="D2708" s="663" t="s">
        <v>873</v>
      </c>
      <c r="E2708" s="664" t="s">
        <v>831</v>
      </c>
      <c r="F2708" s="665"/>
      <c r="G2708" s="663">
        <v>17</v>
      </c>
      <c r="H2708" s="662" t="s">
        <v>807</v>
      </c>
      <c r="I2708" s="666" t="s">
        <v>859</v>
      </c>
      <c r="J2708" s="667" t="s">
        <v>865</v>
      </c>
      <c r="K2708" s="662">
        <v>1</v>
      </c>
      <c r="L2708" s="685">
        <f t="shared" si="81"/>
        <v>15.98</v>
      </c>
      <c r="M2708" s="686">
        <f t="shared" si="80"/>
        <v>15.98</v>
      </c>
    </row>
    <row r="2709" spans="2:13" s="645" customFormat="1" ht="21.75" customHeight="1">
      <c r="B2709" s="708">
        <v>44452</v>
      </c>
      <c r="C2709" s="709" t="s">
        <v>819</v>
      </c>
      <c r="D2709" s="710" t="s">
        <v>840</v>
      </c>
      <c r="E2709" s="711" t="s">
        <v>831</v>
      </c>
      <c r="F2709" s="712"/>
      <c r="G2709" s="710">
        <v>20</v>
      </c>
      <c r="H2709" s="709" t="s">
        <v>807</v>
      </c>
      <c r="I2709" s="713" t="s">
        <v>859</v>
      </c>
      <c r="J2709" s="714" t="s">
        <v>802</v>
      </c>
      <c r="K2709" s="709">
        <v>1</v>
      </c>
      <c r="L2709" s="715">
        <f t="shared" si="81"/>
        <v>18.8</v>
      </c>
      <c r="M2709" s="716">
        <f t="shared" si="80"/>
        <v>18.8</v>
      </c>
    </row>
    <row r="2710" spans="2:13" s="645" customFormat="1" ht="21.75" customHeight="1">
      <c r="B2710" s="708">
        <v>44452</v>
      </c>
      <c r="C2710" s="709" t="s">
        <v>819</v>
      </c>
      <c r="D2710" s="710" t="s">
        <v>848</v>
      </c>
      <c r="E2710" s="711" t="s">
        <v>831</v>
      </c>
      <c r="F2710" s="712"/>
      <c r="G2710" s="710">
        <v>20</v>
      </c>
      <c r="H2710" s="709" t="s">
        <v>807</v>
      </c>
      <c r="I2710" s="713" t="s">
        <v>859</v>
      </c>
      <c r="J2710" s="714" t="s">
        <v>802</v>
      </c>
      <c r="K2710" s="709">
        <v>1</v>
      </c>
      <c r="L2710" s="715">
        <f t="shared" si="81"/>
        <v>18.8</v>
      </c>
      <c r="M2710" s="716">
        <f t="shared" si="80"/>
        <v>18.8</v>
      </c>
    </row>
    <row r="2711" spans="2:13" s="645" customFormat="1" ht="21.75" customHeight="1">
      <c r="B2711" s="708">
        <v>44452</v>
      </c>
      <c r="C2711" s="709" t="s">
        <v>819</v>
      </c>
      <c r="D2711" s="710" t="s">
        <v>836</v>
      </c>
      <c r="E2711" s="711" t="s">
        <v>831</v>
      </c>
      <c r="F2711" s="712"/>
      <c r="G2711" s="710">
        <v>20</v>
      </c>
      <c r="H2711" s="709" t="s">
        <v>807</v>
      </c>
      <c r="I2711" s="713" t="s">
        <v>859</v>
      </c>
      <c r="J2711" s="714" t="s">
        <v>802</v>
      </c>
      <c r="K2711" s="709">
        <v>1</v>
      </c>
      <c r="L2711" s="715">
        <f t="shared" si="81"/>
        <v>18.8</v>
      </c>
      <c r="M2711" s="716">
        <f t="shared" si="80"/>
        <v>18.8</v>
      </c>
    </row>
    <row r="2712" spans="2:13" s="645" customFormat="1" ht="21.75" customHeight="1">
      <c r="B2712" s="708">
        <v>44452</v>
      </c>
      <c r="C2712" s="709" t="s">
        <v>819</v>
      </c>
      <c r="D2712" s="710" t="s">
        <v>830</v>
      </c>
      <c r="E2712" s="711" t="s">
        <v>831</v>
      </c>
      <c r="F2712" s="712"/>
      <c r="G2712" s="710">
        <v>15</v>
      </c>
      <c r="H2712" s="709" t="s">
        <v>807</v>
      </c>
      <c r="I2712" s="713" t="s">
        <v>859</v>
      </c>
      <c r="J2712" s="714" t="s">
        <v>802</v>
      </c>
      <c r="K2712" s="709">
        <v>2</v>
      </c>
      <c r="L2712" s="715">
        <f t="shared" si="81"/>
        <v>14.1</v>
      </c>
      <c r="M2712" s="716">
        <f t="shared" si="80"/>
        <v>28.2</v>
      </c>
    </row>
    <row r="2713" spans="2:13" s="645" customFormat="1" ht="21.75" customHeight="1">
      <c r="B2713" s="708">
        <v>44452</v>
      </c>
      <c r="C2713" s="709" t="s">
        <v>819</v>
      </c>
      <c r="D2713" s="710" t="s">
        <v>839</v>
      </c>
      <c r="E2713" s="711" t="s">
        <v>831</v>
      </c>
      <c r="F2713" s="712"/>
      <c r="G2713" s="710">
        <v>15</v>
      </c>
      <c r="H2713" s="709" t="s">
        <v>807</v>
      </c>
      <c r="I2713" s="713" t="s">
        <v>859</v>
      </c>
      <c r="J2713" s="714" t="s">
        <v>802</v>
      </c>
      <c r="K2713" s="709">
        <v>1</v>
      </c>
      <c r="L2713" s="715">
        <f t="shared" si="81"/>
        <v>14.1</v>
      </c>
      <c r="M2713" s="716">
        <f t="shared" si="80"/>
        <v>14.1</v>
      </c>
    </row>
    <row r="2714" spans="2:13" s="645" customFormat="1" ht="21.75" customHeight="1">
      <c r="B2714" s="708">
        <v>44452</v>
      </c>
      <c r="C2714" s="709" t="s">
        <v>819</v>
      </c>
      <c r="D2714" s="710" t="s">
        <v>847</v>
      </c>
      <c r="E2714" s="711" t="s">
        <v>831</v>
      </c>
      <c r="F2714" s="712"/>
      <c r="G2714" s="710">
        <v>17</v>
      </c>
      <c r="H2714" s="709" t="s">
        <v>807</v>
      </c>
      <c r="I2714" s="713" t="s">
        <v>859</v>
      </c>
      <c r="J2714" s="714" t="s">
        <v>802</v>
      </c>
      <c r="K2714" s="709">
        <v>1</v>
      </c>
      <c r="L2714" s="715">
        <f t="shared" si="81"/>
        <v>15.98</v>
      </c>
      <c r="M2714" s="716">
        <f t="shared" si="80"/>
        <v>15.98</v>
      </c>
    </row>
    <row r="2715" spans="2:13" s="645" customFormat="1" ht="21.75" customHeight="1">
      <c r="B2715" s="708">
        <v>44452</v>
      </c>
      <c r="C2715" s="709" t="s">
        <v>819</v>
      </c>
      <c r="D2715" s="710" t="s">
        <v>855</v>
      </c>
      <c r="E2715" s="711" t="s">
        <v>831</v>
      </c>
      <c r="F2715" s="712"/>
      <c r="G2715" s="710">
        <v>20</v>
      </c>
      <c r="H2715" s="709" t="s">
        <v>807</v>
      </c>
      <c r="I2715" s="713" t="s">
        <v>859</v>
      </c>
      <c r="J2715" s="714" t="s">
        <v>802</v>
      </c>
      <c r="K2715" s="709">
        <v>2</v>
      </c>
      <c r="L2715" s="715">
        <f t="shared" si="81"/>
        <v>18.8</v>
      </c>
      <c r="M2715" s="716">
        <f t="shared" si="80"/>
        <v>37.6</v>
      </c>
    </row>
    <row r="2716" spans="2:13" s="645" customFormat="1" ht="21.75" customHeight="1">
      <c r="B2716" s="708">
        <v>44452</v>
      </c>
      <c r="C2716" s="709" t="s">
        <v>819</v>
      </c>
      <c r="D2716" s="710" t="s">
        <v>867</v>
      </c>
      <c r="E2716" s="711" t="s">
        <v>831</v>
      </c>
      <c r="F2716" s="712"/>
      <c r="G2716" s="710">
        <v>20</v>
      </c>
      <c r="H2716" s="709" t="s">
        <v>807</v>
      </c>
      <c r="I2716" s="713" t="s">
        <v>859</v>
      </c>
      <c r="J2716" s="714" t="s">
        <v>802</v>
      </c>
      <c r="K2716" s="709">
        <v>1</v>
      </c>
      <c r="L2716" s="715">
        <f t="shared" si="81"/>
        <v>18.8</v>
      </c>
      <c r="M2716" s="716">
        <f t="shared" si="80"/>
        <v>18.8</v>
      </c>
    </row>
    <row r="2717" spans="2:13" s="645" customFormat="1" ht="21.75" customHeight="1">
      <c r="B2717" s="708">
        <v>44452</v>
      </c>
      <c r="C2717" s="709" t="s">
        <v>819</v>
      </c>
      <c r="D2717" s="710" t="s">
        <v>870</v>
      </c>
      <c r="E2717" s="711" t="s">
        <v>831</v>
      </c>
      <c r="F2717" s="712"/>
      <c r="G2717" s="710">
        <v>20</v>
      </c>
      <c r="H2717" s="709" t="s">
        <v>807</v>
      </c>
      <c r="I2717" s="713" t="s">
        <v>859</v>
      </c>
      <c r="J2717" s="714" t="s">
        <v>802</v>
      </c>
      <c r="K2717" s="709">
        <v>2</v>
      </c>
      <c r="L2717" s="715">
        <f t="shared" si="81"/>
        <v>18.8</v>
      </c>
      <c r="M2717" s="716">
        <f t="shared" si="80"/>
        <v>37.6</v>
      </c>
    </row>
    <row r="2718" spans="2:13" s="645" customFormat="1" ht="21.75" customHeight="1">
      <c r="B2718" s="708">
        <v>44452</v>
      </c>
      <c r="C2718" s="709" t="s">
        <v>819</v>
      </c>
      <c r="D2718" s="710" t="s">
        <v>873</v>
      </c>
      <c r="E2718" s="711" t="s">
        <v>831</v>
      </c>
      <c r="F2718" s="712"/>
      <c r="G2718" s="710">
        <v>17</v>
      </c>
      <c r="H2718" s="709" t="s">
        <v>807</v>
      </c>
      <c r="I2718" s="713" t="s">
        <v>859</v>
      </c>
      <c r="J2718" s="714" t="s">
        <v>802</v>
      </c>
      <c r="K2718" s="709">
        <v>1</v>
      </c>
      <c r="L2718" s="715">
        <f t="shared" si="81"/>
        <v>15.98</v>
      </c>
      <c r="M2718" s="716">
        <f t="shared" si="80"/>
        <v>15.98</v>
      </c>
    </row>
    <row r="2719" spans="2:13" s="645" customFormat="1" ht="21.75" customHeight="1">
      <c r="B2719" s="708">
        <v>44452</v>
      </c>
      <c r="C2719" s="709" t="s">
        <v>837</v>
      </c>
      <c r="D2719" s="710" t="s">
        <v>849</v>
      </c>
      <c r="E2719" s="711" t="s">
        <v>831</v>
      </c>
      <c r="F2719" s="712"/>
      <c r="G2719" s="710">
        <v>20</v>
      </c>
      <c r="H2719" s="709" t="s">
        <v>807</v>
      </c>
      <c r="I2719" s="713" t="s">
        <v>859</v>
      </c>
      <c r="J2719" s="714" t="s">
        <v>802</v>
      </c>
      <c r="K2719" s="709">
        <v>12</v>
      </c>
      <c r="L2719" s="715">
        <f t="shared" si="81"/>
        <v>18.8</v>
      </c>
      <c r="M2719" s="716">
        <f t="shared" si="80"/>
        <v>225.60000000000002</v>
      </c>
    </row>
    <row r="2720" spans="2:13" s="645" customFormat="1" ht="21.75" customHeight="1">
      <c r="B2720" s="708">
        <v>44452</v>
      </c>
      <c r="C2720" s="709" t="s">
        <v>837</v>
      </c>
      <c r="D2720" s="710" t="s">
        <v>835</v>
      </c>
      <c r="E2720" s="711" t="s">
        <v>831</v>
      </c>
      <c r="F2720" s="712"/>
      <c r="G2720" s="710">
        <v>20</v>
      </c>
      <c r="H2720" s="709" t="s">
        <v>807</v>
      </c>
      <c r="I2720" s="713" t="s">
        <v>859</v>
      </c>
      <c r="J2720" s="714" t="s">
        <v>802</v>
      </c>
      <c r="K2720" s="709">
        <v>12</v>
      </c>
      <c r="L2720" s="715">
        <f t="shared" si="81"/>
        <v>18.8</v>
      </c>
      <c r="M2720" s="716">
        <f t="shared" si="80"/>
        <v>225.60000000000002</v>
      </c>
    </row>
    <row r="2721" spans="2:13" s="645" customFormat="1" ht="21.75" customHeight="1">
      <c r="B2721" s="708">
        <v>44452</v>
      </c>
      <c r="C2721" s="709" t="s">
        <v>837</v>
      </c>
      <c r="D2721" s="710" t="s">
        <v>841</v>
      </c>
      <c r="E2721" s="711" t="s">
        <v>831</v>
      </c>
      <c r="F2721" s="712"/>
      <c r="G2721" s="710">
        <v>20</v>
      </c>
      <c r="H2721" s="709" t="s">
        <v>807</v>
      </c>
      <c r="I2721" s="713" t="s">
        <v>859</v>
      </c>
      <c r="J2721" s="714" t="s">
        <v>802</v>
      </c>
      <c r="K2721" s="709">
        <v>4</v>
      </c>
      <c r="L2721" s="715">
        <f t="shared" si="81"/>
        <v>18.8</v>
      </c>
      <c r="M2721" s="716">
        <f t="shared" si="80"/>
        <v>75.2</v>
      </c>
    </row>
    <row r="2722" spans="2:13" s="645" customFormat="1" ht="21.75" customHeight="1">
      <c r="B2722" s="708">
        <v>44452</v>
      </c>
      <c r="C2722" s="709" t="s">
        <v>837</v>
      </c>
      <c r="D2722" s="710" t="s">
        <v>834</v>
      </c>
      <c r="E2722" s="711" t="s">
        <v>831</v>
      </c>
      <c r="F2722" s="712"/>
      <c r="G2722" s="710">
        <v>20</v>
      </c>
      <c r="H2722" s="709" t="s">
        <v>807</v>
      </c>
      <c r="I2722" s="713" t="s">
        <v>859</v>
      </c>
      <c r="J2722" s="714" t="s">
        <v>802</v>
      </c>
      <c r="K2722" s="709">
        <v>4</v>
      </c>
      <c r="L2722" s="715">
        <f t="shared" si="81"/>
        <v>18.8</v>
      </c>
      <c r="M2722" s="716">
        <f t="shared" si="80"/>
        <v>75.2</v>
      </c>
    </row>
    <row r="2723" spans="2:13" s="645" customFormat="1" ht="21.75" customHeight="1">
      <c r="B2723" s="708">
        <v>44452</v>
      </c>
      <c r="C2723" s="709" t="s">
        <v>837</v>
      </c>
      <c r="D2723" s="710" t="s">
        <v>848</v>
      </c>
      <c r="E2723" s="711" t="s">
        <v>831</v>
      </c>
      <c r="F2723" s="712"/>
      <c r="G2723" s="710">
        <v>20</v>
      </c>
      <c r="H2723" s="709" t="s">
        <v>807</v>
      </c>
      <c r="I2723" s="713" t="s">
        <v>859</v>
      </c>
      <c r="J2723" s="714" t="s">
        <v>802</v>
      </c>
      <c r="K2723" s="709">
        <v>12</v>
      </c>
      <c r="L2723" s="715">
        <f t="shared" si="81"/>
        <v>18.8</v>
      </c>
      <c r="M2723" s="716">
        <f t="shared" si="80"/>
        <v>225.60000000000002</v>
      </c>
    </row>
    <row r="2724" spans="2:13" s="645" customFormat="1" ht="21.75" customHeight="1">
      <c r="B2724" s="708">
        <v>44452</v>
      </c>
      <c r="C2724" s="709" t="s">
        <v>837</v>
      </c>
      <c r="D2724" s="710" t="s">
        <v>850</v>
      </c>
      <c r="E2724" s="711" t="s">
        <v>831</v>
      </c>
      <c r="F2724" s="712"/>
      <c r="G2724" s="710">
        <v>15</v>
      </c>
      <c r="H2724" s="709" t="s">
        <v>807</v>
      </c>
      <c r="I2724" s="713" t="s">
        <v>859</v>
      </c>
      <c r="J2724" s="714" t="s">
        <v>802</v>
      </c>
      <c r="K2724" s="709">
        <v>2</v>
      </c>
      <c r="L2724" s="715">
        <f t="shared" si="81"/>
        <v>14.1</v>
      </c>
      <c r="M2724" s="716">
        <f t="shared" si="80"/>
        <v>28.2</v>
      </c>
    </row>
    <row r="2725" spans="2:13" s="645" customFormat="1" ht="21.75" customHeight="1">
      <c r="B2725" s="708">
        <v>44452</v>
      </c>
      <c r="C2725" s="709" t="s">
        <v>837</v>
      </c>
      <c r="D2725" s="710" t="s">
        <v>839</v>
      </c>
      <c r="E2725" s="711" t="s">
        <v>831</v>
      </c>
      <c r="F2725" s="712"/>
      <c r="G2725" s="710">
        <v>15</v>
      </c>
      <c r="H2725" s="709" t="s">
        <v>807</v>
      </c>
      <c r="I2725" s="713" t="s">
        <v>859</v>
      </c>
      <c r="J2725" s="714" t="s">
        <v>802</v>
      </c>
      <c r="K2725" s="709">
        <v>12</v>
      </c>
      <c r="L2725" s="715">
        <f t="shared" si="81"/>
        <v>14.1</v>
      </c>
      <c r="M2725" s="716">
        <f t="shared" si="80"/>
        <v>169.2</v>
      </c>
    </row>
    <row r="2726" spans="2:13" s="645" customFormat="1" ht="21.75" customHeight="1">
      <c r="B2726" s="708">
        <v>44452</v>
      </c>
      <c r="C2726" s="709" t="s">
        <v>837</v>
      </c>
      <c r="D2726" s="710" t="s">
        <v>845</v>
      </c>
      <c r="E2726" s="711" t="s">
        <v>831</v>
      </c>
      <c r="F2726" s="712"/>
      <c r="G2726" s="710">
        <v>17</v>
      </c>
      <c r="H2726" s="709" t="s">
        <v>807</v>
      </c>
      <c r="I2726" s="713" t="s">
        <v>859</v>
      </c>
      <c r="J2726" s="714" t="s">
        <v>802</v>
      </c>
      <c r="K2726" s="709">
        <v>4</v>
      </c>
      <c r="L2726" s="715">
        <f t="shared" si="81"/>
        <v>15.98</v>
      </c>
      <c r="M2726" s="716">
        <f t="shared" si="80"/>
        <v>63.92</v>
      </c>
    </row>
    <row r="2727" spans="2:13" s="645" customFormat="1" ht="21.75" customHeight="1">
      <c r="B2727" s="708">
        <v>44452</v>
      </c>
      <c r="C2727" s="709" t="s">
        <v>837</v>
      </c>
      <c r="D2727" s="710" t="s">
        <v>847</v>
      </c>
      <c r="E2727" s="711" t="s">
        <v>831</v>
      </c>
      <c r="F2727" s="712"/>
      <c r="G2727" s="710">
        <v>17</v>
      </c>
      <c r="H2727" s="709" t="s">
        <v>807</v>
      </c>
      <c r="I2727" s="713" t="s">
        <v>859</v>
      </c>
      <c r="J2727" s="714" t="s">
        <v>802</v>
      </c>
      <c r="K2727" s="709">
        <v>3</v>
      </c>
      <c r="L2727" s="715">
        <f t="shared" si="81"/>
        <v>15.98</v>
      </c>
      <c r="M2727" s="716">
        <f t="shared" ref="M2727:M2790" si="82">L2727*K2727</f>
        <v>47.94</v>
      </c>
    </row>
    <row r="2728" spans="2:13" s="645" customFormat="1" ht="21.75" customHeight="1">
      <c r="B2728" s="708">
        <v>44452</v>
      </c>
      <c r="C2728" s="709" t="s">
        <v>837</v>
      </c>
      <c r="D2728" s="710" t="s">
        <v>856</v>
      </c>
      <c r="E2728" s="711" t="s">
        <v>831</v>
      </c>
      <c r="F2728" s="712"/>
      <c r="G2728" s="710">
        <v>20</v>
      </c>
      <c r="H2728" s="709" t="s">
        <v>807</v>
      </c>
      <c r="I2728" s="713" t="s">
        <v>859</v>
      </c>
      <c r="J2728" s="714" t="s">
        <v>802</v>
      </c>
      <c r="K2728" s="709">
        <v>13</v>
      </c>
      <c r="L2728" s="715">
        <f t="shared" si="81"/>
        <v>18.8</v>
      </c>
      <c r="M2728" s="716">
        <f t="shared" si="82"/>
        <v>244.4</v>
      </c>
    </row>
    <row r="2729" spans="2:13" s="645" customFormat="1" ht="21.75" customHeight="1">
      <c r="B2729" s="708">
        <v>44452</v>
      </c>
      <c r="C2729" s="709" t="s">
        <v>837</v>
      </c>
      <c r="D2729" s="710" t="s">
        <v>855</v>
      </c>
      <c r="E2729" s="711" t="s">
        <v>831</v>
      </c>
      <c r="F2729" s="712"/>
      <c r="G2729" s="710">
        <v>20</v>
      </c>
      <c r="H2729" s="709" t="s">
        <v>807</v>
      </c>
      <c r="I2729" s="713" t="s">
        <v>859</v>
      </c>
      <c r="J2729" s="714" t="s">
        <v>802</v>
      </c>
      <c r="K2729" s="709">
        <v>12</v>
      </c>
      <c r="L2729" s="715">
        <f t="shared" si="81"/>
        <v>18.8</v>
      </c>
      <c r="M2729" s="716">
        <f t="shared" si="82"/>
        <v>225.60000000000002</v>
      </c>
    </row>
    <row r="2730" spans="2:13" s="645" customFormat="1" ht="21.75" customHeight="1">
      <c r="B2730" s="708">
        <v>44452</v>
      </c>
      <c r="C2730" s="709" t="s">
        <v>837</v>
      </c>
      <c r="D2730" s="710" t="s">
        <v>867</v>
      </c>
      <c r="E2730" s="711" t="s">
        <v>831</v>
      </c>
      <c r="F2730" s="712"/>
      <c r="G2730" s="710">
        <v>20</v>
      </c>
      <c r="H2730" s="709" t="s">
        <v>807</v>
      </c>
      <c r="I2730" s="713" t="s">
        <v>859</v>
      </c>
      <c r="J2730" s="714" t="s">
        <v>802</v>
      </c>
      <c r="K2730" s="709">
        <v>10</v>
      </c>
      <c r="L2730" s="715">
        <f t="shared" si="81"/>
        <v>18.8</v>
      </c>
      <c r="M2730" s="716">
        <f t="shared" si="82"/>
        <v>188</v>
      </c>
    </row>
    <row r="2731" spans="2:13" s="645" customFormat="1" ht="21.75" customHeight="1">
      <c r="B2731" s="708">
        <v>44452</v>
      </c>
      <c r="C2731" s="709" t="s">
        <v>837</v>
      </c>
      <c r="D2731" s="710" t="s">
        <v>868</v>
      </c>
      <c r="E2731" s="711" t="s">
        <v>831</v>
      </c>
      <c r="F2731" s="712"/>
      <c r="G2731" s="710">
        <v>20</v>
      </c>
      <c r="H2731" s="709" t="s">
        <v>807</v>
      </c>
      <c r="I2731" s="713" t="s">
        <v>859</v>
      </c>
      <c r="J2731" s="714" t="s">
        <v>802</v>
      </c>
      <c r="K2731" s="709">
        <v>4</v>
      </c>
      <c r="L2731" s="715">
        <f t="shared" si="81"/>
        <v>18.8</v>
      </c>
      <c r="M2731" s="716">
        <f t="shared" si="82"/>
        <v>75.2</v>
      </c>
    </row>
    <row r="2732" spans="2:13" s="645" customFormat="1" ht="21.75" customHeight="1">
      <c r="B2732" s="708">
        <v>44452</v>
      </c>
      <c r="C2732" s="709" t="s">
        <v>837</v>
      </c>
      <c r="D2732" s="710" t="s">
        <v>869</v>
      </c>
      <c r="E2732" s="711" t="s">
        <v>831</v>
      </c>
      <c r="F2732" s="712"/>
      <c r="G2732" s="710">
        <v>20</v>
      </c>
      <c r="H2732" s="709" t="s">
        <v>807</v>
      </c>
      <c r="I2732" s="713" t="s">
        <v>859</v>
      </c>
      <c r="J2732" s="714" t="s">
        <v>802</v>
      </c>
      <c r="K2732" s="709">
        <v>2</v>
      </c>
      <c r="L2732" s="715">
        <f t="shared" si="81"/>
        <v>18.8</v>
      </c>
      <c r="M2732" s="716">
        <f t="shared" si="82"/>
        <v>37.6</v>
      </c>
    </row>
    <row r="2733" spans="2:13" s="645" customFormat="1" ht="21.75" customHeight="1">
      <c r="B2733" s="708">
        <v>44452</v>
      </c>
      <c r="C2733" s="709" t="s">
        <v>837</v>
      </c>
      <c r="D2733" s="710" t="s">
        <v>870</v>
      </c>
      <c r="E2733" s="711" t="s">
        <v>831</v>
      </c>
      <c r="F2733" s="712"/>
      <c r="G2733" s="710">
        <v>20</v>
      </c>
      <c r="H2733" s="709" t="s">
        <v>807</v>
      </c>
      <c r="I2733" s="713" t="s">
        <v>859</v>
      </c>
      <c r="J2733" s="714" t="s">
        <v>802</v>
      </c>
      <c r="K2733" s="709">
        <v>13</v>
      </c>
      <c r="L2733" s="715">
        <f t="shared" si="81"/>
        <v>18.8</v>
      </c>
      <c r="M2733" s="716">
        <f t="shared" si="82"/>
        <v>244.4</v>
      </c>
    </row>
    <row r="2734" spans="2:13" s="645" customFormat="1" ht="21.75" customHeight="1">
      <c r="B2734" s="708">
        <v>44452</v>
      </c>
      <c r="C2734" s="709" t="s">
        <v>837</v>
      </c>
      <c r="D2734" s="710" t="s">
        <v>873</v>
      </c>
      <c r="E2734" s="711" t="s">
        <v>831</v>
      </c>
      <c r="F2734" s="712"/>
      <c r="G2734" s="710">
        <v>17</v>
      </c>
      <c r="H2734" s="709" t="s">
        <v>807</v>
      </c>
      <c r="I2734" s="713" t="s">
        <v>859</v>
      </c>
      <c r="J2734" s="714" t="s">
        <v>802</v>
      </c>
      <c r="K2734" s="709">
        <v>12</v>
      </c>
      <c r="L2734" s="715">
        <f t="shared" si="81"/>
        <v>15.98</v>
      </c>
      <c r="M2734" s="716">
        <f t="shared" si="82"/>
        <v>191.76</v>
      </c>
    </row>
    <row r="2735" spans="2:13" s="645" customFormat="1" ht="21.75" customHeight="1">
      <c r="B2735" s="661">
        <v>44453</v>
      </c>
      <c r="C2735" s="662" t="s">
        <v>819</v>
      </c>
      <c r="D2735" s="663" t="s">
        <v>836</v>
      </c>
      <c r="E2735" s="664" t="s">
        <v>831</v>
      </c>
      <c r="F2735" s="665"/>
      <c r="G2735" s="663">
        <v>20</v>
      </c>
      <c r="H2735" s="662" t="s">
        <v>807</v>
      </c>
      <c r="I2735" s="666" t="s">
        <v>859</v>
      </c>
      <c r="J2735" s="667" t="s">
        <v>805</v>
      </c>
      <c r="K2735" s="662">
        <v>7</v>
      </c>
      <c r="L2735" s="685">
        <f t="shared" si="81"/>
        <v>18.8</v>
      </c>
      <c r="M2735" s="686">
        <f t="shared" si="82"/>
        <v>131.6</v>
      </c>
    </row>
    <row r="2736" spans="2:13" s="645" customFormat="1" ht="21.75" customHeight="1">
      <c r="B2736" s="661">
        <v>44453</v>
      </c>
      <c r="C2736" s="662" t="s">
        <v>819</v>
      </c>
      <c r="D2736" s="663" t="s">
        <v>850</v>
      </c>
      <c r="E2736" s="664" t="s">
        <v>831</v>
      </c>
      <c r="F2736" s="665"/>
      <c r="G2736" s="663">
        <v>15</v>
      </c>
      <c r="H2736" s="662" t="s">
        <v>807</v>
      </c>
      <c r="I2736" s="666" t="s">
        <v>859</v>
      </c>
      <c r="J2736" s="667" t="s">
        <v>805</v>
      </c>
      <c r="K2736" s="662">
        <v>12</v>
      </c>
      <c r="L2736" s="685">
        <f t="shared" si="81"/>
        <v>14.1</v>
      </c>
      <c r="M2736" s="686">
        <f t="shared" si="82"/>
        <v>169.2</v>
      </c>
    </row>
    <row r="2737" spans="2:13" s="645" customFormat="1" ht="21.75" customHeight="1">
      <c r="B2737" s="661">
        <v>44453</v>
      </c>
      <c r="C2737" s="662" t="s">
        <v>819</v>
      </c>
      <c r="D2737" s="663" t="s">
        <v>839</v>
      </c>
      <c r="E2737" s="664" t="s">
        <v>831</v>
      </c>
      <c r="F2737" s="665"/>
      <c r="G2737" s="663">
        <v>15</v>
      </c>
      <c r="H2737" s="662" t="s">
        <v>807</v>
      </c>
      <c r="I2737" s="666" t="s">
        <v>859</v>
      </c>
      <c r="J2737" s="667" t="s">
        <v>805</v>
      </c>
      <c r="K2737" s="662">
        <v>8</v>
      </c>
      <c r="L2737" s="685">
        <f t="shared" si="81"/>
        <v>14.1</v>
      </c>
      <c r="M2737" s="686">
        <f t="shared" si="82"/>
        <v>112.8</v>
      </c>
    </row>
    <row r="2738" spans="2:13" s="645" customFormat="1" ht="21.75" customHeight="1">
      <c r="B2738" s="661">
        <v>44453</v>
      </c>
      <c r="C2738" s="662" t="s">
        <v>819</v>
      </c>
      <c r="D2738" s="663" t="s">
        <v>847</v>
      </c>
      <c r="E2738" s="664" t="s">
        <v>831</v>
      </c>
      <c r="F2738" s="665"/>
      <c r="G2738" s="663">
        <v>17</v>
      </c>
      <c r="H2738" s="662" t="s">
        <v>807</v>
      </c>
      <c r="I2738" s="666" t="s">
        <v>859</v>
      </c>
      <c r="J2738" s="667" t="s">
        <v>805</v>
      </c>
      <c r="K2738" s="662">
        <v>3</v>
      </c>
      <c r="L2738" s="685">
        <f t="shared" si="81"/>
        <v>15.98</v>
      </c>
      <c r="M2738" s="686">
        <f t="shared" si="82"/>
        <v>47.94</v>
      </c>
    </row>
    <row r="2739" spans="2:13" s="645" customFormat="1" ht="21.75" customHeight="1">
      <c r="B2739" s="661">
        <v>44453</v>
      </c>
      <c r="C2739" s="662" t="s">
        <v>819</v>
      </c>
      <c r="D2739" s="663" t="s">
        <v>855</v>
      </c>
      <c r="E2739" s="664" t="s">
        <v>831</v>
      </c>
      <c r="F2739" s="665"/>
      <c r="G2739" s="663">
        <v>20</v>
      </c>
      <c r="H2739" s="662" t="s">
        <v>807</v>
      </c>
      <c r="I2739" s="666" t="s">
        <v>859</v>
      </c>
      <c r="J2739" s="667" t="s">
        <v>805</v>
      </c>
      <c r="K2739" s="662">
        <v>1</v>
      </c>
      <c r="L2739" s="685">
        <f t="shared" si="81"/>
        <v>18.8</v>
      </c>
      <c r="M2739" s="686">
        <f t="shared" si="82"/>
        <v>18.8</v>
      </c>
    </row>
    <row r="2740" spans="2:13" s="645" customFormat="1" ht="21.75" customHeight="1">
      <c r="B2740" s="661">
        <v>44453</v>
      </c>
      <c r="C2740" s="662" t="s">
        <v>819</v>
      </c>
      <c r="D2740" s="663" t="s">
        <v>868</v>
      </c>
      <c r="E2740" s="664" t="s">
        <v>831</v>
      </c>
      <c r="F2740" s="665"/>
      <c r="G2740" s="663">
        <v>20</v>
      </c>
      <c r="H2740" s="662" t="s">
        <v>807</v>
      </c>
      <c r="I2740" s="666" t="s">
        <v>859</v>
      </c>
      <c r="J2740" s="667" t="s">
        <v>805</v>
      </c>
      <c r="K2740" s="662">
        <v>11</v>
      </c>
      <c r="L2740" s="685">
        <f t="shared" si="81"/>
        <v>18.8</v>
      </c>
      <c r="M2740" s="686">
        <f t="shared" si="82"/>
        <v>206.8</v>
      </c>
    </row>
    <row r="2741" spans="2:13" s="645" customFormat="1" ht="21.75" customHeight="1">
      <c r="B2741" s="661">
        <v>44453</v>
      </c>
      <c r="C2741" s="662" t="s">
        <v>819</v>
      </c>
      <c r="D2741" s="663" t="s">
        <v>873</v>
      </c>
      <c r="E2741" s="664" t="s">
        <v>831</v>
      </c>
      <c r="F2741" s="665"/>
      <c r="G2741" s="663">
        <v>17</v>
      </c>
      <c r="H2741" s="662" t="s">
        <v>807</v>
      </c>
      <c r="I2741" s="666" t="s">
        <v>859</v>
      </c>
      <c r="J2741" s="667" t="s">
        <v>805</v>
      </c>
      <c r="K2741" s="662">
        <v>2</v>
      </c>
      <c r="L2741" s="685">
        <f t="shared" si="81"/>
        <v>15.98</v>
      </c>
      <c r="M2741" s="686">
        <f t="shared" si="82"/>
        <v>31.96</v>
      </c>
    </row>
    <row r="2742" spans="2:13" s="645" customFormat="1" ht="21.75" customHeight="1">
      <c r="B2742" s="661">
        <v>44453</v>
      </c>
      <c r="C2742" s="662" t="s">
        <v>819</v>
      </c>
      <c r="D2742" s="663" t="s">
        <v>840</v>
      </c>
      <c r="E2742" s="664" t="s">
        <v>831</v>
      </c>
      <c r="F2742" s="665"/>
      <c r="G2742" s="663">
        <v>20</v>
      </c>
      <c r="H2742" s="662" t="s">
        <v>807</v>
      </c>
      <c r="I2742" s="666" t="s">
        <v>859</v>
      </c>
      <c r="J2742" s="667" t="s">
        <v>865</v>
      </c>
      <c r="K2742" s="662">
        <v>9</v>
      </c>
      <c r="L2742" s="685">
        <f t="shared" si="81"/>
        <v>18.8</v>
      </c>
      <c r="M2742" s="686">
        <f t="shared" si="82"/>
        <v>169.20000000000002</v>
      </c>
    </row>
    <row r="2743" spans="2:13" s="645" customFormat="1" ht="21.75" customHeight="1">
      <c r="B2743" s="661">
        <v>44453</v>
      </c>
      <c r="C2743" s="662" t="s">
        <v>819</v>
      </c>
      <c r="D2743" s="663" t="s">
        <v>848</v>
      </c>
      <c r="E2743" s="664" t="s">
        <v>831</v>
      </c>
      <c r="F2743" s="665"/>
      <c r="G2743" s="663">
        <v>20</v>
      </c>
      <c r="H2743" s="662" t="s">
        <v>807</v>
      </c>
      <c r="I2743" s="666" t="s">
        <v>859</v>
      </c>
      <c r="J2743" s="667" t="s">
        <v>865</v>
      </c>
      <c r="K2743" s="662">
        <v>11</v>
      </c>
      <c r="L2743" s="685">
        <f t="shared" si="81"/>
        <v>18.8</v>
      </c>
      <c r="M2743" s="686">
        <f t="shared" si="82"/>
        <v>206.8</v>
      </c>
    </row>
    <row r="2744" spans="2:13" s="645" customFormat="1" ht="21.75" customHeight="1">
      <c r="B2744" s="661">
        <v>44453</v>
      </c>
      <c r="C2744" s="662" t="s">
        <v>819</v>
      </c>
      <c r="D2744" s="663" t="s">
        <v>836</v>
      </c>
      <c r="E2744" s="664" t="s">
        <v>831</v>
      </c>
      <c r="F2744" s="665"/>
      <c r="G2744" s="663">
        <v>20</v>
      </c>
      <c r="H2744" s="662" t="s">
        <v>807</v>
      </c>
      <c r="I2744" s="666" t="s">
        <v>859</v>
      </c>
      <c r="J2744" s="667" t="s">
        <v>865</v>
      </c>
      <c r="K2744" s="662">
        <v>4</v>
      </c>
      <c r="L2744" s="685">
        <f t="shared" si="81"/>
        <v>18.8</v>
      </c>
      <c r="M2744" s="686">
        <f t="shared" si="82"/>
        <v>75.2</v>
      </c>
    </row>
    <row r="2745" spans="2:13" s="645" customFormat="1" ht="21.75" customHeight="1">
      <c r="B2745" s="661">
        <v>44453</v>
      </c>
      <c r="C2745" s="662" t="s">
        <v>819</v>
      </c>
      <c r="D2745" s="663" t="s">
        <v>830</v>
      </c>
      <c r="E2745" s="664" t="s">
        <v>831</v>
      </c>
      <c r="F2745" s="665"/>
      <c r="G2745" s="663">
        <v>15</v>
      </c>
      <c r="H2745" s="662" t="s">
        <v>807</v>
      </c>
      <c r="I2745" s="666" t="s">
        <v>859</v>
      </c>
      <c r="J2745" s="667" t="s">
        <v>865</v>
      </c>
      <c r="K2745" s="662">
        <v>11</v>
      </c>
      <c r="L2745" s="685">
        <f t="shared" si="81"/>
        <v>14.1</v>
      </c>
      <c r="M2745" s="686">
        <f t="shared" si="82"/>
        <v>155.1</v>
      </c>
    </row>
    <row r="2746" spans="2:13" s="645" customFormat="1" ht="21.75" customHeight="1">
      <c r="B2746" s="661">
        <v>44453</v>
      </c>
      <c r="C2746" s="662" t="s">
        <v>819</v>
      </c>
      <c r="D2746" s="663" t="s">
        <v>839</v>
      </c>
      <c r="E2746" s="664" t="s">
        <v>831</v>
      </c>
      <c r="F2746" s="665"/>
      <c r="G2746" s="663">
        <v>15</v>
      </c>
      <c r="H2746" s="662" t="s">
        <v>807</v>
      </c>
      <c r="I2746" s="666" t="s">
        <v>859</v>
      </c>
      <c r="J2746" s="667" t="s">
        <v>865</v>
      </c>
      <c r="K2746" s="662">
        <v>4</v>
      </c>
      <c r="L2746" s="685">
        <f t="shared" si="81"/>
        <v>14.1</v>
      </c>
      <c r="M2746" s="686">
        <f t="shared" si="82"/>
        <v>56.4</v>
      </c>
    </row>
    <row r="2747" spans="2:13" s="645" customFormat="1" ht="21.75" customHeight="1">
      <c r="B2747" s="661">
        <v>44453</v>
      </c>
      <c r="C2747" s="662" t="s">
        <v>819</v>
      </c>
      <c r="D2747" s="663" t="s">
        <v>847</v>
      </c>
      <c r="E2747" s="664" t="s">
        <v>831</v>
      </c>
      <c r="F2747" s="665"/>
      <c r="G2747" s="663">
        <v>17</v>
      </c>
      <c r="H2747" s="662" t="s">
        <v>807</v>
      </c>
      <c r="I2747" s="666" t="s">
        <v>859</v>
      </c>
      <c r="J2747" s="667" t="s">
        <v>865</v>
      </c>
      <c r="K2747" s="662">
        <v>9</v>
      </c>
      <c r="L2747" s="685">
        <f t="shared" si="81"/>
        <v>15.98</v>
      </c>
      <c r="M2747" s="686">
        <f t="shared" si="82"/>
        <v>143.82</v>
      </c>
    </row>
    <row r="2748" spans="2:13" s="645" customFormat="1" ht="21.75" customHeight="1">
      <c r="B2748" s="661">
        <v>44453</v>
      </c>
      <c r="C2748" s="662" t="s">
        <v>819</v>
      </c>
      <c r="D2748" s="663" t="s">
        <v>855</v>
      </c>
      <c r="E2748" s="664" t="s">
        <v>831</v>
      </c>
      <c r="F2748" s="665"/>
      <c r="G2748" s="663">
        <v>20</v>
      </c>
      <c r="H2748" s="662" t="s">
        <v>807</v>
      </c>
      <c r="I2748" s="666" t="s">
        <v>859</v>
      </c>
      <c r="J2748" s="667" t="s">
        <v>865</v>
      </c>
      <c r="K2748" s="662">
        <v>10</v>
      </c>
      <c r="L2748" s="685">
        <f t="shared" si="81"/>
        <v>18.8</v>
      </c>
      <c r="M2748" s="686">
        <f t="shared" si="82"/>
        <v>188</v>
      </c>
    </row>
    <row r="2749" spans="2:13" s="645" customFormat="1" ht="21.75" customHeight="1">
      <c r="B2749" s="661">
        <v>44453</v>
      </c>
      <c r="C2749" s="662" t="s">
        <v>819</v>
      </c>
      <c r="D2749" s="663" t="s">
        <v>867</v>
      </c>
      <c r="E2749" s="664" t="s">
        <v>831</v>
      </c>
      <c r="F2749" s="665"/>
      <c r="G2749" s="663">
        <v>20</v>
      </c>
      <c r="H2749" s="662" t="s">
        <v>807</v>
      </c>
      <c r="I2749" s="666" t="s">
        <v>859</v>
      </c>
      <c r="J2749" s="667" t="s">
        <v>865</v>
      </c>
      <c r="K2749" s="662">
        <v>11</v>
      </c>
      <c r="L2749" s="685">
        <f t="shared" si="81"/>
        <v>18.8</v>
      </c>
      <c r="M2749" s="686">
        <f t="shared" si="82"/>
        <v>206.8</v>
      </c>
    </row>
    <row r="2750" spans="2:13" s="645" customFormat="1" ht="21.75" customHeight="1">
      <c r="B2750" s="661">
        <v>44453</v>
      </c>
      <c r="C2750" s="662" t="s">
        <v>819</v>
      </c>
      <c r="D2750" s="663" t="s">
        <v>869</v>
      </c>
      <c r="E2750" s="664" t="s">
        <v>831</v>
      </c>
      <c r="F2750" s="665"/>
      <c r="G2750" s="663">
        <v>20</v>
      </c>
      <c r="H2750" s="662" t="s">
        <v>807</v>
      </c>
      <c r="I2750" s="666" t="s">
        <v>859</v>
      </c>
      <c r="J2750" s="667" t="s">
        <v>865</v>
      </c>
      <c r="K2750" s="662">
        <v>12</v>
      </c>
      <c r="L2750" s="685">
        <f t="shared" si="81"/>
        <v>18.8</v>
      </c>
      <c r="M2750" s="686">
        <f t="shared" si="82"/>
        <v>225.60000000000002</v>
      </c>
    </row>
    <row r="2751" spans="2:13" s="645" customFormat="1" ht="21.75" customHeight="1">
      <c r="B2751" s="661">
        <v>44453</v>
      </c>
      <c r="C2751" s="662" t="s">
        <v>819</v>
      </c>
      <c r="D2751" s="663" t="s">
        <v>870</v>
      </c>
      <c r="E2751" s="664" t="s">
        <v>831</v>
      </c>
      <c r="F2751" s="665"/>
      <c r="G2751" s="663">
        <v>20</v>
      </c>
      <c r="H2751" s="662" t="s">
        <v>807</v>
      </c>
      <c r="I2751" s="666" t="s">
        <v>859</v>
      </c>
      <c r="J2751" s="667" t="s">
        <v>865</v>
      </c>
      <c r="K2751" s="662">
        <v>10</v>
      </c>
      <c r="L2751" s="685">
        <f t="shared" si="81"/>
        <v>18.8</v>
      </c>
      <c r="M2751" s="686">
        <f t="shared" si="82"/>
        <v>188</v>
      </c>
    </row>
    <row r="2752" spans="2:13" s="645" customFormat="1" ht="21.75" customHeight="1">
      <c r="B2752" s="661">
        <v>44453</v>
      </c>
      <c r="C2752" s="662" t="s">
        <v>819</v>
      </c>
      <c r="D2752" s="663" t="s">
        <v>873</v>
      </c>
      <c r="E2752" s="664" t="s">
        <v>831</v>
      </c>
      <c r="F2752" s="665"/>
      <c r="G2752" s="663">
        <v>17</v>
      </c>
      <c r="H2752" s="662" t="s">
        <v>807</v>
      </c>
      <c r="I2752" s="666" t="s">
        <v>859</v>
      </c>
      <c r="J2752" s="667" t="s">
        <v>865</v>
      </c>
      <c r="K2752" s="662">
        <v>7</v>
      </c>
      <c r="L2752" s="685">
        <f t="shared" si="81"/>
        <v>15.98</v>
      </c>
      <c r="M2752" s="686">
        <f t="shared" si="82"/>
        <v>111.86</v>
      </c>
    </row>
    <row r="2753" spans="2:13" s="645" customFormat="1" ht="21.75" customHeight="1">
      <c r="B2753" s="661">
        <v>44453</v>
      </c>
      <c r="C2753" s="662" t="s">
        <v>837</v>
      </c>
      <c r="D2753" s="663" t="s">
        <v>840</v>
      </c>
      <c r="E2753" s="664" t="s">
        <v>831</v>
      </c>
      <c r="F2753" s="665"/>
      <c r="G2753" s="663">
        <v>20</v>
      </c>
      <c r="H2753" s="662" t="s">
        <v>807</v>
      </c>
      <c r="I2753" s="666" t="s">
        <v>857</v>
      </c>
      <c r="J2753" s="667" t="s">
        <v>865</v>
      </c>
      <c r="K2753" s="662">
        <v>6</v>
      </c>
      <c r="L2753" s="685">
        <f t="shared" si="81"/>
        <v>18.8</v>
      </c>
      <c r="M2753" s="686">
        <f t="shared" si="82"/>
        <v>112.80000000000001</v>
      </c>
    </row>
    <row r="2754" spans="2:13" s="645" customFormat="1" ht="21.75" customHeight="1">
      <c r="B2754" s="661">
        <v>44453</v>
      </c>
      <c r="C2754" s="662" t="s">
        <v>837</v>
      </c>
      <c r="D2754" s="663" t="s">
        <v>835</v>
      </c>
      <c r="E2754" s="664" t="s">
        <v>831</v>
      </c>
      <c r="F2754" s="665"/>
      <c r="G2754" s="663">
        <v>20</v>
      </c>
      <c r="H2754" s="662" t="s">
        <v>807</v>
      </c>
      <c r="I2754" s="666" t="s">
        <v>857</v>
      </c>
      <c r="J2754" s="667" t="s">
        <v>865</v>
      </c>
      <c r="K2754" s="662">
        <v>7</v>
      </c>
      <c r="L2754" s="685">
        <f t="shared" si="81"/>
        <v>18.8</v>
      </c>
      <c r="M2754" s="686">
        <f t="shared" si="82"/>
        <v>131.6</v>
      </c>
    </row>
    <row r="2755" spans="2:13" s="645" customFormat="1" ht="21.75" customHeight="1">
      <c r="B2755" s="661">
        <v>44453</v>
      </c>
      <c r="C2755" s="662" t="s">
        <v>837</v>
      </c>
      <c r="D2755" s="663" t="s">
        <v>841</v>
      </c>
      <c r="E2755" s="664" t="s">
        <v>831</v>
      </c>
      <c r="F2755" s="665"/>
      <c r="G2755" s="663">
        <v>20</v>
      </c>
      <c r="H2755" s="662" t="s">
        <v>807</v>
      </c>
      <c r="I2755" s="666" t="s">
        <v>857</v>
      </c>
      <c r="J2755" s="667" t="s">
        <v>865</v>
      </c>
      <c r="K2755" s="662">
        <v>7</v>
      </c>
      <c r="L2755" s="685">
        <f t="shared" si="81"/>
        <v>18.8</v>
      </c>
      <c r="M2755" s="686">
        <f t="shared" si="82"/>
        <v>131.6</v>
      </c>
    </row>
    <row r="2756" spans="2:13" s="645" customFormat="1" ht="21.75" customHeight="1">
      <c r="B2756" s="661">
        <v>44453</v>
      </c>
      <c r="C2756" s="662" t="s">
        <v>837</v>
      </c>
      <c r="D2756" s="663" t="s">
        <v>834</v>
      </c>
      <c r="E2756" s="664" t="s">
        <v>831</v>
      </c>
      <c r="F2756" s="665"/>
      <c r="G2756" s="663">
        <v>20</v>
      </c>
      <c r="H2756" s="662" t="s">
        <v>807</v>
      </c>
      <c r="I2756" s="666" t="s">
        <v>857</v>
      </c>
      <c r="J2756" s="667" t="s">
        <v>865</v>
      </c>
      <c r="K2756" s="662">
        <v>6</v>
      </c>
      <c r="L2756" s="685">
        <f t="shared" si="81"/>
        <v>18.8</v>
      </c>
      <c r="M2756" s="686">
        <f t="shared" si="82"/>
        <v>112.80000000000001</v>
      </c>
    </row>
    <row r="2757" spans="2:13" s="645" customFormat="1" ht="21.75" customHeight="1">
      <c r="B2757" s="661">
        <v>44453</v>
      </c>
      <c r="C2757" s="662" t="s">
        <v>837</v>
      </c>
      <c r="D2757" s="663" t="s">
        <v>848</v>
      </c>
      <c r="E2757" s="664" t="s">
        <v>831</v>
      </c>
      <c r="F2757" s="665"/>
      <c r="G2757" s="663">
        <v>20</v>
      </c>
      <c r="H2757" s="662" t="s">
        <v>807</v>
      </c>
      <c r="I2757" s="666" t="s">
        <v>857</v>
      </c>
      <c r="J2757" s="667" t="s">
        <v>865</v>
      </c>
      <c r="K2757" s="662">
        <v>6</v>
      </c>
      <c r="L2757" s="685">
        <f t="shared" si="81"/>
        <v>18.8</v>
      </c>
      <c r="M2757" s="686">
        <f t="shared" si="82"/>
        <v>112.80000000000001</v>
      </c>
    </row>
    <row r="2758" spans="2:13" s="645" customFormat="1" ht="21.75" customHeight="1">
      <c r="B2758" s="661">
        <v>44453</v>
      </c>
      <c r="C2758" s="662" t="s">
        <v>837</v>
      </c>
      <c r="D2758" s="663" t="s">
        <v>850</v>
      </c>
      <c r="E2758" s="664" t="s">
        <v>831</v>
      </c>
      <c r="F2758" s="665"/>
      <c r="G2758" s="663">
        <v>15</v>
      </c>
      <c r="H2758" s="662" t="s">
        <v>807</v>
      </c>
      <c r="I2758" s="666" t="s">
        <v>857</v>
      </c>
      <c r="J2758" s="667" t="s">
        <v>865</v>
      </c>
      <c r="K2758" s="662">
        <v>4</v>
      </c>
      <c r="L2758" s="685">
        <f t="shared" si="81"/>
        <v>14.1</v>
      </c>
      <c r="M2758" s="686">
        <f t="shared" si="82"/>
        <v>56.4</v>
      </c>
    </row>
    <row r="2759" spans="2:13" s="645" customFormat="1" ht="21.75" customHeight="1">
      <c r="B2759" s="661">
        <v>44453</v>
      </c>
      <c r="C2759" s="662" t="s">
        <v>837</v>
      </c>
      <c r="D2759" s="663" t="s">
        <v>839</v>
      </c>
      <c r="E2759" s="664" t="s">
        <v>831</v>
      </c>
      <c r="F2759" s="665"/>
      <c r="G2759" s="663">
        <v>15</v>
      </c>
      <c r="H2759" s="662" t="s">
        <v>807</v>
      </c>
      <c r="I2759" s="666" t="s">
        <v>857</v>
      </c>
      <c r="J2759" s="667" t="s">
        <v>865</v>
      </c>
      <c r="K2759" s="662">
        <v>1</v>
      </c>
      <c r="L2759" s="685">
        <f t="shared" si="81"/>
        <v>14.1</v>
      </c>
      <c r="M2759" s="686">
        <f t="shared" si="82"/>
        <v>14.1</v>
      </c>
    </row>
    <row r="2760" spans="2:13" s="645" customFormat="1" ht="21.75" customHeight="1">
      <c r="B2760" s="661">
        <v>44453</v>
      </c>
      <c r="C2760" s="662" t="s">
        <v>837</v>
      </c>
      <c r="D2760" s="663" t="s">
        <v>845</v>
      </c>
      <c r="E2760" s="664" t="s">
        <v>831</v>
      </c>
      <c r="F2760" s="665"/>
      <c r="G2760" s="663">
        <v>17</v>
      </c>
      <c r="H2760" s="662" t="s">
        <v>807</v>
      </c>
      <c r="I2760" s="666" t="s">
        <v>857</v>
      </c>
      <c r="J2760" s="667" t="s">
        <v>865</v>
      </c>
      <c r="K2760" s="662">
        <v>1</v>
      </c>
      <c r="L2760" s="685">
        <f t="shared" si="81"/>
        <v>15.98</v>
      </c>
      <c r="M2760" s="686">
        <f t="shared" si="82"/>
        <v>15.98</v>
      </c>
    </row>
    <row r="2761" spans="2:13" s="645" customFormat="1" ht="21.75" customHeight="1">
      <c r="B2761" s="661">
        <v>44453</v>
      </c>
      <c r="C2761" s="662" t="s">
        <v>837</v>
      </c>
      <c r="D2761" s="663" t="s">
        <v>847</v>
      </c>
      <c r="E2761" s="664" t="s">
        <v>831</v>
      </c>
      <c r="F2761" s="665"/>
      <c r="G2761" s="663">
        <v>17</v>
      </c>
      <c r="H2761" s="662" t="s">
        <v>807</v>
      </c>
      <c r="I2761" s="666" t="s">
        <v>857</v>
      </c>
      <c r="J2761" s="667" t="s">
        <v>865</v>
      </c>
      <c r="K2761" s="662">
        <v>1</v>
      </c>
      <c r="L2761" s="685">
        <f t="shared" ref="L2761:L2824" si="83">VLOOKUP(G2761,$Q$4:$V$7,6,FALSE)</f>
        <v>15.98</v>
      </c>
      <c r="M2761" s="686">
        <f t="shared" si="82"/>
        <v>15.98</v>
      </c>
    </row>
    <row r="2762" spans="2:13" s="645" customFormat="1" ht="21.75" customHeight="1">
      <c r="B2762" s="661">
        <v>44453</v>
      </c>
      <c r="C2762" s="662" t="s">
        <v>837</v>
      </c>
      <c r="D2762" s="663" t="s">
        <v>856</v>
      </c>
      <c r="E2762" s="664" t="s">
        <v>831</v>
      </c>
      <c r="F2762" s="665"/>
      <c r="G2762" s="663">
        <v>20</v>
      </c>
      <c r="H2762" s="662" t="s">
        <v>807</v>
      </c>
      <c r="I2762" s="666" t="s">
        <v>857</v>
      </c>
      <c r="J2762" s="667" t="s">
        <v>865</v>
      </c>
      <c r="K2762" s="662">
        <v>6</v>
      </c>
      <c r="L2762" s="685">
        <f t="shared" si="83"/>
        <v>18.8</v>
      </c>
      <c r="M2762" s="686">
        <f t="shared" si="82"/>
        <v>112.80000000000001</v>
      </c>
    </row>
    <row r="2763" spans="2:13" s="645" customFormat="1" ht="21.75" customHeight="1">
      <c r="B2763" s="661">
        <v>44453</v>
      </c>
      <c r="C2763" s="662" t="s">
        <v>837</v>
      </c>
      <c r="D2763" s="663" t="s">
        <v>855</v>
      </c>
      <c r="E2763" s="664" t="s">
        <v>831</v>
      </c>
      <c r="F2763" s="665"/>
      <c r="G2763" s="663">
        <v>20</v>
      </c>
      <c r="H2763" s="662" t="s">
        <v>807</v>
      </c>
      <c r="I2763" s="666" t="s">
        <v>857</v>
      </c>
      <c r="J2763" s="667" t="s">
        <v>865</v>
      </c>
      <c r="K2763" s="662">
        <v>5</v>
      </c>
      <c r="L2763" s="685">
        <f t="shared" si="83"/>
        <v>18.8</v>
      </c>
      <c r="M2763" s="686">
        <f t="shared" si="82"/>
        <v>94</v>
      </c>
    </row>
    <row r="2764" spans="2:13" s="645" customFormat="1" ht="21.75" customHeight="1">
      <c r="B2764" s="661">
        <v>44453</v>
      </c>
      <c r="C2764" s="662" t="s">
        <v>837</v>
      </c>
      <c r="D2764" s="663" t="s">
        <v>868</v>
      </c>
      <c r="E2764" s="664" t="s">
        <v>831</v>
      </c>
      <c r="F2764" s="665"/>
      <c r="G2764" s="663">
        <v>20</v>
      </c>
      <c r="H2764" s="662" t="s">
        <v>807</v>
      </c>
      <c r="I2764" s="666" t="s">
        <v>857</v>
      </c>
      <c r="J2764" s="667" t="s">
        <v>865</v>
      </c>
      <c r="K2764" s="662">
        <v>6</v>
      </c>
      <c r="L2764" s="685">
        <f t="shared" si="83"/>
        <v>18.8</v>
      </c>
      <c r="M2764" s="686">
        <f t="shared" si="82"/>
        <v>112.80000000000001</v>
      </c>
    </row>
    <row r="2765" spans="2:13" s="645" customFormat="1" ht="21.75" customHeight="1">
      <c r="B2765" s="661">
        <v>44453</v>
      </c>
      <c r="C2765" s="662" t="s">
        <v>837</v>
      </c>
      <c r="D2765" s="663" t="s">
        <v>869</v>
      </c>
      <c r="E2765" s="664" t="s">
        <v>831</v>
      </c>
      <c r="F2765" s="665"/>
      <c r="G2765" s="663">
        <v>20</v>
      </c>
      <c r="H2765" s="662" t="s">
        <v>807</v>
      </c>
      <c r="I2765" s="666" t="s">
        <v>857</v>
      </c>
      <c r="J2765" s="667" t="s">
        <v>865</v>
      </c>
      <c r="K2765" s="662">
        <v>7</v>
      </c>
      <c r="L2765" s="685">
        <f t="shared" si="83"/>
        <v>18.8</v>
      </c>
      <c r="M2765" s="686">
        <f t="shared" si="82"/>
        <v>131.6</v>
      </c>
    </row>
    <row r="2766" spans="2:13" s="645" customFormat="1" ht="21.75" customHeight="1">
      <c r="B2766" s="661">
        <v>44453</v>
      </c>
      <c r="C2766" s="662" t="s">
        <v>837</v>
      </c>
      <c r="D2766" s="663" t="s">
        <v>870</v>
      </c>
      <c r="E2766" s="664" t="s">
        <v>831</v>
      </c>
      <c r="F2766" s="665"/>
      <c r="G2766" s="663">
        <v>20</v>
      </c>
      <c r="H2766" s="662" t="s">
        <v>807</v>
      </c>
      <c r="I2766" s="666" t="s">
        <v>857</v>
      </c>
      <c r="J2766" s="667" t="s">
        <v>865</v>
      </c>
      <c r="K2766" s="662">
        <v>2</v>
      </c>
      <c r="L2766" s="685">
        <f t="shared" si="83"/>
        <v>18.8</v>
      </c>
      <c r="M2766" s="686">
        <f t="shared" si="82"/>
        <v>37.6</v>
      </c>
    </row>
    <row r="2767" spans="2:13" s="645" customFormat="1" ht="21.75" customHeight="1">
      <c r="B2767" s="661">
        <v>44453</v>
      </c>
      <c r="C2767" s="662" t="s">
        <v>837</v>
      </c>
      <c r="D2767" s="663" t="s">
        <v>873</v>
      </c>
      <c r="E2767" s="664" t="s">
        <v>831</v>
      </c>
      <c r="F2767" s="665"/>
      <c r="G2767" s="663">
        <v>17</v>
      </c>
      <c r="H2767" s="662" t="s">
        <v>807</v>
      </c>
      <c r="I2767" s="666" t="s">
        <v>857</v>
      </c>
      <c r="J2767" s="667" t="s">
        <v>865</v>
      </c>
      <c r="K2767" s="662">
        <v>5</v>
      </c>
      <c r="L2767" s="685">
        <f t="shared" si="83"/>
        <v>15.98</v>
      </c>
      <c r="M2767" s="686">
        <f t="shared" si="82"/>
        <v>79.900000000000006</v>
      </c>
    </row>
    <row r="2768" spans="2:13" s="645" customFormat="1" ht="21.75" customHeight="1">
      <c r="B2768" s="708">
        <v>44453</v>
      </c>
      <c r="C2768" s="709" t="s">
        <v>819</v>
      </c>
      <c r="D2768" s="710" t="s">
        <v>836</v>
      </c>
      <c r="E2768" s="711" t="s">
        <v>831</v>
      </c>
      <c r="F2768" s="712"/>
      <c r="G2768" s="710">
        <v>20</v>
      </c>
      <c r="H2768" s="709" t="s">
        <v>807</v>
      </c>
      <c r="I2768" s="713" t="s">
        <v>859</v>
      </c>
      <c r="J2768" s="714" t="s">
        <v>802</v>
      </c>
      <c r="K2768" s="709">
        <v>1</v>
      </c>
      <c r="L2768" s="715">
        <f t="shared" si="83"/>
        <v>18.8</v>
      </c>
      <c r="M2768" s="716">
        <f t="shared" si="82"/>
        <v>18.8</v>
      </c>
    </row>
    <row r="2769" spans="2:13" s="645" customFormat="1" ht="21.75" customHeight="1">
      <c r="B2769" s="708">
        <v>44453</v>
      </c>
      <c r="C2769" s="709" t="s">
        <v>819</v>
      </c>
      <c r="D2769" s="710" t="s">
        <v>870</v>
      </c>
      <c r="E2769" s="711" t="s">
        <v>831</v>
      </c>
      <c r="F2769" s="712"/>
      <c r="G2769" s="710">
        <v>20</v>
      </c>
      <c r="H2769" s="709" t="s">
        <v>807</v>
      </c>
      <c r="I2769" s="713" t="s">
        <v>859</v>
      </c>
      <c r="J2769" s="714" t="s">
        <v>802</v>
      </c>
      <c r="K2769" s="709">
        <v>3</v>
      </c>
      <c r="L2769" s="715">
        <f t="shared" si="83"/>
        <v>18.8</v>
      </c>
      <c r="M2769" s="716">
        <f t="shared" si="82"/>
        <v>56.400000000000006</v>
      </c>
    </row>
    <row r="2770" spans="2:13" s="645" customFormat="1" ht="21.75" customHeight="1">
      <c r="B2770" s="708">
        <v>44453</v>
      </c>
      <c r="C2770" s="709" t="s">
        <v>837</v>
      </c>
      <c r="D2770" s="710" t="s">
        <v>855</v>
      </c>
      <c r="E2770" s="711" t="s">
        <v>831</v>
      </c>
      <c r="F2770" s="712"/>
      <c r="G2770" s="710">
        <v>20</v>
      </c>
      <c r="H2770" s="709" t="s">
        <v>807</v>
      </c>
      <c r="I2770" s="713" t="s">
        <v>857</v>
      </c>
      <c r="J2770" s="714" t="s">
        <v>802</v>
      </c>
      <c r="K2770" s="709">
        <v>1</v>
      </c>
      <c r="L2770" s="715">
        <f t="shared" si="83"/>
        <v>18.8</v>
      </c>
      <c r="M2770" s="716">
        <f t="shared" si="82"/>
        <v>18.8</v>
      </c>
    </row>
    <row r="2771" spans="2:13" s="645" customFormat="1" ht="21.75" customHeight="1">
      <c r="B2771" s="708">
        <v>44453</v>
      </c>
      <c r="C2771" s="709" t="s">
        <v>837</v>
      </c>
      <c r="D2771" s="710" t="s">
        <v>873</v>
      </c>
      <c r="E2771" s="711" t="s">
        <v>831</v>
      </c>
      <c r="F2771" s="712"/>
      <c r="G2771" s="710">
        <v>17</v>
      </c>
      <c r="H2771" s="709" t="s">
        <v>807</v>
      </c>
      <c r="I2771" s="713" t="s">
        <v>857</v>
      </c>
      <c r="J2771" s="714" t="s">
        <v>802</v>
      </c>
      <c r="K2771" s="709">
        <v>1</v>
      </c>
      <c r="L2771" s="715">
        <f t="shared" si="83"/>
        <v>15.98</v>
      </c>
      <c r="M2771" s="716">
        <f t="shared" si="82"/>
        <v>15.98</v>
      </c>
    </row>
    <row r="2772" spans="2:13" s="645" customFormat="1" ht="21.75" customHeight="1">
      <c r="B2772" s="661">
        <v>44454</v>
      </c>
      <c r="C2772" s="662" t="s">
        <v>819</v>
      </c>
      <c r="D2772" s="663" t="s">
        <v>840</v>
      </c>
      <c r="E2772" s="664" t="s">
        <v>831</v>
      </c>
      <c r="F2772" s="665"/>
      <c r="G2772" s="663">
        <v>20</v>
      </c>
      <c r="H2772" s="662" t="s">
        <v>807</v>
      </c>
      <c r="I2772" s="666" t="s">
        <v>857</v>
      </c>
      <c r="J2772" s="667" t="s">
        <v>805</v>
      </c>
      <c r="K2772" s="662">
        <v>4</v>
      </c>
      <c r="L2772" s="685">
        <f t="shared" si="83"/>
        <v>18.8</v>
      </c>
      <c r="M2772" s="686">
        <f t="shared" si="82"/>
        <v>75.2</v>
      </c>
    </row>
    <row r="2773" spans="2:13" s="645" customFormat="1" ht="21.75" customHeight="1">
      <c r="B2773" s="661">
        <v>44454</v>
      </c>
      <c r="C2773" s="662" t="s">
        <v>819</v>
      </c>
      <c r="D2773" s="663" t="s">
        <v>874</v>
      </c>
      <c r="E2773" s="664" t="s">
        <v>831</v>
      </c>
      <c r="F2773" s="665"/>
      <c r="G2773" s="663">
        <v>20</v>
      </c>
      <c r="H2773" s="662" t="s">
        <v>807</v>
      </c>
      <c r="I2773" s="666" t="s">
        <v>857</v>
      </c>
      <c r="J2773" s="667" t="s">
        <v>805</v>
      </c>
      <c r="K2773" s="662">
        <v>6</v>
      </c>
      <c r="L2773" s="685">
        <f t="shared" si="83"/>
        <v>18.8</v>
      </c>
      <c r="M2773" s="686">
        <f t="shared" si="82"/>
        <v>112.80000000000001</v>
      </c>
    </row>
    <row r="2774" spans="2:13" s="645" customFormat="1" ht="21.75" customHeight="1">
      <c r="B2774" s="661">
        <v>44454</v>
      </c>
      <c r="C2774" s="662" t="s">
        <v>819</v>
      </c>
      <c r="D2774" s="663" t="s">
        <v>836</v>
      </c>
      <c r="E2774" s="664" t="s">
        <v>831</v>
      </c>
      <c r="F2774" s="665"/>
      <c r="G2774" s="663">
        <v>20</v>
      </c>
      <c r="H2774" s="662" t="s">
        <v>807</v>
      </c>
      <c r="I2774" s="666" t="s">
        <v>857</v>
      </c>
      <c r="J2774" s="667" t="s">
        <v>805</v>
      </c>
      <c r="K2774" s="662">
        <v>6</v>
      </c>
      <c r="L2774" s="685">
        <f t="shared" si="83"/>
        <v>18.8</v>
      </c>
      <c r="M2774" s="686">
        <f t="shared" si="82"/>
        <v>112.80000000000001</v>
      </c>
    </row>
    <row r="2775" spans="2:13" s="645" customFormat="1" ht="21.75" customHeight="1">
      <c r="B2775" s="661">
        <v>44454</v>
      </c>
      <c r="C2775" s="662" t="s">
        <v>819</v>
      </c>
      <c r="D2775" s="663" t="s">
        <v>850</v>
      </c>
      <c r="E2775" s="664" t="s">
        <v>831</v>
      </c>
      <c r="F2775" s="665"/>
      <c r="G2775" s="663">
        <v>15</v>
      </c>
      <c r="H2775" s="662" t="s">
        <v>807</v>
      </c>
      <c r="I2775" s="666" t="s">
        <v>857</v>
      </c>
      <c r="J2775" s="667" t="s">
        <v>805</v>
      </c>
      <c r="K2775" s="662">
        <v>6</v>
      </c>
      <c r="L2775" s="685">
        <f t="shared" si="83"/>
        <v>14.1</v>
      </c>
      <c r="M2775" s="686">
        <f t="shared" si="82"/>
        <v>84.6</v>
      </c>
    </row>
    <row r="2776" spans="2:13" s="645" customFormat="1" ht="21.75" customHeight="1">
      <c r="B2776" s="661">
        <v>44454</v>
      </c>
      <c r="C2776" s="662" t="s">
        <v>819</v>
      </c>
      <c r="D2776" s="663" t="s">
        <v>839</v>
      </c>
      <c r="E2776" s="664" t="s">
        <v>831</v>
      </c>
      <c r="F2776" s="665"/>
      <c r="G2776" s="663">
        <v>15</v>
      </c>
      <c r="H2776" s="662" t="s">
        <v>807</v>
      </c>
      <c r="I2776" s="666" t="s">
        <v>857</v>
      </c>
      <c r="J2776" s="667" t="s">
        <v>805</v>
      </c>
      <c r="K2776" s="662">
        <v>2</v>
      </c>
      <c r="L2776" s="685">
        <f t="shared" si="83"/>
        <v>14.1</v>
      </c>
      <c r="M2776" s="686">
        <f t="shared" si="82"/>
        <v>28.2</v>
      </c>
    </row>
    <row r="2777" spans="2:13" s="645" customFormat="1" ht="21.75" customHeight="1">
      <c r="B2777" s="661">
        <v>44454</v>
      </c>
      <c r="C2777" s="662" t="s">
        <v>819</v>
      </c>
      <c r="D2777" s="663" t="s">
        <v>847</v>
      </c>
      <c r="E2777" s="664" t="s">
        <v>831</v>
      </c>
      <c r="F2777" s="665"/>
      <c r="G2777" s="663">
        <v>17</v>
      </c>
      <c r="H2777" s="662" t="s">
        <v>807</v>
      </c>
      <c r="I2777" s="666" t="s">
        <v>857</v>
      </c>
      <c r="J2777" s="667" t="s">
        <v>805</v>
      </c>
      <c r="K2777" s="662">
        <v>6</v>
      </c>
      <c r="L2777" s="685">
        <f t="shared" si="83"/>
        <v>15.98</v>
      </c>
      <c r="M2777" s="686">
        <f t="shared" si="82"/>
        <v>95.88</v>
      </c>
    </row>
    <row r="2778" spans="2:13" s="645" customFormat="1" ht="21.75" customHeight="1">
      <c r="B2778" s="661">
        <v>44454</v>
      </c>
      <c r="C2778" s="662" t="s">
        <v>819</v>
      </c>
      <c r="D2778" s="663" t="s">
        <v>855</v>
      </c>
      <c r="E2778" s="664" t="s">
        <v>831</v>
      </c>
      <c r="F2778" s="665"/>
      <c r="G2778" s="663">
        <v>20</v>
      </c>
      <c r="H2778" s="662" t="s">
        <v>807</v>
      </c>
      <c r="I2778" s="666" t="s">
        <v>857</v>
      </c>
      <c r="J2778" s="667" t="s">
        <v>805</v>
      </c>
      <c r="K2778" s="662">
        <v>3</v>
      </c>
      <c r="L2778" s="685">
        <f t="shared" si="83"/>
        <v>18.8</v>
      </c>
      <c r="M2778" s="686">
        <f t="shared" si="82"/>
        <v>56.400000000000006</v>
      </c>
    </row>
    <row r="2779" spans="2:13" s="645" customFormat="1" ht="21.75" customHeight="1">
      <c r="B2779" s="661">
        <v>44454</v>
      </c>
      <c r="C2779" s="662" t="s">
        <v>819</v>
      </c>
      <c r="D2779" s="663" t="s">
        <v>875</v>
      </c>
      <c r="E2779" s="664" t="s">
        <v>831</v>
      </c>
      <c r="F2779" s="665"/>
      <c r="G2779" s="663">
        <v>20</v>
      </c>
      <c r="H2779" s="662" t="s">
        <v>807</v>
      </c>
      <c r="I2779" s="666" t="s">
        <v>857</v>
      </c>
      <c r="J2779" s="667" t="s">
        <v>805</v>
      </c>
      <c r="K2779" s="662">
        <v>6</v>
      </c>
      <c r="L2779" s="685">
        <f t="shared" si="83"/>
        <v>18.8</v>
      </c>
      <c r="M2779" s="686">
        <f t="shared" si="82"/>
        <v>112.80000000000001</v>
      </c>
    </row>
    <row r="2780" spans="2:13" s="645" customFormat="1" ht="21.75" customHeight="1">
      <c r="B2780" s="661">
        <v>44454</v>
      </c>
      <c r="C2780" s="662" t="s">
        <v>819</v>
      </c>
      <c r="D2780" s="663" t="s">
        <v>867</v>
      </c>
      <c r="E2780" s="664" t="s">
        <v>831</v>
      </c>
      <c r="F2780" s="665"/>
      <c r="G2780" s="663">
        <v>20</v>
      </c>
      <c r="H2780" s="662" t="s">
        <v>807</v>
      </c>
      <c r="I2780" s="666" t="s">
        <v>857</v>
      </c>
      <c r="J2780" s="667" t="s">
        <v>805</v>
      </c>
      <c r="K2780" s="662">
        <v>1</v>
      </c>
      <c r="L2780" s="685">
        <f t="shared" si="83"/>
        <v>18.8</v>
      </c>
      <c r="M2780" s="686">
        <f t="shared" si="82"/>
        <v>18.8</v>
      </c>
    </row>
    <row r="2781" spans="2:13" s="645" customFormat="1" ht="21.75" customHeight="1">
      <c r="B2781" s="661">
        <v>44454</v>
      </c>
      <c r="C2781" s="662" t="s">
        <v>819</v>
      </c>
      <c r="D2781" s="663" t="s">
        <v>876</v>
      </c>
      <c r="E2781" s="664" t="s">
        <v>831</v>
      </c>
      <c r="F2781" s="665"/>
      <c r="G2781" s="663">
        <v>20</v>
      </c>
      <c r="H2781" s="662" t="s">
        <v>807</v>
      </c>
      <c r="I2781" s="666" t="s">
        <v>857</v>
      </c>
      <c r="J2781" s="667" t="s">
        <v>805</v>
      </c>
      <c r="K2781" s="662">
        <v>6</v>
      </c>
      <c r="L2781" s="685">
        <f t="shared" si="83"/>
        <v>18.8</v>
      </c>
      <c r="M2781" s="686">
        <f t="shared" si="82"/>
        <v>112.80000000000001</v>
      </c>
    </row>
    <row r="2782" spans="2:13" s="645" customFormat="1" ht="21.75" customHeight="1">
      <c r="B2782" s="661">
        <v>44454</v>
      </c>
      <c r="C2782" s="662" t="s">
        <v>819</v>
      </c>
      <c r="D2782" s="663" t="s">
        <v>868</v>
      </c>
      <c r="E2782" s="664" t="s">
        <v>831</v>
      </c>
      <c r="F2782" s="665"/>
      <c r="G2782" s="663">
        <v>20</v>
      </c>
      <c r="H2782" s="662" t="s">
        <v>807</v>
      </c>
      <c r="I2782" s="666" t="s">
        <v>857</v>
      </c>
      <c r="J2782" s="667" t="s">
        <v>805</v>
      </c>
      <c r="K2782" s="662">
        <v>6</v>
      </c>
      <c r="L2782" s="685">
        <f t="shared" si="83"/>
        <v>18.8</v>
      </c>
      <c r="M2782" s="686">
        <f t="shared" si="82"/>
        <v>112.80000000000001</v>
      </c>
    </row>
    <row r="2783" spans="2:13" s="645" customFormat="1" ht="21.75" customHeight="1">
      <c r="B2783" s="661">
        <v>44454</v>
      </c>
      <c r="C2783" s="662" t="s">
        <v>837</v>
      </c>
      <c r="D2783" s="663" t="s">
        <v>855</v>
      </c>
      <c r="E2783" s="664" t="s">
        <v>831</v>
      </c>
      <c r="F2783" s="665"/>
      <c r="G2783" s="663">
        <v>20</v>
      </c>
      <c r="H2783" s="662" t="s">
        <v>807</v>
      </c>
      <c r="I2783" s="666" t="s">
        <v>857</v>
      </c>
      <c r="J2783" s="667" t="s">
        <v>805</v>
      </c>
      <c r="K2783" s="662">
        <v>12</v>
      </c>
      <c r="L2783" s="685">
        <f t="shared" si="83"/>
        <v>18.8</v>
      </c>
      <c r="M2783" s="686">
        <f t="shared" si="82"/>
        <v>225.60000000000002</v>
      </c>
    </row>
    <row r="2784" spans="2:13" s="645" customFormat="1" ht="21.75" customHeight="1">
      <c r="B2784" s="661">
        <v>44454</v>
      </c>
      <c r="C2784" s="662" t="s">
        <v>837</v>
      </c>
      <c r="D2784" s="663" t="s">
        <v>835</v>
      </c>
      <c r="E2784" s="664" t="s">
        <v>831</v>
      </c>
      <c r="F2784" s="665"/>
      <c r="G2784" s="663">
        <v>20</v>
      </c>
      <c r="H2784" s="662" t="s">
        <v>807</v>
      </c>
      <c r="I2784" s="666" t="s">
        <v>857</v>
      </c>
      <c r="J2784" s="667" t="s">
        <v>805</v>
      </c>
      <c r="K2784" s="662">
        <v>10</v>
      </c>
      <c r="L2784" s="685">
        <f t="shared" si="83"/>
        <v>18.8</v>
      </c>
      <c r="M2784" s="686">
        <f t="shared" si="82"/>
        <v>188</v>
      </c>
    </row>
    <row r="2785" spans="2:13" s="645" customFormat="1" ht="21.75" customHeight="1">
      <c r="B2785" s="661">
        <v>44454</v>
      </c>
      <c r="C2785" s="662" t="s">
        <v>837</v>
      </c>
      <c r="D2785" s="663" t="s">
        <v>841</v>
      </c>
      <c r="E2785" s="664" t="s">
        <v>831</v>
      </c>
      <c r="F2785" s="665"/>
      <c r="G2785" s="663">
        <v>20</v>
      </c>
      <c r="H2785" s="662" t="s">
        <v>807</v>
      </c>
      <c r="I2785" s="666" t="s">
        <v>857</v>
      </c>
      <c r="J2785" s="667" t="s">
        <v>805</v>
      </c>
      <c r="K2785" s="662">
        <v>12</v>
      </c>
      <c r="L2785" s="685">
        <f t="shared" si="83"/>
        <v>18.8</v>
      </c>
      <c r="M2785" s="686">
        <f t="shared" si="82"/>
        <v>225.60000000000002</v>
      </c>
    </row>
    <row r="2786" spans="2:13" s="645" customFormat="1" ht="21.75" customHeight="1">
      <c r="B2786" s="661">
        <v>44454</v>
      </c>
      <c r="C2786" s="662" t="s">
        <v>837</v>
      </c>
      <c r="D2786" s="663" t="s">
        <v>839</v>
      </c>
      <c r="E2786" s="664" t="s">
        <v>831</v>
      </c>
      <c r="F2786" s="665"/>
      <c r="G2786" s="663">
        <v>15</v>
      </c>
      <c r="H2786" s="662" t="s">
        <v>807</v>
      </c>
      <c r="I2786" s="666" t="s">
        <v>857</v>
      </c>
      <c r="J2786" s="667" t="s">
        <v>805</v>
      </c>
      <c r="K2786" s="662">
        <v>9</v>
      </c>
      <c r="L2786" s="685">
        <f t="shared" si="83"/>
        <v>14.1</v>
      </c>
      <c r="M2786" s="686">
        <f t="shared" si="82"/>
        <v>126.89999999999999</v>
      </c>
    </row>
    <row r="2787" spans="2:13" s="645" customFormat="1" ht="21.75" customHeight="1">
      <c r="B2787" s="661">
        <v>44454</v>
      </c>
      <c r="C2787" s="662" t="s">
        <v>837</v>
      </c>
      <c r="D2787" s="663" t="s">
        <v>845</v>
      </c>
      <c r="E2787" s="664" t="s">
        <v>831</v>
      </c>
      <c r="F2787" s="665"/>
      <c r="G2787" s="663">
        <v>17</v>
      </c>
      <c r="H2787" s="662" t="s">
        <v>807</v>
      </c>
      <c r="I2787" s="666" t="s">
        <v>857</v>
      </c>
      <c r="J2787" s="667" t="s">
        <v>805</v>
      </c>
      <c r="K2787" s="662">
        <v>10</v>
      </c>
      <c r="L2787" s="685">
        <f t="shared" si="83"/>
        <v>15.98</v>
      </c>
      <c r="M2787" s="686">
        <f t="shared" si="82"/>
        <v>159.80000000000001</v>
      </c>
    </row>
    <row r="2788" spans="2:13" s="645" customFormat="1" ht="21.75" customHeight="1">
      <c r="B2788" s="661">
        <v>44454</v>
      </c>
      <c r="C2788" s="662" t="s">
        <v>837</v>
      </c>
      <c r="D2788" s="663" t="s">
        <v>856</v>
      </c>
      <c r="E2788" s="664" t="s">
        <v>831</v>
      </c>
      <c r="F2788" s="665"/>
      <c r="G2788" s="663">
        <v>20</v>
      </c>
      <c r="H2788" s="662" t="s">
        <v>807</v>
      </c>
      <c r="I2788" s="666" t="s">
        <v>857</v>
      </c>
      <c r="J2788" s="667" t="s">
        <v>805</v>
      </c>
      <c r="K2788" s="662">
        <v>10</v>
      </c>
      <c r="L2788" s="685">
        <f t="shared" si="83"/>
        <v>18.8</v>
      </c>
      <c r="M2788" s="686">
        <f t="shared" si="82"/>
        <v>188</v>
      </c>
    </row>
    <row r="2789" spans="2:13" s="645" customFormat="1" ht="21.75" customHeight="1">
      <c r="B2789" s="661">
        <v>44454</v>
      </c>
      <c r="C2789" s="662" t="s">
        <v>837</v>
      </c>
      <c r="D2789" s="663" t="s">
        <v>868</v>
      </c>
      <c r="E2789" s="664" t="s">
        <v>831</v>
      </c>
      <c r="F2789" s="665"/>
      <c r="G2789" s="663">
        <v>20</v>
      </c>
      <c r="H2789" s="662" t="s">
        <v>807</v>
      </c>
      <c r="I2789" s="666" t="s">
        <v>857</v>
      </c>
      <c r="J2789" s="667" t="s">
        <v>805</v>
      </c>
      <c r="K2789" s="662">
        <v>10</v>
      </c>
      <c r="L2789" s="685">
        <f t="shared" si="83"/>
        <v>18.8</v>
      </c>
      <c r="M2789" s="686">
        <f t="shared" si="82"/>
        <v>188</v>
      </c>
    </row>
    <row r="2790" spans="2:13" s="645" customFormat="1" ht="21.75" customHeight="1">
      <c r="B2790" s="661">
        <v>44454</v>
      </c>
      <c r="C2790" s="662" t="s">
        <v>837</v>
      </c>
      <c r="D2790" s="663" t="s">
        <v>873</v>
      </c>
      <c r="E2790" s="664" t="s">
        <v>831</v>
      </c>
      <c r="F2790" s="665"/>
      <c r="G2790" s="663">
        <v>17</v>
      </c>
      <c r="H2790" s="662" t="s">
        <v>807</v>
      </c>
      <c r="I2790" s="666" t="s">
        <v>857</v>
      </c>
      <c r="J2790" s="667" t="s">
        <v>805</v>
      </c>
      <c r="K2790" s="662">
        <v>11</v>
      </c>
      <c r="L2790" s="685">
        <f t="shared" si="83"/>
        <v>15.98</v>
      </c>
      <c r="M2790" s="686">
        <f t="shared" si="82"/>
        <v>175.78</v>
      </c>
    </row>
    <row r="2791" spans="2:13" s="645" customFormat="1" ht="21.75" customHeight="1">
      <c r="B2791" s="661">
        <v>44454</v>
      </c>
      <c r="C2791" s="662" t="s">
        <v>819</v>
      </c>
      <c r="D2791" s="663" t="s">
        <v>840</v>
      </c>
      <c r="E2791" s="664" t="s">
        <v>831</v>
      </c>
      <c r="F2791" s="665"/>
      <c r="G2791" s="663">
        <v>20</v>
      </c>
      <c r="H2791" s="662" t="s">
        <v>807</v>
      </c>
      <c r="I2791" s="666" t="s">
        <v>857</v>
      </c>
      <c r="J2791" s="667" t="s">
        <v>865</v>
      </c>
      <c r="K2791" s="662">
        <v>2</v>
      </c>
      <c r="L2791" s="685">
        <f t="shared" si="83"/>
        <v>18.8</v>
      </c>
      <c r="M2791" s="686">
        <f t="shared" ref="M2791:M2854" si="84">L2791*K2791</f>
        <v>37.6</v>
      </c>
    </row>
    <row r="2792" spans="2:13" s="645" customFormat="1" ht="21.75" customHeight="1">
      <c r="B2792" s="661">
        <v>44454</v>
      </c>
      <c r="C2792" s="662" t="s">
        <v>819</v>
      </c>
      <c r="D2792" s="663" t="s">
        <v>848</v>
      </c>
      <c r="E2792" s="664" t="s">
        <v>831</v>
      </c>
      <c r="F2792" s="665"/>
      <c r="G2792" s="663">
        <v>20</v>
      </c>
      <c r="H2792" s="662" t="s">
        <v>807</v>
      </c>
      <c r="I2792" s="666" t="s">
        <v>857</v>
      </c>
      <c r="J2792" s="667" t="s">
        <v>865</v>
      </c>
      <c r="K2792" s="662">
        <v>5</v>
      </c>
      <c r="L2792" s="685">
        <f t="shared" si="83"/>
        <v>18.8</v>
      </c>
      <c r="M2792" s="686">
        <f t="shared" si="84"/>
        <v>94</v>
      </c>
    </row>
    <row r="2793" spans="2:13" s="645" customFormat="1" ht="21.75" customHeight="1">
      <c r="B2793" s="661">
        <v>44454</v>
      </c>
      <c r="C2793" s="662" t="s">
        <v>819</v>
      </c>
      <c r="D2793" s="663" t="s">
        <v>830</v>
      </c>
      <c r="E2793" s="664" t="s">
        <v>831</v>
      </c>
      <c r="F2793" s="665"/>
      <c r="G2793" s="663">
        <v>15</v>
      </c>
      <c r="H2793" s="662" t="s">
        <v>807</v>
      </c>
      <c r="I2793" s="666" t="s">
        <v>857</v>
      </c>
      <c r="J2793" s="667" t="s">
        <v>865</v>
      </c>
      <c r="K2793" s="662">
        <v>8</v>
      </c>
      <c r="L2793" s="685">
        <f t="shared" si="83"/>
        <v>14.1</v>
      </c>
      <c r="M2793" s="686">
        <f t="shared" si="84"/>
        <v>112.8</v>
      </c>
    </row>
    <row r="2794" spans="2:13" s="645" customFormat="1" ht="21.75" customHeight="1">
      <c r="B2794" s="661">
        <v>44454</v>
      </c>
      <c r="C2794" s="662" t="s">
        <v>819</v>
      </c>
      <c r="D2794" s="663" t="s">
        <v>839</v>
      </c>
      <c r="E2794" s="664" t="s">
        <v>831</v>
      </c>
      <c r="F2794" s="665"/>
      <c r="G2794" s="663">
        <v>15</v>
      </c>
      <c r="H2794" s="662" t="s">
        <v>807</v>
      </c>
      <c r="I2794" s="666" t="s">
        <v>857</v>
      </c>
      <c r="J2794" s="667" t="s">
        <v>865</v>
      </c>
      <c r="K2794" s="662">
        <v>4</v>
      </c>
      <c r="L2794" s="685">
        <f t="shared" si="83"/>
        <v>14.1</v>
      </c>
      <c r="M2794" s="686">
        <f t="shared" si="84"/>
        <v>56.4</v>
      </c>
    </row>
    <row r="2795" spans="2:13" s="645" customFormat="1" ht="21.75" customHeight="1">
      <c r="B2795" s="661">
        <v>44454</v>
      </c>
      <c r="C2795" s="662" t="s">
        <v>819</v>
      </c>
      <c r="D2795" s="663" t="s">
        <v>855</v>
      </c>
      <c r="E2795" s="664" t="s">
        <v>831</v>
      </c>
      <c r="F2795" s="665"/>
      <c r="G2795" s="663">
        <v>20</v>
      </c>
      <c r="H2795" s="662" t="s">
        <v>807</v>
      </c>
      <c r="I2795" s="666" t="s">
        <v>857</v>
      </c>
      <c r="J2795" s="667" t="s">
        <v>865</v>
      </c>
      <c r="K2795" s="662">
        <v>3</v>
      </c>
      <c r="L2795" s="685">
        <f t="shared" si="83"/>
        <v>18.8</v>
      </c>
      <c r="M2795" s="686">
        <f t="shared" si="84"/>
        <v>56.400000000000006</v>
      </c>
    </row>
    <row r="2796" spans="2:13" s="645" customFormat="1" ht="21.75" customHeight="1">
      <c r="B2796" s="661">
        <v>44454</v>
      </c>
      <c r="C2796" s="662" t="s">
        <v>819</v>
      </c>
      <c r="D2796" s="663" t="s">
        <v>867</v>
      </c>
      <c r="E2796" s="664" t="s">
        <v>831</v>
      </c>
      <c r="F2796" s="665"/>
      <c r="G2796" s="663">
        <v>20</v>
      </c>
      <c r="H2796" s="662" t="s">
        <v>807</v>
      </c>
      <c r="I2796" s="666" t="s">
        <v>857</v>
      </c>
      <c r="J2796" s="667" t="s">
        <v>865</v>
      </c>
      <c r="K2796" s="662">
        <v>5</v>
      </c>
      <c r="L2796" s="685">
        <f t="shared" si="83"/>
        <v>18.8</v>
      </c>
      <c r="M2796" s="686">
        <f t="shared" si="84"/>
        <v>94</v>
      </c>
    </row>
    <row r="2797" spans="2:13" s="645" customFormat="1" ht="21.75" customHeight="1">
      <c r="B2797" s="661">
        <v>44454</v>
      </c>
      <c r="C2797" s="662" t="s">
        <v>819</v>
      </c>
      <c r="D2797" s="663" t="s">
        <v>877</v>
      </c>
      <c r="E2797" s="664" t="s">
        <v>831</v>
      </c>
      <c r="F2797" s="665"/>
      <c r="G2797" s="663">
        <v>20</v>
      </c>
      <c r="H2797" s="662" t="s">
        <v>807</v>
      </c>
      <c r="I2797" s="666" t="s">
        <v>857</v>
      </c>
      <c r="J2797" s="667" t="s">
        <v>865</v>
      </c>
      <c r="K2797" s="662">
        <v>6</v>
      </c>
      <c r="L2797" s="685">
        <f t="shared" si="83"/>
        <v>18.8</v>
      </c>
      <c r="M2797" s="686">
        <f t="shared" si="84"/>
        <v>112.80000000000001</v>
      </c>
    </row>
    <row r="2798" spans="2:13" s="645" customFormat="1" ht="21.75" customHeight="1">
      <c r="B2798" s="661">
        <v>44454</v>
      </c>
      <c r="C2798" s="662" t="s">
        <v>819</v>
      </c>
      <c r="D2798" s="663" t="s">
        <v>870</v>
      </c>
      <c r="E2798" s="664" t="s">
        <v>831</v>
      </c>
      <c r="F2798" s="665"/>
      <c r="G2798" s="663">
        <v>20</v>
      </c>
      <c r="H2798" s="662" t="s">
        <v>807</v>
      </c>
      <c r="I2798" s="666" t="s">
        <v>857</v>
      </c>
      <c r="J2798" s="667" t="s">
        <v>865</v>
      </c>
      <c r="K2798" s="662">
        <v>5</v>
      </c>
      <c r="L2798" s="685">
        <f t="shared" si="83"/>
        <v>18.8</v>
      </c>
      <c r="M2798" s="686">
        <f t="shared" si="84"/>
        <v>94</v>
      </c>
    </row>
    <row r="2799" spans="2:13" s="645" customFormat="1" ht="21.75" customHeight="1">
      <c r="B2799" s="661">
        <v>44454</v>
      </c>
      <c r="C2799" s="662" t="s">
        <v>819</v>
      </c>
      <c r="D2799" s="663" t="s">
        <v>873</v>
      </c>
      <c r="E2799" s="664" t="s">
        <v>831</v>
      </c>
      <c r="F2799" s="665"/>
      <c r="G2799" s="663">
        <v>17</v>
      </c>
      <c r="H2799" s="662" t="s">
        <v>807</v>
      </c>
      <c r="I2799" s="666" t="s">
        <v>857</v>
      </c>
      <c r="J2799" s="667" t="s">
        <v>865</v>
      </c>
      <c r="K2799" s="662">
        <v>6</v>
      </c>
      <c r="L2799" s="685">
        <f t="shared" si="83"/>
        <v>15.98</v>
      </c>
      <c r="M2799" s="686">
        <f t="shared" si="84"/>
        <v>95.88</v>
      </c>
    </row>
    <row r="2800" spans="2:13" s="645" customFormat="1" ht="21.75" customHeight="1">
      <c r="B2800" s="661">
        <v>44454</v>
      </c>
      <c r="C2800" s="662" t="s">
        <v>837</v>
      </c>
      <c r="D2800" s="663" t="s">
        <v>835</v>
      </c>
      <c r="E2800" s="664" t="s">
        <v>831</v>
      </c>
      <c r="F2800" s="665"/>
      <c r="G2800" s="663">
        <v>20</v>
      </c>
      <c r="H2800" s="662" t="s">
        <v>807</v>
      </c>
      <c r="I2800" s="666" t="s">
        <v>857</v>
      </c>
      <c r="J2800" s="667" t="s">
        <v>865</v>
      </c>
      <c r="K2800" s="662">
        <v>2</v>
      </c>
      <c r="L2800" s="685">
        <f t="shared" si="83"/>
        <v>18.8</v>
      </c>
      <c r="M2800" s="686">
        <f t="shared" si="84"/>
        <v>37.6</v>
      </c>
    </row>
    <row r="2801" spans="2:13" s="645" customFormat="1" ht="21.75" customHeight="1">
      <c r="B2801" s="661">
        <v>44454</v>
      </c>
      <c r="C2801" s="662" t="s">
        <v>837</v>
      </c>
      <c r="D2801" s="663" t="s">
        <v>839</v>
      </c>
      <c r="E2801" s="664" t="s">
        <v>831</v>
      </c>
      <c r="F2801" s="665"/>
      <c r="G2801" s="663">
        <v>15</v>
      </c>
      <c r="H2801" s="662" t="s">
        <v>807</v>
      </c>
      <c r="I2801" s="666" t="s">
        <v>857</v>
      </c>
      <c r="J2801" s="667" t="s">
        <v>865</v>
      </c>
      <c r="K2801" s="662">
        <v>2</v>
      </c>
      <c r="L2801" s="685">
        <f t="shared" si="83"/>
        <v>14.1</v>
      </c>
      <c r="M2801" s="686">
        <f t="shared" si="84"/>
        <v>28.2</v>
      </c>
    </row>
    <row r="2802" spans="2:13" s="645" customFormat="1" ht="21.75" customHeight="1">
      <c r="B2802" s="661">
        <v>44454</v>
      </c>
      <c r="C2802" s="662" t="s">
        <v>837</v>
      </c>
      <c r="D2802" s="663" t="s">
        <v>845</v>
      </c>
      <c r="E2802" s="664" t="s">
        <v>831</v>
      </c>
      <c r="F2802" s="665"/>
      <c r="G2802" s="663">
        <v>17</v>
      </c>
      <c r="H2802" s="662" t="s">
        <v>807</v>
      </c>
      <c r="I2802" s="666" t="s">
        <v>857</v>
      </c>
      <c r="J2802" s="667" t="s">
        <v>865</v>
      </c>
      <c r="K2802" s="662">
        <v>2</v>
      </c>
      <c r="L2802" s="685">
        <f t="shared" si="83"/>
        <v>15.98</v>
      </c>
      <c r="M2802" s="686">
        <f t="shared" si="84"/>
        <v>31.96</v>
      </c>
    </row>
    <row r="2803" spans="2:13" s="645" customFormat="1" ht="21.75" customHeight="1">
      <c r="B2803" s="661">
        <v>44454</v>
      </c>
      <c r="C2803" s="662" t="s">
        <v>837</v>
      </c>
      <c r="D2803" s="663" t="s">
        <v>856</v>
      </c>
      <c r="E2803" s="664" t="s">
        <v>831</v>
      </c>
      <c r="F2803" s="665"/>
      <c r="G2803" s="663">
        <v>20</v>
      </c>
      <c r="H2803" s="662" t="s">
        <v>807</v>
      </c>
      <c r="I2803" s="666" t="s">
        <v>857</v>
      </c>
      <c r="J2803" s="667" t="s">
        <v>865</v>
      </c>
      <c r="K2803" s="662">
        <v>1</v>
      </c>
      <c r="L2803" s="685">
        <f t="shared" si="83"/>
        <v>18.8</v>
      </c>
      <c r="M2803" s="686">
        <f t="shared" si="84"/>
        <v>18.8</v>
      </c>
    </row>
    <row r="2804" spans="2:13" s="645" customFormat="1" ht="21.75" customHeight="1">
      <c r="B2804" s="661">
        <v>44454</v>
      </c>
      <c r="C2804" s="662" t="s">
        <v>837</v>
      </c>
      <c r="D2804" s="663" t="s">
        <v>868</v>
      </c>
      <c r="E2804" s="664" t="s">
        <v>831</v>
      </c>
      <c r="F2804" s="665"/>
      <c r="G2804" s="663">
        <v>20</v>
      </c>
      <c r="H2804" s="662" t="s">
        <v>807</v>
      </c>
      <c r="I2804" s="666" t="s">
        <v>857</v>
      </c>
      <c r="J2804" s="667" t="s">
        <v>865</v>
      </c>
      <c r="K2804" s="662">
        <v>2</v>
      </c>
      <c r="L2804" s="685">
        <f t="shared" si="83"/>
        <v>18.8</v>
      </c>
      <c r="M2804" s="686">
        <f t="shared" si="84"/>
        <v>37.6</v>
      </c>
    </row>
    <row r="2805" spans="2:13" s="645" customFormat="1" ht="21.75" customHeight="1">
      <c r="B2805" s="661">
        <v>44455</v>
      </c>
      <c r="C2805" s="662" t="s">
        <v>819</v>
      </c>
      <c r="D2805" s="663" t="s">
        <v>849</v>
      </c>
      <c r="E2805" s="664" t="s">
        <v>831</v>
      </c>
      <c r="F2805" s="665"/>
      <c r="G2805" s="663">
        <v>20</v>
      </c>
      <c r="H2805" s="662" t="s">
        <v>807</v>
      </c>
      <c r="I2805" s="666" t="s">
        <v>859</v>
      </c>
      <c r="J2805" s="667" t="s">
        <v>805</v>
      </c>
      <c r="K2805" s="662">
        <v>6</v>
      </c>
      <c r="L2805" s="685">
        <f t="shared" si="83"/>
        <v>18.8</v>
      </c>
      <c r="M2805" s="686">
        <f t="shared" si="84"/>
        <v>112.80000000000001</v>
      </c>
    </row>
    <row r="2806" spans="2:13" s="645" customFormat="1" ht="21.75" customHeight="1">
      <c r="B2806" s="661">
        <v>44455</v>
      </c>
      <c r="C2806" s="662" t="s">
        <v>819</v>
      </c>
      <c r="D2806" s="663" t="s">
        <v>840</v>
      </c>
      <c r="E2806" s="664" t="s">
        <v>831</v>
      </c>
      <c r="F2806" s="665"/>
      <c r="G2806" s="663">
        <v>20</v>
      </c>
      <c r="H2806" s="662" t="s">
        <v>807</v>
      </c>
      <c r="I2806" s="666" t="s">
        <v>859</v>
      </c>
      <c r="J2806" s="667" t="s">
        <v>805</v>
      </c>
      <c r="K2806" s="662">
        <v>5</v>
      </c>
      <c r="L2806" s="685">
        <f t="shared" si="83"/>
        <v>18.8</v>
      </c>
      <c r="M2806" s="686">
        <f t="shared" si="84"/>
        <v>94</v>
      </c>
    </row>
    <row r="2807" spans="2:13" s="645" customFormat="1" ht="21.75" customHeight="1">
      <c r="B2807" s="661">
        <v>44455</v>
      </c>
      <c r="C2807" s="662" t="s">
        <v>819</v>
      </c>
      <c r="D2807" s="663" t="s">
        <v>835</v>
      </c>
      <c r="E2807" s="664" t="s">
        <v>831</v>
      </c>
      <c r="F2807" s="665"/>
      <c r="G2807" s="663">
        <v>20</v>
      </c>
      <c r="H2807" s="662" t="s">
        <v>807</v>
      </c>
      <c r="I2807" s="666" t="s">
        <v>859</v>
      </c>
      <c r="J2807" s="667" t="s">
        <v>805</v>
      </c>
      <c r="K2807" s="662">
        <v>6</v>
      </c>
      <c r="L2807" s="685">
        <f t="shared" si="83"/>
        <v>18.8</v>
      </c>
      <c r="M2807" s="686">
        <f t="shared" si="84"/>
        <v>112.80000000000001</v>
      </c>
    </row>
    <row r="2808" spans="2:13" s="645" customFormat="1" ht="21.75" customHeight="1">
      <c r="B2808" s="661">
        <v>44455</v>
      </c>
      <c r="C2808" s="662" t="s">
        <v>819</v>
      </c>
      <c r="D2808" s="663" t="s">
        <v>841</v>
      </c>
      <c r="E2808" s="664" t="s">
        <v>831</v>
      </c>
      <c r="F2808" s="665"/>
      <c r="G2808" s="663">
        <v>20</v>
      </c>
      <c r="H2808" s="662" t="s">
        <v>807</v>
      </c>
      <c r="I2808" s="666" t="s">
        <v>859</v>
      </c>
      <c r="J2808" s="667" t="s">
        <v>805</v>
      </c>
      <c r="K2808" s="662">
        <v>2</v>
      </c>
      <c r="L2808" s="685">
        <f t="shared" si="83"/>
        <v>18.8</v>
      </c>
      <c r="M2808" s="686">
        <f t="shared" si="84"/>
        <v>37.6</v>
      </c>
    </row>
    <row r="2809" spans="2:13" s="645" customFormat="1" ht="21.75" customHeight="1">
      <c r="B2809" s="661">
        <v>44455</v>
      </c>
      <c r="C2809" s="662" t="s">
        <v>819</v>
      </c>
      <c r="D2809" s="663" t="s">
        <v>834</v>
      </c>
      <c r="E2809" s="664" t="s">
        <v>831</v>
      </c>
      <c r="F2809" s="665"/>
      <c r="G2809" s="663">
        <v>20</v>
      </c>
      <c r="H2809" s="662" t="s">
        <v>807</v>
      </c>
      <c r="I2809" s="666" t="s">
        <v>859</v>
      </c>
      <c r="J2809" s="667" t="s">
        <v>805</v>
      </c>
      <c r="K2809" s="662">
        <v>5</v>
      </c>
      <c r="L2809" s="685">
        <f t="shared" si="83"/>
        <v>18.8</v>
      </c>
      <c r="M2809" s="686">
        <f t="shared" si="84"/>
        <v>94</v>
      </c>
    </row>
    <row r="2810" spans="2:13" s="645" customFormat="1" ht="21.75" customHeight="1">
      <c r="B2810" s="661">
        <v>44455</v>
      </c>
      <c r="C2810" s="662" t="s">
        <v>819</v>
      </c>
      <c r="D2810" s="663" t="s">
        <v>874</v>
      </c>
      <c r="E2810" s="664" t="s">
        <v>831</v>
      </c>
      <c r="F2810" s="665"/>
      <c r="G2810" s="663">
        <v>20</v>
      </c>
      <c r="H2810" s="662" t="s">
        <v>807</v>
      </c>
      <c r="I2810" s="666" t="s">
        <v>859</v>
      </c>
      <c r="J2810" s="667" t="s">
        <v>805</v>
      </c>
      <c r="K2810" s="662">
        <v>4</v>
      </c>
      <c r="L2810" s="685">
        <f t="shared" si="83"/>
        <v>18.8</v>
      </c>
      <c r="M2810" s="686">
        <f t="shared" si="84"/>
        <v>75.2</v>
      </c>
    </row>
    <row r="2811" spans="2:13" s="645" customFormat="1" ht="21.75" customHeight="1">
      <c r="B2811" s="661">
        <v>44455</v>
      </c>
      <c r="C2811" s="662" t="s">
        <v>819</v>
      </c>
      <c r="D2811" s="663" t="s">
        <v>874</v>
      </c>
      <c r="E2811" s="664" t="s">
        <v>831</v>
      </c>
      <c r="F2811" s="665"/>
      <c r="G2811" s="663">
        <v>20</v>
      </c>
      <c r="H2811" s="662" t="s">
        <v>807</v>
      </c>
      <c r="I2811" s="666" t="s">
        <v>872</v>
      </c>
      <c r="J2811" s="667" t="s">
        <v>805</v>
      </c>
      <c r="K2811" s="662">
        <v>1</v>
      </c>
      <c r="L2811" s="685">
        <f t="shared" si="83"/>
        <v>18.8</v>
      </c>
      <c r="M2811" s="686">
        <f t="shared" si="84"/>
        <v>18.8</v>
      </c>
    </row>
    <row r="2812" spans="2:13" s="645" customFormat="1" ht="21.75" customHeight="1">
      <c r="B2812" s="661">
        <v>44455</v>
      </c>
      <c r="C2812" s="662" t="s">
        <v>819</v>
      </c>
      <c r="D2812" s="663" t="s">
        <v>848</v>
      </c>
      <c r="E2812" s="664" t="s">
        <v>831</v>
      </c>
      <c r="F2812" s="665"/>
      <c r="G2812" s="663">
        <v>20</v>
      </c>
      <c r="H2812" s="662" t="s">
        <v>807</v>
      </c>
      <c r="I2812" s="666" t="s">
        <v>859</v>
      </c>
      <c r="J2812" s="667" t="s">
        <v>805</v>
      </c>
      <c r="K2812" s="662">
        <v>9</v>
      </c>
      <c r="L2812" s="685">
        <f t="shared" si="83"/>
        <v>18.8</v>
      </c>
      <c r="M2812" s="686">
        <f t="shared" si="84"/>
        <v>169.20000000000002</v>
      </c>
    </row>
    <row r="2813" spans="2:13" s="645" customFormat="1" ht="21.75" customHeight="1">
      <c r="B2813" s="661">
        <v>44455</v>
      </c>
      <c r="C2813" s="662" t="s">
        <v>819</v>
      </c>
      <c r="D2813" s="663" t="s">
        <v>830</v>
      </c>
      <c r="E2813" s="664" t="s">
        <v>831</v>
      </c>
      <c r="F2813" s="665"/>
      <c r="G2813" s="663">
        <v>15</v>
      </c>
      <c r="H2813" s="662" t="s">
        <v>807</v>
      </c>
      <c r="I2813" s="666" t="s">
        <v>859</v>
      </c>
      <c r="J2813" s="667" t="s">
        <v>805</v>
      </c>
      <c r="K2813" s="662">
        <v>8</v>
      </c>
      <c r="L2813" s="685">
        <f t="shared" si="83"/>
        <v>14.1</v>
      </c>
      <c r="M2813" s="686">
        <f t="shared" si="84"/>
        <v>112.8</v>
      </c>
    </row>
    <row r="2814" spans="2:13" s="645" customFormat="1" ht="21.75" customHeight="1">
      <c r="B2814" s="661">
        <v>44455</v>
      </c>
      <c r="C2814" s="662" t="s">
        <v>819</v>
      </c>
      <c r="D2814" s="663" t="s">
        <v>845</v>
      </c>
      <c r="E2814" s="664" t="s">
        <v>831</v>
      </c>
      <c r="F2814" s="665"/>
      <c r="G2814" s="663">
        <v>17</v>
      </c>
      <c r="H2814" s="662" t="s">
        <v>807</v>
      </c>
      <c r="I2814" s="666" t="s">
        <v>859</v>
      </c>
      <c r="J2814" s="667" t="s">
        <v>805</v>
      </c>
      <c r="K2814" s="662">
        <v>7</v>
      </c>
      <c r="L2814" s="685">
        <f t="shared" si="83"/>
        <v>15.98</v>
      </c>
      <c r="M2814" s="686">
        <f t="shared" si="84"/>
        <v>111.86</v>
      </c>
    </row>
    <row r="2815" spans="2:13" s="645" customFormat="1" ht="21.75" customHeight="1">
      <c r="B2815" s="661">
        <v>44455</v>
      </c>
      <c r="C2815" s="662" t="s">
        <v>819</v>
      </c>
      <c r="D2815" s="663" t="s">
        <v>847</v>
      </c>
      <c r="E2815" s="664" t="s">
        <v>831</v>
      </c>
      <c r="F2815" s="665"/>
      <c r="G2815" s="663">
        <v>17</v>
      </c>
      <c r="H2815" s="662" t="s">
        <v>807</v>
      </c>
      <c r="I2815" s="666" t="s">
        <v>859</v>
      </c>
      <c r="J2815" s="667" t="s">
        <v>805</v>
      </c>
      <c r="K2815" s="662">
        <v>6</v>
      </c>
      <c r="L2815" s="685">
        <f t="shared" si="83"/>
        <v>15.98</v>
      </c>
      <c r="M2815" s="686">
        <f t="shared" si="84"/>
        <v>95.88</v>
      </c>
    </row>
    <row r="2816" spans="2:13" s="645" customFormat="1" ht="21.75" customHeight="1">
      <c r="B2816" s="661">
        <v>44455</v>
      </c>
      <c r="C2816" s="662" t="s">
        <v>819</v>
      </c>
      <c r="D2816" s="663" t="s">
        <v>856</v>
      </c>
      <c r="E2816" s="664" t="s">
        <v>831</v>
      </c>
      <c r="F2816" s="665"/>
      <c r="G2816" s="663">
        <v>20</v>
      </c>
      <c r="H2816" s="662" t="s">
        <v>807</v>
      </c>
      <c r="I2816" s="666" t="s">
        <v>859</v>
      </c>
      <c r="J2816" s="667" t="s">
        <v>805</v>
      </c>
      <c r="K2816" s="662">
        <v>7</v>
      </c>
      <c r="L2816" s="685">
        <f t="shared" si="83"/>
        <v>18.8</v>
      </c>
      <c r="M2816" s="686">
        <f t="shared" si="84"/>
        <v>131.6</v>
      </c>
    </row>
    <row r="2817" spans="2:13" s="645" customFormat="1" ht="21.75" customHeight="1">
      <c r="B2817" s="661">
        <v>44455</v>
      </c>
      <c r="C2817" s="662" t="s">
        <v>819</v>
      </c>
      <c r="D2817" s="663" t="s">
        <v>855</v>
      </c>
      <c r="E2817" s="664" t="s">
        <v>831</v>
      </c>
      <c r="F2817" s="665"/>
      <c r="G2817" s="663">
        <v>20</v>
      </c>
      <c r="H2817" s="662" t="s">
        <v>807</v>
      </c>
      <c r="I2817" s="666" t="s">
        <v>859</v>
      </c>
      <c r="J2817" s="667" t="s">
        <v>805</v>
      </c>
      <c r="K2817" s="662">
        <v>6</v>
      </c>
      <c r="L2817" s="685">
        <f t="shared" si="83"/>
        <v>18.8</v>
      </c>
      <c r="M2817" s="686">
        <f t="shared" si="84"/>
        <v>112.80000000000001</v>
      </c>
    </row>
    <row r="2818" spans="2:13" s="645" customFormat="1" ht="21.75" customHeight="1">
      <c r="B2818" s="661">
        <v>44455</v>
      </c>
      <c r="C2818" s="662" t="s">
        <v>819</v>
      </c>
      <c r="D2818" s="663" t="s">
        <v>875</v>
      </c>
      <c r="E2818" s="664" t="s">
        <v>831</v>
      </c>
      <c r="F2818" s="665"/>
      <c r="G2818" s="663">
        <v>20</v>
      </c>
      <c r="H2818" s="662" t="s">
        <v>807</v>
      </c>
      <c r="I2818" s="666" t="s">
        <v>859</v>
      </c>
      <c r="J2818" s="667" t="s">
        <v>805</v>
      </c>
      <c r="K2818" s="662">
        <v>3</v>
      </c>
      <c r="L2818" s="685">
        <f t="shared" si="83"/>
        <v>18.8</v>
      </c>
      <c r="M2818" s="686">
        <f t="shared" si="84"/>
        <v>56.400000000000006</v>
      </c>
    </row>
    <row r="2819" spans="2:13" s="645" customFormat="1" ht="21.75" customHeight="1">
      <c r="B2819" s="661">
        <v>44455</v>
      </c>
      <c r="C2819" s="662" t="s">
        <v>819</v>
      </c>
      <c r="D2819" s="663" t="s">
        <v>875</v>
      </c>
      <c r="E2819" s="664" t="s">
        <v>831</v>
      </c>
      <c r="F2819" s="665"/>
      <c r="G2819" s="663">
        <v>20</v>
      </c>
      <c r="H2819" s="662" t="s">
        <v>807</v>
      </c>
      <c r="I2819" s="666" t="s">
        <v>872</v>
      </c>
      <c r="J2819" s="667" t="s">
        <v>805</v>
      </c>
      <c r="K2819" s="662">
        <v>1</v>
      </c>
      <c r="L2819" s="685">
        <f t="shared" si="83"/>
        <v>18.8</v>
      </c>
      <c r="M2819" s="686">
        <f t="shared" si="84"/>
        <v>18.8</v>
      </c>
    </row>
    <row r="2820" spans="2:13" s="645" customFormat="1" ht="21.75" customHeight="1">
      <c r="B2820" s="661">
        <v>44455</v>
      </c>
      <c r="C2820" s="662" t="s">
        <v>819</v>
      </c>
      <c r="D2820" s="663" t="s">
        <v>868</v>
      </c>
      <c r="E2820" s="664" t="s">
        <v>831</v>
      </c>
      <c r="F2820" s="665"/>
      <c r="G2820" s="663">
        <v>20</v>
      </c>
      <c r="H2820" s="662" t="s">
        <v>807</v>
      </c>
      <c r="I2820" s="666" t="s">
        <v>859</v>
      </c>
      <c r="J2820" s="667" t="s">
        <v>805</v>
      </c>
      <c r="K2820" s="662">
        <v>7</v>
      </c>
      <c r="L2820" s="685">
        <f t="shared" si="83"/>
        <v>18.8</v>
      </c>
      <c r="M2820" s="686">
        <f t="shared" si="84"/>
        <v>131.6</v>
      </c>
    </row>
    <row r="2821" spans="2:13" s="645" customFormat="1" ht="21.75" customHeight="1">
      <c r="B2821" s="661">
        <v>44455</v>
      </c>
      <c r="C2821" s="662" t="s">
        <v>819</v>
      </c>
      <c r="D2821" s="663" t="s">
        <v>877</v>
      </c>
      <c r="E2821" s="664" t="s">
        <v>831</v>
      </c>
      <c r="F2821" s="665"/>
      <c r="G2821" s="663">
        <v>20</v>
      </c>
      <c r="H2821" s="662" t="s">
        <v>807</v>
      </c>
      <c r="I2821" s="666" t="s">
        <v>859</v>
      </c>
      <c r="J2821" s="667" t="s">
        <v>805</v>
      </c>
      <c r="K2821" s="662">
        <v>7</v>
      </c>
      <c r="L2821" s="685">
        <f t="shared" si="83"/>
        <v>18.8</v>
      </c>
      <c r="M2821" s="686">
        <f t="shared" si="84"/>
        <v>131.6</v>
      </c>
    </row>
    <row r="2822" spans="2:13" s="645" customFormat="1" ht="21.75" customHeight="1">
      <c r="B2822" s="661">
        <v>44455</v>
      </c>
      <c r="C2822" s="662" t="s">
        <v>819</v>
      </c>
      <c r="D2822" s="663" t="s">
        <v>870</v>
      </c>
      <c r="E2822" s="664" t="s">
        <v>831</v>
      </c>
      <c r="F2822" s="665"/>
      <c r="G2822" s="663">
        <v>20</v>
      </c>
      <c r="H2822" s="662" t="s">
        <v>807</v>
      </c>
      <c r="I2822" s="666" t="s">
        <v>859</v>
      </c>
      <c r="J2822" s="667" t="s">
        <v>805</v>
      </c>
      <c r="K2822" s="662">
        <v>6</v>
      </c>
      <c r="L2822" s="685">
        <f t="shared" si="83"/>
        <v>18.8</v>
      </c>
      <c r="M2822" s="686">
        <f t="shared" si="84"/>
        <v>112.80000000000001</v>
      </c>
    </row>
    <row r="2823" spans="2:13" s="645" customFormat="1" ht="21.75" customHeight="1">
      <c r="B2823" s="661">
        <v>44455</v>
      </c>
      <c r="C2823" s="662" t="s">
        <v>819</v>
      </c>
      <c r="D2823" s="663" t="s">
        <v>873</v>
      </c>
      <c r="E2823" s="664" t="s">
        <v>831</v>
      </c>
      <c r="F2823" s="665"/>
      <c r="G2823" s="663">
        <v>17</v>
      </c>
      <c r="H2823" s="662" t="s">
        <v>807</v>
      </c>
      <c r="I2823" s="666" t="s">
        <v>859</v>
      </c>
      <c r="J2823" s="667" t="s">
        <v>805</v>
      </c>
      <c r="K2823" s="662">
        <v>3</v>
      </c>
      <c r="L2823" s="685">
        <f t="shared" si="83"/>
        <v>15.98</v>
      </c>
      <c r="M2823" s="686">
        <f t="shared" si="84"/>
        <v>47.94</v>
      </c>
    </row>
    <row r="2824" spans="2:13" s="645" customFormat="1" ht="21.75" customHeight="1">
      <c r="B2824" s="661">
        <v>44455</v>
      </c>
      <c r="C2824" s="662" t="s">
        <v>819</v>
      </c>
      <c r="D2824" s="663" t="s">
        <v>873</v>
      </c>
      <c r="E2824" s="664" t="s">
        <v>831</v>
      </c>
      <c r="F2824" s="665"/>
      <c r="G2824" s="663">
        <v>17</v>
      </c>
      <c r="H2824" s="662" t="s">
        <v>807</v>
      </c>
      <c r="I2824" s="666" t="s">
        <v>872</v>
      </c>
      <c r="J2824" s="667" t="s">
        <v>805</v>
      </c>
      <c r="K2824" s="662">
        <v>1</v>
      </c>
      <c r="L2824" s="685">
        <f t="shared" si="83"/>
        <v>15.98</v>
      </c>
      <c r="M2824" s="686">
        <f t="shared" si="84"/>
        <v>15.98</v>
      </c>
    </row>
    <row r="2825" spans="2:13" s="645" customFormat="1" ht="21.75" customHeight="1">
      <c r="B2825" s="661">
        <v>44455</v>
      </c>
      <c r="C2825" s="662" t="s">
        <v>837</v>
      </c>
      <c r="D2825" s="663" t="s">
        <v>835</v>
      </c>
      <c r="E2825" s="664" t="s">
        <v>831</v>
      </c>
      <c r="F2825" s="665"/>
      <c r="G2825" s="663">
        <v>20</v>
      </c>
      <c r="H2825" s="662" t="s">
        <v>807</v>
      </c>
      <c r="I2825" s="666" t="s">
        <v>857</v>
      </c>
      <c r="J2825" s="667" t="s">
        <v>805</v>
      </c>
      <c r="K2825" s="662">
        <v>2</v>
      </c>
      <c r="L2825" s="685">
        <f t="shared" ref="L2825:L2888" si="85">VLOOKUP(G2825,$Q$4:$V$7,6,FALSE)</f>
        <v>18.8</v>
      </c>
      <c r="M2825" s="686">
        <f t="shared" si="84"/>
        <v>37.6</v>
      </c>
    </row>
    <row r="2826" spans="2:13" s="645" customFormat="1" ht="21.75" customHeight="1">
      <c r="B2826" s="661">
        <v>44455</v>
      </c>
      <c r="C2826" s="662" t="s">
        <v>837</v>
      </c>
      <c r="D2826" s="663" t="s">
        <v>841</v>
      </c>
      <c r="E2826" s="664" t="s">
        <v>831</v>
      </c>
      <c r="F2826" s="665"/>
      <c r="G2826" s="663">
        <v>20</v>
      </c>
      <c r="H2826" s="662" t="s">
        <v>807</v>
      </c>
      <c r="I2826" s="666" t="s">
        <v>857</v>
      </c>
      <c r="J2826" s="667" t="s">
        <v>805</v>
      </c>
      <c r="K2826" s="662">
        <v>3</v>
      </c>
      <c r="L2826" s="685">
        <f t="shared" si="85"/>
        <v>18.8</v>
      </c>
      <c r="M2826" s="686">
        <f t="shared" si="84"/>
        <v>56.400000000000006</v>
      </c>
    </row>
    <row r="2827" spans="2:13" s="645" customFormat="1" ht="21.75" customHeight="1">
      <c r="B2827" s="661">
        <v>44455</v>
      </c>
      <c r="C2827" s="662" t="s">
        <v>837</v>
      </c>
      <c r="D2827" s="663" t="s">
        <v>845</v>
      </c>
      <c r="E2827" s="664" t="s">
        <v>831</v>
      </c>
      <c r="F2827" s="665"/>
      <c r="G2827" s="663">
        <v>17</v>
      </c>
      <c r="H2827" s="662" t="s">
        <v>807</v>
      </c>
      <c r="I2827" s="666" t="s">
        <v>857</v>
      </c>
      <c r="J2827" s="667" t="s">
        <v>805</v>
      </c>
      <c r="K2827" s="662">
        <v>5</v>
      </c>
      <c r="L2827" s="685">
        <f t="shared" si="85"/>
        <v>15.98</v>
      </c>
      <c r="M2827" s="686">
        <f t="shared" si="84"/>
        <v>79.900000000000006</v>
      </c>
    </row>
    <row r="2828" spans="2:13" s="645" customFormat="1" ht="21.75" customHeight="1">
      <c r="B2828" s="661">
        <v>44455</v>
      </c>
      <c r="C2828" s="662" t="s">
        <v>837</v>
      </c>
      <c r="D2828" s="663" t="s">
        <v>856</v>
      </c>
      <c r="E2828" s="664" t="s">
        <v>831</v>
      </c>
      <c r="F2828" s="665"/>
      <c r="G2828" s="663">
        <v>20</v>
      </c>
      <c r="H2828" s="662" t="s">
        <v>807</v>
      </c>
      <c r="I2828" s="666" t="s">
        <v>857</v>
      </c>
      <c r="J2828" s="667" t="s">
        <v>805</v>
      </c>
      <c r="K2828" s="662">
        <v>3</v>
      </c>
      <c r="L2828" s="685">
        <f t="shared" si="85"/>
        <v>18.8</v>
      </c>
      <c r="M2828" s="686">
        <f t="shared" si="84"/>
        <v>56.400000000000006</v>
      </c>
    </row>
    <row r="2829" spans="2:13" s="645" customFormat="1" ht="21.75" customHeight="1">
      <c r="B2829" s="661">
        <v>44455</v>
      </c>
      <c r="C2829" s="662" t="s">
        <v>837</v>
      </c>
      <c r="D2829" s="663" t="s">
        <v>868</v>
      </c>
      <c r="E2829" s="664" t="s">
        <v>831</v>
      </c>
      <c r="F2829" s="665"/>
      <c r="G2829" s="663">
        <v>20</v>
      </c>
      <c r="H2829" s="662" t="s">
        <v>807</v>
      </c>
      <c r="I2829" s="666" t="s">
        <v>857</v>
      </c>
      <c r="J2829" s="667" t="s">
        <v>805</v>
      </c>
      <c r="K2829" s="662">
        <v>6</v>
      </c>
      <c r="L2829" s="685">
        <f t="shared" si="85"/>
        <v>18.8</v>
      </c>
      <c r="M2829" s="686">
        <f t="shared" si="84"/>
        <v>112.80000000000001</v>
      </c>
    </row>
    <row r="2830" spans="2:13" s="645" customFormat="1" ht="21.75" customHeight="1">
      <c r="B2830" s="661">
        <v>44455</v>
      </c>
      <c r="C2830" s="662" t="s">
        <v>837</v>
      </c>
      <c r="D2830" s="663" t="s">
        <v>873</v>
      </c>
      <c r="E2830" s="664" t="s">
        <v>831</v>
      </c>
      <c r="F2830" s="665"/>
      <c r="G2830" s="663">
        <v>17</v>
      </c>
      <c r="H2830" s="662" t="s">
        <v>807</v>
      </c>
      <c r="I2830" s="666" t="s">
        <v>857</v>
      </c>
      <c r="J2830" s="667" t="s">
        <v>805</v>
      </c>
      <c r="K2830" s="662">
        <v>4</v>
      </c>
      <c r="L2830" s="685">
        <f t="shared" si="85"/>
        <v>15.98</v>
      </c>
      <c r="M2830" s="686">
        <f t="shared" si="84"/>
        <v>63.92</v>
      </c>
    </row>
    <row r="2831" spans="2:13" s="645" customFormat="1" ht="21.75" customHeight="1">
      <c r="B2831" s="661">
        <v>44455</v>
      </c>
      <c r="C2831" s="662" t="s">
        <v>819</v>
      </c>
      <c r="D2831" s="663" t="s">
        <v>849</v>
      </c>
      <c r="E2831" s="664" t="s">
        <v>831</v>
      </c>
      <c r="F2831" s="665"/>
      <c r="G2831" s="663">
        <v>20</v>
      </c>
      <c r="H2831" s="662" t="s">
        <v>807</v>
      </c>
      <c r="I2831" s="666" t="s">
        <v>859</v>
      </c>
      <c r="J2831" s="667" t="s">
        <v>865</v>
      </c>
      <c r="K2831" s="662">
        <v>1</v>
      </c>
      <c r="L2831" s="685">
        <f t="shared" si="85"/>
        <v>18.8</v>
      </c>
      <c r="M2831" s="686">
        <f t="shared" si="84"/>
        <v>18.8</v>
      </c>
    </row>
    <row r="2832" spans="2:13" s="645" customFormat="1" ht="21.75" customHeight="1">
      <c r="B2832" s="661">
        <v>44455</v>
      </c>
      <c r="C2832" s="662" t="s">
        <v>819</v>
      </c>
      <c r="D2832" s="663" t="s">
        <v>840</v>
      </c>
      <c r="E2832" s="664" t="s">
        <v>831</v>
      </c>
      <c r="F2832" s="665"/>
      <c r="G2832" s="663">
        <v>20</v>
      </c>
      <c r="H2832" s="662" t="s">
        <v>807</v>
      </c>
      <c r="I2832" s="666" t="s">
        <v>859</v>
      </c>
      <c r="J2832" s="667" t="s">
        <v>865</v>
      </c>
      <c r="K2832" s="662">
        <v>3</v>
      </c>
      <c r="L2832" s="685">
        <f t="shared" si="85"/>
        <v>18.8</v>
      </c>
      <c r="M2832" s="686">
        <f t="shared" si="84"/>
        <v>56.400000000000006</v>
      </c>
    </row>
    <row r="2833" spans="2:13" s="645" customFormat="1" ht="21.75" customHeight="1">
      <c r="B2833" s="661">
        <v>44455</v>
      </c>
      <c r="C2833" s="662" t="s">
        <v>819</v>
      </c>
      <c r="D2833" s="663" t="s">
        <v>841</v>
      </c>
      <c r="E2833" s="664" t="s">
        <v>831</v>
      </c>
      <c r="F2833" s="665"/>
      <c r="G2833" s="663">
        <v>20</v>
      </c>
      <c r="H2833" s="662" t="s">
        <v>807</v>
      </c>
      <c r="I2833" s="666" t="s">
        <v>859</v>
      </c>
      <c r="J2833" s="667" t="s">
        <v>865</v>
      </c>
      <c r="K2833" s="662">
        <v>6</v>
      </c>
      <c r="L2833" s="685">
        <f t="shared" si="85"/>
        <v>18.8</v>
      </c>
      <c r="M2833" s="686">
        <f t="shared" si="84"/>
        <v>112.80000000000001</v>
      </c>
    </row>
    <row r="2834" spans="2:13" s="645" customFormat="1" ht="21.75" customHeight="1">
      <c r="B2834" s="661">
        <v>44455</v>
      </c>
      <c r="C2834" s="662" t="s">
        <v>819</v>
      </c>
      <c r="D2834" s="663" t="s">
        <v>874</v>
      </c>
      <c r="E2834" s="664" t="s">
        <v>831</v>
      </c>
      <c r="F2834" s="665"/>
      <c r="G2834" s="663">
        <v>20</v>
      </c>
      <c r="H2834" s="662" t="s">
        <v>807</v>
      </c>
      <c r="I2834" s="666" t="s">
        <v>859</v>
      </c>
      <c r="J2834" s="667" t="s">
        <v>865</v>
      </c>
      <c r="K2834" s="662">
        <v>2</v>
      </c>
      <c r="L2834" s="685">
        <f t="shared" si="85"/>
        <v>18.8</v>
      </c>
      <c r="M2834" s="686">
        <f t="shared" si="84"/>
        <v>37.6</v>
      </c>
    </row>
    <row r="2835" spans="2:13" s="645" customFormat="1" ht="21.75" customHeight="1">
      <c r="B2835" s="661">
        <v>44455</v>
      </c>
      <c r="C2835" s="662" t="s">
        <v>819</v>
      </c>
      <c r="D2835" s="663" t="s">
        <v>839</v>
      </c>
      <c r="E2835" s="664" t="s">
        <v>831</v>
      </c>
      <c r="F2835" s="665"/>
      <c r="G2835" s="663">
        <v>15</v>
      </c>
      <c r="H2835" s="662" t="s">
        <v>807</v>
      </c>
      <c r="I2835" s="666" t="s">
        <v>859</v>
      </c>
      <c r="J2835" s="667" t="s">
        <v>865</v>
      </c>
      <c r="K2835" s="662">
        <v>4</v>
      </c>
      <c r="L2835" s="685">
        <f t="shared" si="85"/>
        <v>14.1</v>
      </c>
      <c r="M2835" s="686">
        <f t="shared" si="84"/>
        <v>56.4</v>
      </c>
    </row>
    <row r="2836" spans="2:13" s="645" customFormat="1" ht="21.75" customHeight="1">
      <c r="B2836" s="661">
        <v>44455</v>
      </c>
      <c r="C2836" s="662" t="s">
        <v>819</v>
      </c>
      <c r="D2836" s="663" t="s">
        <v>847</v>
      </c>
      <c r="E2836" s="664" t="s">
        <v>831</v>
      </c>
      <c r="F2836" s="665"/>
      <c r="G2836" s="663">
        <v>17</v>
      </c>
      <c r="H2836" s="662" t="s">
        <v>807</v>
      </c>
      <c r="I2836" s="666" t="s">
        <v>859</v>
      </c>
      <c r="J2836" s="667" t="s">
        <v>865</v>
      </c>
      <c r="K2836" s="662">
        <v>3</v>
      </c>
      <c r="L2836" s="685">
        <f t="shared" si="85"/>
        <v>15.98</v>
      </c>
      <c r="M2836" s="686">
        <f t="shared" si="84"/>
        <v>47.94</v>
      </c>
    </row>
    <row r="2837" spans="2:13" s="645" customFormat="1" ht="21.75" customHeight="1">
      <c r="B2837" s="661">
        <v>44455</v>
      </c>
      <c r="C2837" s="662" t="s">
        <v>819</v>
      </c>
      <c r="D2837" s="663" t="s">
        <v>856</v>
      </c>
      <c r="E2837" s="664" t="s">
        <v>831</v>
      </c>
      <c r="F2837" s="665"/>
      <c r="G2837" s="663">
        <v>20</v>
      </c>
      <c r="H2837" s="662" t="s">
        <v>807</v>
      </c>
      <c r="I2837" s="666" t="s">
        <v>872</v>
      </c>
      <c r="J2837" s="667" t="s">
        <v>865</v>
      </c>
      <c r="K2837" s="662">
        <v>1</v>
      </c>
      <c r="L2837" s="685">
        <f t="shared" si="85"/>
        <v>18.8</v>
      </c>
      <c r="M2837" s="686">
        <f t="shared" si="84"/>
        <v>18.8</v>
      </c>
    </row>
    <row r="2838" spans="2:13" s="645" customFormat="1" ht="21.75" customHeight="1">
      <c r="B2838" s="661">
        <v>44455</v>
      </c>
      <c r="C2838" s="662" t="s">
        <v>819</v>
      </c>
      <c r="D2838" s="663" t="s">
        <v>855</v>
      </c>
      <c r="E2838" s="664" t="s">
        <v>831</v>
      </c>
      <c r="F2838" s="665"/>
      <c r="G2838" s="663">
        <v>20</v>
      </c>
      <c r="H2838" s="662" t="s">
        <v>807</v>
      </c>
      <c r="I2838" s="666" t="s">
        <v>859</v>
      </c>
      <c r="J2838" s="667" t="s">
        <v>865</v>
      </c>
      <c r="K2838" s="662">
        <v>1</v>
      </c>
      <c r="L2838" s="685">
        <f t="shared" si="85"/>
        <v>18.8</v>
      </c>
      <c r="M2838" s="686">
        <f t="shared" si="84"/>
        <v>18.8</v>
      </c>
    </row>
    <row r="2839" spans="2:13" s="645" customFormat="1" ht="21.75" customHeight="1">
      <c r="B2839" s="661">
        <v>44455</v>
      </c>
      <c r="C2839" s="662" t="s">
        <v>819</v>
      </c>
      <c r="D2839" s="663" t="s">
        <v>875</v>
      </c>
      <c r="E2839" s="664" t="s">
        <v>831</v>
      </c>
      <c r="F2839" s="665"/>
      <c r="G2839" s="663">
        <v>20</v>
      </c>
      <c r="H2839" s="662" t="s">
        <v>807</v>
      </c>
      <c r="I2839" s="666" t="s">
        <v>859</v>
      </c>
      <c r="J2839" s="667" t="s">
        <v>865</v>
      </c>
      <c r="K2839" s="662">
        <v>3</v>
      </c>
      <c r="L2839" s="685">
        <f t="shared" si="85"/>
        <v>18.8</v>
      </c>
      <c r="M2839" s="686">
        <f t="shared" si="84"/>
        <v>56.400000000000006</v>
      </c>
    </row>
    <row r="2840" spans="2:13" s="645" customFormat="1" ht="21.75" customHeight="1">
      <c r="B2840" s="661">
        <v>44455</v>
      </c>
      <c r="C2840" s="662" t="s">
        <v>819</v>
      </c>
      <c r="D2840" s="663" t="s">
        <v>873</v>
      </c>
      <c r="E2840" s="664" t="s">
        <v>831</v>
      </c>
      <c r="F2840" s="665"/>
      <c r="G2840" s="663">
        <v>17</v>
      </c>
      <c r="H2840" s="662" t="s">
        <v>807</v>
      </c>
      <c r="I2840" s="666" t="s">
        <v>859</v>
      </c>
      <c r="J2840" s="667" t="s">
        <v>865</v>
      </c>
      <c r="K2840" s="662">
        <v>3</v>
      </c>
      <c r="L2840" s="685">
        <f t="shared" si="85"/>
        <v>15.98</v>
      </c>
      <c r="M2840" s="686">
        <f t="shared" si="84"/>
        <v>47.94</v>
      </c>
    </row>
    <row r="2841" spans="2:13" s="645" customFormat="1" ht="21.75" customHeight="1">
      <c r="B2841" s="661">
        <v>44455</v>
      </c>
      <c r="C2841" s="662" t="s">
        <v>837</v>
      </c>
      <c r="D2841" s="663" t="s">
        <v>835</v>
      </c>
      <c r="E2841" s="664" t="s">
        <v>831</v>
      </c>
      <c r="F2841" s="665"/>
      <c r="G2841" s="663">
        <v>20</v>
      </c>
      <c r="H2841" s="662" t="s">
        <v>807</v>
      </c>
      <c r="I2841" s="666" t="s">
        <v>857</v>
      </c>
      <c r="J2841" s="667" t="s">
        <v>865</v>
      </c>
      <c r="K2841" s="662">
        <v>8</v>
      </c>
      <c r="L2841" s="685">
        <f t="shared" si="85"/>
        <v>18.8</v>
      </c>
      <c r="M2841" s="686">
        <f t="shared" si="84"/>
        <v>150.4</v>
      </c>
    </row>
    <row r="2842" spans="2:13" s="645" customFormat="1" ht="21.75" customHeight="1">
      <c r="B2842" s="661">
        <v>44455</v>
      </c>
      <c r="C2842" s="662" t="s">
        <v>837</v>
      </c>
      <c r="D2842" s="663" t="s">
        <v>841</v>
      </c>
      <c r="E2842" s="664" t="s">
        <v>831</v>
      </c>
      <c r="F2842" s="665"/>
      <c r="G2842" s="663">
        <v>20</v>
      </c>
      <c r="H2842" s="662" t="s">
        <v>807</v>
      </c>
      <c r="I2842" s="666" t="s">
        <v>857</v>
      </c>
      <c r="J2842" s="667" t="s">
        <v>865</v>
      </c>
      <c r="K2842" s="662">
        <v>7</v>
      </c>
      <c r="L2842" s="685">
        <f t="shared" si="85"/>
        <v>18.8</v>
      </c>
      <c r="M2842" s="686">
        <f t="shared" si="84"/>
        <v>131.6</v>
      </c>
    </row>
    <row r="2843" spans="2:13" s="645" customFormat="1" ht="21.75" customHeight="1">
      <c r="B2843" s="661">
        <v>44455</v>
      </c>
      <c r="C2843" s="662" t="s">
        <v>837</v>
      </c>
      <c r="D2843" s="663" t="s">
        <v>839</v>
      </c>
      <c r="E2843" s="664" t="s">
        <v>831</v>
      </c>
      <c r="F2843" s="665"/>
      <c r="G2843" s="663">
        <v>15</v>
      </c>
      <c r="H2843" s="662" t="s">
        <v>807</v>
      </c>
      <c r="I2843" s="666" t="s">
        <v>857</v>
      </c>
      <c r="J2843" s="667" t="s">
        <v>865</v>
      </c>
      <c r="K2843" s="662">
        <v>11</v>
      </c>
      <c r="L2843" s="685">
        <f t="shared" si="85"/>
        <v>14.1</v>
      </c>
      <c r="M2843" s="686">
        <f t="shared" si="84"/>
        <v>155.1</v>
      </c>
    </row>
    <row r="2844" spans="2:13" s="645" customFormat="1" ht="21.75" customHeight="1">
      <c r="B2844" s="661">
        <v>44455</v>
      </c>
      <c r="C2844" s="662" t="s">
        <v>837</v>
      </c>
      <c r="D2844" s="663" t="s">
        <v>845</v>
      </c>
      <c r="E2844" s="664" t="s">
        <v>831</v>
      </c>
      <c r="F2844" s="665"/>
      <c r="G2844" s="663">
        <v>17</v>
      </c>
      <c r="H2844" s="662" t="s">
        <v>807</v>
      </c>
      <c r="I2844" s="666" t="s">
        <v>857</v>
      </c>
      <c r="J2844" s="667" t="s">
        <v>865</v>
      </c>
      <c r="K2844" s="662">
        <v>5</v>
      </c>
      <c r="L2844" s="685">
        <f t="shared" si="85"/>
        <v>15.98</v>
      </c>
      <c r="M2844" s="686">
        <f t="shared" si="84"/>
        <v>79.900000000000006</v>
      </c>
    </row>
    <row r="2845" spans="2:13" s="645" customFormat="1" ht="21.75" customHeight="1">
      <c r="B2845" s="661">
        <v>44455</v>
      </c>
      <c r="C2845" s="662" t="s">
        <v>837</v>
      </c>
      <c r="D2845" s="663" t="s">
        <v>856</v>
      </c>
      <c r="E2845" s="664" t="s">
        <v>831</v>
      </c>
      <c r="F2845" s="665"/>
      <c r="G2845" s="663">
        <v>20</v>
      </c>
      <c r="H2845" s="662" t="s">
        <v>807</v>
      </c>
      <c r="I2845" s="666" t="s">
        <v>857</v>
      </c>
      <c r="J2845" s="667" t="s">
        <v>865</v>
      </c>
      <c r="K2845" s="662">
        <v>8</v>
      </c>
      <c r="L2845" s="685">
        <f t="shared" si="85"/>
        <v>18.8</v>
      </c>
      <c r="M2845" s="686">
        <f t="shared" si="84"/>
        <v>150.4</v>
      </c>
    </row>
    <row r="2846" spans="2:13" s="645" customFormat="1" ht="21.75" customHeight="1">
      <c r="B2846" s="661">
        <v>44455</v>
      </c>
      <c r="C2846" s="662" t="s">
        <v>837</v>
      </c>
      <c r="D2846" s="663" t="s">
        <v>855</v>
      </c>
      <c r="E2846" s="664" t="s">
        <v>831</v>
      </c>
      <c r="F2846" s="665"/>
      <c r="G2846" s="663">
        <v>20</v>
      </c>
      <c r="H2846" s="662" t="s">
        <v>807</v>
      </c>
      <c r="I2846" s="666" t="s">
        <v>857</v>
      </c>
      <c r="J2846" s="667" t="s">
        <v>865</v>
      </c>
      <c r="K2846" s="662">
        <v>10</v>
      </c>
      <c r="L2846" s="685">
        <f t="shared" si="85"/>
        <v>18.8</v>
      </c>
      <c r="M2846" s="686">
        <f t="shared" si="84"/>
        <v>188</v>
      </c>
    </row>
    <row r="2847" spans="2:13" s="645" customFormat="1" ht="21.75" customHeight="1">
      <c r="B2847" s="661">
        <v>44455</v>
      </c>
      <c r="C2847" s="662" t="s">
        <v>837</v>
      </c>
      <c r="D2847" s="663" t="s">
        <v>868</v>
      </c>
      <c r="E2847" s="664" t="s">
        <v>831</v>
      </c>
      <c r="F2847" s="665"/>
      <c r="G2847" s="663">
        <v>20</v>
      </c>
      <c r="H2847" s="662" t="s">
        <v>807</v>
      </c>
      <c r="I2847" s="666" t="s">
        <v>857</v>
      </c>
      <c r="J2847" s="667" t="s">
        <v>865</v>
      </c>
      <c r="K2847" s="662">
        <v>5</v>
      </c>
      <c r="L2847" s="685">
        <f t="shared" si="85"/>
        <v>18.8</v>
      </c>
      <c r="M2847" s="686">
        <f t="shared" si="84"/>
        <v>94</v>
      </c>
    </row>
    <row r="2848" spans="2:13" s="645" customFormat="1" ht="21.75" customHeight="1">
      <c r="B2848" s="661">
        <v>44455</v>
      </c>
      <c r="C2848" s="662" t="s">
        <v>837</v>
      </c>
      <c r="D2848" s="663" t="s">
        <v>873</v>
      </c>
      <c r="E2848" s="664" t="s">
        <v>831</v>
      </c>
      <c r="F2848" s="665"/>
      <c r="G2848" s="663">
        <v>17</v>
      </c>
      <c r="H2848" s="662" t="s">
        <v>807</v>
      </c>
      <c r="I2848" s="666" t="s">
        <v>857</v>
      </c>
      <c r="J2848" s="667" t="s">
        <v>865</v>
      </c>
      <c r="K2848" s="662">
        <v>5</v>
      </c>
      <c r="L2848" s="685">
        <f t="shared" si="85"/>
        <v>15.98</v>
      </c>
      <c r="M2848" s="686">
        <f t="shared" si="84"/>
        <v>79.900000000000006</v>
      </c>
    </row>
    <row r="2849" spans="2:13" s="645" customFormat="1" ht="21.75" customHeight="1">
      <c r="B2849" s="661">
        <v>44456</v>
      </c>
      <c r="C2849" s="662" t="s">
        <v>819</v>
      </c>
      <c r="D2849" s="663" t="s">
        <v>849</v>
      </c>
      <c r="E2849" s="664" t="s">
        <v>831</v>
      </c>
      <c r="F2849" s="665"/>
      <c r="G2849" s="663">
        <v>20</v>
      </c>
      <c r="H2849" s="662" t="s">
        <v>807</v>
      </c>
      <c r="I2849" s="666" t="s">
        <v>859</v>
      </c>
      <c r="J2849" s="667" t="s">
        <v>805</v>
      </c>
      <c r="K2849" s="662">
        <v>6</v>
      </c>
      <c r="L2849" s="685">
        <f t="shared" si="85"/>
        <v>18.8</v>
      </c>
      <c r="M2849" s="686">
        <f t="shared" si="84"/>
        <v>112.80000000000001</v>
      </c>
    </row>
    <row r="2850" spans="2:13" s="645" customFormat="1" ht="21.75" customHeight="1">
      <c r="B2850" s="661">
        <v>44456</v>
      </c>
      <c r="C2850" s="662" t="s">
        <v>819</v>
      </c>
      <c r="D2850" s="663" t="s">
        <v>840</v>
      </c>
      <c r="E2850" s="664" t="s">
        <v>831</v>
      </c>
      <c r="F2850" s="665"/>
      <c r="G2850" s="663">
        <v>20</v>
      </c>
      <c r="H2850" s="662" t="s">
        <v>807</v>
      </c>
      <c r="I2850" s="666" t="s">
        <v>859</v>
      </c>
      <c r="J2850" s="667" t="s">
        <v>805</v>
      </c>
      <c r="K2850" s="662">
        <v>7</v>
      </c>
      <c r="L2850" s="685">
        <f t="shared" si="85"/>
        <v>18.8</v>
      </c>
      <c r="M2850" s="686">
        <f t="shared" si="84"/>
        <v>131.6</v>
      </c>
    </row>
    <row r="2851" spans="2:13" s="645" customFormat="1" ht="21.75" customHeight="1">
      <c r="B2851" s="661">
        <v>44456</v>
      </c>
      <c r="C2851" s="662" t="s">
        <v>819</v>
      </c>
      <c r="D2851" s="663" t="s">
        <v>841</v>
      </c>
      <c r="E2851" s="664" t="s">
        <v>831</v>
      </c>
      <c r="F2851" s="665"/>
      <c r="G2851" s="663">
        <v>20</v>
      </c>
      <c r="H2851" s="662" t="s">
        <v>807</v>
      </c>
      <c r="I2851" s="666" t="s">
        <v>859</v>
      </c>
      <c r="J2851" s="667" t="s">
        <v>805</v>
      </c>
      <c r="K2851" s="662">
        <v>6</v>
      </c>
      <c r="L2851" s="685">
        <f t="shared" si="85"/>
        <v>18.8</v>
      </c>
      <c r="M2851" s="686">
        <f t="shared" si="84"/>
        <v>112.80000000000001</v>
      </c>
    </row>
    <row r="2852" spans="2:13" s="645" customFormat="1" ht="21.75" customHeight="1">
      <c r="B2852" s="661">
        <v>44456</v>
      </c>
      <c r="C2852" s="662" t="s">
        <v>819</v>
      </c>
      <c r="D2852" s="663" t="s">
        <v>874</v>
      </c>
      <c r="E2852" s="664" t="s">
        <v>831</v>
      </c>
      <c r="F2852" s="665"/>
      <c r="G2852" s="663">
        <v>20</v>
      </c>
      <c r="H2852" s="662" t="s">
        <v>807</v>
      </c>
      <c r="I2852" s="666" t="s">
        <v>859</v>
      </c>
      <c r="J2852" s="667" t="s">
        <v>805</v>
      </c>
      <c r="K2852" s="662">
        <v>5</v>
      </c>
      <c r="L2852" s="685">
        <f t="shared" si="85"/>
        <v>18.8</v>
      </c>
      <c r="M2852" s="686">
        <f t="shared" si="84"/>
        <v>94</v>
      </c>
    </row>
    <row r="2853" spans="2:13" s="645" customFormat="1" ht="21.75" customHeight="1">
      <c r="B2853" s="661">
        <v>44456</v>
      </c>
      <c r="C2853" s="662" t="s">
        <v>819</v>
      </c>
      <c r="D2853" s="663" t="s">
        <v>848</v>
      </c>
      <c r="E2853" s="664" t="s">
        <v>831</v>
      </c>
      <c r="F2853" s="665"/>
      <c r="G2853" s="663">
        <v>20</v>
      </c>
      <c r="H2853" s="662" t="s">
        <v>807</v>
      </c>
      <c r="I2853" s="666" t="s">
        <v>859</v>
      </c>
      <c r="J2853" s="667" t="s">
        <v>805</v>
      </c>
      <c r="K2853" s="662">
        <v>6</v>
      </c>
      <c r="L2853" s="685">
        <f t="shared" si="85"/>
        <v>18.8</v>
      </c>
      <c r="M2853" s="686">
        <f t="shared" si="84"/>
        <v>112.80000000000001</v>
      </c>
    </row>
    <row r="2854" spans="2:13" s="645" customFormat="1" ht="21.75" customHeight="1">
      <c r="B2854" s="661">
        <v>44456</v>
      </c>
      <c r="C2854" s="662" t="s">
        <v>819</v>
      </c>
      <c r="D2854" s="663" t="s">
        <v>839</v>
      </c>
      <c r="E2854" s="664" t="s">
        <v>831</v>
      </c>
      <c r="F2854" s="665"/>
      <c r="G2854" s="663">
        <v>15</v>
      </c>
      <c r="H2854" s="662" t="s">
        <v>807</v>
      </c>
      <c r="I2854" s="666" t="s">
        <v>859</v>
      </c>
      <c r="J2854" s="667" t="s">
        <v>805</v>
      </c>
      <c r="K2854" s="662">
        <v>1</v>
      </c>
      <c r="L2854" s="685">
        <f t="shared" si="85"/>
        <v>14.1</v>
      </c>
      <c r="M2854" s="686">
        <f t="shared" si="84"/>
        <v>14.1</v>
      </c>
    </row>
    <row r="2855" spans="2:13" s="645" customFormat="1" ht="21.75" customHeight="1">
      <c r="B2855" s="661">
        <v>44456</v>
      </c>
      <c r="C2855" s="662" t="s">
        <v>819</v>
      </c>
      <c r="D2855" s="663" t="s">
        <v>847</v>
      </c>
      <c r="E2855" s="664" t="s">
        <v>831</v>
      </c>
      <c r="F2855" s="665"/>
      <c r="G2855" s="663">
        <v>17</v>
      </c>
      <c r="H2855" s="662" t="s">
        <v>807</v>
      </c>
      <c r="I2855" s="666" t="s">
        <v>859</v>
      </c>
      <c r="J2855" s="667" t="s">
        <v>805</v>
      </c>
      <c r="K2855" s="662">
        <v>1</v>
      </c>
      <c r="L2855" s="685">
        <f t="shared" si="85"/>
        <v>15.98</v>
      </c>
      <c r="M2855" s="686">
        <f t="shared" ref="M2855:M2918" si="86">L2855*K2855</f>
        <v>15.98</v>
      </c>
    </row>
    <row r="2856" spans="2:13" s="645" customFormat="1" ht="21.75" customHeight="1">
      <c r="B2856" s="661">
        <v>44456</v>
      </c>
      <c r="C2856" s="662" t="s">
        <v>819</v>
      </c>
      <c r="D2856" s="663" t="s">
        <v>856</v>
      </c>
      <c r="E2856" s="664" t="s">
        <v>831</v>
      </c>
      <c r="F2856" s="665"/>
      <c r="G2856" s="663">
        <v>20</v>
      </c>
      <c r="H2856" s="662" t="s">
        <v>807</v>
      </c>
      <c r="I2856" s="666" t="s">
        <v>859</v>
      </c>
      <c r="J2856" s="667" t="s">
        <v>805</v>
      </c>
      <c r="K2856" s="662">
        <v>1</v>
      </c>
      <c r="L2856" s="685">
        <f t="shared" si="85"/>
        <v>18.8</v>
      </c>
      <c r="M2856" s="686">
        <f t="shared" si="86"/>
        <v>18.8</v>
      </c>
    </row>
    <row r="2857" spans="2:13" s="645" customFormat="1" ht="21.75" customHeight="1">
      <c r="B2857" s="661">
        <v>44456</v>
      </c>
      <c r="C2857" s="662" t="s">
        <v>819</v>
      </c>
      <c r="D2857" s="663" t="s">
        <v>855</v>
      </c>
      <c r="E2857" s="664" t="s">
        <v>831</v>
      </c>
      <c r="F2857" s="665"/>
      <c r="G2857" s="663">
        <v>20</v>
      </c>
      <c r="H2857" s="662" t="s">
        <v>807</v>
      </c>
      <c r="I2857" s="666" t="s">
        <v>859</v>
      </c>
      <c r="J2857" s="667" t="s">
        <v>805</v>
      </c>
      <c r="K2857" s="662">
        <v>7</v>
      </c>
      <c r="L2857" s="685">
        <f t="shared" si="85"/>
        <v>18.8</v>
      </c>
      <c r="M2857" s="686">
        <f t="shared" si="86"/>
        <v>131.6</v>
      </c>
    </row>
    <row r="2858" spans="2:13" s="645" customFormat="1" ht="21.75" customHeight="1">
      <c r="B2858" s="661">
        <v>44456</v>
      </c>
      <c r="C2858" s="662" t="s">
        <v>819</v>
      </c>
      <c r="D2858" s="663" t="s">
        <v>875</v>
      </c>
      <c r="E2858" s="664" t="s">
        <v>831</v>
      </c>
      <c r="F2858" s="665"/>
      <c r="G2858" s="663">
        <v>20</v>
      </c>
      <c r="H2858" s="662" t="s">
        <v>807</v>
      </c>
      <c r="I2858" s="666" t="s">
        <v>859</v>
      </c>
      <c r="J2858" s="667" t="s">
        <v>805</v>
      </c>
      <c r="K2858" s="662">
        <v>6</v>
      </c>
      <c r="L2858" s="685">
        <f t="shared" si="85"/>
        <v>18.8</v>
      </c>
      <c r="M2858" s="686">
        <f t="shared" si="86"/>
        <v>112.80000000000001</v>
      </c>
    </row>
    <row r="2859" spans="2:13" s="645" customFormat="1" ht="21.75" customHeight="1">
      <c r="B2859" s="661">
        <v>44456</v>
      </c>
      <c r="C2859" s="662" t="s">
        <v>819</v>
      </c>
      <c r="D2859" s="663" t="s">
        <v>876</v>
      </c>
      <c r="E2859" s="664" t="s">
        <v>831</v>
      </c>
      <c r="F2859" s="665"/>
      <c r="G2859" s="663">
        <v>20</v>
      </c>
      <c r="H2859" s="662" t="s">
        <v>807</v>
      </c>
      <c r="I2859" s="666" t="s">
        <v>859</v>
      </c>
      <c r="J2859" s="667" t="s">
        <v>805</v>
      </c>
      <c r="K2859" s="662">
        <v>1</v>
      </c>
      <c r="L2859" s="685">
        <f t="shared" si="85"/>
        <v>18.8</v>
      </c>
      <c r="M2859" s="686">
        <f t="shared" si="86"/>
        <v>18.8</v>
      </c>
    </row>
    <row r="2860" spans="2:13" s="645" customFormat="1" ht="21.75" customHeight="1">
      <c r="B2860" s="661">
        <v>44456</v>
      </c>
      <c r="C2860" s="662" t="s">
        <v>819</v>
      </c>
      <c r="D2860" s="663" t="s">
        <v>873</v>
      </c>
      <c r="E2860" s="664" t="s">
        <v>831</v>
      </c>
      <c r="F2860" s="665"/>
      <c r="G2860" s="663">
        <v>17</v>
      </c>
      <c r="H2860" s="662" t="s">
        <v>807</v>
      </c>
      <c r="I2860" s="666" t="s">
        <v>859</v>
      </c>
      <c r="J2860" s="667" t="s">
        <v>805</v>
      </c>
      <c r="K2860" s="662">
        <v>6</v>
      </c>
      <c r="L2860" s="685">
        <f t="shared" si="85"/>
        <v>15.98</v>
      </c>
      <c r="M2860" s="686">
        <f t="shared" si="86"/>
        <v>95.88</v>
      </c>
    </row>
    <row r="2861" spans="2:13" s="645" customFormat="1" ht="21.75" customHeight="1">
      <c r="B2861" s="661">
        <v>44456</v>
      </c>
      <c r="C2861" s="662" t="s">
        <v>837</v>
      </c>
      <c r="D2861" s="663" t="s">
        <v>855</v>
      </c>
      <c r="E2861" s="664" t="s">
        <v>831</v>
      </c>
      <c r="F2861" s="665"/>
      <c r="G2861" s="663">
        <v>20</v>
      </c>
      <c r="H2861" s="662" t="s">
        <v>807</v>
      </c>
      <c r="I2861" s="666" t="s">
        <v>859</v>
      </c>
      <c r="J2861" s="667" t="s">
        <v>805</v>
      </c>
      <c r="K2861" s="662">
        <v>12</v>
      </c>
      <c r="L2861" s="685">
        <f t="shared" si="85"/>
        <v>18.8</v>
      </c>
      <c r="M2861" s="686">
        <f t="shared" si="86"/>
        <v>225.60000000000002</v>
      </c>
    </row>
    <row r="2862" spans="2:13" s="645" customFormat="1" ht="21.75" customHeight="1">
      <c r="B2862" s="661">
        <v>44456</v>
      </c>
      <c r="C2862" s="662" t="s">
        <v>837</v>
      </c>
      <c r="D2862" s="663" t="s">
        <v>840</v>
      </c>
      <c r="E2862" s="664" t="s">
        <v>831</v>
      </c>
      <c r="F2862" s="665"/>
      <c r="G2862" s="663">
        <v>20</v>
      </c>
      <c r="H2862" s="662" t="s">
        <v>807</v>
      </c>
      <c r="I2862" s="666" t="s">
        <v>859</v>
      </c>
      <c r="J2862" s="667" t="s">
        <v>805</v>
      </c>
      <c r="K2862" s="662">
        <v>12</v>
      </c>
      <c r="L2862" s="685">
        <f t="shared" si="85"/>
        <v>18.8</v>
      </c>
      <c r="M2862" s="686">
        <f t="shared" si="86"/>
        <v>225.60000000000002</v>
      </c>
    </row>
    <row r="2863" spans="2:13" s="645" customFormat="1" ht="21.75" customHeight="1">
      <c r="B2863" s="661">
        <v>44456</v>
      </c>
      <c r="C2863" s="662" t="s">
        <v>837</v>
      </c>
      <c r="D2863" s="663" t="s">
        <v>835</v>
      </c>
      <c r="E2863" s="664" t="s">
        <v>831</v>
      </c>
      <c r="F2863" s="665"/>
      <c r="G2863" s="663">
        <v>20</v>
      </c>
      <c r="H2863" s="662" t="s">
        <v>807</v>
      </c>
      <c r="I2863" s="666" t="s">
        <v>859</v>
      </c>
      <c r="J2863" s="667" t="s">
        <v>805</v>
      </c>
      <c r="K2863" s="662">
        <v>11</v>
      </c>
      <c r="L2863" s="685">
        <f t="shared" si="85"/>
        <v>18.8</v>
      </c>
      <c r="M2863" s="686">
        <f t="shared" si="86"/>
        <v>206.8</v>
      </c>
    </row>
    <row r="2864" spans="2:13" s="645" customFormat="1" ht="21.75" customHeight="1">
      <c r="B2864" s="661">
        <v>44456</v>
      </c>
      <c r="C2864" s="662" t="s">
        <v>837</v>
      </c>
      <c r="D2864" s="663" t="s">
        <v>841</v>
      </c>
      <c r="E2864" s="664" t="s">
        <v>831</v>
      </c>
      <c r="F2864" s="665"/>
      <c r="G2864" s="663">
        <v>20</v>
      </c>
      <c r="H2864" s="662" t="s">
        <v>807</v>
      </c>
      <c r="I2864" s="666" t="s">
        <v>859</v>
      </c>
      <c r="J2864" s="667" t="s">
        <v>805</v>
      </c>
      <c r="K2864" s="662">
        <v>12</v>
      </c>
      <c r="L2864" s="685">
        <f t="shared" si="85"/>
        <v>18.8</v>
      </c>
      <c r="M2864" s="686">
        <f t="shared" si="86"/>
        <v>225.60000000000002</v>
      </c>
    </row>
    <row r="2865" spans="2:13" s="645" customFormat="1" ht="21.75" customHeight="1">
      <c r="B2865" s="661">
        <v>44456</v>
      </c>
      <c r="C2865" s="662" t="s">
        <v>837</v>
      </c>
      <c r="D2865" s="663" t="s">
        <v>874</v>
      </c>
      <c r="E2865" s="664" t="s">
        <v>831</v>
      </c>
      <c r="F2865" s="665"/>
      <c r="G2865" s="663">
        <v>20</v>
      </c>
      <c r="H2865" s="662" t="s">
        <v>807</v>
      </c>
      <c r="I2865" s="666" t="s">
        <v>859</v>
      </c>
      <c r="J2865" s="667" t="s">
        <v>805</v>
      </c>
      <c r="K2865" s="662">
        <v>10</v>
      </c>
      <c r="L2865" s="685">
        <f t="shared" si="85"/>
        <v>18.8</v>
      </c>
      <c r="M2865" s="686">
        <f t="shared" si="86"/>
        <v>188</v>
      </c>
    </row>
    <row r="2866" spans="2:13" s="645" customFormat="1" ht="21.75" customHeight="1">
      <c r="B2866" s="661">
        <v>44456</v>
      </c>
      <c r="C2866" s="662" t="s">
        <v>837</v>
      </c>
      <c r="D2866" s="663" t="s">
        <v>848</v>
      </c>
      <c r="E2866" s="664" t="s">
        <v>831</v>
      </c>
      <c r="F2866" s="665"/>
      <c r="G2866" s="663">
        <v>20</v>
      </c>
      <c r="H2866" s="662" t="s">
        <v>807</v>
      </c>
      <c r="I2866" s="666" t="s">
        <v>859</v>
      </c>
      <c r="J2866" s="667" t="s">
        <v>805</v>
      </c>
      <c r="K2866" s="662">
        <v>12</v>
      </c>
      <c r="L2866" s="685">
        <f t="shared" si="85"/>
        <v>18.8</v>
      </c>
      <c r="M2866" s="686">
        <f t="shared" si="86"/>
        <v>225.60000000000002</v>
      </c>
    </row>
    <row r="2867" spans="2:13" s="645" customFormat="1" ht="21.75" customHeight="1">
      <c r="B2867" s="661">
        <v>44456</v>
      </c>
      <c r="C2867" s="662" t="s">
        <v>837</v>
      </c>
      <c r="D2867" s="663" t="s">
        <v>856</v>
      </c>
      <c r="E2867" s="664" t="s">
        <v>831</v>
      </c>
      <c r="F2867" s="665"/>
      <c r="G2867" s="663">
        <v>20</v>
      </c>
      <c r="H2867" s="662" t="s">
        <v>807</v>
      </c>
      <c r="I2867" s="666" t="s">
        <v>859</v>
      </c>
      <c r="J2867" s="667" t="s">
        <v>805</v>
      </c>
      <c r="K2867" s="662">
        <v>12</v>
      </c>
      <c r="L2867" s="685">
        <f t="shared" si="85"/>
        <v>18.8</v>
      </c>
      <c r="M2867" s="686">
        <f t="shared" si="86"/>
        <v>225.60000000000002</v>
      </c>
    </row>
    <row r="2868" spans="2:13" s="645" customFormat="1" ht="21.75" customHeight="1">
      <c r="B2868" s="661">
        <v>44456</v>
      </c>
      <c r="C2868" s="662" t="s">
        <v>837</v>
      </c>
      <c r="D2868" s="663" t="s">
        <v>875</v>
      </c>
      <c r="E2868" s="664" t="s">
        <v>831</v>
      </c>
      <c r="F2868" s="665"/>
      <c r="G2868" s="663">
        <v>20</v>
      </c>
      <c r="H2868" s="662" t="s">
        <v>807</v>
      </c>
      <c r="I2868" s="666" t="s">
        <v>859</v>
      </c>
      <c r="J2868" s="667" t="s">
        <v>805</v>
      </c>
      <c r="K2868" s="662">
        <v>12</v>
      </c>
      <c r="L2868" s="685">
        <f t="shared" si="85"/>
        <v>18.8</v>
      </c>
      <c r="M2868" s="686">
        <f t="shared" si="86"/>
        <v>225.60000000000002</v>
      </c>
    </row>
    <row r="2869" spans="2:13" s="645" customFormat="1" ht="21.75" customHeight="1">
      <c r="B2869" s="661">
        <v>44456</v>
      </c>
      <c r="C2869" s="662" t="s">
        <v>837</v>
      </c>
      <c r="D2869" s="663" t="s">
        <v>876</v>
      </c>
      <c r="E2869" s="664" t="s">
        <v>831</v>
      </c>
      <c r="F2869" s="665"/>
      <c r="G2869" s="663">
        <v>20</v>
      </c>
      <c r="H2869" s="662" t="s">
        <v>807</v>
      </c>
      <c r="I2869" s="666" t="s">
        <v>859</v>
      </c>
      <c r="J2869" s="667" t="s">
        <v>805</v>
      </c>
      <c r="K2869" s="662">
        <v>12</v>
      </c>
      <c r="L2869" s="685">
        <f t="shared" si="85"/>
        <v>18.8</v>
      </c>
      <c r="M2869" s="686">
        <f t="shared" si="86"/>
        <v>225.60000000000002</v>
      </c>
    </row>
    <row r="2870" spans="2:13" s="645" customFormat="1" ht="21.75" customHeight="1">
      <c r="B2870" s="661">
        <v>44456</v>
      </c>
      <c r="C2870" s="662" t="s">
        <v>837</v>
      </c>
      <c r="D2870" s="663" t="s">
        <v>873</v>
      </c>
      <c r="E2870" s="664" t="s">
        <v>831</v>
      </c>
      <c r="F2870" s="665"/>
      <c r="G2870" s="663">
        <v>17</v>
      </c>
      <c r="H2870" s="662" t="s">
        <v>807</v>
      </c>
      <c r="I2870" s="666" t="s">
        <v>859</v>
      </c>
      <c r="J2870" s="667" t="s">
        <v>805</v>
      </c>
      <c r="K2870" s="662">
        <v>11</v>
      </c>
      <c r="L2870" s="685">
        <f t="shared" si="85"/>
        <v>15.98</v>
      </c>
      <c r="M2870" s="686">
        <f t="shared" si="86"/>
        <v>175.78</v>
      </c>
    </row>
    <row r="2871" spans="2:13" s="645" customFormat="1" ht="21.75" customHeight="1">
      <c r="B2871" s="661">
        <v>44457</v>
      </c>
      <c r="C2871" s="662" t="s">
        <v>819</v>
      </c>
      <c r="D2871" s="663" t="s">
        <v>849</v>
      </c>
      <c r="E2871" s="664" t="s">
        <v>831</v>
      </c>
      <c r="F2871" s="665"/>
      <c r="G2871" s="663">
        <v>20</v>
      </c>
      <c r="H2871" s="662" t="s">
        <v>807</v>
      </c>
      <c r="I2871" s="666" t="s">
        <v>859</v>
      </c>
      <c r="J2871" s="667" t="s">
        <v>805</v>
      </c>
      <c r="K2871" s="662">
        <v>11</v>
      </c>
      <c r="L2871" s="685">
        <f t="shared" si="85"/>
        <v>18.8</v>
      </c>
      <c r="M2871" s="686">
        <f t="shared" si="86"/>
        <v>206.8</v>
      </c>
    </row>
    <row r="2872" spans="2:13" s="645" customFormat="1" ht="21.75" customHeight="1">
      <c r="B2872" s="661">
        <v>44457</v>
      </c>
      <c r="C2872" s="662" t="s">
        <v>819</v>
      </c>
      <c r="D2872" s="663" t="s">
        <v>840</v>
      </c>
      <c r="E2872" s="664" t="s">
        <v>831</v>
      </c>
      <c r="F2872" s="665"/>
      <c r="G2872" s="663">
        <v>20</v>
      </c>
      <c r="H2872" s="662" t="s">
        <v>807</v>
      </c>
      <c r="I2872" s="666" t="s">
        <v>859</v>
      </c>
      <c r="J2872" s="667" t="s">
        <v>805</v>
      </c>
      <c r="K2872" s="662">
        <v>13</v>
      </c>
      <c r="L2872" s="685">
        <f t="shared" si="85"/>
        <v>18.8</v>
      </c>
      <c r="M2872" s="686">
        <f t="shared" si="86"/>
        <v>244.4</v>
      </c>
    </row>
    <row r="2873" spans="2:13" s="645" customFormat="1" ht="21.75" customHeight="1">
      <c r="B2873" s="661">
        <v>44457</v>
      </c>
      <c r="C2873" s="662" t="s">
        <v>819</v>
      </c>
      <c r="D2873" s="663" t="s">
        <v>835</v>
      </c>
      <c r="E2873" s="664" t="s">
        <v>831</v>
      </c>
      <c r="F2873" s="665"/>
      <c r="G2873" s="663">
        <v>20</v>
      </c>
      <c r="H2873" s="662" t="s">
        <v>807</v>
      </c>
      <c r="I2873" s="666" t="s">
        <v>859</v>
      </c>
      <c r="J2873" s="667" t="s">
        <v>805</v>
      </c>
      <c r="K2873" s="662">
        <v>7</v>
      </c>
      <c r="L2873" s="685">
        <f t="shared" si="85"/>
        <v>18.8</v>
      </c>
      <c r="M2873" s="686">
        <f t="shared" si="86"/>
        <v>131.6</v>
      </c>
    </row>
    <row r="2874" spans="2:13" s="645" customFormat="1" ht="21.75" customHeight="1">
      <c r="B2874" s="661">
        <v>44457</v>
      </c>
      <c r="C2874" s="662" t="s">
        <v>819</v>
      </c>
      <c r="D2874" s="663" t="s">
        <v>841</v>
      </c>
      <c r="E2874" s="664" t="s">
        <v>831</v>
      </c>
      <c r="F2874" s="665"/>
      <c r="G2874" s="663">
        <v>20</v>
      </c>
      <c r="H2874" s="662" t="s">
        <v>807</v>
      </c>
      <c r="I2874" s="666" t="s">
        <v>859</v>
      </c>
      <c r="J2874" s="667" t="s">
        <v>805</v>
      </c>
      <c r="K2874" s="662">
        <v>10</v>
      </c>
      <c r="L2874" s="685">
        <f t="shared" si="85"/>
        <v>18.8</v>
      </c>
      <c r="M2874" s="686">
        <f t="shared" si="86"/>
        <v>188</v>
      </c>
    </row>
    <row r="2875" spans="2:13" s="645" customFormat="1" ht="21.75" customHeight="1">
      <c r="B2875" s="661">
        <v>44457</v>
      </c>
      <c r="C2875" s="662" t="s">
        <v>819</v>
      </c>
      <c r="D2875" s="663" t="s">
        <v>834</v>
      </c>
      <c r="E2875" s="664" t="s">
        <v>831</v>
      </c>
      <c r="F2875" s="665"/>
      <c r="G2875" s="663">
        <v>20</v>
      </c>
      <c r="H2875" s="662" t="s">
        <v>807</v>
      </c>
      <c r="I2875" s="666" t="s">
        <v>859</v>
      </c>
      <c r="J2875" s="667" t="s">
        <v>805</v>
      </c>
      <c r="K2875" s="662">
        <v>9</v>
      </c>
      <c r="L2875" s="685">
        <f t="shared" si="85"/>
        <v>18.8</v>
      </c>
      <c r="M2875" s="686">
        <f t="shared" si="86"/>
        <v>169.20000000000002</v>
      </c>
    </row>
    <row r="2876" spans="2:13" s="645" customFormat="1" ht="21.75" customHeight="1">
      <c r="B2876" s="661">
        <v>44457</v>
      </c>
      <c r="C2876" s="662" t="s">
        <v>819</v>
      </c>
      <c r="D2876" s="663" t="s">
        <v>848</v>
      </c>
      <c r="E2876" s="664" t="s">
        <v>831</v>
      </c>
      <c r="F2876" s="665"/>
      <c r="G2876" s="663">
        <v>20</v>
      </c>
      <c r="H2876" s="662" t="s">
        <v>807</v>
      </c>
      <c r="I2876" s="666" t="s">
        <v>859</v>
      </c>
      <c r="J2876" s="667" t="s">
        <v>805</v>
      </c>
      <c r="K2876" s="662">
        <v>3</v>
      </c>
      <c r="L2876" s="685">
        <f t="shared" si="85"/>
        <v>18.8</v>
      </c>
      <c r="M2876" s="686">
        <f t="shared" si="86"/>
        <v>56.400000000000006</v>
      </c>
    </row>
    <row r="2877" spans="2:13" s="645" customFormat="1" ht="21.75" customHeight="1">
      <c r="B2877" s="661">
        <v>44457</v>
      </c>
      <c r="C2877" s="662" t="s">
        <v>819</v>
      </c>
      <c r="D2877" s="663" t="s">
        <v>830</v>
      </c>
      <c r="E2877" s="664" t="s">
        <v>831</v>
      </c>
      <c r="F2877" s="665"/>
      <c r="G2877" s="663">
        <v>15</v>
      </c>
      <c r="H2877" s="662" t="s">
        <v>807</v>
      </c>
      <c r="I2877" s="666" t="s">
        <v>859</v>
      </c>
      <c r="J2877" s="667" t="s">
        <v>805</v>
      </c>
      <c r="K2877" s="662">
        <v>7</v>
      </c>
      <c r="L2877" s="685">
        <f t="shared" si="85"/>
        <v>14.1</v>
      </c>
      <c r="M2877" s="686">
        <f t="shared" si="86"/>
        <v>98.7</v>
      </c>
    </row>
    <row r="2878" spans="2:13" s="645" customFormat="1" ht="21.75" customHeight="1">
      <c r="B2878" s="661">
        <v>44457</v>
      </c>
      <c r="C2878" s="662" t="s">
        <v>819</v>
      </c>
      <c r="D2878" s="663" t="s">
        <v>839</v>
      </c>
      <c r="E2878" s="664" t="s">
        <v>831</v>
      </c>
      <c r="F2878" s="665"/>
      <c r="G2878" s="663">
        <v>15</v>
      </c>
      <c r="H2878" s="662" t="s">
        <v>807</v>
      </c>
      <c r="I2878" s="666" t="s">
        <v>859</v>
      </c>
      <c r="J2878" s="667" t="s">
        <v>805</v>
      </c>
      <c r="K2878" s="662">
        <v>8</v>
      </c>
      <c r="L2878" s="685">
        <f t="shared" si="85"/>
        <v>14.1</v>
      </c>
      <c r="M2878" s="686">
        <f t="shared" si="86"/>
        <v>112.8</v>
      </c>
    </row>
    <row r="2879" spans="2:13" s="645" customFormat="1" ht="21.75" customHeight="1">
      <c r="B2879" s="661">
        <v>44457</v>
      </c>
      <c r="C2879" s="662" t="s">
        <v>819</v>
      </c>
      <c r="D2879" s="663" t="s">
        <v>845</v>
      </c>
      <c r="E2879" s="664" t="s">
        <v>831</v>
      </c>
      <c r="F2879" s="665"/>
      <c r="G2879" s="663">
        <v>17</v>
      </c>
      <c r="H2879" s="662" t="s">
        <v>807</v>
      </c>
      <c r="I2879" s="666" t="s">
        <v>859</v>
      </c>
      <c r="J2879" s="667" t="s">
        <v>805</v>
      </c>
      <c r="K2879" s="662">
        <v>14</v>
      </c>
      <c r="L2879" s="685">
        <f t="shared" si="85"/>
        <v>15.98</v>
      </c>
      <c r="M2879" s="686">
        <f t="shared" si="86"/>
        <v>223.72</v>
      </c>
    </row>
    <row r="2880" spans="2:13" s="645" customFormat="1" ht="21.75" customHeight="1">
      <c r="B2880" s="661">
        <v>44457</v>
      </c>
      <c r="C2880" s="662" t="s">
        <v>819</v>
      </c>
      <c r="D2880" s="663" t="s">
        <v>847</v>
      </c>
      <c r="E2880" s="664" t="s">
        <v>831</v>
      </c>
      <c r="F2880" s="665"/>
      <c r="G2880" s="663">
        <v>17</v>
      </c>
      <c r="H2880" s="662" t="s">
        <v>807</v>
      </c>
      <c r="I2880" s="666" t="s">
        <v>859</v>
      </c>
      <c r="J2880" s="667" t="s">
        <v>805</v>
      </c>
      <c r="K2880" s="662">
        <v>13</v>
      </c>
      <c r="L2880" s="685">
        <f t="shared" si="85"/>
        <v>15.98</v>
      </c>
      <c r="M2880" s="686">
        <f t="shared" si="86"/>
        <v>207.74</v>
      </c>
    </row>
    <row r="2881" spans="2:13" s="645" customFormat="1" ht="21.75" customHeight="1">
      <c r="B2881" s="661">
        <v>44457</v>
      </c>
      <c r="C2881" s="662" t="s">
        <v>819</v>
      </c>
      <c r="D2881" s="663" t="s">
        <v>856</v>
      </c>
      <c r="E2881" s="664" t="s">
        <v>831</v>
      </c>
      <c r="F2881" s="665"/>
      <c r="G2881" s="663">
        <v>20</v>
      </c>
      <c r="H2881" s="662" t="s">
        <v>807</v>
      </c>
      <c r="I2881" s="666" t="s">
        <v>859</v>
      </c>
      <c r="J2881" s="667" t="s">
        <v>805</v>
      </c>
      <c r="K2881" s="662">
        <v>12</v>
      </c>
      <c r="L2881" s="685">
        <f t="shared" si="85"/>
        <v>18.8</v>
      </c>
      <c r="M2881" s="686">
        <f t="shared" si="86"/>
        <v>225.60000000000002</v>
      </c>
    </row>
    <row r="2882" spans="2:13" s="645" customFormat="1" ht="21.75" customHeight="1">
      <c r="B2882" s="661">
        <v>44457</v>
      </c>
      <c r="C2882" s="662" t="s">
        <v>819</v>
      </c>
      <c r="D2882" s="663" t="s">
        <v>855</v>
      </c>
      <c r="E2882" s="664" t="s">
        <v>831</v>
      </c>
      <c r="F2882" s="665"/>
      <c r="G2882" s="663">
        <v>20</v>
      </c>
      <c r="H2882" s="662" t="s">
        <v>807</v>
      </c>
      <c r="I2882" s="666" t="s">
        <v>859</v>
      </c>
      <c r="J2882" s="667" t="s">
        <v>805</v>
      </c>
      <c r="K2882" s="662">
        <v>14</v>
      </c>
      <c r="L2882" s="685">
        <f t="shared" si="85"/>
        <v>18.8</v>
      </c>
      <c r="M2882" s="686">
        <f t="shared" si="86"/>
        <v>263.2</v>
      </c>
    </row>
    <row r="2883" spans="2:13" s="645" customFormat="1" ht="21.75" customHeight="1">
      <c r="B2883" s="661">
        <v>44457</v>
      </c>
      <c r="C2883" s="662" t="s">
        <v>819</v>
      </c>
      <c r="D2883" s="663" t="s">
        <v>875</v>
      </c>
      <c r="E2883" s="664" t="s">
        <v>831</v>
      </c>
      <c r="F2883" s="665"/>
      <c r="G2883" s="663">
        <v>20</v>
      </c>
      <c r="H2883" s="662" t="s">
        <v>807</v>
      </c>
      <c r="I2883" s="666" t="s">
        <v>859</v>
      </c>
      <c r="J2883" s="667" t="s">
        <v>805</v>
      </c>
      <c r="K2883" s="662">
        <v>14</v>
      </c>
      <c r="L2883" s="685">
        <f t="shared" si="85"/>
        <v>18.8</v>
      </c>
      <c r="M2883" s="686">
        <f t="shared" si="86"/>
        <v>263.2</v>
      </c>
    </row>
    <row r="2884" spans="2:13" s="645" customFormat="1" ht="21.75" customHeight="1">
      <c r="B2884" s="661">
        <v>44457</v>
      </c>
      <c r="C2884" s="662" t="s">
        <v>819</v>
      </c>
      <c r="D2884" s="663" t="s">
        <v>868</v>
      </c>
      <c r="E2884" s="664" t="s">
        <v>831</v>
      </c>
      <c r="F2884" s="665"/>
      <c r="G2884" s="663">
        <v>20</v>
      </c>
      <c r="H2884" s="662" t="s">
        <v>807</v>
      </c>
      <c r="I2884" s="666" t="s">
        <v>859</v>
      </c>
      <c r="J2884" s="667" t="s">
        <v>805</v>
      </c>
      <c r="K2884" s="662">
        <v>1</v>
      </c>
      <c r="L2884" s="685">
        <f t="shared" si="85"/>
        <v>18.8</v>
      </c>
      <c r="M2884" s="686">
        <f t="shared" si="86"/>
        <v>18.8</v>
      </c>
    </row>
    <row r="2885" spans="2:13" s="645" customFormat="1" ht="21.75" customHeight="1">
      <c r="B2885" s="661">
        <v>44457</v>
      </c>
      <c r="C2885" s="662" t="s">
        <v>819</v>
      </c>
      <c r="D2885" s="663" t="s">
        <v>877</v>
      </c>
      <c r="E2885" s="664" t="s">
        <v>831</v>
      </c>
      <c r="F2885" s="665"/>
      <c r="G2885" s="663">
        <v>20</v>
      </c>
      <c r="H2885" s="662" t="s">
        <v>807</v>
      </c>
      <c r="I2885" s="666" t="s">
        <v>859</v>
      </c>
      <c r="J2885" s="667" t="s">
        <v>805</v>
      </c>
      <c r="K2885" s="662">
        <v>5</v>
      </c>
      <c r="L2885" s="685">
        <f t="shared" si="85"/>
        <v>18.8</v>
      </c>
      <c r="M2885" s="686">
        <f t="shared" si="86"/>
        <v>94</v>
      </c>
    </row>
    <row r="2886" spans="2:13" s="645" customFormat="1" ht="21.75" customHeight="1">
      <c r="B2886" s="661">
        <v>44457</v>
      </c>
      <c r="C2886" s="662" t="s">
        <v>819</v>
      </c>
      <c r="D2886" s="663" t="s">
        <v>867</v>
      </c>
      <c r="E2886" s="664" t="s">
        <v>831</v>
      </c>
      <c r="F2886" s="665"/>
      <c r="G2886" s="663">
        <v>20</v>
      </c>
      <c r="H2886" s="662" t="s">
        <v>807</v>
      </c>
      <c r="I2886" s="666" t="s">
        <v>859</v>
      </c>
      <c r="J2886" s="667" t="s">
        <v>805</v>
      </c>
      <c r="K2886" s="662">
        <v>8</v>
      </c>
      <c r="L2886" s="685">
        <f t="shared" si="85"/>
        <v>18.8</v>
      </c>
      <c r="M2886" s="686">
        <f t="shared" si="86"/>
        <v>150.4</v>
      </c>
    </row>
    <row r="2887" spans="2:13" s="645" customFormat="1" ht="21.75" customHeight="1">
      <c r="B2887" s="661">
        <v>44457</v>
      </c>
      <c r="C2887" s="662" t="s">
        <v>819</v>
      </c>
      <c r="D2887" s="663" t="s">
        <v>873</v>
      </c>
      <c r="E2887" s="664" t="s">
        <v>831</v>
      </c>
      <c r="F2887" s="665"/>
      <c r="G2887" s="663">
        <v>17</v>
      </c>
      <c r="H2887" s="662" t="s">
        <v>807</v>
      </c>
      <c r="I2887" s="666" t="s">
        <v>859</v>
      </c>
      <c r="J2887" s="667" t="s">
        <v>805</v>
      </c>
      <c r="K2887" s="662">
        <v>14</v>
      </c>
      <c r="L2887" s="685">
        <f t="shared" si="85"/>
        <v>15.98</v>
      </c>
      <c r="M2887" s="686">
        <f t="shared" si="86"/>
        <v>223.72</v>
      </c>
    </row>
    <row r="2888" spans="2:13" s="645" customFormat="1" ht="21.75" customHeight="1">
      <c r="B2888" s="661">
        <v>44457</v>
      </c>
      <c r="C2888" s="662" t="s">
        <v>837</v>
      </c>
      <c r="D2888" s="663" t="s">
        <v>855</v>
      </c>
      <c r="E2888" s="664" t="s">
        <v>831</v>
      </c>
      <c r="F2888" s="665"/>
      <c r="G2888" s="663">
        <v>20</v>
      </c>
      <c r="H2888" s="662" t="s">
        <v>807</v>
      </c>
      <c r="I2888" s="666" t="s">
        <v>859</v>
      </c>
      <c r="J2888" s="667" t="s">
        <v>805</v>
      </c>
      <c r="K2888" s="662">
        <v>7</v>
      </c>
      <c r="L2888" s="685">
        <f t="shared" si="85"/>
        <v>18.8</v>
      </c>
      <c r="M2888" s="686">
        <f t="shared" si="86"/>
        <v>131.6</v>
      </c>
    </row>
    <row r="2889" spans="2:13" s="645" customFormat="1" ht="21.75" customHeight="1">
      <c r="B2889" s="661">
        <v>44457</v>
      </c>
      <c r="C2889" s="662" t="s">
        <v>837</v>
      </c>
      <c r="D2889" s="663" t="s">
        <v>848</v>
      </c>
      <c r="E2889" s="664" t="s">
        <v>831</v>
      </c>
      <c r="F2889" s="665"/>
      <c r="G2889" s="663">
        <v>20</v>
      </c>
      <c r="H2889" s="662" t="s">
        <v>807</v>
      </c>
      <c r="I2889" s="666" t="s">
        <v>859</v>
      </c>
      <c r="J2889" s="667" t="s">
        <v>805</v>
      </c>
      <c r="K2889" s="662">
        <v>13</v>
      </c>
      <c r="L2889" s="685">
        <f t="shared" ref="L2889:L2952" si="87">VLOOKUP(G2889,$Q$4:$V$7,6,FALSE)</f>
        <v>18.8</v>
      </c>
      <c r="M2889" s="686">
        <f t="shared" si="86"/>
        <v>244.4</v>
      </c>
    </row>
    <row r="2890" spans="2:13" s="645" customFormat="1" ht="21.75" customHeight="1">
      <c r="B2890" s="661">
        <v>44457</v>
      </c>
      <c r="C2890" s="662" t="s">
        <v>837</v>
      </c>
      <c r="D2890" s="663" t="s">
        <v>856</v>
      </c>
      <c r="E2890" s="664" t="s">
        <v>831</v>
      </c>
      <c r="F2890" s="665"/>
      <c r="G2890" s="663">
        <v>20</v>
      </c>
      <c r="H2890" s="662" t="s">
        <v>807</v>
      </c>
      <c r="I2890" s="666" t="s">
        <v>859</v>
      </c>
      <c r="J2890" s="667" t="s">
        <v>805</v>
      </c>
      <c r="K2890" s="662">
        <v>13</v>
      </c>
      <c r="L2890" s="685">
        <f t="shared" si="87"/>
        <v>18.8</v>
      </c>
      <c r="M2890" s="686">
        <f t="shared" si="86"/>
        <v>244.4</v>
      </c>
    </row>
    <row r="2891" spans="2:13" s="645" customFormat="1" ht="21.75" customHeight="1">
      <c r="B2891" s="661">
        <v>44457</v>
      </c>
      <c r="C2891" s="662" t="s">
        <v>837</v>
      </c>
      <c r="D2891" s="663" t="s">
        <v>875</v>
      </c>
      <c r="E2891" s="664" t="s">
        <v>831</v>
      </c>
      <c r="F2891" s="665"/>
      <c r="G2891" s="663">
        <v>20</v>
      </c>
      <c r="H2891" s="662" t="s">
        <v>807</v>
      </c>
      <c r="I2891" s="666" t="s">
        <v>859</v>
      </c>
      <c r="J2891" s="667" t="s">
        <v>805</v>
      </c>
      <c r="K2891" s="662">
        <v>7</v>
      </c>
      <c r="L2891" s="685">
        <f t="shared" si="87"/>
        <v>18.8</v>
      </c>
      <c r="M2891" s="686">
        <f t="shared" si="86"/>
        <v>131.6</v>
      </c>
    </row>
    <row r="2892" spans="2:13" s="645" customFormat="1" ht="21.75" customHeight="1">
      <c r="B2892" s="661">
        <v>44457</v>
      </c>
      <c r="C2892" s="662" t="s">
        <v>837</v>
      </c>
      <c r="D2892" s="663" t="s">
        <v>876</v>
      </c>
      <c r="E2892" s="664" t="s">
        <v>831</v>
      </c>
      <c r="F2892" s="665"/>
      <c r="G2892" s="663">
        <v>20</v>
      </c>
      <c r="H2892" s="662" t="s">
        <v>807</v>
      </c>
      <c r="I2892" s="666" t="s">
        <v>859</v>
      </c>
      <c r="J2892" s="667" t="s">
        <v>805</v>
      </c>
      <c r="K2892" s="662">
        <v>1</v>
      </c>
      <c r="L2892" s="685">
        <f t="shared" si="87"/>
        <v>18.8</v>
      </c>
      <c r="M2892" s="686">
        <f t="shared" si="86"/>
        <v>18.8</v>
      </c>
    </row>
    <row r="2893" spans="2:13" s="645" customFormat="1" ht="21.75" customHeight="1">
      <c r="B2893" s="661">
        <v>44457</v>
      </c>
      <c r="C2893" s="662" t="s">
        <v>837</v>
      </c>
      <c r="D2893" s="663" t="s">
        <v>873</v>
      </c>
      <c r="E2893" s="664" t="s">
        <v>831</v>
      </c>
      <c r="F2893" s="665"/>
      <c r="G2893" s="663">
        <v>17</v>
      </c>
      <c r="H2893" s="662" t="s">
        <v>807</v>
      </c>
      <c r="I2893" s="666" t="s">
        <v>859</v>
      </c>
      <c r="J2893" s="667" t="s">
        <v>805</v>
      </c>
      <c r="K2893" s="662">
        <v>1</v>
      </c>
      <c r="L2893" s="685">
        <f t="shared" si="87"/>
        <v>15.98</v>
      </c>
      <c r="M2893" s="686">
        <f t="shared" si="86"/>
        <v>15.98</v>
      </c>
    </row>
    <row r="2894" spans="2:13" s="645" customFormat="1" ht="21.75" customHeight="1">
      <c r="B2894" s="661">
        <v>44458</v>
      </c>
      <c r="C2894" s="662" t="s">
        <v>819</v>
      </c>
      <c r="D2894" s="663" t="s">
        <v>849</v>
      </c>
      <c r="E2894" s="664" t="s">
        <v>831</v>
      </c>
      <c r="F2894" s="665"/>
      <c r="G2894" s="663">
        <v>20</v>
      </c>
      <c r="H2894" s="662" t="s">
        <v>807</v>
      </c>
      <c r="I2894" s="666" t="s">
        <v>859</v>
      </c>
      <c r="J2894" s="667" t="s">
        <v>805</v>
      </c>
      <c r="K2894" s="662">
        <v>8</v>
      </c>
      <c r="L2894" s="685">
        <f t="shared" si="87"/>
        <v>18.8</v>
      </c>
      <c r="M2894" s="686">
        <f t="shared" si="86"/>
        <v>150.4</v>
      </c>
    </row>
    <row r="2895" spans="2:13" s="645" customFormat="1" ht="21.75" customHeight="1">
      <c r="B2895" s="661">
        <v>44458</v>
      </c>
      <c r="C2895" s="662" t="s">
        <v>819</v>
      </c>
      <c r="D2895" s="663" t="s">
        <v>840</v>
      </c>
      <c r="E2895" s="664" t="s">
        <v>831</v>
      </c>
      <c r="F2895" s="665"/>
      <c r="G2895" s="663">
        <v>20</v>
      </c>
      <c r="H2895" s="662" t="s">
        <v>807</v>
      </c>
      <c r="I2895" s="666" t="s">
        <v>859</v>
      </c>
      <c r="J2895" s="667" t="s">
        <v>805</v>
      </c>
      <c r="K2895" s="662">
        <v>7</v>
      </c>
      <c r="L2895" s="685">
        <f t="shared" si="87"/>
        <v>18.8</v>
      </c>
      <c r="M2895" s="686">
        <f t="shared" si="86"/>
        <v>131.6</v>
      </c>
    </row>
    <row r="2896" spans="2:13" s="645" customFormat="1" ht="21.75" customHeight="1">
      <c r="B2896" s="661">
        <v>44458</v>
      </c>
      <c r="C2896" s="662" t="s">
        <v>819</v>
      </c>
      <c r="D2896" s="663" t="s">
        <v>835</v>
      </c>
      <c r="E2896" s="664" t="s">
        <v>831</v>
      </c>
      <c r="F2896" s="665"/>
      <c r="G2896" s="663">
        <v>20</v>
      </c>
      <c r="H2896" s="662" t="s">
        <v>807</v>
      </c>
      <c r="I2896" s="666" t="s">
        <v>859</v>
      </c>
      <c r="J2896" s="667" t="s">
        <v>805</v>
      </c>
      <c r="K2896" s="662">
        <v>6</v>
      </c>
      <c r="L2896" s="685">
        <f t="shared" si="87"/>
        <v>18.8</v>
      </c>
      <c r="M2896" s="686">
        <f t="shared" si="86"/>
        <v>112.80000000000001</v>
      </c>
    </row>
    <row r="2897" spans="2:13" s="645" customFormat="1" ht="21.75" customHeight="1">
      <c r="B2897" s="661">
        <v>44458</v>
      </c>
      <c r="C2897" s="662" t="s">
        <v>819</v>
      </c>
      <c r="D2897" s="663" t="s">
        <v>834</v>
      </c>
      <c r="E2897" s="664" t="s">
        <v>831</v>
      </c>
      <c r="F2897" s="665"/>
      <c r="G2897" s="663">
        <v>20</v>
      </c>
      <c r="H2897" s="662" t="s">
        <v>807</v>
      </c>
      <c r="I2897" s="666" t="s">
        <v>859</v>
      </c>
      <c r="J2897" s="667" t="s">
        <v>805</v>
      </c>
      <c r="K2897" s="662">
        <v>9</v>
      </c>
      <c r="L2897" s="685">
        <f t="shared" si="87"/>
        <v>18.8</v>
      </c>
      <c r="M2897" s="686">
        <f t="shared" si="86"/>
        <v>169.20000000000002</v>
      </c>
    </row>
    <row r="2898" spans="2:13" s="645" customFormat="1" ht="21.75" customHeight="1">
      <c r="B2898" s="661">
        <v>44458</v>
      </c>
      <c r="C2898" s="662" t="s">
        <v>819</v>
      </c>
      <c r="D2898" s="663" t="s">
        <v>874</v>
      </c>
      <c r="E2898" s="664" t="s">
        <v>831</v>
      </c>
      <c r="F2898" s="665"/>
      <c r="G2898" s="663">
        <v>20</v>
      </c>
      <c r="H2898" s="662" t="s">
        <v>807</v>
      </c>
      <c r="I2898" s="666" t="s">
        <v>859</v>
      </c>
      <c r="J2898" s="667" t="s">
        <v>805</v>
      </c>
      <c r="K2898" s="662">
        <v>5</v>
      </c>
      <c r="L2898" s="685">
        <f t="shared" si="87"/>
        <v>18.8</v>
      </c>
      <c r="M2898" s="686">
        <f t="shared" si="86"/>
        <v>94</v>
      </c>
    </row>
    <row r="2899" spans="2:13" s="645" customFormat="1" ht="21.75" customHeight="1">
      <c r="B2899" s="661">
        <v>44458</v>
      </c>
      <c r="C2899" s="662" t="s">
        <v>819</v>
      </c>
      <c r="D2899" s="663" t="s">
        <v>830</v>
      </c>
      <c r="E2899" s="664" t="s">
        <v>831</v>
      </c>
      <c r="F2899" s="665"/>
      <c r="G2899" s="663">
        <v>15</v>
      </c>
      <c r="H2899" s="662" t="s">
        <v>807</v>
      </c>
      <c r="I2899" s="666" t="s">
        <v>859</v>
      </c>
      <c r="J2899" s="667" t="s">
        <v>805</v>
      </c>
      <c r="K2899" s="662">
        <v>5</v>
      </c>
      <c r="L2899" s="685">
        <f t="shared" si="87"/>
        <v>14.1</v>
      </c>
      <c r="M2899" s="686">
        <f t="shared" si="86"/>
        <v>70.5</v>
      </c>
    </row>
    <row r="2900" spans="2:13" s="645" customFormat="1" ht="21.75" customHeight="1">
      <c r="B2900" s="661">
        <v>44458</v>
      </c>
      <c r="C2900" s="662" t="s">
        <v>819</v>
      </c>
      <c r="D2900" s="663" t="s">
        <v>850</v>
      </c>
      <c r="E2900" s="664" t="s">
        <v>831</v>
      </c>
      <c r="F2900" s="665"/>
      <c r="G2900" s="663">
        <v>15</v>
      </c>
      <c r="H2900" s="662" t="s">
        <v>807</v>
      </c>
      <c r="I2900" s="666" t="s">
        <v>859</v>
      </c>
      <c r="J2900" s="667" t="s">
        <v>805</v>
      </c>
      <c r="K2900" s="662">
        <v>4</v>
      </c>
      <c r="L2900" s="685">
        <f t="shared" si="87"/>
        <v>14.1</v>
      </c>
      <c r="M2900" s="686">
        <f t="shared" si="86"/>
        <v>56.4</v>
      </c>
    </row>
    <row r="2901" spans="2:13" s="645" customFormat="1" ht="21.75" customHeight="1">
      <c r="B2901" s="661">
        <v>44458</v>
      </c>
      <c r="C2901" s="662" t="s">
        <v>819</v>
      </c>
      <c r="D2901" s="663" t="s">
        <v>839</v>
      </c>
      <c r="E2901" s="664" t="s">
        <v>831</v>
      </c>
      <c r="F2901" s="665"/>
      <c r="G2901" s="663">
        <v>15</v>
      </c>
      <c r="H2901" s="662" t="s">
        <v>807</v>
      </c>
      <c r="I2901" s="666" t="s">
        <v>859</v>
      </c>
      <c r="J2901" s="667" t="s">
        <v>805</v>
      </c>
      <c r="K2901" s="662">
        <v>8</v>
      </c>
      <c r="L2901" s="685">
        <f t="shared" si="87"/>
        <v>14.1</v>
      </c>
      <c r="M2901" s="686">
        <f t="shared" si="86"/>
        <v>112.8</v>
      </c>
    </row>
    <row r="2902" spans="2:13" s="645" customFormat="1" ht="21.75" customHeight="1">
      <c r="B2902" s="661">
        <v>44458</v>
      </c>
      <c r="C2902" s="662" t="s">
        <v>819</v>
      </c>
      <c r="D2902" s="663" t="s">
        <v>878</v>
      </c>
      <c r="E2902" s="664" t="s">
        <v>831</v>
      </c>
      <c r="F2902" s="665"/>
      <c r="G2902" s="663">
        <v>15</v>
      </c>
      <c r="H2902" s="662" t="s">
        <v>807</v>
      </c>
      <c r="I2902" s="666" t="s">
        <v>859</v>
      </c>
      <c r="J2902" s="667" t="s">
        <v>805</v>
      </c>
      <c r="K2902" s="662">
        <v>2</v>
      </c>
      <c r="L2902" s="685">
        <f t="shared" si="87"/>
        <v>14.1</v>
      </c>
      <c r="M2902" s="686">
        <f t="shared" si="86"/>
        <v>28.2</v>
      </c>
    </row>
    <row r="2903" spans="2:13" s="645" customFormat="1" ht="21.75" customHeight="1">
      <c r="B2903" s="661">
        <v>44458</v>
      </c>
      <c r="C2903" s="662" t="s">
        <v>819</v>
      </c>
      <c r="D2903" s="663" t="s">
        <v>845</v>
      </c>
      <c r="E2903" s="664" t="s">
        <v>831</v>
      </c>
      <c r="F2903" s="665"/>
      <c r="G2903" s="663">
        <v>17</v>
      </c>
      <c r="H2903" s="662" t="s">
        <v>807</v>
      </c>
      <c r="I2903" s="666" t="s">
        <v>859</v>
      </c>
      <c r="J2903" s="667" t="s">
        <v>805</v>
      </c>
      <c r="K2903" s="662">
        <v>12</v>
      </c>
      <c r="L2903" s="685">
        <f t="shared" si="87"/>
        <v>15.98</v>
      </c>
      <c r="M2903" s="686">
        <f t="shared" si="86"/>
        <v>191.76</v>
      </c>
    </row>
    <row r="2904" spans="2:13" s="645" customFormat="1" ht="21.75" customHeight="1">
      <c r="B2904" s="661">
        <v>44458</v>
      </c>
      <c r="C2904" s="662" t="s">
        <v>819</v>
      </c>
      <c r="D2904" s="663" t="s">
        <v>847</v>
      </c>
      <c r="E2904" s="664" t="s">
        <v>831</v>
      </c>
      <c r="F2904" s="665"/>
      <c r="G2904" s="663">
        <v>17</v>
      </c>
      <c r="H2904" s="662" t="s">
        <v>807</v>
      </c>
      <c r="I2904" s="666" t="s">
        <v>859</v>
      </c>
      <c r="J2904" s="667" t="s">
        <v>805</v>
      </c>
      <c r="K2904" s="662">
        <v>6</v>
      </c>
      <c r="L2904" s="685">
        <f t="shared" si="87"/>
        <v>15.98</v>
      </c>
      <c r="M2904" s="686">
        <f t="shared" si="86"/>
        <v>95.88</v>
      </c>
    </row>
    <row r="2905" spans="2:13" s="645" customFormat="1" ht="21.75" customHeight="1">
      <c r="B2905" s="661">
        <v>44458</v>
      </c>
      <c r="C2905" s="662" t="s">
        <v>819</v>
      </c>
      <c r="D2905" s="663" t="s">
        <v>856</v>
      </c>
      <c r="E2905" s="664" t="s">
        <v>831</v>
      </c>
      <c r="F2905" s="665"/>
      <c r="G2905" s="663">
        <v>20</v>
      </c>
      <c r="H2905" s="662" t="s">
        <v>807</v>
      </c>
      <c r="I2905" s="666" t="s">
        <v>859</v>
      </c>
      <c r="J2905" s="667" t="s">
        <v>805</v>
      </c>
      <c r="K2905" s="662">
        <v>6</v>
      </c>
      <c r="L2905" s="685">
        <f t="shared" si="87"/>
        <v>18.8</v>
      </c>
      <c r="M2905" s="686">
        <f t="shared" si="86"/>
        <v>112.80000000000001</v>
      </c>
    </row>
    <row r="2906" spans="2:13" s="645" customFormat="1" ht="21.75" customHeight="1">
      <c r="B2906" s="661">
        <v>44458</v>
      </c>
      <c r="C2906" s="662" t="s">
        <v>819</v>
      </c>
      <c r="D2906" s="663" t="s">
        <v>879</v>
      </c>
      <c r="E2906" s="664" t="s">
        <v>831</v>
      </c>
      <c r="F2906" s="665"/>
      <c r="G2906" s="663">
        <v>15</v>
      </c>
      <c r="H2906" s="662" t="s">
        <v>807</v>
      </c>
      <c r="I2906" s="666" t="s">
        <v>859</v>
      </c>
      <c r="J2906" s="667" t="s">
        <v>805</v>
      </c>
      <c r="K2906" s="662">
        <v>2</v>
      </c>
      <c r="L2906" s="685">
        <f t="shared" si="87"/>
        <v>14.1</v>
      </c>
      <c r="M2906" s="686">
        <f t="shared" si="86"/>
        <v>28.2</v>
      </c>
    </row>
    <row r="2907" spans="2:13" s="645" customFormat="1" ht="21.75" customHeight="1">
      <c r="B2907" s="661">
        <v>44458</v>
      </c>
      <c r="C2907" s="662" t="s">
        <v>819</v>
      </c>
      <c r="D2907" s="663" t="s">
        <v>855</v>
      </c>
      <c r="E2907" s="664" t="s">
        <v>831</v>
      </c>
      <c r="F2907" s="665"/>
      <c r="G2907" s="663">
        <v>20</v>
      </c>
      <c r="H2907" s="662" t="s">
        <v>807</v>
      </c>
      <c r="I2907" s="666" t="s">
        <v>859</v>
      </c>
      <c r="J2907" s="667" t="s">
        <v>805</v>
      </c>
      <c r="K2907" s="662">
        <v>8</v>
      </c>
      <c r="L2907" s="685">
        <f t="shared" si="87"/>
        <v>18.8</v>
      </c>
      <c r="M2907" s="686">
        <f t="shared" si="86"/>
        <v>150.4</v>
      </c>
    </row>
    <row r="2908" spans="2:13" s="645" customFormat="1" ht="21.75" customHeight="1">
      <c r="B2908" s="661">
        <v>44458</v>
      </c>
      <c r="C2908" s="662" t="s">
        <v>819</v>
      </c>
      <c r="D2908" s="663" t="s">
        <v>867</v>
      </c>
      <c r="E2908" s="664" t="s">
        <v>831</v>
      </c>
      <c r="F2908" s="665"/>
      <c r="G2908" s="663">
        <v>20</v>
      </c>
      <c r="H2908" s="662" t="s">
        <v>807</v>
      </c>
      <c r="I2908" s="666" t="s">
        <v>859</v>
      </c>
      <c r="J2908" s="667" t="s">
        <v>805</v>
      </c>
      <c r="K2908" s="662">
        <v>6</v>
      </c>
      <c r="L2908" s="685">
        <f t="shared" si="87"/>
        <v>18.8</v>
      </c>
      <c r="M2908" s="686">
        <f t="shared" si="86"/>
        <v>112.80000000000001</v>
      </c>
    </row>
    <row r="2909" spans="2:13" s="645" customFormat="1" ht="21.75" customHeight="1">
      <c r="B2909" s="661">
        <v>44458</v>
      </c>
      <c r="C2909" s="662" t="s">
        <v>819</v>
      </c>
      <c r="D2909" s="663" t="s">
        <v>876</v>
      </c>
      <c r="E2909" s="664" t="s">
        <v>831</v>
      </c>
      <c r="F2909" s="665"/>
      <c r="G2909" s="663">
        <v>20</v>
      </c>
      <c r="H2909" s="662" t="s">
        <v>807</v>
      </c>
      <c r="I2909" s="666" t="s">
        <v>859</v>
      </c>
      <c r="J2909" s="667" t="s">
        <v>805</v>
      </c>
      <c r="K2909" s="662">
        <v>11</v>
      </c>
      <c r="L2909" s="685">
        <f t="shared" si="87"/>
        <v>18.8</v>
      </c>
      <c r="M2909" s="686">
        <f t="shared" si="86"/>
        <v>206.8</v>
      </c>
    </row>
    <row r="2910" spans="2:13" s="645" customFormat="1" ht="21.75" customHeight="1">
      <c r="B2910" s="661">
        <v>44458</v>
      </c>
      <c r="C2910" s="662" t="s">
        <v>819</v>
      </c>
      <c r="D2910" s="663" t="s">
        <v>867</v>
      </c>
      <c r="E2910" s="664" t="s">
        <v>831</v>
      </c>
      <c r="F2910" s="665"/>
      <c r="G2910" s="663">
        <v>20</v>
      </c>
      <c r="H2910" s="662" t="s">
        <v>807</v>
      </c>
      <c r="I2910" s="666" t="s">
        <v>859</v>
      </c>
      <c r="J2910" s="667" t="s">
        <v>805</v>
      </c>
      <c r="K2910" s="662">
        <v>6</v>
      </c>
      <c r="L2910" s="685">
        <f t="shared" si="87"/>
        <v>18.8</v>
      </c>
      <c r="M2910" s="686">
        <f t="shared" si="86"/>
        <v>112.80000000000001</v>
      </c>
    </row>
    <row r="2911" spans="2:13" s="645" customFormat="1" ht="21.75" customHeight="1">
      <c r="B2911" s="661">
        <v>44458</v>
      </c>
      <c r="C2911" s="662" t="s">
        <v>819</v>
      </c>
      <c r="D2911" s="663" t="s">
        <v>877</v>
      </c>
      <c r="E2911" s="664" t="s">
        <v>831</v>
      </c>
      <c r="F2911" s="665"/>
      <c r="G2911" s="663">
        <v>20</v>
      </c>
      <c r="H2911" s="662" t="s">
        <v>807</v>
      </c>
      <c r="I2911" s="666" t="s">
        <v>859</v>
      </c>
      <c r="J2911" s="667" t="s">
        <v>805</v>
      </c>
      <c r="K2911" s="662">
        <v>8</v>
      </c>
      <c r="L2911" s="685">
        <f t="shared" si="87"/>
        <v>18.8</v>
      </c>
      <c r="M2911" s="686">
        <f t="shared" si="86"/>
        <v>150.4</v>
      </c>
    </row>
    <row r="2912" spans="2:13" s="645" customFormat="1" ht="21.75" customHeight="1">
      <c r="B2912" s="661">
        <v>44458</v>
      </c>
      <c r="C2912" s="662" t="s">
        <v>819</v>
      </c>
      <c r="D2912" s="663" t="s">
        <v>870</v>
      </c>
      <c r="E2912" s="664" t="s">
        <v>831</v>
      </c>
      <c r="F2912" s="665"/>
      <c r="G2912" s="663">
        <v>20</v>
      </c>
      <c r="H2912" s="662" t="s">
        <v>807</v>
      </c>
      <c r="I2912" s="666" t="s">
        <v>859</v>
      </c>
      <c r="J2912" s="667" t="s">
        <v>805</v>
      </c>
      <c r="K2912" s="662">
        <v>10</v>
      </c>
      <c r="L2912" s="685">
        <f t="shared" si="87"/>
        <v>18.8</v>
      </c>
      <c r="M2912" s="686">
        <f t="shared" si="86"/>
        <v>188</v>
      </c>
    </row>
    <row r="2913" spans="2:13" s="645" customFormat="1" ht="21.75" customHeight="1">
      <c r="B2913" s="661">
        <v>44458</v>
      </c>
      <c r="C2913" s="662" t="s">
        <v>819</v>
      </c>
      <c r="D2913" s="663" t="s">
        <v>873</v>
      </c>
      <c r="E2913" s="664" t="s">
        <v>831</v>
      </c>
      <c r="F2913" s="665"/>
      <c r="G2913" s="663">
        <v>17</v>
      </c>
      <c r="H2913" s="662" t="s">
        <v>807</v>
      </c>
      <c r="I2913" s="666" t="s">
        <v>859</v>
      </c>
      <c r="J2913" s="667" t="s">
        <v>805</v>
      </c>
      <c r="K2913" s="662">
        <v>10</v>
      </c>
      <c r="L2913" s="685">
        <f t="shared" si="87"/>
        <v>15.98</v>
      </c>
      <c r="M2913" s="686">
        <f t="shared" si="86"/>
        <v>159.80000000000001</v>
      </c>
    </row>
    <row r="2914" spans="2:13" s="645" customFormat="1" ht="21.75" customHeight="1">
      <c r="B2914" s="661">
        <v>44458</v>
      </c>
      <c r="C2914" s="662" t="s">
        <v>837</v>
      </c>
      <c r="D2914" s="663" t="s">
        <v>834</v>
      </c>
      <c r="E2914" s="664" t="s">
        <v>831</v>
      </c>
      <c r="F2914" s="665"/>
      <c r="G2914" s="663">
        <v>20</v>
      </c>
      <c r="H2914" s="662" t="s">
        <v>807</v>
      </c>
      <c r="I2914" s="666" t="s">
        <v>859</v>
      </c>
      <c r="J2914" s="667" t="s">
        <v>805</v>
      </c>
      <c r="K2914" s="662">
        <v>6</v>
      </c>
      <c r="L2914" s="685">
        <f t="shared" si="87"/>
        <v>18.8</v>
      </c>
      <c r="M2914" s="686">
        <f t="shared" si="86"/>
        <v>112.80000000000001</v>
      </c>
    </row>
    <row r="2915" spans="2:13" s="645" customFormat="1" ht="21.75" customHeight="1">
      <c r="B2915" s="661">
        <v>44458</v>
      </c>
      <c r="C2915" s="662" t="s">
        <v>837</v>
      </c>
      <c r="D2915" s="663" t="s">
        <v>855</v>
      </c>
      <c r="E2915" s="664" t="s">
        <v>831</v>
      </c>
      <c r="F2915" s="665"/>
      <c r="G2915" s="663">
        <v>20</v>
      </c>
      <c r="H2915" s="662" t="s">
        <v>807</v>
      </c>
      <c r="I2915" s="666" t="s">
        <v>859</v>
      </c>
      <c r="J2915" s="667" t="s">
        <v>805</v>
      </c>
      <c r="K2915" s="662">
        <v>4</v>
      </c>
      <c r="L2915" s="685">
        <f t="shared" si="87"/>
        <v>18.8</v>
      </c>
      <c r="M2915" s="686">
        <f t="shared" si="86"/>
        <v>75.2</v>
      </c>
    </row>
    <row r="2916" spans="2:13" s="645" customFormat="1" ht="21.75" customHeight="1">
      <c r="B2916" s="661">
        <v>44458</v>
      </c>
      <c r="C2916" s="662" t="s">
        <v>837</v>
      </c>
      <c r="D2916" s="663" t="s">
        <v>840</v>
      </c>
      <c r="E2916" s="664" t="s">
        <v>831</v>
      </c>
      <c r="F2916" s="665"/>
      <c r="G2916" s="663">
        <v>20</v>
      </c>
      <c r="H2916" s="662" t="s">
        <v>807</v>
      </c>
      <c r="I2916" s="666" t="s">
        <v>859</v>
      </c>
      <c r="J2916" s="667" t="s">
        <v>805</v>
      </c>
      <c r="K2916" s="662">
        <v>3</v>
      </c>
      <c r="L2916" s="685">
        <f t="shared" si="87"/>
        <v>18.8</v>
      </c>
      <c r="M2916" s="686">
        <f t="shared" si="86"/>
        <v>56.400000000000006</v>
      </c>
    </row>
    <row r="2917" spans="2:13" s="645" customFormat="1" ht="21.75" customHeight="1">
      <c r="B2917" s="661">
        <v>44458</v>
      </c>
      <c r="C2917" s="662" t="s">
        <v>837</v>
      </c>
      <c r="D2917" s="663" t="s">
        <v>835</v>
      </c>
      <c r="E2917" s="664" t="s">
        <v>831</v>
      </c>
      <c r="F2917" s="665"/>
      <c r="G2917" s="663">
        <v>20</v>
      </c>
      <c r="H2917" s="662" t="s">
        <v>807</v>
      </c>
      <c r="I2917" s="666" t="s">
        <v>859</v>
      </c>
      <c r="J2917" s="667" t="s">
        <v>805</v>
      </c>
      <c r="K2917" s="662">
        <v>7</v>
      </c>
      <c r="L2917" s="685">
        <f t="shared" si="87"/>
        <v>18.8</v>
      </c>
      <c r="M2917" s="686">
        <f t="shared" si="86"/>
        <v>131.6</v>
      </c>
    </row>
    <row r="2918" spans="2:13" s="645" customFormat="1" ht="21.75" customHeight="1">
      <c r="B2918" s="661">
        <v>44458</v>
      </c>
      <c r="C2918" s="662" t="s">
        <v>837</v>
      </c>
      <c r="D2918" s="663" t="s">
        <v>841</v>
      </c>
      <c r="E2918" s="664" t="s">
        <v>831</v>
      </c>
      <c r="F2918" s="665"/>
      <c r="G2918" s="663">
        <v>20</v>
      </c>
      <c r="H2918" s="662" t="s">
        <v>807</v>
      </c>
      <c r="I2918" s="666" t="s">
        <v>859</v>
      </c>
      <c r="J2918" s="667" t="s">
        <v>805</v>
      </c>
      <c r="K2918" s="662">
        <v>4</v>
      </c>
      <c r="L2918" s="685">
        <f t="shared" si="87"/>
        <v>18.8</v>
      </c>
      <c r="M2918" s="686">
        <f t="shared" si="86"/>
        <v>75.2</v>
      </c>
    </row>
    <row r="2919" spans="2:13" s="645" customFormat="1" ht="21.75" customHeight="1">
      <c r="B2919" s="661">
        <v>44458</v>
      </c>
      <c r="C2919" s="662" t="s">
        <v>837</v>
      </c>
      <c r="D2919" s="663" t="s">
        <v>874</v>
      </c>
      <c r="E2919" s="664" t="s">
        <v>831</v>
      </c>
      <c r="F2919" s="665"/>
      <c r="G2919" s="663">
        <v>20</v>
      </c>
      <c r="H2919" s="662" t="s">
        <v>807</v>
      </c>
      <c r="I2919" s="666" t="s">
        <v>859</v>
      </c>
      <c r="J2919" s="667" t="s">
        <v>805</v>
      </c>
      <c r="K2919" s="662">
        <v>3</v>
      </c>
      <c r="L2919" s="685">
        <f t="shared" si="87"/>
        <v>18.8</v>
      </c>
      <c r="M2919" s="686">
        <f t="shared" ref="M2919:M2982" si="88">L2919*K2919</f>
        <v>56.400000000000006</v>
      </c>
    </row>
    <row r="2920" spans="2:13" s="645" customFormat="1" ht="21.75" customHeight="1">
      <c r="B2920" s="661">
        <v>44458</v>
      </c>
      <c r="C2920" s="662" t="s">
        <v>837</v>
      </c>
      <c r="D2920" s="663" t="s">
        <v>848</v>
      </c>
      <c r="E2920" s="664" t="s">
        <v>831</v>
      </c>
      <c r="F2920" s="665"/>
      <c r="G2920" s="663">
        <v>20</v>
      </c>
      <c r="H2920" s="662" t="s">
        <v>807</v>
      </c>
      <c r="I2920" s="666" t="s">
        <v>859</v>
      </c>
      <c r="J2920" s="667" t="s">
        <v>805</v>
      </c>
      <c r="K2920" s="662">
        <v>4</v>
      </c>
      <c r="L2920" s="685">
        <f t="shared" si="87"/>
        <v>18.8</v>
      </c>
      <c r="M2920" s="686">
        <f t="shared" si="88"/>
        <v>75.2</v>
      </c>
    </row>
    <row r="2921" spans="2:13" s="645" customFormat="1" ht="21.75" customHeight="1">
      <c r="B2921" s="661">
        <v>44458</v>
      </c>
      <c r="C2921" s="662" t="s">
        <v>837</v>
      </c>
      <c r="D2921" s="663" t="s">
        <v>845</v>
      </c>
      <c r="E2921" s="664" t="s">
        <v>831</v>
      </c>
      <c r="F2921" s="665"/>
      <c r="G2921" s="663">
        <v>17</v>
      </c>
      <c r="H2921" s="662" t="s">
        <v>807</v>
      </c>
      <c r="I2921" s="666" t="s">
        <v>859</v>
      </c>
      <c r="J2921" s="667" t="s">
        <v>805</v>
      </c>
      <c r="K2921" s="662">
        <v>3</v>
      </c>
      <c r="L2921" s="685">
        <f t="shared" si="87"/>
        <v>15.98</v>
      </c>
      <c r="M2921" s="686">
        <f t="shared" si="88"/>
        <v>47.94</v>
      </c>
    </row>
    <row r="2922" spans="2:13" s="645" customFormat="1" ht="21.75" customHeight="1">
      <c r="B2922" s="661">
        <v>44458</v>
      </c>
      <c r="C2922" s="662" t="s">
        <v>837</v>
      </c>
      <c r="D2922" s="663" t="s">
        <v>878</v>
      </c>
      <c r="E2922" s="664" t="s">
        <v>831</v>
      </c>
      <c r="F2922" s="665"/>
      <c r="G2922" s="663">
        <v>15</v>
      </c>
      <c r="H2922" s="662" t="s">
        <v>807</v>
      </c>
      <c r="I2922" s="666" t="s">
        <v>859</v>
      </c>
      <c r="J2922" s="667" t="s">
        <v>805</v>
      </c>
      <c r="K2922" s="662">
        <v>2</v>
      </c>
      <c r="L2922" s="685">
        <f t="shared" si="87"/>
        <v>14.1</v>
      </c>
      <c r="M2922" s="686">
        <f t="shared" si="88"/>
        <v>28.2</v>
      </c>
    </row>
    <row r="2923" spans="2:13" s="645" customFormat="1" ht="21.75" customHeight="1">
      <c r="B2923" s="661">
        <v>44458</v>
      </c>
      <c r="C2923" s="662" t="s">
        <v>837</v>
      </c>
      <c r="D2923" s="663" t="s">
        <v>876</v>
      </c>
      <c r="E2923" s="664" t="s">
        <v>831</v>
      </c>
      <c r="F2923" s="665"/>
      <c r="G2923" s="663">
        <v>20</v>
      </c>
      <c r="H2923" s="662" t="s">
        <v>807</v>
      </c>
      <c r="I2923" s="666" t="s">
        <v>859</v>
      </c>
      <c r="J2923" s="667" t="s">
        <v>805</v>
      </c>
      <c r="K2923" s="662">
        <v>6</v>
      </c>
      <c r="L2923" s="685">
        <f t="shared" si="87"/>
        <v>18.8</v>
      </c>
      <c r="M2923" s="686">
        <f t="shared" si="88"/>
        <v>112.80000000000001</v>
      </c>
    </row>
    <row r="2924" spans="2:13" s="645" customFormat="1" ht="21.75" customHeight="1">
      <c r="B2924" s="661">
        <v>44458</v>
      </c>
      <c r="C2924" s="662" t="s">
        <v>837</v>
      </c>
      <c r="D2924" s="663" t="s">
        <v>876</v>
      </c>
      <c r="E2924" s="664" t="s">
        <v>831</v>
      </c>
      <c r="F2924" s="665"/>
      <c r="G2924" s="663">
        <v>20</v>
      </c>
      <c r="H2924" s="662" t="s">
        <v>807</v>
      </c>
      <c r="I2924" s="666" t="s">
        <v>859</v>
      </c>
      <c r="J2924" s="667" t="s">
        <v>804</v>
      </c>
      <c r="K2924" s="662">
        <v>1</v>
      </c>
      <c r="L2924" s="685">
        <f t="shared" si="87"/>
        <v>18.8</v>
      </c>
      <c r="M2924" s="686">
        <f t="shared" si="88"/>
        <v>18.8</v>
      </c>
    </row>
    <row r="2925" spans="2:13" s="645" customFormat="1" ht="21.75" customHeight="1">
      <c r="B2925" s="661">
        <v>44458</v>
      </c>
      <c r="C2925" s="662" t="s">
        <v>837</v>
      </c>
      <c r="D2925" s="663" t="s">
        <v>873</v>
      </c>
      <c r="E2925" s="664" t="s">
        <v>831</v>
      </c>
      <c r="F2925" s="665"/>
      <c r="G2925" s="663">
        <v>17</v>
      </c>
      <c r="H2925" s="662" t="s">
        <v>807</v>
      </c>
      <c r="I2925" s="666" t="s">
        <v>859</v>
      </c>
      <c r="J2925" s="667" t="s">
        <v>805</v>
      </c>
      <c r="K2925" s="662">
        <v>3</v>
      </c>
      <c r="L2925" s="685">
        <f t="shared" si="87"/>
        <v>15.98</v>
      </c>
      <c r="M2925" s="686">
        <f t="shared" si="88"/>
        <v>47.94</v>
      </c>
    </row>
    <row r="2926" spans="2:13" s="645" customFormat="1" ht="21.75" customHeight="1">
      <c r="B2926" s="661">
        <v>44458</v>
      </c>
      <c r="C2926" s="662" t="s">
        <v>837</v>
      </c>
      <c r="D2926" s="663" t="s">
        <v>855</v>
      </c>
      <c r="E2926" s="664" t="s">
        <v>831</v>
      </c>
      <c r="F2926" s="665"/>
      <c r="G2926" s="663">
        <v>20</v>
      </c>
      <c r="H2926" s="662" t="s">
        <v>807</v>
      </c>
      <c r="I2926" s="666" t="s">
        <v>859</v>
      </c>
      <c r="J2926" s="667" t="s">
        <v>852</v>
      </c>
      <c r="K2926" s="662">
        <v>1</v>
      </c>
      <c r="L2926" s="685">
        <f t="shared" si="87"/>
        <v>18.8</v>
      </c>
      <c r="M2926" s="686">
        <f t="shared" si="88"/>
        <v>18.8</v>
      </c>
    </row>
    <row r="2927" spans="2:13" s="645" customFormat="1" ht="21.75" customHeight="1">
      <c r="B2927" s="661">
        <v>44458</v>
      </c>
      <c r="C2927" s="662" t="s">
        <v>837</v>
      </c>
      <c r="D2927" s="663" t="s">
        <v>840</v>
      </c>
      <c r="E2927" s="664" t="s">
        <v>831</v>
      </c>
      <c r="F2927" s="665"/>
      <c r="G2927" s="663">
        <v>20</v>
      </c>
      <c r="H2927" s="662" t="s">
        <v>807</v>
      </c>
      <c r="I2927" s="666" t="s">
        <v>859</v>
      </c>
      <c r="J2927" s="667" t="s">
        <v>852</v>
      </c>
      <c r="K2927" s="662">
        <v>2</v>
      </c>
      <c r="L2927" s="685">
        <f t="shared" si="87"/>
        <v>18.8</v>
      </c>
      <c r="M2927" s="686">
        <f t="shared" si="88"/>
        <v>37.6</v>
      </c>
    </row>
    <row r="2928" spans="2:13" s="645" customFormat="1" ht="21.75" customHeight="1">
      <c r="B2928" s="661">
        <v>44458</v>
      </c>
      <c r="C2928" s="662" t="s">
        <v>837</v>
      </c>
      <c r="D2928" s="663" t="s">
        <v>878</v>
      </c>
      <c r="E2928" s="664" t="s">
        <v>831</v>
      </c>
      <c r="F2928" s="665"/>
      <c r="G2928" s="663">
        <v>15</v>
      </c>
      <c r="H2928" s="662" t="s">
        <v>807</v>
      </c>
      <c r="I2928" s="666" t="s">
        <v>859</v>
      </c>
      <c r="J2928" s="667" t="s">
        <v>852</v>
      </c>
      <c r="K2928" s="662">
        <v>3</v>
      </c>
      <c r="L2928" s="685">
        <f t="shared" si="87"/>
        <v>14.1</v>
      </c>
      <c r="M2928" s="686">
        <f t="shared" si="88"/>
        <v>42.3</v>
      </c>
    </row>
    <row r="2929" spans="2:13" s="645" customFormat="1" ht="21.75" customHeight="1">
      <c r="B2929" s="708">
        <v>44458</v>
      </c>
      <c r="C2929" s="709" t="s">
        <v>819</v>
      </c>
      <c r="D2929" s="710" t="s">
        <v>840</v>
      </c>
      <c r="E2929" s="711" t="s">
        <v>831</v>
      </c>
      <c r="F2929" s="712"/>
      <c r="G2929" s="710">
        <v>20</v>
      </c>
      <c r="H2929" s="709" t="s">
        <v>807</v>
      </c>
      <c r="I2929" s="713" t="s">
        <v>859</v>
      </c>
      <c r="J2929" s="714" t="s">
        <v>802</v>
      </c>
      <c r="K2929" s="709">
        <v>1</v>
      </c>
      <c r="L2929" s="715">
        <f t="shared" si="87"/>
        <v>18.8</v>
      </c>
      <c r="M2929" s="716">
        <f t="shared" si="88"/>
        <v>18.8</v>
      </c>
    </row>
    <row r="2930" spans="2:13" s="645" customFormat="1" ht="21.75" customHeight="1">
      <c r="B2930" s="708">
        <v>44458</v>
      </c>
      <c r="C2930" s="709" t="s">
        <v>819</v>
      </c>
      <c r="D2930" s="710" t="s">
        <v>835</v>
      </c>
      <c r="E2930" s="711" t="s">
        <v>831</v>
      </c>
      <c r="F2930" s="712"/>
      <c r="G2930" s="710">
        <v>20</v>
      </c>
      <c r="H2930" s="709" t="s">
        <v>807</v>
      </c>
      <c r="I2930" s="713" t="s">
        <v>859</v>
      </c>
      <c r="J2930" s="714" t="s">
        <v>802</v>
      </c>
      <c r="K2930" s="709">
        <v>3</v>
      </c>
      <c r="L2930" s="715">
        <f t="shared" si="87"/>
        <v>18.8</v>
      </c>
      <c r="M2930" s="716">
        <f t="shared" si="88"/>
        <v>56.400000000000006</v>
      </c>
    </row>
    <row r="2931" spans="2:13" s="645" customFormat="1" ht="21.75" customHeight="1">
      <c r="B2931" s="708">
        <v>44458</v>
      </c>
      <c r="C2931" s="709" t="s">
        <v>819</v>
      </c>
      <c r="D2931" s="710" t="s">
        <v>841</v>
      </c>
      <c r="E2931" s="711" t="s">
        <v>831</v>
      </c>
      <c r="F2931" s="712"/>
      <c r="G2931" s="710">
        <v>20</v>
      </c>
      <c r="H2931" s="709" t="s">
        <v>807</v>
      </c>
      <c r="I2931" s="713" t="s">
        <v>859</v>
      </c>
      <c r="J2931" s="714" t="s">
        <v>802</v>
      </c>
      <c r="K2931" s="709">
        <v>2</v>
      </c>
      <c r="L2931" s="715">
        <f t="shared" si="87"/>
        <v>18.8</v>
      </c>
      <c r="M2931" s="716">
        <f t="shared" si="88"/>
        <v>37.6</v>
      </c>
    </row>
    <row r="2932" spans="2:13" s="645" customFormat="1" ht="21.75" customHeight="1">
      <c r="B2932" s="708">
        <v>44458</v>
      </c>
      <c r="C2932" s="709" t="s">
        <v>819</v>
      </c>
      <c r="D2932" s="710" t="s">
        <v>834</v>
      </c>
      <c r="E2932" s="711" t="s">
        <v>831</v>
      </c>
      <c r="F2932" s="712"/>
      <c r="G2932" s="710">
        <v>20</v>
      </c>
      <c r="H2932" s="709" t="s">
        <v>807</v>
      </c>
      <c r="I2932" s="713" t="s">
        <v>859</v>
      </c>
      <c r="J2932" s="714" t="s">
        <v>802</v>
      </c>
      <c r="K2932" s="709">
        <v>4</v>
      </c>
      <c r="L2932" s="715">
        <f t="shared" si="87"/>
        <v>18.8</v>
      </c>
      <c r="M2932" s="716">
        <f t="shared" si="88"/>
        <v>75.2</v>
      </c>
    </row>
    <row r="2933" spans="2:13" s="645" customFormat="1" ht="21.75" customHeight="1">
      <c r="B2933" s="708">
        <v>44458</v>
      </c>
      <c r="C2933" s="709" t="s">
        <v>819</v>
      </c>
      <c r="D2933" s="710" t="s">
        <v>874</v>
      </c>
      <c r="E2933" s="711" t="s">
        <v>831</v>
      </c>
      <c r="F2933" s="712"/>
      <c r="G2933" s="710">
        <v>20</v>
      </c>
      <c r="H2933" s="709" t="s">
        <v>807</v>
      </c>
      <c r="I2933" s="713" t="s">
        <v>859</v>
      </c>
      <c r="J2933" s="714" t="s">
        <v>802</v>
      </c>
      <c r="K2933" s="709">
        <v>5</v>
      </c>
      <c r="L2933" s="715">
        <f t="shared" si="87"/>
        <v>18.8</v>
      </c>
      <c r="M2933" s="716">
        <f t="shared" si="88"/>
        <v>94</v>
      </c>
    </row>
    <row r="2934" spans="2:13" s="645" customFormat="1" ht="21.75" customHeight="1">
      <c r="B2934" s="708">
        <v>44458</v>
      </c>
      <c r="C2934" s="709" t="s">
        <v>819</v>
      </c>
      <c r="D2934" s="710" t="s">
        <v>848</v>
      </c>
      <c r="E2934" s="711" t="s">
        <v>831</v>
      </c>
      <c r="F2934" s="712"/>
      <c r="G2934" s="710">
        <v>20</v>
      </c>
      <c r="H2934" s="709" t="s">
        <v>807</v>
      </c>
      <c r="I2934" s="713" t="s">
        <v>859</v>
      </c>
      <c r="J2934" s="714" t="s">
        <v>802</v>
      </c>
      <c r="K2934" s="709">
        <v>11</v>
      </c>
      <c r="L2934" s="715">
        <f t="shared" si="87"/>
        <v>18.8</v>
      </c>
      <c r="M2934" s="716">
        <f t="shared" si="88"/>
        <v>206.8</v>
      </c>
    </row>
    <row r="2935" spans="2:13" s="645" customFormat="1" ht="21.75" customHeight="1">
      <c r="B2935" s="708">
        <v>44458</v>
      </c>
      <c r="C2935" s="709" t="s">
        <v>819</v>
      </c>
      <c r="D2935" s="710" t="s">
        <v>847</v>
      </c>
      <c r="E2935" s="711" t="s">
        <v>831</v>
      </c>
      <c r="F2935" s="712"/>
      <c r="G2935" s="710">
        <v>17</v>
      </c>
      <c r="H2935" s="709" t="s">
        <v>807</v>
      </c>
      <c r="I2935" s="713" t="s">
        <v>859</v>
      </c>
      <c r="J2935" s="714" t="s">
        <v>802</v>
      </c>
      <c r="K2935" s="709">
        <v>3</v>
      </c>
      <c r="L2935" s="715">
        <f t="shared" si="87"/>
        <v>15.98</v>
      </c>
      <c r="M2935" s="716">
        <f t="shared" si="88"/>
        <v>47.94</v>
      </c>
    </row>
    <row r="2936" spans="2:13" s="645" customFormat="1" ht="21.75" customHeight="1">
      <c r="B2936" s="708">
        <v>44458</v>
      </c>
      <c r="C2936" s="709" t="s">
        <v>819</v>
      </c>
      <c r="D2936" s="710" t="s">
        <v>856</v>
      </c>
      <c r="E2936" s="711" t="s">
        <v>831</v>
      </c>
      <c r="F2936" s="712"/>
      <c r="G2936" s="710">
        <v>20</v>
      </c>
      <c r="H2936" s="709" t="s">
        <v>807</v>
      </c>
      <c r="I2936" s="713" t="s">
        <v>859</v>
      </c>
      <c r="J2936" s="714" t="s">
        <v>802</v>
      </c>
      <c r="K2936" s="709">
        <v>3</v>
      </c>
      <c r="L2936" s="715">
        <f t="shared" si="87"/>
        <v>18.8</v>
      </c>
      <c r="M2936" s="716">
        <f t="shared" si="88"/>
        <v>56.400000000000006</v>
      </c>
    </row>
    <row r="2937" spans="2:13" s="645" customFormat="1" ht="21.75" customHeight="1">
      <c r="B2937" s="708">
        <v>44458</v>
      </c>
      <c r="C2937" s="709" t="s">
        <v>819</v>
      </c>
      <c r="D2937" s="710" t="s">
        <v>867</v>
      </c>
      <c r="E2937" s="711" t="s">
        <v>831</v>
      </c>
      <c r="F2937" s="712"/>
      <c r="G2937" s="710">
        <v>20</v>
      </c>
      <c r="H2937" s="709" t="s">
        <v>807</v>
      </c>
      <c r="I2937" s="713" t="s">
        <v>859</v>
      </c>
      <c r="J2937" s="714" t="s">
        <v>802</v>
      </c>
      <c r="K2937" s="709">
        <v>5</v>
      </c>
      <c r="L2937" s="715">
        <f t="shared" si="87"/>
        <v>18.8</v>
      </c>
      <c r="M2937" s="716">
        <f t="shared" si="88"/>
        <v>94</v>
      </c>
    </row>
    <row r="2938" spans="2:13" s="645" customFormat="1" ht="21.75" customHeight="1">
      <c r="B2938" s="708">
        <v>44458</v>
      </c>
      <c r="C2938" s="709" t="s">
        <v>819</v>
      </c>
      <c r="D2938" s="710" t="s">
        <v>867</v>
      </c>
      <c r="E2938" s="711" t="s">
        <v>831</v>
      </c>
      <c r="F2938" s="712"/>
      <c r="G2938" s="710">
        <v>20</v>
      </c>
      <c r="H2938" s="709" t="s">
        <v>807</v>
      </c>
      <c r="I2938" s="713" t="s">
        <v>859</v>
      </c>
      <c r="J2938" s="714" t="s">
        <v>802</v>
      </c>
      <c r="K2938" s="709">
        <v>5</v>
      </c>
      <c r="L2938" s="715">
        <f t="shared" si="87"/>
        <v>18.8</v>
      </c>
      <c r="M2938" s="716">
        <f t="shared" si="88"/>
        <v>94</v>
      </c>
    </row>
    <row r="2939" spans="2:13" s="645" customFormat="1" ht="21.75" customHeight="1">
      <c r="B2939" s="708">
        <v>44458</v>
      </c>
      <c r="C2939" s="709" t="s">
        <v>819</v>
      </c>
      <c r="D2939" s="710" t="s">
        <v>877</v>
      </c>
      <c r="E2939" s="711" t="s">
        <v>831</v>
      </c>
      <c r="F2939" s="712"/>
      <c r="G2939" s="710">
        <v>20</v>
      </c>
      <c r="H2939" s="709" t="s">
        <v>807</v>
      </c>
      <c r="I2939" s="713" t="s">
        <v>859</v>
      </c>
      <c r="J2939" s="714" t="s">
        <v>802</v>
      </c>
      <c r="K2939" s="709">
        <v>5</v>
      </c>
      <c r="L2939" s="715">
        <f t="shared" si="87"/>
        <v>18.8</v>
      </c>
      <c r="M2939" s="716">
        <f t="shared" si="88"/>
        <v>94</v>
      </c>
    </row>
    <row r="2940" spans="2:13" s="645" customFormat="1" ht="21.75" customHeight="1">
      <c r="B2940" s="708">
        <v>44458</v>
      </c>
      <c r="C2940" s="709" t="s">
        <v>819</v>
      </c>
      <c r="D2940" s="710" t="s">
        <v>870</v>
      </c>
      <c r="E2940" s="711" t="s">
        <v>831</v>
      </c>
      <c r="F2940" s="712"/>
      <c r="G2940" s="710">
        <v>20</v>
      </c>
      <c r="H2940" s="709" t="s">
        <v>807</v>
      </c>
      <c r="I2940" s="713" t="s">
        <v>859</v>
      </c>
      <c r="J2940" s="714" t="s">
        <v>802</v>
      </c>
      <c r="K2940" s="709">
        <v>1</v>
      </c>
      <c r="L2940" s="715">
        <f t="shared" si="87"/>
        <v>18.8</v>
      </c>
      <c r="M2940" s="716">
        <f t="shared" si="88"/>
        <v>18.8</v>
      </c>
    </row>
    <row r="2941" spans="2:13" s="645" customFormat="1" ht="21.75" customHeight="1">
      <c r="B2941" s="708">
        <v>44458</v>
      </c>
      <c r="C2941" s="709" t="s">
        <v>819</v>
      </c>
      <c r="D2941" s="710" t="s">
        <v>873</v>
      </c>
      <c r="E2941" s="711" t="s">
        <v>831</v>
      </c>
      <c r="F2941" s="712"/>
      <c r="G2941" s="710">
        <v>17</v>
      </c>
      <c r="H2941" s="709" t="s">
        <v>807</v>
      </c>
      <c r="I2941" s="713" t="s">
        <v>859</v>
      </c>
      <c r="J2941" s="714" t="s">
        <v>802</v>
      </c>
      <c r="K2941" s="709">
        <v>3</v>
      </c>
      <c r="L2941" s="715">
        <f t="shared" si="87"/>
        <v>15.98</v>
      </c>
      <c r="M2941" s="716">
        <f t="shared" si="88"/>
        <v>47.94</v>
      </c>
    </row>
    <row r="2942" spans="2:13" s="645" customFormat="1" ht="21.75" customHeight="1">
      <c r="B2942" s="708">
        <v>44458</v>
      </c>
      <c r="C2942" s="709" t="s">
        <v>837</v>
      </c>
      <c r="D2942" s="710" t="s">
        <v>834</v>
      </c>
      <c r="E2942" s="711" t="s">
        <v>831</v>
      </c>
      <c r="F2942" s="712"/>
      <c r="G2942" s="710">
        <v>20</v>
      </c>
      <c r="H2942" s="709" t="s">
        <v>807</v>
      </c>
      <c r="I2942" s="713" t="s">
        <v>859</v>
      </c>
      <c r="J2942" s="714" t="s">
        <v>802</v>
      </c>
      <c r="K2942" s="709">
        <v>6</v>
      </c>
      <c r="L2942" s="715">
        <f t="shared" si="87"/>
        <v>18.8</v>
      </c>
      <c r="M2942" s="716">
        <f t="shared" si="88"/>
        <v>112.80000000000001</v>
      </c>
    </row>
    <row r="2943" spans="2:13" s="645" customFormat="1" ht="21.75" customHeight="1">
      <c r="B2943" s="708">
        <v>44458</v>
      </c>
      <c r="C2943" s="709" t="s">
        <v>837</v>
      </c>
      <c r="D2943" s="710" t="s">
        <v>855</v>
      </c>
      <c r="E2943" s="711" t="s">
        <v>831</v>
      </c>
      <c r="F2943" s="712"/>
      <c r="G2943" s="710">
        <v>20</v>
      </c>
      <c r="H2943" s="709" t="s">
        <v>807</v>
      </c>
      <c r="I2943" s="713" t="s">
        <v>859</v>
      </c>
      <c r="J2943" s="714" t="s">
        <v>802</v>
      </c>
      <c r="K2943" s="709">
        <v>6</v>
      </c>
      <c r="L2943" s="715">
        <f t="shared" si="87"/>
        <v>18.8</v>
      </c>
      <c r="M2943" s="716">
        <f t="shared" si="88"/>
        <v>112.80000000000001</v>
      </c>
    </row>
    <row r="2944" spans="2:13" s="645" customFormat="1" ht="21.75" customHeight="1">
      <c r="B2944" s="708">
        <v>44458</v>
      </c>
      <c r="C2944" s="709" t="s">
        <v>837</v>
      </c>
      <c r="D2944" s="710" t="s">
        <v>840</v>
      </c>
      <c r="E2944" s="711" t="s">
        <v>831</v>
      </c>
      <c r="F2944" s="712"/>
      <c r="G2944" s="710">
        <v>20</v>
      </c>
      <c r="H2944" s="709" t="s">
        <v>807</v>
      </c>
      <c r="I2944" s="713" t="s">
        <v>859</v>
      </c>
      <c r="J2944" s="714" t="s">
        <v>802</v>
      </c>
      <c r="K2944" s="709">
        <v>7</v>
      </c>
      <c r="L2944" s="715">
        <f t="shared" si="87"/>
        <v>18.8</v>
      </c>
      <c r="M2944" s="716">
        <f t="shared" si="88"/>
        <v>131.6</v>
      </c>
    </row>
    <row r="2945" spans="2:13" s="645" customFormat="1" ht="21.75" customHeight="1">
      <c r="B2945" s="708">
        <v>44458</v>
      </c>
      <c r="C2945" s="709" t="s">
        <v>837</v>
      </c>
      <c r="D2945" s="710" t="s">
        <v>835</v>
      </c>
      <c r="E2945" s="711" t="s">
        <v>831</v>
      </c>
      <c r="F2945" s="712"/>
      <c r="G2945" s="710">
        <v>20</v>
      </c>
      <c r="H2945" s="709" t="s">
        <v>807</v>
      </c>
      <c r="I2945" s="713" t="s">
        <v>887</v>
      </c>
      <c r="J2945" s="714" t="s">
        <v>802</v>
      </c>
      <c r="K2945" s="709">
        <v>1</v>
      </c>
      <c r="L2945" s="715">
        <f t="shared" si="87"/>
        <v>18.8</v>
      </c>
      <c r="M2945" s="716">
        <f t="shared" si="88"/>
        <v>18.8</v>
      </c>
    </row>
    <row r="2946" spans="2:13" s="645" customFormat="1" ht="21.75" customHeight="1">
      <c r="B2946" s="708">
        <v>44458</v>
      </c>
      <c r="C2946" s="709" t="s">
        <v>837</v>
      </c>
      <c r="D2946" s="710" t="s">
        <v>841</v>
      </c>
      <c r="E2946" s="711" t="s">
        <v>831</v>
      </c>
      <c r="F2946" s="712"/>
      <c r="G2946" s="710">
        <v>20</v>
      </c>
      <c r="H2946" s="709" t="s">
        <v>807</v>
      </c>
      <c r="I2946" s="713" t="s">
        <v>859</v>
      </c>
      <c r="J2946" s="714" t="s">
        <v>802</v>
      </c>
      <c r="K2946" s="709">
        <v>8</v>
      </c>
      <c r="L2946" s="715">
        <f t="shared" si="87"/>
        <v>18.8</v>
      </c>
      <c r="M2946" s="716">
        <f t="shared" si="88"/>
        <v>150.4</v>
      </c>
    </row>
    <row r="2947" spans="2:13" s="645" customFormat="1" ht="21.75" customHeight="1">
      <c r="B2947" s="708">
        <v>44458</v>
      </c>
      <c r="C2947" s="709" t="s">
        <v>837</v>
      </c>
      <c r="D2947" s="710" t="s">
        <v>874</v>
      </c>
      <c r="E2947" s="711" t="s">
        <v>831</v>
      </c>
      <c r="F2947" s="712"/>
      <c r="G2947" s="710">
        <v>20</v>
      </c>
      <c r="H2947" s="709" t="s">
        <v>807</v>
      </c>
      <c r="I2947" s="713" t="s">
        <v>859</v>
      </c>
      <c r="J2947" s="714" t="s">
        <v>802</v>
      </c>
      <c r="K2947" s="709">
        <v>4</v>
      </c>
      <c r="L2947" s="715">
        <f t="shared" si="87"/>
        <v>18.8</v>
      </c>
      <c r="M2947" s="716">
        <f t="shared" si="88"/>
        <v>75.2</v>
      </c>
    </row>
    <row r="2948" spans="2:13" s="645" customFormat="1" ht="21.75" customHeight="1">
      <c r="B2948" s="708">
        <v>44458</v>
      </c>
      <c r="C2948" s="709" t="s">
        <v>837</v>
      </c>
      <c r="D2948" s="710" t="s">
        <v>874</v>
      </c>
      <c r="E2948" s="711" t="s">
        <v>831</v>
      </c>
      <c r="F2948" s="712"/>
      <c r="G2948" s="710">
        <v>20</v>
      </c>
      <c r="H2948" s="709" t="s">
        <v>807</v>
      </c>
      <c r="I2948" s="713" t="s">
        <v>887</v>
      </c>
      <c r="J2948" s="714" t="s">
        <v>802</v>
      </c>
      <c r="K2948" s="709">
        <v>1</v>
      </c>
      <c r="L2948" s="715">
        <f t="shared" si="87"/>
        <v>18.8</v>
      </c>
      <c r="M2948" s="716">
        <f t="shared" si="88"/>
        <v>18.8</v>
      </c>
    </row>
    <row r="2949" spans="2:13" s="645" customFormat="1" ht="21.75" customHeight="1">
      <c r="B2949" s="708">
        <v>44458</v>
      </c>
      <c r="C2949" s="709" t="s">
        <v>837</v>
      </c>
      <c r="D2949" s="710" t="s">
        <v>848</v>
      </c>
      <c r="E2949" s="711" t="s">
        <v>831</v>
      </c>
      <c r="F2949" s="712"/>
      <c r="G2949" s="710">
        <v>20</v>
      </c>
      <c r="H2949" s="709" t="s">
        <v>807</v>
      </c>
      <c r="I2949" s="713" t="s">
        <v>859</v>
      </c>
      <c r="J2949" s="714" t="s">
        <v>802</v>
      </c>
      <c r="K2949" s="709">
        <v>5</v>
      </c>
      <c r="L2949" s="715">
        <f t="shared" si="87"/>
        <v>18.8</v>
      </c>
      <c r="M2949" s="716">
        <f t="shared" si="88"/>
        <v>94</v>
      </c>
    </row>
    <row r="2950" spans="2:13" s="645" customFormat="1" ht="21.75" customHeight="1">
      <c r="B2950" s="708">
        <v>44458</v>
      </c>
      <c r="C2950" s="709" t="s">
        <v>837</v>
      </c>
      <c r="D2950" s="710" t="s">
        <v>845</v>
      </c>
      <c r="E2950" s="711" t="s">
        <v>831</v>
      </c>
      <c r="F2950" s="712"/>
      <c r="G2950" s="710">
        <v>17</v>
      </c>
      <c r="H2950" s="709" t="s">
        <v>807</v>
      </c>
      <c r="I2950" s="713" t="s">
        <v>859</v>
      </c>
      <c r="J2950" s="714" t="s">
        <v>802</v>
      </c>
      <c r="K2950" s="709">
        <v>4</v>
      </c>
      <c r="L2950" s="715">
        <f t="shared" si="87"/>
        <v>15.98</v>
      </c>
      <c r="M2950" s="716">
        <f t="shared" si="88"/>
        <v>63.92</v>
      </c>
    </row>
    <row r="2951" spans="2:13" s="645" customFormat="1" ht="21.75" customHeight="1">
      <c r="B2951" s="708">
        <v>44458</v>
      </c>
      <c r="C2951" s="709" t="s">
        <v>837</v>
      </c>
      <c r="D2951" s="710" t="s">
        <v>878</v>
      </c>
      <c r="E2951" s="711" t="s">
        <v>831</v>
      </c>
      <c r="F2951" s="712"/>
      <c r="G2951" s="710">
        <v>15</v>
      </c>
      <c r="H2951" s="709" t="s">
        <v>807</v>
      </c>
      <c r="I2951" s="713" t="s">
        <v>859</v>
      </c>
      <c r="J2951" s="714" t="s">
        <v>802</v>
      </c>
      <c r="K2951" s="709">
        <v>8</v>
      </c>
      <c r="L2951" s="715">
        <f t="shared" si="87"/>
        <v>14.1</v>
      </c>
      <c r="M2951" s="716">
        <f t="shared" si="88"/>
        <v>112.8</v>
      </c>
    </row>
    <row r="2952" spans="2:13" s="645" customFormat="1" ht="21.75" customHeight="1">
      <c r="B2952" s="708">
        <v>44458</v>
      </c>
      <c r="C2952" s="709" t="s">
        <v>837</v>
      </c>
      <c r="D2952" s="710" t="s">
        <v>876</v>
      </c>
      <c r="E2952" s="711" t="s">
        <v>831</v>
      </c>
      <c r="F2952" s="712"/>
      <c r="G2952" s="710">
        <v>20</v>
      </c>
      <c r="H2952" s="709" t="s">
        <v>807</v>
      </c>
      <c r="I2952" s="713" t="s">
        <v>887</v>
      </c>
      <c r="J2952" s="714" t="s">
        <v>802</v>
      </c>
      <c r="K2952" s="709">
        <v>2</v>
      </c>
      <c r="L2952" s="715">
        <f t="shared" si="87"/>
        <v>18.8</v>
      </c>
      <c r="M2952" s="716">
        <f t="shared" si="88"/>
        <v>37.6</v>
      </c>
    </row>
    <row r="2953" spans="2:13" s="645" customFormat="1" ht="21.75" customHeight="1">
      <c r="B2953" s="708">
        <v>44458</v>
      </c>
      <c r="C2953" s="709" t="s">
        <v>837</v>
      </c>
      <c r="D2953" s="710" t="s">
        <v>873</v>
      </c>
      <c r="E2953" s="711" t="s">
        <v>831</v>
      </c>
      <c r="F2953" s="712"/>
      <c r="G2953" s="710">
        <v>17</v>
      </c>
      <c r="H2953" s="709" t="s">
        <v>807</v>
      </c>
      <c r="I2953" s="713" t="s">
        <v>859</v>
      </c>
      <c r="J2953" s="714" t="s">
        <v>802</v>
      </c>
      <c r="K2953" s="709">
        <v>3</v>
      </c>
      <c r="L2953" s="715">
        <f t="shared" ref="L2953:L3016" si="89">VLOOKUP(G2953,$Q$4:$V$7,6,FALSE)</f>
        <v>15.98</v>
      </c>
      <c r="M2953" s="716">
        <f t="shared" si="88"/>
        <v>47.94</v>
      </c>
    </row>
    <row r="2954" spans="2:13" s="645" customFormat="1" ht="21.75" customHeight="1">
      <c r="B2954" s="708">
        <v>44458</v>
      </c>
      <c r="C2954" s="709" t="s">
        <v>837</v>
      </c>
      <c r="D2954" s="710" t="s">
        <v>873</v>
      </c>
      <c r="E2954" s="711" t="s">
        <v>831</v>
      </c>
      <c r="F2954" s="712"/>
      <c r="G2954" s="710">
        <v>17</v>
      </c>
      <c r="H2954" s="709" t="s">
        <v>807</v>
      </c>
      <c r="I2954" s="713" t="s">
        <v>887</v>
      </c>
      <c r="J2954" s="714" t="s">
        <v>802</v>
      </c>
      <c r="K2954" s="709">
        <v>1</v>
      </c>
      <c r="L2954" s="715">
        <f t="shared" si="89"/>
        <v>15.98</v>
      </c>
      <c r="M2954" s="716">
        <f t="shared" si="88"/>
        <v>15.98</v>
      </c>
    </row>
    <row r="2955" spans="2:13" s="645" customFormat="1" ht="21.75" customHeight="1">
      <c r="B2955" s="661">
        <v>44459</v>
      </c>
      <c r="C2955" s="662" t="s">
        <v>819</v>
      </c>
      <c r="D2955" s="663" t="s">
        <v>849</v>
      </c>
      <c r="E2955" s="664" t="s">
        <v>831</v>
      </c>
      <c r="F2955" s="665"/>
      <c r="G2955" s="663">
        <v>20</v>
      </c>
      <c r="H2955" s="662" t="s">
        <v>807</v>
      </c>
      <c r="I2955" s="666" t="s">
        <v>859</v>
      </c>
      <c r="J2955" s="667" t="s">
        <v>805</v>
      </c>
      <c r="K2955" s="662">
        <v>1</v>
      </c>
      <c r="L2955" s="685">
        <f t="shared" si="89"/>
        <v>18.8</v>
      </c>
      <c r="M2955" s="686">
        <f t="shared" si="88"/>
        <v>18.8</v>
      </c>
    </row>
    <row r="2956" spans="2:13" s="645" customFormat="1" ht="21.75" customHeight="1">
      <c r="B2956" s="661">
        <v>44459</v>
      </c>
      <c r="C2956" s="662" t="s">
        <v>819</v>
      </c>
      <c r="D2956" s="663" t="s">
        <v>849</v>
      </c>
      <c r="E2956" s="664" t="s">
        <v>831</v>
      </c>
      <c r="F2956" s="665"/>
      <c r="G2956" s="663">
        <v>20</v>
      </c>
      <c r="H2956" s="662" t="s">
        <v>807</v>
      </c>
      <c r="I2956" s="666" t="s">
        <v>857</v>
      </c>
      <c r="J2956" s="667" t="s">
        <v>805</v>
      </c>
      <c r="K2956" s="662">
        <v>4</v>
      </c>
      <c r="L2956" s="685">
        <f t="shared" si="89"/>
        <v>18.8</v>
      </c>
      <c r="M2956" s="686">
        <f t="shared" si="88"/>
        <v>75.2</v>
      </c>
    </row>
    <row r="2957" spans="2:13" s="645" customFormat="1" ht="21.75" customHeight="1">
      <c r="B2957" s="661">
        <v>44459</v>
      </c>
      <c r="C2957" s="662" t="s">
        <v>819</v>
      </c>
      <c r="D2957" s="663" t="s">
        <v>840</v>
      </c>
      <c r="E2957" s="664" t="s">
        <v>831</v>
      </c>
      <c r="F2957" s="665"/>
      <c r="G2957" s="663">
        <v>20</v>
      </c>
      <c r="H2957" s="662" t="s">
        <v>807</v>
      </c>
      <c r="I2957" s="666" t="s">
        <v>859</v>
      </c>
      <c r="J2957" s="667" t="s">
        <v>805</v>
      </c>
      <c r="K2957" s="662">
        <v>1</v>
      </c>
      <c r="L2957" s="685">
        <f t="shared" si="89"/>
        <v>18.8</v>
      </c>
      <c r="M2957" s="686">
        <f t="shared" si="88"/>
        <v>18.8</v>
      </c>
    </row>
    <row r="2958" spans="2:13" s="645" customFormat="1" ht="21.75" customHeight="1">
      <c r="B2958" s="661">
        <v>44459</v>
      </c>
      <c r="C2958" s="662" t="s">
        <v>819</v>
      </c>
      <c r="D2958" s="663" t="s">
        <v>835</v>
      </c>
      <c r="E2958" s="664" t="s">
        <v>831</v>
      </c>
      <c r="F2958" s="665"/>
      <c r="G2958" s="663">
        <v>20</v>
      </c>
      <c r="H2958" s="662" t="s">
        <v>807</v>
      </c>
      <c r="I2958" s="666" t="s">
        <v>859</v>
      </c>
      <c r="J2958" s="667" t="s">
        <v>805</v>
      </c>
      <c r="K2958" s="662">
        <v>1</v>
      </c>
      <c r="L2958" s="685">
        <f t="shared" si="89"/>
        <v>18.8</v>
      </c>
      <c r="M2958" s="686">
        <f t="shared" si="88"/>
        <v>18.8</v>
      </c>
    </row>
    <row r="2959" spans="2:13" s="645" customFormat="1" ht="21.75" customHeight="1">
      <c r="B2959" s="661">
        <v>44459</v>
      </c>
      <c r="C2959" s="662" t="s">
        <v>819</v>
      </c>
      <c r="D2959" s="663" t="s">
        <v>835</v>
      </c>
      <c r="E2959" s="664" t="s">
        <v>831</v>
      </c>
      <c r="F2959" s="665"/>
      <c r="G2959" s="663">
        <v>20</v>
      </c>
      <c r="H2959" s="662" t="s">
        <v>807</v>
      </c>
      <c r="I2959" s="666" t="s">
        <v>857</v>
      </c>
      <c r="J2959" s="667" t="s">
        <v>805</v>
      </c>
      <c r="K2959" s="662">
        <v>4</v>
      </c>
      <c r="L2959" s="685">
        <f t="shared" si="89"/>
        <v>18.8</v>
      </c>
      <c r="M2959" s="686">
        <f t="shared" si="88"/>
        <v>75.2</v>
      </c>
    </row>
    <row r="2960" spans="2:13" s="645" customFormat="1" ht="21.75" customHeight="1">
      <c r="B2960" s="661">
        <v>44459</v>
      </c>
      <c r="C2960" s="662" t="s">
        <v>819</v>
      </c>
      <c r="D2960" s="663" t="s">
        <v>841</v>
      </c>
      <c r="E2960" s="664" t="s">
        <v>831</v>
      </c>
      <c r="F2960" s="665"/>
      <c r="G2960" s="663">
        <v>20</v>
      </c>
      <c r="H2960" s="662" t="s">
        <v>807</v>
      </c>
      <c r="I2960" s="666" t="s">
        <v>859</v>
      </c>
      <c r="J2960" s="667" t="s">
        <v>805</v>
      </c>
      <c r="K2960" s="662">
        <v>1</v>
      </c>
      <c r="L2960" s="685">
        <f t="shared" si="89"/>
        <v>18.8</v>
      </c>
      <c r="M2960" s="686">
        <f t="shared" si="88"/>
        <v>18.8</v>
      </c>
    </row>
    <row r="2961" spans="2:13" s="645" customFormat="1" ht="21.75" customHeight="1">
      <c r="B2961" s="661">
        <v>44459</v>
      </c>
      <c r="C2961" s="662" t="s">
        <v>819</v>
      </c>
      <c r="D2961" s="663" t="s">
        <v>834</v>
      </c>
      <c r="E2961" s="664" t="s">
        <v>831</v>
      </c>
      <c r="F2961" s="665"/>
      <c r="G2961" s="663">
        <v>20</v>
      </c>
      <c r="H2961" s="662" t="s">
        <v>807</v>
      </c>
      <c r="I2961" s="666" t="s">
        <v>859</v>
      </c>
      <c r="J2961" s="667" t="s">
        <v>805</v>
      </c>
      <c r="K2961" s="662">
        <v>1</v>
      </c>
      <c r="L2961" s="685">
        <f t="shared" si="89"/>
        <v>18.8</v>
      </c>
      <c r="M2961" s="686">
        <f t="shared" si="88"/>
        <v>18.8</v>
      </c>
    </row>
    <row r="2962" spans="2:13" s="645" customFormat="1" ht="21.75" customHeight="1">
      <c r="B2962" s="661">
        <v>44459</v>
      </c>
      <c r="C2962" s="662" t="s">
        <v>819</v>
      </c>
      <c r="D2962" s="663" t="s">
        <v>834</v>
      </c>
      <c r="E2962" s="664" t="s">
        <v>831</v>
      </c>
      <c r="F2962" s="665"/>
      <c r="G2962" s="663">
        <v>20</v>
      </c>
      <c r="H2962" s="662" t="s">
        <v>807</v>
      </c>
      <c r="I2962" s="666" t="s">
        <v>857</v>
      </c>
      <c r="J2962" s="667" t="s">
        <v>805</v>
      </c>
      <c r="K2962" s="662">
        <v>2</v>
      </c>
      <c r="L2962" s="685">
        <f t="shared" si="89"/>
        <v>18.8</v>
      </c>
      <c r="M2962" s="686">
        <f t="shared" si="88"/>
        <v>37.6</v>
      </c>
    </row>
    <row r="2963" spans="2:13" s="645" customFormat="1" ht="21.75" customHeight="1">
      <c r="B2963" s="661">
        <v>44459</v>
      </c>
      <c r="C2963" s="662" t="s">
        <v>819</v>
      </c>
      <c r="D2963" s="663" t="s">
        <v>874</v>
      </c>
      <c r="E2963" s="664" t="s">
        <v>831</v>
      </c>
      <c r="F2963" s="665"/>
      <c r="G2963" s="663">
        <v>20</v>
      </c>
      <c r="H2963" s="662" t="s">
        <v>807</v>
      </c>
      <c r="I2963" s="666" t="s">
        <v>859</v>
      </c>
      <c r="J2963" s="667" t="s">
        <v>805</v>
      </c>
      <c r="K2963" s="662">
        <v>1</v>
      </c>
      <c r="L2963" s="685">
        <f t="shared" si="89"/>
        <v>18.8</v>
      </c>
      <c r="M2963" s="686">
        <f t="shared" si="88"/>
        <v>18.8</v>
      </c>
    </row>
    <row r="2964" spans="2:13" s="645" customFormat="1" ht="21.75" customHeight="1">
      <c r="B2964" s="661">
        <v>44459</v>
      </c>
      <c r="C2964" s="662" t="s">
        <v>819</v>
      </c>
      <c r="D2964" s="663" t="s">
        <v>874</v>
      </c>
      <c r="E2964" s="664" t="s">
        <v>831</v>
      </c>
      <c r="F2964" s="665"/>
      <c r="G2964" s="663">
        <v>20</v>
      </c>
      <c r="H2964" s="662" t="s">
        <v>807</v>
      </c>
      <c r="I2964" s="666" t="s">
        <v>857</v>
      </c>
      <c r="J2964" s="667" t="s">
        <v>805</v>
      </c>
      <c r="K2964" s="662">
        <v>2</v>
      </c>
      <c r="L2964" s="685">
        <f t="shared" si="89"/>
        <v>18.8</v>
      </c>
      <c r="M2964" s="686">
        <f t="shared" si="88"/>
        <v>37.6</v>
      </c>
    </row>
    <row r="2965" spans="2:13" s="645" customFormat="1" ht="21.75" customHeight="1">
      <c r="B2965" s="661">
        <v>44459</v>
      </c>
      <c r="C2965" s="662" t="s">
        <v>819</v>
      </c>
      <c r="D2965" s="663" t="s">
        <v>848</v>
      </c>
      <c r="E2965" s="664" t="s">
        <v>831</v>
      </c>
      <c r="F2965" s="665"/>
      <c r="G2965" s="663">
        <v>20</v>
      </c>
      <c r="H2965" s="662" t="s">
        <v>807</v>
      </c>
      <c r="I2965" s="666" t="s">
        <v>857</v>
      </c>
      <c r="J2965" s="667" t="s">
        <v>805</v>
      </c>
      <c r="K2965" s="662">
        <v>10</v>
      </c>
      <c r="L2965" s="685">
        <f t="shared" si="89"/>
        <v>18.8</v>
      </c>
      <c r="M2965" s="686">
        <f t="shared" si="88"/>
        <v>188</v>
      </c>
    </row>
    <row r="2966" spans="2:13" s="645" customFormat="1" ht="21.75" customHeight="1">
      <c r="B2966" s="661">
        <v>44459</v>
      </c>
      <c r="C2966" s="662" t="s">
        <v>819</v>
      </c>
      <c r="D2966" s="663" t="s">
        <v>833</v>
      </c>
      <c r="E2966" s="664" t="s">
        <v>831</v>
      </c>
      <c r="F2966" s="665"/>
      <c r="G2966" s="663">
        <v>15</v>
      </c>
      <c r="H2966" s="662" t="s">
        <v>807</v>
      </c>
      <c r="I2966" s="666" t="s">
        <v>857</v>
      </c>
      <c r="J2966" s="667" t="s">
        <v>805</v>
      </c>
      <c r="K2966" s="662">
        <v>2</v>
      </c>
      <c r="L2966" s="685">
        <f t="shared" si="89"/>
        <v>14.1</v>
      </c>
      <c r="M2966" s="686">
        <f t="shared" si="88"/>
        <v>28.2</v>
      </c>
    </row>
    <row r="2967" spans="2:13" s="645" customFormat="1" ht="21.75" customHeight="1">
      <c r="B2967" s="661">
        <v>44459</v>
      </c>
      <c r="C2967" s="662" t="s">
        <v>819</v>
      </c>
      <c r="D2967" s="663" t="s">
        <v>830</v>
      </c>
      <c r="E2967" s="664" t="s">
        <v>831</v>
      </c>
      <c r="F2967" s="665"/>
      <c r="G2967" s="663">
        <v>15</v>
      </c>
      <c r="H2967" s="662" t="s">
        <v>807</v>
      </c>
      <c r="I2967" s="666" t="s">
        <v>857</v>
      </c>
      <c r="J2967" s="667" t="s">
        <v>805</v>
      </c>
      <c r="K2967" s="662">
        <v>2</v>
      </c>
      <c r="L2967" s="685">
        <f t="shared" si="89"/>
        <v>14.1</v>
      </c>
      <c r="M2967" s="686">
        <f t="shared" si="88"/>
        <v>28.2</v>
      </c>
    </row>
    <row r="2968" spans="2:13" s="645" customFormat="1" ht="21.75" customHeight="1">
      <c r="B2968" s="661">
        <v>44459</v>
      </c>
      <c r="C2968" s="662" t="s">
        <v>819</v>
      </c>
      <c r="D2968" s="663" t="s">
        <v>839</v>
      </c>
      <c r="E2968" s="664" t="s">
        <v>831</v>
      </c>
      <c r="F2968" s="665"/>
      <c r="G2968" s="663">
        <v>15</v>
      </c>
      <c r="H2968" s="662" t="s">
        <v>807</v>
      </c>
      <c r="I2968" s="666" t="s">
        <v>857</v>
      </c>
      <c r="J2968" s="667" t="s">
        <v>805</v>
      </c>
      <c r="K2968" s="662">
        <v>5</v>
      </c>
      <c r="L2968" s="685">
        <f t="shared" si="89"/>
        <v>14.1</v>
      </c>
      <c r="M2968" s="686">
        <f t="shared" si="88"/>
        <v>70.5</v>
      </c>
    </row>
    <row r="2969" spans="2:13" s="645" customFormat="1" ht="21.75" customHeight="1">
      <c r="B2969" s="661">
        <v>44459</v>
      </c>
      <c r="C2969" s="662" t="s">
        <v>819</v>
      </c>
      <c r="D2969" s="663" t="s">
        <v>845</v>
      </c>
      <c r="E2969" s="664" t="s">
        <v>831</v>
      </c>
      <c r="F2969" s="665"/>
      <c r="G2969" s="663">
        <v>17</v>
      </c>
      <c r="H2969" s="662" t="s">
        <v>807</v>
      </c>
      <c r="I2969" s="666" t="s">
        <v>857</v>
      </c>
      <c r="J2969" s="667" t="s">
        <v>805</v>
      </c>
      <c r="K2969" s="662">
        <v>4</v>
      </c>
      <c r="L2969" s="685">
        <f t="shared" si="89"/>
        <v>15.98</v>
      </c>
      <c r="M2969" s="686">
        <f t="shared" si="88"/>
        <v>63.92</v>
      </c>
    </row>
    <row r="2970" spans="2:13" s="645" customFormat="1" ht="21.75" customHeight="1">
      <c r="B2970" s="661">
        <v>44459</v>
      </c>
      <c r="C2970" s="662" t="s">
        <v>819</v>
      </c>
      <c r="D2970" s="663" t="s">
        <v>847</v>
      </c>
      <c r="E2970" s="664" t="s">
        <v>831</v>
      </c>
      <c r="F2970" s="665"/>
      <c r="G2970" s="663">
        <v>17</v>
      </c>
      <c r="H2970" s="662" t="s">
        <v>807</v>
      </c>
      <c r="I2970" s="666" t="s">
        <v>859</v>
      </c>
      <c r="J2970" s="667" t="s">
        <v>805</v>
      </c>
      <c r="K2970" s="662">
        <v>1</v>
      </c>
      <c r="L2970" s="685">
        <f t="shared" si="89"/>
        <v>15.98</v>
      </c>
      <c r="M2970" s="686">
        <f t="shared" si="88"/>
        <v>15.98</v>
      </c>
    </row>
    <row r="2971" spans="2:13" s="645" customFormat="1" ht="21.75" customHeight="1">
      <c r="B2971" s="661">
        <v>44459</v>
      </c>
      <c r="C2971" s="662" t="s">
        <v>819</v>
      </c>
      <c r="D2971" s="663" t="s">
        <v>847</v>
      </c>
      <c r="E2971" s="664" t="s">
        <v>831</v>
      </c>
      <c r="F2971" s="665"/>
      <c r="G2971" s="663">
        <v>17</v>
      </c>
      <c r="H2971" s="662" t="s">
        <v>807</v>
      </c>
      <c r="I2971" s="666" t="s">
        <v>857</v>
      </c>
      <c r="J2971" s="667" t="s">
        <v>805</v>
      </c>
      <c r="K2971" s="662">
        <v>6</v>
      </c>
      <c r="L2971" s="685">
        <f t="shared" si="89"/>
        <v>15.98</v>
      </c>
      <c r="M2971" s="686">
        <f t="shared" si="88"/>
        <v>95.88</v>
      </c>
    </row>
    <row r="2972" spans="2:13" s="645" customFormat="1" ht="21.75" customHeight="1">
      <c r="B2972" s="661">
        <v>44459</v>
      </c>
      <c r="C2972" s="662" t="s">
        <v>819</v>
      </c>
      <c r="D2972" s="663" t="s">
        <v>855</v>
      </c>
      <c r="E2972" s="664" t="s">
        <v>831</v>
      </c>
      <c r="F2972" s="665"/>
      <c r="G2972" s="663">
        <v>20</v>
      </c>
      <c r="H2972" s="662" t="s">
        <v>807</v>
      </c>
      <c r="I2972" s="666" t="s">
        <v>859</v>
      </c>
      <c r="J2972" s="667" t="s">
        <v>805</v>
      </c>
      <c r="K2972" s="662">
        <v>1</v>
      </c>
      <c r="L2972" s="685">
        <f t="shared" si="89"/>
        <v>18.8</v>
      </c>
      <c r="M2972" s="686">
        <f t="shared" si="88"/>
        <v>18.8</v>
      </c>
    </row>
    <row r="2973" spans="2:13" s="645" customFormat="1" ht="21.75" customHeight="1">
      <c r="B2973" s="661">
        <v>44459</v>
      </c>
      <c r="C2973" s="662" t="s">
        <v>819</v>
      </c>
      <c r="D2973" s="663" t="s">
        <v>855</v>
      </c>
      <c r="E2973" s="664" t="s">
        <v>831</v>
      </c>
      <c r="F2973" s="665"/>
      <c r="G2973" s="663">
        <v>20</v>
      </c>
      <c r="H2973" s="662" t="s">
        <v>807</v>
      </c>
      <c r="I2973" s="666" t="s">
        <v>857</v>
      </c>
      <c r="J2973" s="667" t="s">
        <v>805</v>
      </c>
      <c r="K2973" s="662">
        <v>8</v>
      </c>
      <c r="L2973" s="685">
        <f t="shared" si="89"/>
        <v>18.8</v>
      </c>
      <c r="M2973" s="686">
        <f t="shared" si="88"/>
        <v>150.4</v>
      </c>
    </row>
    <row r="2974" spans="2:13" s="645" customFormat="1" ht="21.75" customHeight="1">
      <c r="B2974" s="661">
        <v>44459</v>
      </c>
      <c r="C2974" s="662" t="s">
        <v>819</v>
      </c>
      <c r="D2974" s="663" t="s">
        <v>867</v>
      </c>
      <c r="E2974" s="664" t="s">
        <v>831</v>
      </c>
      <c r="F2974" s="665"/>
      <c r="G2974" s="663">
        <v>20</v>
      </c>
      <c r="H2974" s="662" t="s">
        <v>807</v>
      </c>
      <c r="I2974" s="666" t="s">
        <v>859</v>
      </c>
      <c r="J2974" s="667" t="s">
        <v>805</v>
      </c>
      <c r="K2974" s="662">
        <v>1</v>
      </c>
      <c r="L2974" s="685">
        <f t="shared" si="89"/>
        <v>18.8</v>
      </c>
      <c r="M2974" s="686">
        <f t="shared" si="88"/>
        <v>18.8</v>
      </c>
    </row>
    <row r="2975" spans="2:13" s="645" customFormat="1" ht="21.75" customHeight="1">
      <c r="B2975" s="661">
        <v>44459</v>
      </c>
      <c r="C2975" s="662" t="s">
        <v>819</v>
      </c>
      <c r="D2975" s="663" t="s">
        <v>867</v>
      </c>
      <c r="E2975" s="664" t="s">
        <v>831</v>
      </c>
      <c r="F2975" s="665"/>
      <c r="G2975" s="663">
        <v>20</v>
      </c>
      <c r="H2975" s="662" t="s">
        <v>807</v>
      </c>
      <c r="I2975" s="666" t="s">
        <v>857</v>
      </c>
      <c r="J2975" s="667" t="s">
        <v>805</v>
      </c>
      <c r="K2975" s="662">
        <v>4</v>
      </c>
      <c r="L2975" s="685">
        <f t="shared" si="89"/>
        <v>18.8</v>
      </c>
      <c r="M2975" s="686">
        <f t="shared" si="88"/>
        <v>75.2</v>
      </c>
    </row>
    <row r="2976" spans="2:13" s="645" customFormat="1" ht="21.75" customHeight="1">
      <c r="B2976" s="661">
        <v>44459</v>
      </c>
      <c r="C2976" s="662" t="s">
        <v>819</v>
      </c>
      <c r="D2976" s="663" t="s">
        <v>868</v>
      </c>
      <c r="E2976" s="664" t="s">
        <v>831</v>
      </c>
      <c r="F2976" s="665"/>
      <c r="G2976" s="663">
        <v>20</v>
      </c>
      <c r="H2976" s="662" t="s">
        <v>807</v>
      </c>
      <c r="I2976" s="666" t="s">
        <v>857</v>
      </c>
      <c r="J2976" s="667" t="s">
        <v>805</v>
      </c>
      <c r="K2976" s="662">
        <v>5</v>
      </c>
      <c r="L2976" s="685">
        <f t="shared" si="89"/>
        <v>18.8</v>
      </c>
      <c r="M2976" s="686">
        <f t="shared" si="88"/>
        <v>94</v>
      </c>
    </row>
    <row r="2977" spans="2:13" s="645" customFormat="1" ht="21.75" customHeight="1">
      <c r="B2977" s="661">
        <v>44459</v>
      </c>
      <c r="C2977" s="662" t="s">
        <v>819</v>
      </c>
      <c r="D2977" s="663" t="s">
        <v>877</v>
      </c>
      <c r="E2977" s="664" t="s">
        <v>831</v>
      </c>
      <c r="F2977" s="665"/>
      <c r="G2977" s="663">
        <v>20</v>
      </c>
      <c r="H2977" s="662" t="s">
        <v>807</v>
      </c>
      <c r="I2977" s="666" t="s">
        <v>859</v>
      </c>
      <c r="J2977" s="667" t="s">
        <v>805</v>
      </c>
      <c r="K2977" s="662">
        <v>1</v>
      </c>
      <c r="L2977" s="685">
        <f t="shared" si="89"/>
        <v>18.8</v>
      </c>
      <c r="M2977" s="686">
        <f t="shared" si="88"/>
        <v>18.8</v>
      </c>
    </row>
    <row r="2978" spans="2:13" s="645" customFormat="1" ht="21.75" customHeight="1">
      <c r="B2978" s="661">
        <v>44459</v>
      </c>
      <c r="C2978" s="662" t="s">
        <v>819</v>
      </c>
      <c r="D2978" s="663" t="s">
        <v>877</v>
      </c>
      <c r="E2978" s="664" t="s">
        <v>831</v>
      </c>
      <c r="F2978" s="665"/>
      <c r="G2978" s="663">
        <v>20</v>
      </c>
      <c r="H2978" s="662" t="s">
        <v>807</v>
      </c>
      <c r="I2978" s="666" t="s">
        <v>857</v>
      </c>
      <c r="J2978" s="667" t="s">
        <v>805</v>
      </c>
      <c r="K2978" s="662">
        <v>9</v>
      </c>
      <c r="L2978" s="685">
        <f t="shared" si="89"/>
        <v>18.8</v>
      </c>
      <c r="M2978" s="686">
        <f t="shared" si="88"/>
        <v>169.20000000000002</v>
      </c>
    </row>
    <row r="2979" spans="2:13" s="645" customFormat="1" ht="21.75" customHeight="1">
      <c r="B2979" s="661">
        <v>44459</v>
      </c>
      <c r="C2979" s="662" t="s">
        <v>819</v>
      </c>
      <c r="D2979" s="663" t="s">
        <v>870</v>
      </c>
      <c r="E2979" s="664" t="s">
        <v>831</v>
      </c>
      <c r="F2979" s="665"/>
      <c r="G2979" s="663">
        <v>20</v>
      </c>
      <c r="H2979" s="662" t="s">
        <v>807</v>
      </c>
      <c r="I2979" s="666" t="s">
        <v>859</v>
      </c>
      <c r="J2979" s="667" t="s">
        <v>805</v>
      </c>
      <c r="K2979" s="662">
        <v>1</v>
      </c>
      <c r="L2979" s="685">
        <f t="shared" si="89"/>
        <v>18.8</v>
      </c>
      <c r="M2979" s="686">
        <f t="shared" si="88"/>
        <v>18.8</v>
      </c>
    </row>
    <row r="2980" spans="2:13" s="645" customFormat="1" ht="21.75" customHeight="1">
      <c r="B2980" s="661">
        <v>44459</v>
      </c>
      <c r="C2980" s="662" t="s">
        <v>819</v>
      </c>
      <c r="D2980" s="663" t="s">
        <v>870</v>
      </c>
      <c r="E2980" s="664" t="s">
        <v>831</v>
      </c>
      <c r="F2980" s="665"/>
      <c r="G2980" s="663">
        <v>20</v>
      </c>
      <c r="H2980" s="662" t="s">
        <v>807</v>
      </c>
      <c r="I2980" s="666" t="s">
        <v>857</v>
      </c>
      <c r="J2980" s="667" t="s">
        <v>805</v>
      </c>
      <c r="K2980" s="662">
        <v>3</v>
      </c>
      <c r="L2980" s="685">
        <f t="shared" si="89"/>
        <v>18.8</v>
      </c>
      <c r="M2980" s="686">
        <f t="shared" si="88"/>
        <v>56.400000000000006</v>
      </c>
    </row>
    <row r="2981" spans="2:13" s="645" customFormat="1" ht="21.75" customHeight="1">
      <c r="B2981" s="661">
        <v>44459</v>
      </c>
      <c r="C2981" s="662" t="s">
        <v>819</v>
      </c>
      <c r="D2981" s="663" t="s">
        <v>873</v>
      </c>
      <c r="E2981" s="664" t="s">
        <v>831</v>
      </c>
      <c r="F2981" s="665"/>
      <c r="G2981" s="663">
        <v>17</v>
      </c>
      <c r="H2981" s="662" t="s">
        <v>807</v>
      </c>
      <c r="I2981" s="666" t="s">
        <v>857</v>
      </c>
      <c r="J2981" s="667" t="s">
        <v>805</v>
      </c>
      <c r="K2981" s="662">
        <v>5</v>
      </c>
      <c r="L2981" s="685">
        <f t="shared" si="89"/>
        <v>15.98</v>
      </c>
      <c r="M2981" s="686">
        <f t="shared" si="88"/>
        <v>79.900000000000006</v>
      </c>
    </row>
    <row r="2982" spans="2:13" s="645" customFormat="1" ht="21.75" customHeight="1">
      <c r="B2982" s="661">
        <v>44459</v>
      </c>
      <c r="C2982" s="662" t="s">
        <v>837</v>
      </c>
      <c r="D2982" s="663" t="s">
        <v>834</v>
      </c>
      <c r="E2982" s="664" t="s">
        <v>831</v>
      </c>
      <c r="F2982" s="665"/>
      <c r="G2982" s="663">
        <v>20</v>
      </c>
      <c r="H2982" s="662" t="s">
        <v>807</v>
      </c>
      <c r="I2982" s="666" t="s">
        <v>857</v>
      </c>
      <c r="J2982" s="667" t="s">
        <v>805</v>
      </c>
      <c r="K2982" s="662">
        <v>8</v>
      </c>
      <c r="L2982" s="685">
        <f t="shared" si="89"/>
        <v>18.8</v>
      </c>
      <c r="M2982" s="686">
        <f t="shared" si="88"/>
        <v>150.4</v>
      </c>
    </row>
    <row r="2983" spans="2:13" s="645" customFormat="1" ht="21.75" customHeight="1">
      <c r="B2983" s="661">
        <v>44459</v>
      </c>
      <c r="C2983" s="662" t="s">
        <v>837</v>
      </c>
      <c r="D2983" s="663" t="s">
        <v>856</v>
      </c>
      <c r="E2983" s="664" t="s">
        <v>831</v>
      </c>
      <c r="F2983" s="665"/>
      <c r="G2983" s="663">
        <v>20</v>
      </c>
      <c r="H2983" s="662" t="s">
        <v>807</v>
      </c>
      <c r="I2983" s="666" t="s">
        <v>857</v>
      </c>
      <c r="J2983" s="667" t="s">
        <v>805</v>
      </c>
      <c r="K2983" s="662">
        <v>2</v>
      </c>
      <c r="L2983" s="685">
        <f t="shared" si="89"/>
        <v>18.8</v>
      </c>
      <c r="M2983" s="686">
        <f t="shared" ref="M2983:M3046" si="90">L2983*K2983</f>
        <v>37.6</v>
      </c>
    </row>
    <row r="2984" spans="2:13" s="645" customFormat="1" ht="21.75" customHeight="1">
      <c r="B2984" s="661">
        <v>44459</v>
      </c>
      <c r="C2984" s="662" t="s">
        <v>837</v>
      </c>
      <c r="D2984" s="663" t="s">
        <v>855</v>
      </c>
      <c r="E2984" s="664" t="s">
        <v>831</v>
      </c>
      <c r="F2984" s="665"/>
      <c r="G2984" s="663">
        <v>20</v>
      </c>
      <c r="H2984" s="662" t="s">
        <v>807</v>
      </c>
      <c r="I2984" s="666" t="s">
        <v>859</v>
      </c>
      <c r="J2984" s="667" t="s">
        <v>805</v>
      </c>
      <c r="K2984" s="662">
        <v>4</v>
      </c>
      <c r="L2984" s="685">
        <f t="shared" si="89"/>
        <v>18.8</v>
      </c>
      <c r="M2984" s="686">
        <f t="shared" si="90"/>
        <v>75.2</v>
      </c>
    </row>
    <row r="2985" spans="2:13" s="645" customFormat="1" ht="21.75" customHeight="1">
      <c r="B2985" s="661">
        <v>44459</v>
      </c>
      <c r="C2985" s="662" t="s">
        <v>837</v>
      </c>
      <c r="D2985" s="663" t="s">
        <v>840</v>
      </c>
      <c r="E2985" s="664" t="s">
        <v>831</v>
      </c>
      <c r="F2985" s="665"/>
      <c r="G2985" s="663">
        <v>20</v>
      </c>
      <c r="H2985" s="662" t="s">
        <v>807</v>
      </c>
      <c r="I2985" s="666" t="s">
        <v>859</v>
      </c>
      <c r="J2985" s="667" t="s">
        <v>805</v>
      </c>
      <c r="K2985" s="662">
        <v>5</v>
      </c>
      <c r="L2985" s="685">
        <f t="shared" si="89"/>
        <v>18.8</v>
      </c>
      <c r="M2985" s="686">
        <f t="shared" si="90"/>
        <v>94</v>
      </c>
    </row>
    <row r="2986" spans="2:13" s="645" customFormat="1" ht="21.75" customHeight="1">
      <c r="B2986" s="661">
        <v>44459</v>
      </c>
      <c r="C2986" s="662" t="s">
        <v>837</v>
      </c>
      <c r="D2986" s="663" t="s">
        <v>840</v>
      </c>
      <c r="E2986" s="664" t="s">
        <v>831</v>
      </c>
      <c r="F2986" s="665"/>
      <c r="G2986" s="663">
        <v>20</v>
      </c>
      <c r="H2986" s="662" t="s">
        <v>807</v>
      </c>
      <c r="I2986" s="666" t="s">
        <v>857</v>
      </c>
      <c r="J2986" s="667" t="s">
        <v>805</v>
      </c>
      <c r="K2986" s="662">
        <v>6</v>
      </c>
      <c r="L2986" s="685">
        <f t="shared" si="89"/>
        <v>18.8</v>
      </c>
      <c r="M2986" s="686">
        <f t="shared" si="90"/>
        <v>112.80000000000001</v>
      </c>
    </row>
    <row r="2987" spans="2:13" s="645" customFormat="1" ht="21.75" customHeight="1">
      <c r="B2987" s="661">
        <v>44459</v>
      </c>
      <c r="C2987" s="662" t="s">
        <v>837</v>
      </c>
      <c r="D2987" s="663" t="s">
        <v>835</v>
      </c>
      <c r="E2987" s="664" t="s">
        <v>831</v>
      </c>
      <c r="F2987" s="665"/>
      <c r="G2987" s="663">
        <v>20</v>
      </c>
      <c r="H2987" s="662" t="s">
        <v>807</v>
      </c>
      <c r="I2987" s="666" t="s">
        <v>857</v>
      </c>
      <c r="J2987" s="667" t="s">
        <v>805</v>
      </c>
      <c r="K2987" s="662">
        <v>7</v>
      </c>
      <c r="L2987" s="685">
        <f t="shared" si="89"/>
        <v>18.8</v>
      </c>
      <c r="M2987" s="686">
        <f t="shared" si="90"/>
        <v>131.6</v>
      </c>
    </row>
    <row r="2988" spans="2:13" s="645" customFormat="1" ht="21.75" customHeight="1">
      <c r="B2988" s="661">
        <v>44459</v>
      </c>
      <c r="C2988" s="662" t="s">
        <v>837</v>
      </c>
      <c r="D2988" s="663" t="s">
        <v>841</v>
      </c>
      <c r="E2988" s="664" t="s">
        <v>831</v>
      </c>
      <c r="F2988" s="665"/>
      <c r="G2988" s="663">
        <v>20</v>
      </c>
      <c r="H2988" s="662" t="s">
        <v>807</v>
      </c>
      <c r="I2988" s="666" t="s">
        <v>857</v>
      </c>
      <c r="J2988" s="667" t="s">
        <v>805</v>
      </c>
      <c r="K2988" s="662">
        <v>6</v>
      </c>
      <c r="L2988" s="685">
        <f t="shared" si="89"/>
        <v>18.8</v>
      </c>
      <c r="M2988" s="686">
        <f t="shared" si="90"/>
        <v>112.80000000000001</v>
      </c>
    </row>
    <row r="2989" spans="2:13" s="645" customFormat="1" ht="21.75" customHeight="1">
      <c r="B2989" s="661">
        <v>44459</v>
      </c>
      <c r="C2989" s="662" t="s">
        <v>837</v>
      </c>
      <c r="D2989" s="663" t="s">
        <v>848</v>
      </c>
      <c r="E2989" s="664" t="s">
        <v>831</v>
      </c>
      <c r="F2989" s="665"/>
      <c r="G2989" s="663">
        <v>20</v>
      </c>
      <c r="H2989" s="662" t="s">
        <v>807</v>
      </c>
      <c r="I2989" s="666" t="s">
        <v>857</v>
      </c>
      <c r="J2989" s="667" t="s">
        <v>805</v>
      </c>
      <c r="K2989" s="662">
        <v>1</v>
      </c>
      <c r="L2989" s="685">
        <f t="shared" si="89"/>
        <v>18.8</v>
      </c>
      <c r="M2989" s="686">
        <f t="shared" si="90"/>
        <v>18.8</v>
      </c>
    </row>
    <row r="2990" spans="2:13" s="645" customFormat="1" ht="21.75" customHeight="1">
      <c r="B2990" s="661">
        <v>44459</v>
      </c>
      <c r="C2990" s="662" t="s">
        <v>837</v>
      </c>
      <c r="D2990" s="663" t="s">
        <v>845</v>
      </c>
      <c r="E2990" s="664" t="s">
        <v>831</v>
      </c>
      <c r="F2990" s="665"/>
      <c r="G2990" s="663">
        <v>17</v>
      </c>
      <c r="H2990" s="662" t="s">
        <v>807</v>
      </c>
      <c r="I2990" s="666" t="s">
        <v>857</v>
      </c>
      <c r="J2990" s="667" t="s">
        <v>805</v>
      </c>
      <c r="K2990" s="662">
        <v>6</v>
      </c>
      <c r="L2990" s="685">
        <f t="shared" si="89"/>
        <v>15.98</v>
      </c>
      <c r="M2990" s="686">
        <f t="shared" si="90"/>
        <v>95.88</v>
      </c>
    </row>
    <row r="2991" spans="2:13" s="645" customFormat="1" ht="21.75" customHeight="1">
      <c r="B2991" s="661">
        <v>44459</v>
      </c>
      <c r="C2991" s="662" t="s">
        <v>837</v>
      </c>
      <c r="D2991" s="663" t="s">
        <v>847</v>
      </c>
      <c r="E2991" s="664" t="s">
        <v>831</v>
      </c>
      <c r="F2991" s="665"/>
      <c r="G2991" s="663">
        <v>17</v>
      </c>
      <c r="H2991" s="662" t="s">
        <v>807</v>
      </c>
      <c r="I2991" s="666" t="s">
        <v>857</v>
      </c>
      <c r="J2991" s="667" t="s">
        <v>805</v>
      </c>
      <c r="K2991" s="662">
        <v>6</v>
      </c>
      <c r="L2991" s="685">
        <f t="shared" si="89"/>
        <v>15.98</v>
      </c>
      <c r="M2991" s="686">
        <f t="shared" si="90"/>
        <v>95.88</v>
      </c>
    </row>
    <row r="2992" spans="2:13" s="645" customFormat="1" ht="21.75" customHeight="1">
      <c r="B2992" s="661">
        <v>44459</v>
      </c>
      <c r="C2992" s="662" t="s">
        <v>837</v>
      </c>
      <c r="D2992" s="663" t="s">
        <v>878</v>
      </c>
      <c r="E2992" s="664" t="s">
        <v>831</v>
      </c>
      <c r="F2992" s="665"/>
      <c r="G2992" s="663">
        <v>15</v>
      </c>
      <c r="H2992" s="662" t="s">
        <v>807</v>
      </c>
      <c r="I2992" s="666" t="s">
        <v>857</v>
      </c>
      <c r="J2992" s="667" t="s">
        <v>805</v>
      </c>
      <c r="K2992" s="662">
        <v>1</v>
      </c>
      <c r="L2992" s="685">
        <f t="shared" si="89"/>
        <v>14.1</v>
      </c>
      <c r="M2992" s="686">
        <f t="shared" si="90"/>
        <v>14.1</v>
      </c>
    </row>
    <row r="2993" spans="2:13" s="645" customFormat="1" ht="21.75" customHeight="1">
      <c r="B2993" s="661">
        <v>44459</v>
      </c>
      <c r="C2993" s="662" t="s">
        <v>837</v>
      </c>
      <c r="D2993" s="663" t="s">
        <v>876</v>
      </c>
      <c r="E2993" s="664" t="s">
        <v>831</v>
      </c>
      <c r="F2993" s="665"/>
      <c r="G2993" s="663">
        <v>20</v>
      </c>
      <c r="H2993" s="662" t="s">
        <v>807</v>
      </c>
      <c r="I2993" s="666" t="s">
        <v>857</v>
      </c>
      <c r="J2993" s="667" t="s">
        <v>805</v>
      </c>
      <c r="K2993" s="662">
        <v>5</v>
      </c>
      <c r="L2993" s="685">
        <f t="shared" si="89"/>
        <v>18.8</v>
      </c>
      <c r="M2993" s="686">
        <f t="shared" si="90"/>
        <v>94</v>
      </c>
    </row>
    <row r="2994" spans="2:13" s="645" customFormat="1" ht="21.75" customHeight="1">
      <c r="B2994" s="661">
        <v>44459</v>
      </c>
      <c r="C2994" s="662" t="s">
        <v>819</v>
      </c>
      <c r="D2994" s="663" t="s">
        <v>849</v>
      </c>
      <c r="E2994" s="664" t="s">
        <v>831</v>
      </c>
      <c r="F2994" s="665"/>
      <c r="G2994" s="663">
        <v>20</v>
      </c>
      <c r="H2994" s="662" t="s">
        <v>807</v>
      </c>
      <c r="I2994" s="666" t="s">
        <v>857</v>
      </c>
      <c r="J2994" s="667" t="s">
        <v>865</v>
      </c>
      <c r="K2994" s="662">
        <v>2</v>
      </c>
      <c r="L2994" s="685">
        <f t="shared" si="89"/>
        <v>18.8</v>
      </c>
      <c r="M2994" s="686">
        <f t="shared" si="90"/>
        <v>37.6</v>
      </c>
    </row>
    <row r="2995" spans="2:13" s="645" customFormat="1" ht="21.75" customHeight="1">
      <c r="B2995" s="661">
        <v>44459</v>
      </c>
      <c r="C2995" s="662" t="s">
        <v>819</v>
      </c>
      <c r="D2995" s="663" t="s">
        <v>841</v>
      </c>
      <c r="E2995" s="664" t="s">
        <v>831</v>
      </c>
      <c r="F2995" s="665"/>
      <c r="G2995" s="663">
        <v>20</v>
      </c>
      <c r="H2995" s="662" t="s">
        <v>807</v>
      </c>
      <c r="I2995" s="666" t="s">
        <v>857</v>
      </c>
      <c r="J2995" s="667" t="s">
        <v>865</v>
      </c>
      <c r="K2995" s="662">
        <v>2</v>
      </c>
      <c r="L2995" s="685">
        <f t="shared" si="89"/>
        <v>18.8</v>
      </c>
      <c r="M2995" s="686">
        <f t="shared" si="90"/>
        <v>37.6</v>
      </c>
    </row>
    <row r="2996" spans="2:13" s="645" customFormat="1" ht="21.75" customHeight="1">
      <c r="B2996" s="661">
        <v>44459</v>
      </c>
      <c r="C2996" s="662" t="s">
        <v>819</v>
      </c>
      <c r="D2996" s="663" t="s">
        <v>878</v>
      </c>
      <c r="E2996" s="664" t="s">
        <v>831</v>
      </c>
      <c r="F2996" s="665"/>
      <c r="G2996" s="663">
        <v>15</v>
      </c>
      <c r="H2996" s="662" t="s">
        <v>807</v>
      </c>
      <c r="I2996" s="666" t="s">
        <v>857</v>
      </c>
      <c r="J2996" s="667" t="s">
        <v>865</v>
      </c>
      <c r="K2996" s="662">
        <v>1</v>
      </c>
      <c r="L2996" s="685">
        <f t="shared" si="89"/>
        <v>14.1</v>
      </c>
      <c r="M2996" s="686">
        <f t="shared" si="90"/>
        <v>14.1</v>
      </c>
    </row>
    <row r="2997" spans="2:13" s="645" customFormat="1" ht="21.75" customHeight="1">
      <c r="B2997" s="661">
        <v>44459</v>
      </c>
      <c r="C2997" s="662" t="s">
        <v>819</v>
      </c>
      <c r="D2997" s="663" t="s">
        <v>868</v>
      </c>
      <c r="E2997" s="664" t="s">
        <v>831</v>
      </c>
      <c r="F2997" s="665"/>
      <c r="G2997" s="663">
        <v>20</v>
      </c>
      <c r="H2997" s="662" t="s">
        <v>807</v>
      </c>
      <c r="I2997" s="666" t="s">
        <v>857</v>
      </c>
      <c r="J2997" s="667" t="s">
        <v>865</v>
      </c>
      <c r="K2997" s="662">
        <v>2</v>
      </c>
      <c r="L2997" s="685">
        <f t="shared" si="89"/>
        <v>18.8</v>
      </c>
      <c r="M2997" s="686">
        <f t="shared" si="90"/>
        <v>37.6</v>
      </c>
    </row>
    <row r="2998" spans="2:13" s="645" customFormat="1" ht="21.75" customHeight="1">
      <c r="B2998" s="661">
        <v>44459</v>
      </c>
      <c r="C2998" s="662" t="s">
        <v>837</v>
      </c>
      <c r="D2998" s="663" t="s">
        <v>856</v>
      </c>
      <c r="E2998" s="664" t="s">
        <v>831</v>
      </c>
      <c r="F2998" s="665"/>
      <c r="G2998" s="663">
        <v>20</v>
      </c>
      <c r="H2998" s="662" t="s">
        <v>807</v>
      </c>
      <c r="I2998" s="666" t="s">
        <v>857</v>
      </c>
      <c r="J2998" s="667" t="s">
        <v>865</v>
      </c>
      <c r="K2998" s="662">
        <v>7</v>
      </c>
      <c r="L2998" s="685">
        <f t="shared" si="89"/>
        <v>18.8</v>
      </c>
      <c r="M2998" s="686">
        <f t="shared" si="90"/>
        <v>131.6</v>
      </c>
    </row>
    <row r="2999" spans="2:13" s="645" customFormat="1" ht="21.75" customHeight="1">
      <c r="B2999" s="661">
        <v>44459</v>
      </c>
      <c r="C2999" s="662" t="s">
        <v>837</v>
      </c>
      <c r="D2999" s="663" t="s">
        <v>855</v>
      </c>
      <c r="E2999" s="664" t="s">
        <v>831</v>
      </c>
      <c r="F2999" s="665"/>
      <c r="G2999" s="663">
        <v>20</v>
      </c>
      <c r="H2999" s="662" t="s">
        <v>807</v>
      </c>
      <c r="I2999" s="666" t="s">
        <v>857</v>
      </c>
      <c r="J2999" s="667" t="s">
        <v>865</v>
      </c>
      <c r="K2999" s="662">
        <v>3</v>
      </c>
      <c r="L2999" s="685">
        <f t="shared" si="89"/>
        <v>18.8</v>
      </c>
      <c r="M2999" s="686">
        <f t="shared" si="90"/>
        <v>56.400000000000006</v>
      </c>
    </row>
    <row r="3000" spans="2:13" s="645" customFormat="1" ht="21.75" customHeight="1">
      <c r="B3000" s="661">
        <v>44459</v>
      </c>
      <c r="C3000" s="662" t="s">
        <v>837</v>
      </c>
      <c r="D3000" s="663" t="s">
        <v>840</v>
      </c>
      <c r="E3000" s="664" t="s">
        <v>831</v>
      </c>
      <c r="F3000" s="665"/>
      <c r="G3000" s="663">
        <v>20</v>
      </c>
      <c r="H3000" s="662" t="s">
        <v>807</v>
      </c>
      <c r="I3000" s="666" t="s">
        <v>857</v>
      </c>
      <c r="J3000" s="667" t="s">
        <v>865</v>
      </c>
      <c r="K3000" s="662">
        <v>1</v>
      </c>
      <c r="L3000" s="685">
        <f t="shared" si="89"/>
        <v>18.8</v>
      </c>
      <c r="M3000" s="686">
        <f t="shared" si="90"/>
        <v>18.8</v>
      </c>
    </row>
    <row r="3001" spans="2:13" s="645" customFormat="1" ht="21.75" customHeight="1">
      <c r="B3001" s="661">
        <v>44459</v>
      </c>
      <c r="C3001" s="662" t="s">
        <v>837</v>
      </c>
      <c r="D3001" s="663" t="s">
        <v>835</v>
      </c>
      <c r="E3001" s="664" t="s">
        <v>831</v>
      </c>
      <c r="F3001" s="665"/>
      <c r="G3001" s="663">
        <v>20</v>
      </c>
      <c r="H3001" s="662" t="s">
        <v>807</v>
      </c>
      <c r="I3001" s="666" t="s">
        <v>857</v>
      </c>
      <c r="J3001" s="667" t="s">
        <v>865</v>
      </c>
      <c r="K3001" s="662">
        <v>2</v>
      </c>
      <c r="L3001" s="685">
        <f t="shared" si="89"/>
        <v>18.8</v>
      </c>
      <c r="M3001" s="686">
        <f t="shared" si="90"/>
        <v>37.6</v>
      </c>
    </row>
    <row r="3002" spans="2:13" s="645" customFormat="1" ht="21.75" customHeight="1">
      <c r="B3002" s="661">
        <v>44459</v>
      </c>
      <c r="C3002" s="662" t="s">
        <v>837</v>
      </c>
      <c r="D3002" s="663" t="s">
        <v>841</v>
      </c>
      <c r="E3002" s="664" t="s">
        <v>831</v>
      </c>
      <c r="F3002" s="665"/>
      <c r="G3002" s="663">
        <v>20</v>
      </c>
      <c r="H3002" s="662" t="s">
        <v>807</v>
      </c>
      <c r="I3002" s="666" t="s">
        <v>857</v>
      </c>
      <c r="J3002" s="667" t="s">
        <v>865</v>
      </c>
      <c r="K3002" s="662">
        <v>2</v>
      </c>
      <c r="L3002" s="685">
        <f t="shared" si="89"/>
        <v>18.8</v>
      </c>
      <c r="M3002" s="686">
        <f t="shared" si="90"/>
        <v>37.6</v>
      </c>
    </row>
    <row r="3003" spans="2:13" s="645" customFormat="1" ht="21.75" customHeight="1">
      <c r="B3003" s="661">
        <v>44459</v>
      </c>
      <c r="C3003" s="662" t="s">
        <v>837</v>
      </c>
      <c r="D3003" s="663" t="s">
        <v>848</v>
      </c>
      <c r="E3003" s="664" t="s">
        <v>831</v>
      </c>
      <c r="F3003" s="665"/>
      <c r="G3003" s="663">
        <v>20</v>
      </c>
      <c r="H3003" s="662" t="s">
        <v>807</v>
      </c>
      <c r="I3003" s="666" t="s">
        <v>857</v>
      </c>
      <c r="J3003" s="667" t="s">
        <v>865</v>
      </c>
      <c r="K3003" s="662">
        <v>6</v>
      </c>
      <c r="L3003" s="685">
        <f t="shared" si="89"/>
        <v>18.8</v>
      </c>
      <c r="M3003" s="686">
        <f t="shared" si="90"/>
        <v>112.80000000000001</v>
      </c>
    </row>
    <row r="3004" spans="2:13" s="645" customFormat="1" ht="21.75" customHeight="1">
      <c r="B3004" s="661">
        <v>44459</v>
      </c>
      <c r="C3004" s="662" t="s">
        <v>837</v>
      </c>
      <c r="D3004" s="663" t="s">
        <v>847</v>
      </c>
      <c r="E3004" s="664" t="s">
        <v>831</v>
      </c>
      <c r="F3004" s="665"/>
      <c r="G3004" s="663">
        <v>17</v>
      </c>
      <c r="H3004" s="662" t="s">
        <v>807</v>
      </c>
      <c r="I3004" s="666" t="s">
        <v>857</v>
      </c>
      <c r="J3004" s="667" t="s">
        <v>865</v>
      </c>
      <c r="K3004" s="662">
        <v>1</v>
      </c>
      <c r="L3004" s="685">
        <f t="shared" si="89"/>
        <v>15.98</v>
      </c>
      <c r="M3004" s="686">
        <f t="shared" si="90"/>
        <v>15.98</v>
      </c>
    </row>
    <row r="3005" spans="2:13" s="645" customFormat="1" ht="21.75" customHeight="1">
      <c r="B3005" s="661">
        <v>44459</v>
      </c>
      <c r="C3005" s="662" t="s">
        <v>837</v>
      </c>
      <c r="D3005" s="663" t="s">
        <v>878</v>
      </c>
      <c r="E3005" s="664" t="s">
        <v>831</v>
      </c>
      <c r="F3005" s="665"/>
      <c r="G3005" s="663">
        <v>15</v>
      </c>
      <c r="H3005" s="662" t="s">
        <v>807</v>
      </c>
      <c r="I3005" s="666" t="s">
        <v>857</v>
      </c>
      <c r="J3005" s="667" t="s">
        <v>865</v>
      </c>
      <c r="K3005" s="662">
        <v>2</v>
      </c>
      <c r="L3005" s="685">
        <f t="shared" si="89"/>
        <v>14.1</v>
      </c>
      <c r="M3005" s="686">
        <f t="shared" si="90"/>
        <v>28.2</v>
      </c>
    </row>
    <row r="3006" spans="2:13" s="645" customFormat="1" ht="21.75" customHeight="1">
      <c r="B3006" s="661">
        <v>44459</v>
      </c>
      <c r="C3006" s="662" t="s">
        <v>837</v>
      </c>
      <c r="D3006" s="663" t="s">
        <v>876</v>
      </c>
      <c r="E3006" s="664" t="s">
        <v>831</v>
      </c>
      <c r="F3006" s="665"/>
      <c r="G3006" s="663">
        <v>20</v>
      </c>
      <c r="H3006" s="662" t="s">
        <v>807</v>
      </c>
      <c r="I3006" s="666" t="s">
        <v>857</v>
      </c>
      <c r="J3006" s="667" t="s">
        <v>865</v>
      </c>
      <c r="K3006" s="662">
        <v>3</v>
      </c>
      <c r="L3006" s="685">
        <f t="shared" si="89"/>
        <v>18.8</v>
      </c>
      <c r="M3006" s="686">
        <f t="shared" si="90"/>
        <v>56.400000000000006</v>
      </c>
    </row>
    <row r="3007" spans="2:13" s="645" customFormat="1" ht="21.75" customHeight="1">
      <c r="B3007" s="661">
        <v>44459</v>
      </c>
      <c r="C3007" s="662" t="s">
        <v>837</v>
      </c>
      <c r="D3007" s="663" t="s">
        <v>873</v>
      </c>
      <c r="E3007" s="664" t="s">
        <v>831</v>
      </c>
      <c r="F3007" s="665"/>
      <c r="G3007" s="663">
        <v>17</v>
      </c>
      <c r="H3007" s="662" t="s">
        <v>807</v>
      </c>
      <c r="I3007" s="666" t="s">
        <v>857</v>
      </c>
      <c r="J3007" s="667" t="s">
        <v>865</v>
      </c>
      <c r="K3007" s="662">
        <v>1</v>
      </c>
      <c r="L3007" s="685">
        <f t="shared" si="89"/>
        <v>15.98</v>
      </c>
      <c r="M3007" s="686">
        <f t="shared" si="90"/>
        <v>15.98</v>
      </c>
    </row>
    <row r="3008" spans="2:13" s="645" customFormat="1" ht="21.75" customHeight="1">
      <c r="B3008" s="708">
        <v>44459</v>
      </c>
      <c r="C3008" s="709" t="s">
        <v>819</v>
      </c>
      <c r="D3008" s="710" t="s">
        <v>833</v>
      </c>
      <c r="E3008" s="711" t="s">
        <v>831</v>
      </c>
      <c r="F3008" s="712"/>
      <c r="G3008" s="710">
        <v>15</v>
      </c>
      <c r="H3008" s="709" t="s">
        <v>807</v>
      </c>
      <c r="I3008" s="713" t="s">
        <v>857</v>
      </c>
      <c r="J3008" s="714" t="s">
        <v>802</v>
      </c>
      <c r="K3008" s="709">
        <v>1</v>
      </c>
      <c r="L3008" s="715">
        <f t="shared" si="89"/>
        <v>14.1</v>
      </c>
      <c r="M3008" s="716">
        <f t="shared" si="90"/>
        <v>14.1</v>
      </c>
    </row>
    <row r="3009" spans="2:13" s="645" customFormat="1" ht="21.75" customHeight="1">
      <c r="B3009" s="708">
        <v>44459</v>
      </c>
      <c r="C3009" s="709" t="s">
        <v>819</v>
      </c>
      <c r="D3009" s="710" t="s">
        <v>830</v>
      </c>
      <c r="E3009" s="711" t="s">
        <v>831</v>
      </c>
      <c r="F3009" s="712"/>
      <c r="G3009" s="710">
        <v>15</v>
      </c>
      <c r="H3009" s="709" t="s">
        <v>807</v>
      </c>
      <c r="I3009" s="713" t="s">
        <v>857</v>
      </c>
      <c r="J3009" s="714" t="s">
        <v>802</v>
      </c>
      <c r="K3009" s="709">
        <v>1</v>
      </c>
      <c r="L3009" s="715">
        <f t="shared" si="89"/>
        <v>14.1</v>
      </c>
      <c r="M3009" s="716">
        <f t="shared" si="90"/>
        <v>14.1</v>
      </c>
    </row>
    <row r="3010" spans="2:13" s="645" customFormat="1" ht="21.75" customHeight="1">
      <c r="B3010" s="708">
        <v>44459</v>
      </c>
      <c r="C3010" s="709" t="s">
        <v>819</v>
      </c>
      <c r="D3010" s="710" t="s">
        <v>839</v>
      </c>
      <c r="E3010" s="711" t="s">
        <v>831</v>
      </c>
      <c r="F3010" s="712"/>
      <c r="G3010" s="710">
        <v>15</v>
      </c>
      <c r="H3010" s="709" t="s">
        <v>807</v>
      </c>
      <c r="I3010" s="713" t="s">
        <v>859</v>
      </c>
      <c r="J3010" s="714" t="s">
        <v>802</v>
      </c>
      <c r="K3010" s="709">
        <v>1</v>
      </c>
      <c r="L3010" s="715">
        <f t="shared" si="89"/>
        <v>14.1</v>
      </c>
      <c r="M3010" s="716">
        <f t="shared" si="90"/>
        <v>14.1</v>
      </c>
    </row>
    <row r="3011" spans="2:13" s="645" customFormat="1" ht="21.75" customHeight="1">
      <c r="B3011" s="708">
        <v>44459</v>
      </c>
      <c r="C3011" s="709" t="s">
        <v>819</v>
      </c>
      <c r="D3011" s="710" t="s">
        <v>855</v>
      </c>
      <c r="E3011" s="711" t="s">
        <v>831</v>
      </c>
      <c r="F3011" s="712"/>
      <c r="G3011" s="710">
        <v>20</v>
      </c>
      <c r="H3011" s="709" t="s">
        <v>807</v>
      </c>
      <c r="I3011" s="713" t="s">
        <v>857</v>
      </c>
      <c r="J3011" s="714" t="s">
        <v>802</v>
      </c>
      <c r="K3011" s="709">
        <v>1</v>
      </c>
      <c r="L3011" s="715">
        <f t="shared" si="89"/>
        <v>18.8</v>
      </c>
      <c r="M3011" s="716">
        <f t="shared" si="90"/>
        <v>18.8</v>
      </c>
    </row>
    <row r="3012" spans="2:13" s="645" customFormat="1" ht="21.75" customHeight="1">
      <c r="B3012" s="708">
        <v>44459</v>
      </c>
      <c r="C3012" s="709" t="s">
        <v>819</v>
      </c>
      <c r="D3012" s="710" t="s">
        <v>873</v>
      </c>
      <c r="E3012" s="711" t="s">
        <v>831</v>
      </c>
      <c r="F3012" s="712"/>
      <c r="G3012" s="710">
        <v>17</v>
      </c>
      <c r="H3012" s="709" t="s">
        <v>807</v>
      </c>
      <c r="I3012" s="713" t="s">
        <v>857</v>
      </c>
      <c r="J3012" s="714" t="s">
        <v>802</v>
      </c>
      <c r="K3012" s="709">
        <v>1</v>
      </c>
      <c r="L3012" s="715">
        <f t="shared" si="89"/>
        <v>15.98</v>
      </c>
      <c r="M3012" s="716">
        <f t="shared" si="90"/>
        <v>15.98</v>
      </c>
    </row>
    <row r="3013" spans="2:13" s="645" customFormat="1" ht="21.75" customHeight="1">
      <c r="B3013" s="708">
        <v>44459</v>
      </c>
      <c r="C3013" s="709" t="s">
        <v>837</v>
      </c>
      <c r="D3013" s="710" t="s">
        <v>849</v>
      </c>
      <c r="E3013" s="711" t="s">
        <v>831</v>
      </c>
      <c r="F3013" s="712"/>
      <c r="G3013" s="710">
        <v>20</v>
      </c>
      <c r="H3013" s="709" t="s">
        <v>807</v>
      </c>
      <c r="I3013" s="713" t="s">
        <v>859</v>
      </c>
      <c r="J3013" s="714" t="s">
        <v>802</v>
      </c>
      <c r="K3013" s="709">
        <v>2</v>
      </c>
      <c r="L3013" s="715">
        <f t="shared" si="89"/>
        <v>18.8</v>
      </c>
      <c r="M3013" s="716">
        <f t="shared" si="90"/>
        <v>37.6</v>
      </c>
    </row>
    <row r="3014" spans="2:13" s="645" customFormat="1" ht="21.75" customHeight="1">
      <c r="B3014" s="708">
        <v>44459</v>
      </c>
      <c r="C3014" s="709" t="s">
        <v>837</v>
      </c>
      <c r="D3014" s="710" t="s">
        <v>834</v>
      </c>
      <c r="E3014" s="711" t="s">
        <v>831</v>
      </c>
      <c r="F3014" s="712"/>
      <c r="G3014" s="710">
        <v>20</v>
      </c>
      <c r="H3014" s="709" t="s">
        <v>807</v>
      </c>
      <c r="I3014" s="713" t="s">
        <v>859</v>
      </c>
      <c r="J3014" s="714" t="s">
        <v>802</v>
      </c>
      <c r="K3014" s="709">
        <v>4</v>
      </c>
      <c r="L3014" s="715">
        <f t="shared" si="89"/>
        <v>18.8</v>
      </c>
      <c r="M3014" s="716">
        <f t="shared" si="90"/>
        <v>75.2</v>
      </c>
    </row>
    <row r="3015" spans="2:13" s="645" customFormat="1" ht="21.75" customHeight="1">
      <c r="B3015" s="708">
        <v>44459</v>
      </c>
      <c r="C3015" s="709" t="s">
        <v>837</v>
      </c>
      <c r="D3015" s="710" t="s">
        <v>856</v>
      </c>
      <c r="E3015" s="711" t="s">
        <v>831</v>
      </c>
      <c r="F3015" s="712"/>
      <c r="G3015" s="710">
        <v>20</v>
      </c>
      <c r="H3015" s="709" t="s">
        <v>807</v>
      </c>
      <c r="I3015" s="713" t="s">
        <v>857</v>
      </c>
      <c r="J3015" s="714" t="s">
        <v>802</v>
      </c>
      <c r="K3015" s="709">
        <v>4</v>
      </c>
      <c r="L3015" s="715">
        <f t="shared" si="89"/>
        <v>18.8</v>
      </c>
      <c r="M3015" s="716">
        <f t="shared" si="90"/>
        <v>75.2</v>
      </c>
    </row>
    <row r="3016" spans="2:13" s="645" customFormat="1" ht="21.75" customHeight="1">
      <c r="B3016" s="708">
        <v>44459</v>
      </c>
      <c r="C3016" s="709" t="s">
        <v>837</v>
      </c>
      <c r="D3016" s="710" t="s">
        <v>855</v>
      </c>
      <c r="E3016" s="711" t="s">
        <v>831</v>
      </c>
      <c r="F3016" s="712"/>
      <c r="G3016" s="710">
        <v>20</v>
      </c>
      <c r="H3016" s="709" t="s">
        <v>807</v>
      </c>
      <c r="I3016" s="713" t="s">
        <v>857</v>
      </c>
      <c r="J3016" s="714" t="s">
        <v>802</v>
      </c>
      <c r="K3016" s="709">
        <v>1</v>
      </c>
      <c r="L3016" s="715">
        <f t="shared" si="89"/>
        <v>18.8</v>
      </c>
      <c r="M3016" s="716">
        <f t="shared" si="90"/>
        <v>18.8</v>
      </c>
    </row>
    <row r="3017" spans="2:13" s="645" customFormat="1" ht="21.75" customHeight="1">
      <c r="B3017" s="708">
        <v>44459</v>
      </c>
      <c r="C3017" s="709" t="s">
        <v>837</v>
      </c>
      <c r="D3017" s="710" t="s">
        <v>855</v>
      </c>
      <c r="E3017" s="711" t="s">
        <v>831</v>
      </c>
      <c r="F3017" s="712"/>
      <c r="G3017" s="710">
        <v>20</v>
      </c>
      <c r="H3017" s="709" t="s">
        <v>807</v>
      </c>
      <c r="I3017" s="713" t="s">
        <v>859</v>
      </c>
      <c r="J3017" s="714" t="s">
        <v>802</v>
      </c>
      <c r="K3017" s="709">
        <v>3</v>
      </c>
      <c r="L3017" s="715">
        <f t="shared" ref="L3017:L3080" si="91">VLOOKUP(G3017,$Q$4:$V$7,6,FALSE)</f>
        <v>18.8</v>
      </c>
      <c r="M3017" s="716">
        <f t="shared" si="90"/>
        <v>56.400000000000006</v>
      </c>
    </row>
    <row r="3018" spans="2:13" s="645" customFormat="1" ht="21.75" customHeight="1">
      <c r="B3018" s="708">
        <v>44459</v>
      </c>
      <c r="C3018" s="709" t="s">
        <v>837</v>
      </c>
      <c r="D3018" s="710" t="s">
        <v>835</v>
      </c>
      <c r="E3018" s="711" t="s">
        <v>831</v>
      </c>
      <c r="F3018" s="712"/>
      <c r="G3018" s="710">
        <v>20</v>
      </c>
      <c r="H3018" s="709" t="s">
        <v>807</v>
      </c>
      <c r="I3018" s="713" t="s">
        <v>859</v>
      </c>
      <c r="J3018" s="714" t="s">
        <v>802</v>
      </c>
      <c r="K3018" s="709">
        <v>4</v>
      </c>
      <c r="L3018" s="715">
        <f t="shared" si="91"/>
        <v>18.8</v>
      </c>
      <c r="M3018" s="716">
        <f t="shared" si="90"/>
        <v>75.2</v>
      </c>
    </row>
    <row r="3019" spans="2:13" s="645" customFormat="1" ht="21.75" customHeight="1">
      <c r="B3019" s="708">
        <v>44459</v>
      </c>
      <c r="C3019" s="709" t="s">
        <v>837</v>
      </c>
      <c r="D3019" s="710" t="s">
        <v>841</v>
      </c>
      <c r="E3019" s="711" t="s">
        <v>831</v>
      </c>
      <c r="F3019" s="712"/>
      <c r="G3019" s="710">
        <v>20</v>
      </c>
      <c r="H3019" s="709" t="s">
        <v>807</v>
      </c>
      <c r="I3019" s="713" t="s">
        <v>859</v>
      </c>
      <c r="J3019" s="714" t="s">
        <v>802</v>
      </c>
      <c r="K3019" s="709">
        <v>5</v>
      </c>
      <c r="L3019" s="715">
        <f t="shared" si="91"/>
        <v>18.8</v>
      </c>
      <c r="M3019" s="716">
        <f t="shared" si="90"/>
        <v>94</v>
      </c>
    </row>
    <row r="3020" spans="2:13" s="645" customFormat="1" ht="21.75" customHeight="1">
      <c r="B3020" s="708">
        <v>44459</v>
      </c>
      <c r="C3020" s="709" t="s">
        <v>837</v>
      </c>
      <c r="D3020" s="710" t="s">
        <v>848</v>
      </c>
      <c r="E3020" s="711" t="s">
        <v>831</v>
      </c>
      <c r="F3020" s="712"/>
      <c r="G3020" s="710">
        <v>20</v>
      </c>
      <c r="H3020" s="709" t="s">
        <v>807</v>
      </c>
      <c r="I3020" s="713" t="s">
        <v>857</v>
      </c>
      <c r="J3020" s="714" t="s">
        <v>802</v>
      </c>
      <c r="K3020" s="709">
        <v>1</v>
      </c>
      <c r="L3020" s="715">
        <f t="shared" si="91"/>
        <v>18.8</v>
      </c>
      <c r="M3020" s="716">
        <f t="shared" si="90"/>
        <v>18.8</v>
      </c>
    </row>
    <row r="3021" spans="2:13" s="645" customFormat="1" ht="21.75" customHeight="1">
      <c r="B3021" s="708">
        <v>44459</v>
      </c>
      <c r="C3021" s="709" t="s">
        <v>837</v>
      </c>
      <c r="D3021" s="710" t="s">
        <v>848</v>
      </c>
      <c r="E3021" s="711" t="s">
        <v>831</v>
      </c>
      <c r="F3021" s="712"/>
      <c r="G3021" s="710">
        <v>20</v>
      </c>
      <c r="H3021" s="709" t="s">
        <v>807</v>
      </c>
      <c r="I3021" s="713" t="s">
        <v>859</v>
      </c>
      <c r="J3021" s="714" t="s">
        <v>802</v>
      </c>
      <c r="K3021" s="709">
        <v>3</v>
      </c>
      <c r="L3021" s="715">
        <f t="shared" si="91"/>
        <v>18.8</v>
      </c>
      <c r="M3021" s="716">
        <f t="shared" si="90"/>
        <v>56.400000000000006</v>
      </c>
    </row>
    <row r="3022" spans="2:13" s="645" customFormat="1" ht="21.75" customHeight="1">
      <c r="B3022" s="708">
        <v>44459</v>
      </c>
      <c r="C3022" s="709" t="s">
        <v>837</v>
      </c>
      <c r="D3022" s="710" t="s">
        <v>845</v>
      </c>
      <c r="E3022" s="711" t="s">
        <v>831</v>
      </c>
      <c r="F3022" s="712"/>
      <c r="G3022" s="710">
        <v>17</v>
      </c>
      <c r="H3022" s="709" t="s">
        <v>807</v>
      </c>
      <c r="I3022" s="713" t="s">
        <v>859</v>
      </c>
      <c r="J3022" s="714" t="s">
        <v>802</v>
      </c>
      <c r="K3022" s="709">
        <v>4</v>
      </c>
      <c r="L3022" s="715">
        <f t="shared" si="91"/>
        <v>15.98</v>
      </c>
      <c r="M3022" s="716">
        <f t="shared" si="90"/>
        <v>63.92</v>
      </c>
    </row>
    <row r="3023" spans="2:13" s="645" customFormat="1" ht="21.75" customHeight="1">
      <c r="B3023" s="708">
        <v>44459</v>
      </c>
      <c r="C3023" s="709" t="s">
        <v>837</v>
      </c>
      <c r="D3023" s="710" t="s">
        <v>847</v>
      </c>
      <c r="E3023" s="711" t="s">
        <v>831</v>
      </c>
      <c r="F3023" s="712"/>
      <c r="G3023" s="710">
        <v>17</v>
      </c>
      <c r="H3023" s="709" t="s">
        <v>807</v>
      </c>
      <c r="I3023" s="713" t="s">
        <v>859</v>
      </c>
      <c r="J3023" s="714" t="s">
        <v>802</v>
      </c>
      <c r="K3023" s="709">
        <v>1</v>
      </c>
      <c r="L3023" s="715">
        <f t="shared" si="91"/>
        <v>15.98</v>
      </c>
      <c r="M3023" s="716">
        <f t="shared" si="90"/>
        <v>15.98</v>
      </c>
    </row>
    <row r="3024" spans="2:13" s="645" customFormat="1" ht="21.75" customHeight="1">
      <c r="B3024" s="708">
        <v>44459</v>
      </c>
      <c r="C3024" s="709" t="s">
        <v>837</v>
      </c>
      <c r="D3024" s="710" t="s">
        <v>847</v>
      </c>
      <c r="E3024" s="711" t="s">
        <v>831</v>
      </c>
      <c r="F3024" s="712"/>
      <c r="G3024" s="710">
        <v>17</v>
      </c>
      <c r="H3024" s="709" t="s">
        <v>807</v>
      </c>
      <c r="I3024" s="713" t="s">
        <v>857</v>
      </c>
      <c r="J3024" s="714" t="s">
        <v>802</v>
      </c>
      <c r="K3024" s="709">
        <v>3</v>
      </c>
      <c r="L3024" s="715">
        <f t="shared" si="91"/>
        <v>15.98</v>
      </c>
      <c r="M3024" s="716">
        <f t="shared" si="90"/>
        <v>47.94</v>
      </c>
    </row>
    <row r="3025" spans="2:13" s="645" customFormat="1" ht="21.75" customHeight="1">
      <c r="B3025" s="708">
        <v>44459</v>
      </c>
      <c r="C3025" s="709" t="s">
        <v>837</v>
      </c>
      <c r="D3025" s="710" t="s">
        <v>878</v>
      </c>
      <c r="E3025" s="711" t="s">
        <v>831</v>
      </c>
      <c r="F3025" s="712"/>
      <c r="G3025" s="710">
        <v>15</v>
      </c>
      <c r="H3025" s="709" t="s">
        <v>807</v>
      </c>
      <c r="I3025" s="713" t="s">
        <v>859</v>
      </c>
      <c r="J3025" s="714" t="s">
        <v>802</v>
      </c>
      <c r="K3025" s="709">
        <v>3</v>
      </c>
      <c r="L3025" s="715">
        <f t="shared" si="91"/>
        <v>14.1</v>
      </c>
      <c r="M3025" s="716">
        <f t="shared" si="90"/>
        <v>42.3</v>
      </c>
    </row>
    <row r="3026" spans="2:13" s="645" customFormat="1" ht="21.75" customHeight="1">
      <c r="B3026" s="661">
        <v>44460</v>
      </c>
      <c r="C3026" s="662" t="s">
        <v>819</v>
      </c>
      <c r="D3026" s="663" t="s">
        <v>849</v>
      </c>
      <c r="E3026" s="664" t="s">
        <v>831</v>
      </c>
      <c r="F3026" s="665"/>
      <c r="G3026" s="663">
        <v>20</v>
      </c>
      <c r="H3026" s="662" t="s">
        <v>807</v>
      </c>
      <c r="I3026" s="666" t="s">
        <v>859</v>
      </c>
      <c r="J3026" s="667" t="s">
        <v>805</v>
      </c>
      <c r="K3026" s="662">
        <v>4</v>
      </c>
      <c r="L3026" s="685">
        <f t="shared" si="91"/>
        <v>18.8</v>
      </c>
      <c r="M3026" s="686">
        <f t="shared" si="90"/>
        <v>75.2</v>
      </c>
    </row>
    <row r="3027" spans="2:13" s="645" customFormat="1" ht="21.75" customHeight="1">
      <c r="B3027" s="661">
        <v>44460</v>
      </c>
      <c r="C3027" s="662" t="s">
        <v>819</v>
      </c>
      <c r="D3027" s="663" t="s">
        <v>840</v>
      </c>
      <c r="E3027" s="664" t="s">
        <v>831</v>
      </c>
      <c r="F3027" s="665"/>
      <c r="G3027" s="663">
        <v>20</v>
      </c>
      <c r="H3027" s="662" t="s">
        <v>807</v>
      </c>
      <c r="I3027" s="666" t="s">
        <v>859</v>
      </c>
      <c r="J3027" s="667" t="s">
        <v>805</v>
      </c>
      <c r="K3027" s="662">
        <v>2</v>
      </c>
      <c r="L3027" s="685">
        <f t="shared" si="91"/>
        <v>18.8</v>
      </c>
      <c r="M3027" s="686">
        <f t="shared" si="90"/>
        <v>37.6</v>
      </c>
    </row>
    <row r="3028" spans="2:13" s="645" customFormat="1" ht="21.75" customHeight="1">
      <c r="B3028" s="661">
        <v>44460</v>
      </c>
      <c r="C3028" s="662" t="s">
        <v>819</v>
      </c>
      <c r="D3028" s="663" t="s">
        <v>835</v>
      </c>
      <c r="E3028" s="664" t="s">
        <v>831</v>
      </c>
      <c r="F3028" s="665"/>
      <c r="G3028" s="663">
        <v>20</v>
      </c>
      <c r="H3028" s="662" t="s">
        <v>807</v>
      </c>
      <c r="I3028" s="666" t="s">
        <v>859</v>
      </c>
      <c r="J3028" s="667" t="s">
        <v>805</v>
      </c>
      <c r="K3028" s="662">
        <v>3</v>
      </c>
      <c r="L3028" s="685">
        <f t="shared" si="91"/>
        <v>18.8</v>
      </c>
      <c r="M3028" s="686">
        <f t="shared" si="90"/>
        <v>56.400000000000006</v>
      </c>
    </row>
    <row r="3029" spans="2:13" s="645" customFormat="1" ht="21.75" customHeight="1">
      <c r="B3029" s="661">
        <v>44460</v>
      </c>
      <c r="C3029" s="662" t="s">
        <v>819</v>
      </c>
      <c r="D3029" s="663" t="s">
        <v>841</v>
      </c>
      <c r="E3029" s="664" t="s">
        <v>831</v>
      </c>
      <c r="F3029" s="665"/>
      <c r="G3029" s="663">
        <v>20</v>
      </c>
      <c r="H3029" s="662" t="s">
        <v>807</v>
      </c>
      <c r="I3029" s="666" t="s">
        <v>859</v>
      </c>
      <c r="J3029" s="667" t="s">
        <v>805</v>
      </c>
      <c r="K3029" s="662">
        <v>4</v>
      </c>
      <c r="L3029" s="685">
        <f t="shared" si="91"/>
        <v>18.8</v>
      </c>
      <c r="M3029" s="686">
        <f t="shared" si="90"/>
        <v>75.2</v>
      </c>
    </row>
    <row r="3030" spans="2:13" s="645" customFormat="1" ht="21.75" customHeight="1">
      <c r="B3030" s="661">
        <v>44460</v>
      </c>
      <c r="C3030" s="662" t="s">
        <v>819</v>
      </c>
      <c r="D3030" s="663" t="s">
        <v>834</v>
      </c>
      <c r="E3030" s="664" t="s">
        <v>831</v>
      </c>
      <c r="F3030" s="665"/>
      <c r="G3030" s="663">
        <v>20</v>
      </c>
      <c r="H3030" s="662" t="s">
        <v>807</v>
      </c>
      <c r="I3030" s="666" t="s">
        <v>859</v>
      </c>
      <c r="J3030" s="667" t="s">
        <v>805</v>
      </c>
      <c r="K3030" s="662">
        <v>4</v>
      </c>
      <c r="L3030" s="685">
        <f t="shared" si="91"/>
        <v>18.8</v>
      </c>
      <c r="M3030" s="686">
        <f t="shared" si="90"/>
        <v>75.2</v>
      </c>
    </row>
    <row r="3031" spans="2:13" s="645" customFormat="1" ht="21.75" customHeight="1">
      <c r="B3031" s="661">
        <v>44460</v>
      </c>
      <c r="C3031" s="662" t="s">
        <v>819</v>
      </c>
      <c r="D3031" s="663" t="s">
        <v>848</v>
      </c>
      <c r="E3031" s="664" t="s">
        <v>831</v>
      </c>
      <c r="F3031" s="665"/>
      <c r="G3031" s="663">
        <v>20</v>
      </c>
      <c r="H3031" s="662" t="s">
        <v>807</v>
      </c>
      <c r="I3031" s="666" t="s">
        <v>859</v>
      </c>
      <c r="J3031" s="667" t="s">
        <v>805</v>
      </c>
      <c r="K3031" s="662">
        <v>11</v>
      </c>
      <c r="L3031" s="685">
        <f t="shared" si="91"/>
        <v>18.8</v>
      </c>
      <c r="M3031" s="686">
        <f t="shared" si="90"/>
        <v>206.8</v>
      </c>
    </row>
    <row r="3032" spans="2:13" s="645" customFormat="1" ht="21.75" customHeight="1">
      <c r="B3032" s="661">
        <v>44460</v>
      </c>
      <c r="C3032" s="662" t="s">
        <v>819</v>
      </c>
      <c r="D3032" s="663" t="s">
        <v>836</v>
      </c>
      <c r="E3032" s="664" t="s">
        <v>831</v>
      </c>
      <c r="F3032" s="665"/>
      <c r="G3032" s="663">
        <v>20</v>
      </c>
      <c r="H3032" s="662" t="s">
        <v>807</v>
      </c>
      <c r="I3032" s="666" t="s">
        <v>859</v>
      </c>
      <c r="J3032" s="667" t="s">
        <v>805</v>
      </c>
      <c r="K3032" s="662">
        <v>3</v>
      </c>
      <c r="L3032" s="685">
        <f t="shared" si="91"/>
        <v>18.8</v>
      </c>
      <c r="M3032" s="686">
        <f t="shared" si="90"/>
        <v>56.400000000000006</v>
      </c>
    </row>
    <row r="3033" spans="2:13" s="645" customFormat="1" ht="21.75" customHeight="1">
      <c r="B3033" s="661">
        <v>44460</v>
      </c>
      <c r="C3033" s="662" t="s">
        <v>819</v>
      </c>
      <c r="D3033" s="663" t="s">
        <v>830</v>
      </c>
      <c r="E3033" s="664" t="s">
        <v>831</v>
      </c>
      <c r="F3033" s="665"/>
      <c r="G3033" s="663">
        <v>15</v>
      </c>
      <c r="H3033" s="662" t="s">
        <v>807</v>
      </c>
      <c r="I3033" s="666" t="s">
        <v>859</v>
      </c>
      <c r="J3033" s="667" t="s">
        <v>805</v>
      </c>
      <c r="K3033" s="662">
        <v>1</v>
      </c>
      <c r="L3033" s="685">
        <f t="shared" si="91"/>
        <v>14.1</v>
      </c>
      <c r="M3033" s="686">
        <f t="shared" si="90"/>
        <v>14.1</v>
      </c>
    </row>
    <row r="3034" spans="2:13" s="645" customFormat="1" ht="21.75" customHeight="1">
      <c r="B3034" s="661">
        <v>44460</v>
      </c>
      <c r="C3034" s="662" t="s">
        <v>819</v>
      </c>
      <c r="D3034" s="663" t="s">
        <v>839</v>
      </c>
      <c r="E3034" s="664" t="s">
        <v>831</v>
      </c>
      <c r="F3034" s="665"/>
      <c r="G3034" s="663">
        <v>15</v>
      </c>
      <c r="H3034" s="662" t="s">
        <v>807</v>
      </c>
      <c r="I3034" s="666" t="s">
        <v>859</v>
      </c>
      <c r="J3034" s="667" t="s">
        <v>805</v>
      </c>
      <c r="K3034" s="662">
        <v>1</v>
      </c>
      <c r="L3034" s="685">
        <f t="shared" si="91"/>
        <v>14.1</v>
      </c>
      <c r="M3034" s="686">
        <f t="shared" si="90"/>
        <v>14.1</v>
      </c>
    </row>
    <row r="3035" spans="2:13" s="645" customFormat="1" ht="21.75" customHeight="1">
      <c r="B3035" s="661">
        <v>44460</v>
      </c>
      <c r="C3035" s="662" t="s">
        <v>819</v>
      </c>
      <c r="D3035" s="663" t="s">
        <v>845</v>
      </c>
      <c r="E3035" s="664" t="s">
        <v>831</v>
      </c>
      <c r="F3035" s="665"/>
      <c r="G3035" s="663">
        <v>17</v>
      </c>
      <c r="H3035" s="662" t="s">
        <v>807</v>
      </c>
      <c r="I3035" s="666" t="s">
        <v>859</v>
      </c>
      <c r="J3035" s="667" t="s">
        <v>805</v>
      </c>
      <c r="K3035" s="662">
        <v>5</v>
      </c>
      <c r="L3035" s="685">
        <f t="shared" si="91"/>
        <v>15.98</v>
      </c>
      <c r="M3035" s="686">
        <f t="shared" si="90"/>
        <v>79.900000000000006</v>
      </c>
    </row>
    <row r="3036" spans="2:13" s="645" customFormat="1" ht="21.75" customHeight="1">
      <c r="B3036" s="661">
        <v>44460</v>
      </c>
      <c r="C3036" s="662" t="s">
        <v>819</v>
      </c>
      <c r="D3036" s="663" t="s">
        <v>847</v>
      </c>
      <c r="E3036" s="664" t="s">
        <v>831</v>
      </c>
      <c r="F3036" s="665"/>
      <c r="G3036" s="663">
        <v>17</v>
      </c>
      <c r="H3036" s="662" t="s">
        <v>807</v>
      </c>
      <c r="I3036" s="666" t="s">
        <v>859</v>
      </c>
      <c r="J3036" s="667" t="s">
        <v>805</v>
      </c>
      <c r="K3036" s="662">
        <v>4</v>
      </c>
      <c r="L3036" s="685">
        <f t="shared" si="91"/>
        <v>15.98</v>
      </c>
      <c r="M3036" s="686">
        <f t="shared" si="90"/>
        <v>63.92</v>
      </c>
    </row>
    <row r="3037" spans="2:13" s="645" customFormat="1" ht="21.75" customHeight="1">
      <c r="B3037" s="661">
        <v>44460</v>
      </c>
      <c r="C3037" s="662" t="s">
        <v>819</v>
      </c>
      <c r="D3037" s="663" t="s">
        <v>856</v>
      </c>
      <c r="E3037" s="664" t="s">
        <v>831</v>
      </c>
      <c r="F3037" s="665"/>
      <c r="G3037" s="663">
        <v>20</v>
      </c>
      <c r="H3037" s="662" t="s">
        <v>807</v>
      </c>
      <c r="I3037" s="666" t="s">
        <v>859</v>
      </c>
      <c r="J3037" s="667" t="s">
        <v>805</v>
      </c>
      <c r="K3037" s="662">
        <v>9</v>
      </c>
      <c r="L3037" s="685">
        <f t="shared" si="91"/>
        <v>18.8</v>
      </c>
      <c r="M3037" s="686">
        <f t="shared" si="90"/>
        <v>169.20000000000002</v>
      </c>
    </row>
    <row r="3038" spans="2:13" s="645" customFormat="1" ht="21.75" customHeight="1">
      <c r="B3038" s="661">
        <v>44460</v>
      </c>
      <c r="C3038" s="662" t="s">
        <v>819</v>
      </c>
      <c r="D3038" s="663" t="s">
        <v>878</v>
      </c>
      <c r="E3038" s="664" t="s">
        <v>831</v>
      </c>
      <c r="F3038" s="665"/>
      <c r="G3038" s="663">
        <v>15</v>
      </c>
      <c r="H3038" s="662" t="s">
        <v>807</v>
      </c>
      <c r="I3038" s="666" t="s">
        <v>859</v>
      </c>
      <c r="J3038" s="667" t="s">
        <v>805</v>
      </c>
      <c r="K3038" s="662">
        <v>1</v>
      </c>
      <c r="L3038" s="685">
        <f t="shared" si="91"/>
        <v>14.1</v>
      </c>
      <c r="M3038" s="686">
        <f t="shared" si="90"/>
        <v>14.1</v>
      </c>
    </row>
    <row r="3039" spans="2:13" s="645" customFormat="1" ht="21.75" customHeight="1">
      <c r="B3039" s="661">
        <v>44460</v>
      </c>
      <c r="C3039" s="662" t="s">
        <v>819</v>
      </c>
      <c r="D3039" s="663" t="s">
        <v>855</v>
      </c>
      <c r="E3039" s="664" t="s">
        <v>831</v>
      </c>
      <c r="F3039" s="665"/>
      <c r="G3039" s="663">
        <v>20</v>
      </c>
      <c r="H3039" s="662" t="s">
        <v>807</v>
      </c>
      <c r="I3039" s="666" t="s">
        <v>859</v>
      </c>
      <c r="J3039" s="667" t="s">
        <v>805</v>
      </c>
      <c r="K3039" s="662">
        <v>7</v>
      </c>
      <c r="L3039" s="685">
        <f t="shared" si="91"/>
        <v>18.8</v>
      </c>
      <c r="M3039" s="686">
        <f t="shared" si="90"/>
        <v>131.6</v>
      </c>
    </row>
    <row r="3040" spans="2:13" s="645" customFormat="1" ht="21.75" customHeight="1">
      <c r="B3040" s="661">
        <v>44460</v>
      </c>
      <c r="C3040" s="662" t="s">
        <v>819</v>
      </c>
      <c r="D3040" s="663" t="s">
        <v>875</v>
      </c>
      <c r="E3040" s="664" t="s">
        <v>831</v>
      </c>
      <c r="F3040" s="665"/>
      <c r="G3040" s="663">
        <v>20</v>
      </c>
      <c r="H3040" s="662" t="s">
        <v>807</v>
      </c>
      <c r="I3040" s="666" t="s">
        <v>859</v>
      </c>
      <c r="J3040" s="667" t="s">
        <v>805</v>
      </c>
      <c r="K3040" s="662">
        <v>3</v>
      </c>
      <c r="L3040" s="685">
        <f t="shared" si="91"/>
        <v>18.8</v>
      </c>
      <c r="M3040" s="686">
        <f t="shared" si="90"/>
        <v>56.400000000000006</v>
      </c>
    </row>
    <row r="3041" spans="2:13" s="645" customFormat="1" ht="21.75" customHeight="1">
      <c r="B3041" s="661">
        <v>44460</v>
      </c>
      <c r="C3041" s="662" t="s">
        <v>819</v>
      </c>
      <c r="D3041" s="663" t="s">
        <v>867</v>
      </c>
      <c r="E3041" s="664" t="s">
        <v>831</v>
      </c>
      <c r="F3041" s="665"/>
      <c r="G3041" s="663">
        <v>20</v>
      </c>
      <c r="H3041" s="662" t="s">
        <v>807</v>
      </c>
      <c r="I3041" s="666" t="s">
        <v>859</v>
      </c>
      <c r="J3041" s="667" t="s">
        <v>805</v>
      </c>
      <c r="K3041" s="662">
        <v>3</v>
      </c>
      <c r="L3041" s="685">
        <f t="shared" si="91"/>
        <v>18.8</v>
      </c>
      <c r="M3041" s="686">
        <f t="shared" si="90"/>
        <v>56.400000000000006</v>
      </c>
    </row>
    <row r="3042" spans="2:13" s="645" customFormat="1" ht="21.75" customHeight="1">
      <c r="B3042" s="661">
        <v>44460</v>
      </c>
      <c r="C3042" s="662" t="s">
        <v>819</v>
      </c>
      <c r="D3042" s="663" t="s">
        <v>876</v>
      </c>
      <c r="E3042" s="664" t="s">
        <v>831</v>
      </c>
      <c r="F3042" s="665"/>
      <c r="G3042" s="663">
        <v>20</v>
      </c>
      <c r="H3042" s="662" t="s">
        <v>807</v>
      </c>
      <c r="I3042" s="666" t="s">
        <v>859</v>
      </c>
      <c r="J3042" s="667" t="s">
        <v>805</v>
      </c>
      <c r="K3042" s="662">
        <v>1</v>
      </c>
      <c r="L3042" s="685">
        <f t="shared" si="91"/>
        <v>18.8</v>
      </c>
      <c r="M3042" s="686">
        <f t="shared" si="90"/>
        <v>18.8</v>
      </c>
    </row>
    <row r="3043" spans="2:13" s="645" customFormat="1" ht="21.75" customHeight="1">
      <c r="B3043" s="661">
        <v>44460</v>
      </c>
      <c r="C3043" s="662" t="s">
        <v>819</v>
      </c>
      <c r="D3043" s="663" t="s">
        <v>868</v>
      </c>
      <c r="E3043" s="664" t="s">
        <v>831</v>
      </c>
      <c r="F3043" s="665"/>
      <c r="G3043" s="663">
        <v>20</v>
      </c>
      <c r="H3043" s="662" t="s">
        <v>807</v>
      </c>
      <c r="I3043" s="666" t="s">
        <v>859</v>
      </c>
      <c r="J3043" s="667" t="s">
        <v>805</v>
      </c>
      <c r="K3043" s="662">
        <v>2</v>
      </c>
      <c r="L3043" s="685">
        <f t="shared" si="91"/>
        <v>18.8</v>
      </c>
      <c r="M3043" s="686">
        <f t="shared" si="90"/>
        <v>37.6</v>
      </c>
    </row>
    <row r="3044" spans="2:13" s="645" customFormat="1" ht="21.75" customHeight="1">
      <c r="B3044" s="661">
        <v>44460</v>
      </c>
      <c r="C3044" s="662" t="s">
        <v>819</v>
      </c>
      <c r="D3044" s="663" t="s">
        <v>877</v>
      </c>
      <c r="E3044" s="664" t="s">
        <v>831</v>
      </c>
      <c r="F3044" s="665"/>
      <c r="G3044" s="663">
        <v>20</v>
      </c>
      <c r="H3044" s="662" t="s">
        <v>807</v>
      </c>
      <c r="I3044" s="666" t="s">
        <v>859</v>
      </c>
      <c r="J3044" s="667" t="s">
        <v>805</v>
      </c>
      <c r="K3044" s="662">
        <v>5</v>
      </c>
      <c r="L3044" s="685">
        <f t="shared" si="91"/>
        <v>18.8</v>
      </c>
      <c r="M3044" s="686">
        <f t="shared" si="90"/>
        <v>94</v>
      </c>
    </row>
    <row r="3045" spans="2:13" s="645" customFormat="1" ht="21.75" customHeight="1">
      <c r="B3045" s="661">
        <v>44460</v>
      </c>
      <c r="C3045" s="662" t="s">
        <v>819</v>
      </c>
      <c r="D3045" s="663" t="s">
        <v>870</v>
      </c>
      <c r="E3045" s="664" t="s">
        <v>831</v>
      </c>
      <c r="F3045" s="665"/>
      <c r="G3045" s="663">
        <v>20</v>
      </c>
      <c r="H3045" s="662" t="s">
        <v>807</v>
      </c>
      <c r="I3045" s="666" t="s">
        <v>859</v>
      </c>
      <c r="J3045" s="667" t="s">
        <v>805</v>
      </c>
      <c r="K3045" s="662">
        <v>5</v>
      </c>
      <c r="L3045" s="685">
        <f t="shared" si="91"/>
        <v>18.8</v>
      </c>
      <c r="M3045" s="686">
        <f t="shared" si="90"/>
        <v>94</v>
      </c>
    </row>
    <row r="3046" spans="2:13" s="645" customFormat="1" ht="21.75" customHeight="1">
      <c r="B3046" s="661">
        <v>44460</v>
      </c>
      <c r="C3046" s="662" t="s">
        <v>837</v>
      </c>
      <c r="D3046" s="663" t="s">
        <v>834</v>
      </c>
      <c r="E3046" s="664" t="s">
        <v>831</v>
      </c>
      <c r="F3046" s="665"/>
      <c r="G3046" s="663">
        <v>20</v>
      </c>
      <c r="H3046" s="662" t="s">
        <v>807</v>
      </c>
      <c r="I3046" s="666" t="s">
        <v>859</v>
      </c>
      <c r="J3046" s="667" t="s">
        <v>805</v>
      </c>
      <c r="K3046" s="662">
        <v>6</v>
      </c>
      <c r="L3046" s="685">
        <f t="shared" si="91"/>
        <v>18.8</v>
      </c>
      <c r="M3046" s="686">
        <f t="shared" si="90"/>
        <v>112.80000000000001</v>
      </c>
    </row>
    <row r="3047" spans="2:13" s="645" customFormat="1" ht="21.75" customHeight="1">
      <c r="B3047" s="661">
        <v>44460</v>
      </c>
      <c r="C3047" s="662" t="s">
        <v>837</v>
      </c>
      <c r="D3047" s="663" t="s">
        <v>856</v>
      </c>
      <c r="E3047" s="664" t="s">
        <v>831</v>
      </c>
      <c r="F3047" s="665"/>
      <c r="G3047" s="663">
        <v>20</v>
      </c>
      <c r="H3047" s="662" t="s">
        <v>807</v>
      </c>
      <c r="I3047" s="666" t="s">
        <v>859</v>
      </c>
      <c r="J3047" s="667" t="s">
        <v>805</v>
      </c>
      <c r="K3047" s="662">
        <v>6</v>
      </c>
      <c r="L3047" s="685">
        <f t="shared" si="91"/>
        <v>18.8</v>
      </c>
      <c r="M3047" s="686">
        <f t="shared" ref="M3047:M3110" si="92">L3047*K3047</f>
        <v>112.80000000000001</v>
      </c>
    </row>
    <row r="3048" spans="2:13" s="645" customFormat="1" ht="21.75" customHeight="1">
      <c r="B3048" s="661">
        <v>44460</v>
      </c>
      <c r="C3048" s="662" t="s">
        <v>837</v>
      </c>
      <c r="D3048" s="663" t="s">
        <v>855</v>
      </c>
      <c r="E3048" s="664" t="s">
        <v>831</v>
      </c>
      <c r="F3048" s="665"/>
      <c r="G3048" s="663">
        <v>20</v>
      </c>
      <c r="H3048" s="662" t="s">
        <v>807</v>
      </c>
      <c r="I3048" s="666" t="s">
        <v>859</v>
      </c>
      <c r="J3048" s="667" t="s">
        <v>805</v>
      </c>
      <c r="K3048" s="662">
        <v>5</v>
      </c>
      <c r="L3048" s="685">
        <f t="shared" si="91"/>
        <v>18.8</v>
      </c>
      <c r="M3048" s="686">
        <f t="shared" si="92"/>
        <v>94</v>
      </c>
    </row>
    <row r="3049" spans="2:13" s="645" customFormat="1" ht="21.75" customHeight="1">
      <c r="B3049" s="661">
        <v>44460</v>
      </c>
      <c r="C3049" s="662" t="s">
        <v>837</v>
      </c>
      <c r="D3049" s="663" t="s">
        <v>840</v>
      </c>
      <c r="E3049" s="664" t="s">
        <v>831</v>
      </c>
      <c r="F3049" s="665"/>
      <c r="G3049" s="663">
        <v>20</v>
      </c>
      <c r="H3049" s="662" t="s">
        <v>807</v>
      </c>
      <c r="I3049" s="666" t="s">
        <v>859</v>
      </c>
      <c r="J3049" s="667" t="s">
        <v>805</v>
      </c>
      <c r="K3049" s="662">
        <v>8</v>
      </c>
      <c r="L3049" s="685">
        <f t="shared" si="91"/>
        <v>18.8</v>
      </c>
      <c r="M3049" s="686">
        <f t="shared" si="92"/>
        <v>150.4</v>
      </c>
    </row>
    <row r="3050" spans="2:13" s="645" customFormat="1" ht="21.75" customHeight="1">
      <c r="B3050" s="661">
        <v>44460</v>
      </c>
      <c r="C3050" s="662" t="s">
        <v>837</v>
      </c>
      <c r="D3050" s="663" t="s">
        <v>835</v>
      </c>
      <c r="E3050" s="664" t="s">
        <v>831</v>
      </c>
      <c r="F3050" s="665"/>
      <c r="G3050" s="663">
        <v>20</v>
      </c>
      <c r="H3050" s="662" t="s">
        <v>807</v>
      </c>
      <c r="I3050" s="666" t="s">
        <v>859</v>
      </c>
      <c r="J3050" s="667" t="s">
        <v>805</v>
      </c>
      <c r="K3050" s="662">
        <v>5</v>
      </c>
      <c r="L3050" s="685">
        <f t="shared" si="91"/>
        <v>18.8</v>
      </c>
      <c r="M3050" s="686">
        <f t="shared" si="92"/>
        <v>94</v>
      </c>
    </row>
    <row r="3051" spans="2:13" s="645" customFormat="1" ht="21.75" customHeight="1">
      <c r="B3051" s="661">
        <v>44460</v>
      </c>
      <c r="C3051" s="662" t="s">
        <v>837</v>
      </c>
      <c r="D3051" s="663" t="s">
        <v>848</v>
      </c>
      <c r="E3051" s="664" t="s">
        <v>831</v>
      </c>
      <c r="F3051" s="665"/>
      <c r="G3051" s="663">
        <v>20</v>
      </c>
      <c r="H3051" s="662" t="s">
        <v>807</v>
      </c>
      <c r="I3051" s="666" t="s">
        <v>859</v>
      </c>
      <c r="J3051" s="667" t="s">
        <v>805</v>
      </c>
      <c r="K3051" s="662">
        <v>5</v>
      </c>
      <c r="L3051" s="685">
        <f t="shared" si="91"/>
        <v>18.8</v>
      </c>
      <c r="M3051" s="686">
        <f t="shared" si="92"/>
        <v>94</v>
      </c>
    </row>
    <row r="3052" spans="2:13" s="645" customFormat="1" ht="21.75" customHeight="1">
      <c r="B3052" s="661">
        <v>44460</v>
      </c>
      <c r="C3052" s="662" t="s">
        <v>837</v>
      </c>
      <c r="D3052" s="663" t="s">
        <v>845</v>
      </c>
      <c r="E3052" s="664" t="s">
        <v>831</v>
      </c>
      <c r="F3052" s="665"/>
      <c r="G3052" s="663">
        <v>17</v>
      </c>
      <c r="H3052" s="662" t="s">
        <v>807</v>
      </c>
      <c r="I3052" s="666" t="s">
        <v>859</v>
      </c>
      <c r="J3052" s="667" t="s">
        <v>805</v>
      </c>
      <c r="K3052" s="662">
        <v>14</v>
      </c>
      <c r="L3052" s="685">
        <f t="shared" si="91"/>
        <v>15.98</v>
      </c>
      <c r="M3052" s="686">
        <f t="shared" si="92"/>
        <v>223.72</v>
      </c>
    </row>
    <row r="3053" spans="2:13" s="645" customFormat="1" ht="21.75" customHeight="1">
      <c r="B3053" s="661">
        <v>44460</v>
      </c>
      <c r="C3053" s="662" t="s">
        <v>837</v>
      </c>
      <c r="D3053" s="663" t="s">
        <v>847</v>
      </c>
      <c r="E3053" s="664" t="s">
        <v>831</v>
      </c>
      <c r="F3053" s="665"/>
      <c r="G3053" s="663">
        <v>17</v>
      </c>
      <c r="H3053" s="662" t="s">
        <v>807</v>
      </c>
      <c r="I3053" s="666" t="s">
        <v>859</v>
      </c>
      <c r="J3053" s="667" t="s">
        <v>805</v>
      </c>
      <c r="K3053" s="662">
        <v>9</v>
      </c>
      <c r="L3053" s="685">
        <f t="shared" si="91"/>
        <v>15.98</v>
      </c>
      <c r="M3053" s="686">
        <f t="shared" si="92"/>
        <v>143.82</v>
      </c>
    </row>
    <row r="3054" spans="2:13" s="645" customFormat="1" ht="21.75" customHeight="1">
      <c r="B3054" s="661">
        <v>44460</v>
      </c>
      <c r="C3054" s="662" t="s">
        <v>837</v>
      </c>
      <c r="D3054" s="663" t="s">
        <v>875</v>
      </c>
      <c r="E3054" s="664" t="s">
        <v>831</v>
      </c>
      <c r="F3054" s="665"/>
      <c r="G3054" s="663">
        <v>20</v>
      </c>
      <c r="H3054" s="662" t="s">
        <v>807</v>
      </c>
      <c r="I3054" s="666" t="s">
        <v>859</v>
      </c>
      <c r="J3054" s="667" t="s">
        <v>805</v>
      </c>
      <c r="K3054" s="662">
        <v>7</v>
      </c>
      <c r="L3054" s="685">
        <f t="shared" si="91"/>
        <v>18.8</v>
      </c>
      <c r="M3054" s="686">
        <f t="shared" si="92"/>
        <v>131.6</v>
      </c>
    </row>
    <row r="3055" spans="2:13" s="645" customFormat="1" ht="21.75" customHeight="1">
      <c r="B3055" s="661">
        <v>44460</v>
      </c>
      <c r="C3055" s="662" t="s">
        <v>837</v>
      </c>
      <c r="D3055" s="663" t="s">
        <v>876</v>
      </c>
      <c r="E3055" s="664" t="s">
        <v>831</v>
      </c>
      <c r="F3055" s="665"/>
      <c r="G3055" s="663">
        <v>20</v>
      </c>
      <c r="H3055" s="662" t="s">
        <v>807</v>
      </c>
      <c r="I3055" s="666" t="s">
        <v>859</v>
      </c>
      <c r="J3055" s="667" t="s">
        <v>805</v>
      </c>
      <c r="K3055" s="662">
        <v>8</v>
      </c>
      <c r="L3055" s="685">
        <f t="shared" si="91"/>
        <v>18.8</v>
      </c>
      <c r="M3055" s="686">
        <f t="shared" si="92"/>
        <v>150.4</v>
      </c>
    </row>
    <row r="3056" spans="2:13" s="645" customFormat="1" ht="21.75" customHeight="1">
      <c r="B3056" s="661">
        <v>44460</v>
      </c>
      <c r="C3056" s="662" t="s">
        <v>837</v>
      </c>
      <c r="D3056" s="663" t="s">
        <v>873</v>
      </c>
      <c r="E3056" s="664" t="s">
        <v>831</v>
      </c>
      <c r="F3056" s="665"/>
      <c r="G3056" s="663">
        <v>17</v>
      </c>
      <c r="H3056" s="662" t="s">
        <v>807</v>
      </c>
      <c r="I3056" s="666" t="s">
        <v>859</v>
      </c>
      <c r="J3056" s="667" t="s">
        <v>805</v>
      </c>
      <c r="K3056" s="662">
        <v>8</v>
      </c>
      <c r="L3056" s="685">
        <f t="shared" si="91"/>
        <v>15.98</v>
      </c>
      <c r="M3056" s="686">
        <f t="shared" si="92"/>
        <v>127.84</v>
      </c>
    </row>
    <row r="3057" spans="2:13" s="645" customFormat="1" ht="21.75" customHeight="1">
      <c r="B3057" s="661">
        <v>44460</v>
      </c>
      <c r="C3057" s="662" t="s">
        <v>819</v>
      </c>
      <c r="D3057" s="663" t="s">
        <v>849</v>
      </c>
      <c r="E3057" s="664" t="s">
        <v>831</v>
      </c>
      <c r="F3057" s="665"/>
      <c r="G3057" s="663">
        <v>20</v>
      </c>
      <c r="H3057" s="662" t="s">
        <v>807</v>
      </c>
      <c r="I3057" s="666" t="s">
        <v>859</v>
      </c>
      <c r="J3057" s="667" t="s">
        <v>865</v>
      </c>
      <c r="K3057" s="662">
        <v>4</v>
      </c>
      <c r="L3057" s="685">
        <f t="shared" si="91"/>
        <v>18.8</v>
      </c>
      <c r="M3057" s="686">
        <f t="shared" si="92"/>
        <v>75.2</v>
      </c>
    </row>
    <row r="3058" spans="2:13" s="645" customFormat="1" ht="21.75" customHeight="1">
      <c r="B3058" s="661">
        <v>44460</v>
      </c>
      <c r="C3058" s="662" t="s">
        <v>819</v>
      </c>
      <c r="D3058" s="663" t="s">
        <v>840</v>
      </c>
      <c r="E3058" s="664" t="s">
        <v>831</v>
      </c>
      <c r="F3058" s="665"/>
      <c r="G3058" s="663">
        <v>20</v>
      </c>
      <c r="H3058" s="662" t="s">
        <v>807</v>
      </c>
      <c r="I3058" s="666" t="s">
        <v>859</v>
      </c>
      <c r="J3058" s="667" t="s">
        <v>865</v>
      </c>
      <c r="K3058" s="662">
        <v>4</v>
      </c>
      <c r="L3058" s="685">
        <f t="shared" si="91"/>
        <v>18.8</v>
      </c>
      <c r="M3058" s="686">
        <f t="shared" si="92"/>
        <v>75.2</v>
      </c>
    </row>
    <row r="3059" spans="2:13" s="645" customFormat="1" ht="21.75" customHeight="1">
      <c r="B3059" s="661">
        <v>44460</v>
      </c>
      <c r="C3059" s="662" t="s">
        <v>819</v>
      </c>
      <c r="D3059" s="663" t="s">
        <v>835</v>
      </c>
      <c r="E3059" s="664" t="s">
        <v>831</v>
      </c>
      <c r="F3059" s="665"/>
      <c r="G3059" s="663">
        <v>20</v>
      </c>
      <c r="H3059" s="662" t="s">
        <v>807</v>
      </c>
      <c r="I3059" s="666" t="s">
        <v>859</v>
      </c>
      <c r="J3059" s="667" t="s">
        <v>865</v>
      </c>
      <c r="K3059" s="662">
        <v>4</v>
      </c>
      <c r="L3059" s="685">
        <f t="shared" si="91"/>
        <v>18.8</v>
      </c>
      <c r="M3059" s="686">
        <f t="shared" si="92"/>
        <v>75.2</v>
      </c>
    </row>
    <row r="3060" spans="2:13" s="645" customFormat="1" ht="21.75" customHeight="1">
      <c r="B3060" s="661">
        <v>44460</v>
      </c>
      <c r="C3060" s="662" t="s">
        <v>819</v>
      </c>
      <c r="D3060" s="663" t="s">
        <v>841</v>
      </c>
      <c r="E3060" s="664" t="s">
        <v>831</v>
      </c>
      <c r="F3060" s="665"/>
      <c r="G3060" s="663">
        <v>20</v>
      </c>
      <c r="H3060" s="662" t="s">
        <v>807</v>
      </c>
      <c r="I3060" s="666" t="s">
        <v>859</v>
      </c>
      <c r="J3060" s="667" t="s">
        <v>865</v>
      </c>
      <c r="K3060" s="662">
        <v>2</v>
      </c>
      <c r="L3060" s="685">
        <f t="shared" si="91"/>
        <v>18.8</v>
      </c>
      <c r="M3060" s="686">
        <f t="shared" si="92"/>
        <v>37.6</v>
      </c>
    </row>
    <row r="3061" spans="2:13" s="645" customFormat="1" ht="21.75" customHeight="1">
      <c r="B3061" s="661">
        <v>44460</v>
      </c>
      <c r="C3061" s="662" t="s">
        <v>819</v>
      </c>
      <c r="D3061" s="663" t="s">
        <v>834</v>
      </c>
      <c r="E3061" s="664" t="s">
        <v>831</v>
      </c>
      <c r="F3061" s="665"/>
      <c r="G3061" s="663">
        <v>20</v>
      </c>
      <c r="H3061" s="662" t="s">
        <v>807</v>
      </c>
      <c r="I3061" s="666" t="s">
        <v>859</v>
      </c>
      <c r="J3061" s="667" t="s">
        <v>865</v>
      </c>
      <c r="K3061" s="662">
        <v>8</v>
      </c>
      <c r="L3061" s="685">
        <f t="shared" si="91"/>
        <v>18.8</v>
      </c>
      <c r="M3061" s="686">
        <f t="shared" si="92"/>
        <v>150.4</v>
      </c>
    </row>
    <row r="3062" spans="2:13" s="645" customFormat="1" ht="21.75" customHeight="1">
      <c r="B3062" s="661">
        <v>44460</v>
      </c>
      <c r="C3062" s="662" t="s">
        <v>819</v>
      </c>
      <c r="D3062" s="663" t="s">
        <v>848</v>
      </c>
      <c r="E3062" s="664" t="s">
        <v>831</v>
      </c>
      <c r="F3062" s="665"/>
      <c r="G3062" s="663">
        <v>20</v>
      </c>
      <c r="H3062" s="662" t="s">
        <v>807</v>
      </c>
      <c r="I3062" s="666" t="s">
        <v>859</v>
      </c>
      <c r="J3062" s="667" t="s">
        <v>865</v>
      </c>
      <c r="K3062" s="662">
        <v>2</v>
      </c>
      <c r="L3062" s="685">
        <f t="shared" si="91"/>
        <v>18.8</v>
      </c>
      <c r="M3062" s="686">
        <f t="shared" si="92"/>
        <v>37.6</v>
      </c>
    </row>
    <row r="3063" spans="2:13" s="645" customFormat="1" ht="21.75" customHeight="1">
      <c r="B3063" s="661">
        <v>44460</v>
      </c>
      <c r="C3063" s="662" t="s">
        <v>819</v>
      </c>
      <c r="D3063" s="663" t="s">
        <v>830</v>
      </c>
      <c r="E3063" s="664" t="s">
        <v>831</v>
      </c>
      <c r="F3063" s="665"/>
      <c r="G3063" s="663">
        <v>15</v>
      </c>
      <c r="H3063" s="662" t="s">
        <v>807</v>
      </c>
      <c r="I3063" s="666" t="s">
        <v>859</v>
      </c>
      <c r="J3063" s="667" t="s">
        <v>865</v>
      </c>
      <c r="K3063" s="662">
        <v>2</v>
      </c>
      <c r="L3063" s="685">
        <f t="shared" si="91"/>
        <v>14.1</v>
      </c>
      <c r="M3063" s="686">
        <f t="shared" si="92"/>
        <v>28.2</v>
      </c>
    </row>
    <row r="3064" spans="2:13" s="645" customFormat="1" ht="21.75" customHeight="1">
      <c r="B3064" s="661">
        <v>44460</v>
      </c>
      <c r="C3064" s="662" t="s">
        <v>819</v>
      </c>
      <c r="D3064" s="663" t="s">
        <v>847</v>
      </c>
      <c r="E3064" s="664" t="s">
        <v>831</v>
      </c>
      <c r="F3064" s="665"/>
      <c r="G3064" s="663">
        <v>17</v>
      </c>
      <c r="H3064" s="662" t="s">
        <v>807</v>
      </c>
      <c r="I3064" s="666" t="s">
        <v>859</v>
      </c>
      <c r="J3064" s="667" t="s">
        <v>865</v>
      </c>
      <c r="K3064" s="662">
        <v>2</v>
      </c>
      <c r="L3064" s="685">
        <f t="shared" si="91"/>
        <v>15.98</v>
      </c>
      <c r="M3064" s="686">
        <f t="shared" si="92"/>
        <v>31.96</v>
      </c>
    </row>
    <row r="3065" spans="2:13" s="645" customFormat="1" ht="21.75" customHeight="1">
      <c r="B3065" s="661">
        <v>44460</v>
      </c>
      <c r="C3065" s="662" t="s">
        <v>819</v>
      </c>
      <c r="D3065" s="663" t="s">
        <v>856</v>
      </c>
      <c r="E3065" s="664" t="s">
        <v>831</v>
      </c>
      <c r="F3065" s="665"/>
      <c r="G3065" s="663">
        <v>20</v>
      </c>
      <c r="H3065" s="662" t="s">
        <v>807</v>
      </c>
      <c r="I3065" s="666" t="s">
        <v>859</v>
      </c>
      <c r="J3065" s="667" t="s">
        <v>865</v>
      </c>
      <c r="K3065" s="662">
        <v>3</v>
      </c>
      <c r="L3065" s="685">
        <f t="shared" si="91"/>
        <v>18.8</v>
      </c>
      <c r="M3065" s="686">
        <f t="shared" si="92"/>
        <v>56.400000000000006</v>
      </c>
    </row>
    <row r="3066" spans="2:13" s="645" customFormat="1" ht="21.75" customHeight="1">
      <c r="B3066" s="661">
        <v>44460</v>
      </c>
      <c r="C3066" s="662" t="s">
        <v>819</v>
      </c>
      <c r="D3066" s="663" t="s">
        <v>878</v>
      </c>
      <c r="E3066" s="664" t="s">
        <v>831</v>
      </c>
      <c r="F3066" s="665"/>
      <c r="G3066" s="663">
        <v>15</v>
      </c>
      <c r="H3066" s="662" t="s">
        <v>807</v>
      </c>
      <c r="I3066" s="666" t="s">
        <v>859</v>
      </c>
      <c r="J3066" s="667" t="s">
        <v>865</v>
      </c>
      <c r="K3066" s="662">
        <v>2</v>
      </c>
      <c r="L3066" s="685">
        <f t="shared" si="91"/>
        <v>14.1</v>
      </c>
      <c r="M3066" s="686">
        <f t="shared" si="92"/>
        <v>28.2</v>
      </c>
    </row>
    <row r="3067" spans="2:13" s="645" customFormat="1" ht="21.75" customHeight="1">
      <c r="B3067" s="661">
        <v>44460</v>
      </c>
      <c r="C3067" s="662" t="s">
        <v>819</v>
      </c>
      <c r="D3067" s="663" t="s">
        <v>855</v>
      </c>
      <c r="E3067" s="664" t="s">
        <v>831</v>
      </c>
      <c r="F3067" s="665"/>
      <c r="G3067" s="663">
        <v>20</v>
      </c>
      <c r="H3067" s="662" t="s">
        <v>807</v>
      </c>
      <c r="I3067" s="666" t="s">
        <v>859</v>
      </c>
      <c r="J3067" s="667" t="s">
        <v>865</v>
      </c>
      <c r="K3067" s="662">
        <v>3</v>
      </c>
      <c r="L3067" s="685">
        <f t="shared" si="91"/>
        <v>18.8</v>
      </c>
      <c r="M3067" s="686">
        <f t="shared" si="92"/>
        <v>56.400000000000006</v>
      </c>
    </row>
    <row r="3068" spans="2:13" s="645" customFormat="1" ht="21.75" customHeight="1">
      <c r="B3068" s="661">
        <v>44460</v>
      </c>
      <c r="C3068" s="662" t="s">
        <v>819</v>
      </c>
      <c r="D3068" s="663" t="s">
        <v>867</v>
      </c>
      <c r="E3068" s="664" t="s">
        <v>831</v>
      </c>
      <c r="F3068" s="665"/>
      <c r="G3068" s="663">
        <v>20</v>
      </c>
      <c r="H3068" s="662" t="s">
        <v>807</v>
      </c>
      <c r="I3068" s="666" t="s">
        <v>859</v>
      </c>
      <c r="J3068" s="667" t="s">
        <v>865</v>
      </c>
      <c r="K3068" s="662">
        <v>5</v>
      </c>
      <c r="L3068" s="685">
        <f t="shared" si="91"/>
        <v>18.8</v>
      </c>
      <c r="M3068" s="686">
        <f t="shared" si="92"/>
        <v>94</v>
      </c>
    </row>
    <row r="3069" spans="2:13" s="645" customFormat="1" ht="21.75" customHeight="1">
      <c r="B3069" s="661">
        <v>44460</v>
      </c>
      <c r="C3069" s="662" t="s">
        <v>819</v>
      </c>
      <c r="D3069" s="663" t="s">
        <v>868</v>
      </c>
      <c r="E3069" s="664" t="s">
        <v>831</v>
      </c>
      <c r="F3069" s="665"/>
      <c r="G3069" s="663">
        <v>20</v>
      </c>
      <c r="H3069" s="662" t="s">
        <v>807</v>
      </c>
      <c r="I3069" s="666" t="s">
        <v>859</v>
      </c>
      <c r="J3069" s="667" t="s">
        <v>865</v>
      </c>
      <c r="K3069" s="662">
        <v>3</v>
      </c>
      <c r="L3069" s="685">
        <f t="shared" si="91"/>
        <v>18.8</v>
      </c>
      <c r="M3069" s="686">
        <f t="shared" si="92"/>
        <v>56.400000000000006</v>
      </c>
    </row>
    <row r="3070" spans="2:13" s="645" customFormat="1" ht="21.75" customHeight="1">
      <c r="B3070" s="661">
        <v>44460</v>
      </c>
      <c r="C3070" s="662" t="s">
        <v>819</v>
      </c>
      <c r="D3070" s="663" t="s">
        <v>877</v>
      </c>
      <c r="E3070" s="664" t="s">
        <v>831</v>
      </c>
      <c r="F3070" s="665"/>
      <c r="G3070" s="663">
        <v>20</v>
      </c>
      <c r="H3070" s="662" t="s">
        <v>807</v>
      </c>
      <c r="I3070" s="666" t="s">
        <v>859</v>
      </c>
      <c r="J3070" s="667" t="s">
        <v>865</v>
      </c>
      <c r="K3070" s="662">
        <v>2</v>
      </c>
      <c r="L3070" s="685">
        <f t="shared" si="91"/>
        <v>18.8</v>
      </c>
      <c r="M3070" s="686">
        <f t="shared" si="92"/>
        <v>37.6</v>
      </c>
    </row>
    <row r="3071" spans="2:13" s="645" customFormat="1" ht="21.75" customHeight="1">
      <c r="B3071" s="661">
        <v>44460</v>
      </c>
      <c r="C3071" s="662" t="s">
        <v>837</v>
      </c>
      <c r="D3071" s="663" t="s">
        <v>834</v>
      </c>
      <c r="E3071" s="664" t="s">
        <v>831</v>
      </c>
      <c r="F3071" s="665"/>
      <c r="G3071" s="663">
        <v>20</v>
      </c>
      <c r="H3071" s="662" t="s">
        <v>807</v>
      </c>
      <c r="I3071" s="666" t="s">
        <v>859</v>
      </c>
      <c r="J3071" s="667" t="s">
        <v>865</v>
      </c>
      <c r="K3071" s="662">
        <v>8</v>
      </c>
      <c r="L3071" s="685">
        <f t="shared" si="91"/>
        <v>18.8</v>
      </c>
      <c r="M3071" s="686">
        <f t="shared" si="92"/>
        <v>150.4</v>
      </c>
    </row>
    <row r="3072" spans="2:13" s="645" customFormat="1" ht="21.75" customHeight="1">
      <c r="B3072" s="661">
        <v>44460</v>
      </c>
      <c r="C3072" s="662" t="s">
        <v>837</v>
      </c>
      <c r="D3072" s="663" t="s">
        <v>856</v>
      </c>
      <c r="E3072" s="664" t="s">
        <v>831</v>
      </c>
      <c r="F3072" s="665"/>
      <c r="G3072" s="663">
        <v>20</v>
      </c>
      <c r="H3072" s="662" t="s">
        <v>807</v>
      </c>
      <c r="I3072" s="666" t="s">
        <v>859</v>
      </c>
      <c r="J3072" s="667" t="s">
        <v>865</v>
      </c>
      <c r="K3072" s="662">
        <v>6</v>
      </c>
      <c r="L3072" s="685">
        <f t="shared" si="91"/>
        <v>18.8</v>
      </c>
      <c r="M3072" s="686">
        <f t="shared" si="92"/>
        <v>112.80000000000001</v>
      </c>
    </row>
    <row r="3073" spans="2:13" s="645" customFormat="1" ht="21.75" customHeight="1">
      <c r="B3073" s="661">
        <v>44460</v>
      </c>
      <c r="C3073" s="662" t="s">
        <v>837</v>
      </c>
      <c r="D3073" s="663" t="s">
        <v>855</v>
      </c>
      <c r="E3073" s="664" t="s">
        <v>831</v>
      </c>
      <c r="F3073" s="665"/>
      <c r="G3073" s="663">
        <v>20</v>
      </c>
      <c r="H3073" s="662" t="s">
        <v>807</v>
      </c>
      <c r="I3073" s="666" t="s">
        <v>859</v>
      </c>
      <c r="J3073" s="667" t="s">
        <v>865</v>
      </c>
      <c r="K3073" s="662">
        <v>7</v>
      </c>
      <c r="L3073" s="685">
        <f t="shared" si="91"/>
        <v>18.8</v>
      </c>
      <c r="M3073" s="686">
        <f t="shared" si="92"/>
        <v>131.6</v>
      </c>
    </row>
    <row r="3074" spans="2:13" s="645" customFormat="1" ht="21.75" customHeight="1">
      <c r="B3074" s="661">
        <v>44460</v>
      </c>
      <c r="C3074" s="662" t="s">
        <v>837</v>
      </c>
      <c r="D3074" s="663" t="s">
        <v>835</v>
      </c>
      <c r="E3074" s="664" t="s">
        <v>831</v>
      </c>
      <c r="F3074" s="665"/>
      <c r="G3074" s="663">
        <v>20</v>
      </c>
      <c r="H3074" s="662" t="s">
        <v>807</v>
      </c>
      <c r="I3074" s="666" t="s">
        <v>859</v>
      </c>
      <c r="J3074" s="667" t="s">
        <v>865</v>
      </c>
      <c r="K3074" s="662">
        <v>9</v>
      </c>
      <c r="L3074" s="685">
        <f t="shared" si="91"/>
        <v>18.8</v>
      </c>
      <c r="M3074" s="686">
        <f t="shared" si="92"/>
        <v>169.20000000000002</v>
      </c>
    </row>
    <row r="3075" spans="2:13" s="645" customFormat="1" ht="21.75" customHeight="1">
      <c r="B3075" s="661">
        <v>44460</v>
      </c>
      <c r="C3075" s="662" t="s">
        <v>837</v>
      </c>
      <c r="D3075" s="663" t="s">
        <v>848</v>
      </c>
      <c r="E3075" s="664" t="s">
        <v>831</v>
      </c>
      <c r="F3075" s="665"/>
      <c r="G3075" s="663">
        <v>20</v>
      </c>
      <c r="H3075" s="662" t="s">
        <v>807</v>
      </c>
      <c r="I3075" s="666" t="s">
        <v>859</v>
      </c>
      <c r="J3075" s="667" t="s">
        <v>865</v>
      </c>
      <c r="K3075" s="662">
        <v>8</v>
      </c>
      <c r="L3075" s="685">
        <f t="shared" si="91"/>
        <v>18.8</v>
      </c>
      <c r="M3075" s="686">
        <f t="shared" si="92"/>
        <v>150.4</v>
      </c>
    </row>
    <row r="3076" spans="2:13" s="645" customFormat="1" ht="21.75" customHeight="1">
      <c r="B3076" s="661">
        <v>44460</v>
      </c>
      <c r="C3076" s="662" t="s">
        <v>837</v>
      </c>
      <c r="D3076" s="663" t="s">
        <v>847</v>
      </c>
      <c r="E3076" s="664" t="s">
        <v>831</v>
      </c>
      <c r="F3076" s="665"/>
      <c r="G3076" s="663">
        <v>17</v>
      </c>
      <c r="H3076" s="662" t="s">
        <v>807</v>
      </c>
      <c r="I3076" s="666" t="s">
        <v>859</v>
      </c>
      <c r="J3076" s="667" t="s">
        <v>865</v>
      </c>
      <c r="K3076" s="662">
        <v>3</v>
      </c>
      <c r="L3076" s="685">
        <f t="shared" si="91"/>
        <v>15.98</v>
      </c>
      <c r="M3076" s="686">
        <f t="shared" si="92"/>
        <v>47.94</v>
      </c>
    </row>
    <row r="3077" spans="2:13" s="645" customFormat="1" ht="21.75" customHeight="1">
      <c r="B3077" s="661">
        <v>44460</v>
      </c>
      <c r="C3077" s="662" t="s">
        <v>837</v>
      </c>
      <c r="D3077" s="663" t="s">
        <v>876</v>
      </c>
      <c r="E3077" s="664" t="s">
        <v>831</v>
      </c>
      <c r="F3077" s="665"/>
      <c r="G3077" s="663">
        <v>20</v>
      </c>
      <c r="H3077" s="662" t="s">
        <v>807</v>
      </c>
      <c r="I3077" s="666" t="s">
        <v>859</v>
      </c>
      <c r="J3077" s="667" t="s">
        <v>865</v>
      </c>
      <c r="K3077" s="662">
        <v>4</v>
      </c>
      <c r="L3077" s="685">
        <f t="shared" si="91"/>
        <v>18.8</v>
      </c>
      <c r="M3077" s="686">
        <f t="shared" si="92"/>
        <v>75.2</v>
      </c>
    </row>
    <row r="3078" spans="2:13" s="645" customFormat="1" ht="21.75" customHeight="1">
      <c r="B3078" s="661">
        <v>44460</v>
      </c>
      <c r="C3078" s="662" t="s">
        <v>837</v>
      </c>
      <c r="D3078" s="663" t="s">
        <v>873</v>
      </c>
      <c r="E3078" s="664" t="s">
        <v>831</v>
      </c>
      <c r="F3078" s="665"/>
      <c r="G3078" s="663">
        <v>17</v>
      </c>
      <c r="H3078" s="662" t="s">
        <v>807</v>
      </c>
      <c r="I3078" s="666" t="s">
        <v>859</v>
      </c>
      <c r="J3078" s="667" t="s">
        <v>865</v>
      </c>
      <c r="K3078" s="662">
        <v>5</v>
      </c>
      <c r="L3078" s="685">
        <f t="shared" si="91"/>
        <v>15.98</v>
      </c>
      <c r="M3078" s="686">
        <f t="shared" si="92"/>
        <v>79.900000000000006</v>
      </c>
    </row>
    <row r="3079" spans="2:13" s="645" customFormat="1" ht="21.75" customHeight="1">
      <c r="B3079" s="708">
        <v>44460</v>
      </c>
      <c r="C3079" s="709" t="s">
        <v>819</v>
      </c>
      <c r="D3079" s="710" t="s">
        <v>849</v>
      </c>
      <c r="E3079" s="711" t="s">
        <v>831</v>
      </c>
      <c r="F3079" s="712"/>
      <c r="G3079" s="710">
        <v>20</v>
      </c>
      <c r="H3079" s="709" t="s">
        <v>807</v>
      </c>
      <c r="I3079" s="713" t="s">
        <v>859</v>
      </c>
      <c r="J3079" s="714" t="s">
        <v>802</v>
      </c>
      <c r="K3079" s="709">
        <v>3</v>
      </c>
      <c r="L3079" s="715">
        <f t="shared" si="91"/>
        <v>18.8</v>
      </c>
      <c r="M3079" s="716">
        <f t="shared" si="92"/>
        <v>56.400000000000006</v>
      </c>
    </row>
    <row r="3080" spans="2:13" s="645" customFormat="1" ht="21.75" customHeight="1">
      <c r="B3080" s="708">
        <v>44460</v>
      </c>
      <c r="C3080" s="709" t="s">
        <v>819</v>
      </c>
      <c r="D3080" s="710" t="s">
        <v>840</v>
      </c>
      <c r="E3080" s="711" t="s">
        <v>831</v>
      </c>
      <c r="F3080" s="712"/>
      <c r="G3080" s="710">
        <v>20</v>
      </c>
      <c r="H3080" s="709" t="s">
        <v>807</v>
      </c>
      <c r="I3080" s="713" t="s">
        <v>859</v>
      </c>
      <c r="J3080" s="714" t="s">
        <v>802</v>
      </c>
      <c r="K3080" s="709">
        <v>4</v>
      </c>
      <c r="L3080" s="715">
        <f t="shared" si="91"/>
        <v>18.8</v>
      </c>
      <c r="M3080" s="716">
        <f t="shared" si="92"/>
        <v>75.2</v>
      </c>
    </row>
    <row r="3081" spans="2:13" s="645" customFormat="1" ht="21.75" customHeight="1">
      <c r="B3081" s="708">
        <v>44460</v>
      </c>
      <c r="C3081" s="709" t="s">
        <v>819</v>
      </c>
      <c r="D3081" s="710" t="s">
        <v>835</v>
      </c>
      <c r="E3081" s="711" t="s">
        <v>831</v>
      </c>
      <c r="F3081" s="712"/>
      <c r="G3081" s="710">
        <v>20</v>
      </c>
      <c r="H3081" s="709" t="s">
        <v>807</v>
      </c>
      <c r="I3081" s="713" t="s">
        <v>859</v>
      </c>
      <c r="J3081" s="714" t="s">
        <v>802</v>
      </c>
      <c r="K3081" s="709">
        <v>4</v>
      </c>
      <c r="L3081" s="715">
        <f t="shared" ref="L3081:L3144" si="93">VLOOKUP(G3081,$Q$4:$V$7,6,FALSE)</f>
        <v>18.8</v>
      </c>
      <c r="M3081" s="716">
        <f t="shared" si="92"/>
        <v>75.2</v>
      </c>
    </row>
    <row r="3082" spans="2:13" s="645" customFormat="1" ht="21.75" customHeight="1">
      <c r="B3082" s="708">
        <v>44460</v>
      </c>
      <c r="C3082" s="709" t="s">
        <v>819</v>
      </c>
      <c r="D3082" s="710" t="s">
        <v>841</v>
      </c>
      <c r="E3082" s="711" t="s">
        <v>831</v>
      </c>
      <c r="F3082" s="712"/>
      <c r="G3082" s="710">
        <v>20</v>
      </c>
      <c r="H3082" s="709" t="s">
        <v>807</v>
      </c>
      <c r="I3082" s="713" t="s">
        <v>859</v>
      </c>
      <c r="J3082" s="714" t="s">
        <v>802</v>
      </c>
      <c r="K3082" s="709">
        <v>5</v>
      </c>
      <c r="L3082" s="715">
        <f t="shared" si="93"/>
        <v>18.8</v>
      </c>
      <c r="M3082" s="716">
        <f t="shared" si="92"/>
        <v>94</v>
      </c>
    </row>
    <row r="3083" spans="2:13" s="645" customFormat="1" ht="21.75" customHeight="1">
      <c r="B3083" s="708">
        <v>44460</v>
      </c>
      <c r="C3083" s="709" t="s">
        <v>819</v>
      </c>
      <c r="D3083" s="710" t="s">
        <v>834</v>
      </c>
      <c r="E3083" s="711" t="s">
        <v>831</v>
      </c>
      <c r="F3083" s="712"/>
      <c r="G3083" s="710">
        <v>20</v>
      </c>
      <c r="H3083" s="709" t="s">
        <v>807</v>
      </c>
      <c r="I3083" s="713" t="s">
        <v>859</v>
      </c>
      <c r="J3083" s="714" t="s">
        <v>802</v>
      </c>
      <c r="K3083" s="709">
        <v>1</v>
      </c>
      <c r="L3083" s="715">
        <f t="shared" si="93"/>
        <v>18.8</v>
      </c>
      <c r="M3083" s="716">
        <f t="shared" si="92"/>
        <v>18.8</v>
      </c>
    </row>
    <row r="3084" spans="2:13" s="645" customFormat="1" ht="21.75" customHeight="1">
      <c r="B3084" s="708">
        <v>44460</v>
      </c>
      <c r="C3084" s="709" t="s">
        <v>819</v>
      </c>
      <c r="D3084" s="710" t="s">
        <v>830</v>
      </c>
      <c r="E3084" s="711" t="s">
        <v>831</v>
      </c>
      <c r="F3084" s="712"/>
      <c r="G3084" s="710">
        <v>15</v>
      </c>
      <c r="H3084" s="709" t="s">
        <v>807</v>
      </c>
      <c r="I3084" s="713" t="s">
        <v>859</v>
      </c>
      <c r="J3084" s="714" t="s">
        <v>802</v>
      </c>
      <c r="K3084" s="709">
        <v>3</v>
      </c>
      <c r="L3084" s="715">
        <f t="shared" si="93"/>
        <v>14.1</v>
      </c>
      <c r="M3084" s="716">
        <f t="shared" si="92"/>
        <v>42.3</v>
      </c>
    </row>
    <row r="3085" spans="2:13" s="645" customFormat="1" ht="21.75" customHeight="1">
      <c r="B3085" s="708">
        <v>44460</v>
      </c>
      <c r="C3085" s="709" t="s">
        <v>819</v>
      </c>
      <c r="D3085" s="710" t="s">
        <v>878</v>
      </c>
      <c r="E3085" s="711" t="s">
        <v>831</v>
      </c>
      <c r="F3085" s="712"/>
      <c r="G3085" s="710">
        <v>15</v>
      </c>
      <c r="H3085" s="709" t="s">
        <v>807</v>
      </c>
      <c r="I3085" s="713" t="s">
        <v>859</v>
      </c>
      <c r="J3085" s="714" t="s">
        <v>802</v>
      </c>
      <c r="K3085" s="709">
        <v>4</v>
      </c>
      <c r="L3085" s="715">
        <f t="shared" si="93"/>
        <v>14.1</v>
      </c>
      <c r="M3085" s="716">
        <f t="shared" si="92"/>
        <v>56.4</v>
      </c>
    </row>
    <row r="3086" spans="2:13" s="645" customFormat="1" ht="21.75" customHeight="1">
      <c r="B3086" s="708">
        <v>44460</v>
      </c>
      <c r="C3086" s="709" t="s">
        <v>819</v>
      </c>
      <c r="D3086" s="710" t="s">
        <v>855</v>
      </c>
      <c r="E3086" s="711" t="s">
        <v>831</v>
      </c>
      <c r="F3086" s="712"/>
      <c r="G3086" s="710">
        <v>20</v>
      </c>
      <c r="H3086" s="709" t="s">
        <v>807</v>
      </c>
      <c r="I3086" s="713" t="s">
        <v>859</v>
      </c>
      <c r="J3086" s="714" t="s">
        <v>802</v>
      </c>
      <c r="K3086" s="709">
        <v>4</v>
      </c>
      <c r="L3086" s="715">
        <f t="shared" si="93"/>
        <v>18.8</v>
      </c>
      <c r="M3086" s="716">
        <f t="shared" si="92"/>
        <v>75.2</v>
      </c>
    </row>
    <row r="3087" spans="2:13" s="645" customFormat="1" ht="21.75" customHeight="1">
      <c r="B3087" s="708">
        <v>44460</v>
      </c>
      <c r="C3087" s="709" t="s">
        <v>819</v>
      </c>
      <c r="D3087" s="710" t="s">
        <v>875</v>
      </c>
      <c r="E3087" s="711" t="s">
        <v>831</v>
      </c>
      <c r="F3087" s="712"/>
      <c r="G3087" s="710">
        <v>20</v>
      </c>
      <c r="H3087" s="709" t="s">
        <v>807</v>
      </c>
      <c r="I3087" s="713" t="s">
        <v>859</v>
      </c>
      <c r="J3087" s="714" t="s">
        <v>802</v>
      </c>
      <c r="K3087" s="709">
        <v>3</v>
      </c>
      <c r="L3087" s="715">
        <f t="shared" si="93"/>
        <v>18.8</v>
      </c>
      <c r="M3087" s="716">
        <f t="shared" si="92"/>
        <v>56.400000000000006</v>
      </c>
    </row>
    <row r="3088" spans="2:13" s="645" customFormat="1" ht="21.75" customHeight="1">
      <c r="B3088" s="708">
        <v>44460</v>
      </c>
      <c r="C3088" s="709" t="s">
        <v>819</v>
      </c>
      <c r="D3088" s="710" t="s">
        <v>868</v>
      </c>
      <c r="E3088" s="711" t="s">
        <v>831</v>
      </c>
      <c r="F3088" s="712"/>
      <c r="G3088" s="710">
        <v>20</v>
      </c>
      <c r="H3088" s="709" t="s">
        <v>807</v>
      </c>
      <c r="I3088" s="713" t="s">
        <v>859</v>
      </c>
      <c r="J3088" s="714" t="s">
        <v>802</v>
      </c>
      <c r="K3088" s="709">
        <v>5</v>
      </c>
      <c r="L3088" s="715">
        <f t="shared" si="93"/>
        <v>18.8</v>
      </c>
      <c r="M3088" s="716">
        <f t="shared" si="92"/>
        <v>94</v>
      </c>
    </row>
    <row r="3089" spans="2:13" s="645" customFormat="1" ht="21.75" customHeight="1">
      <c r="B3089" s="708">
        <v>44460</v>
      </c>
      <c r="C3089" s="709" t="s">
        <v>819</v>
      </c>
      <c r="D3089" s="710" t="s">
        <v>877</v>
      </c>
      <c r="E3089" s="711" t="s">
        <v>831</v>
      </c>
      <c r="F3089" s="712"/>
      <c r="G3089" s="710">
        <v>20</v>
      </c>
      <c r="H3089" s="709" t="s">
        <v>807</v>
      </c>
      <c r="I3089" s="713" t="s">
        <v>859</v>
      </c>
      <c r="J3089" s="714" t="s">
        <v>802</v>
      </c>
      <c r="K3089" s="709">
        <v>2</v>
      </c>
      <c r="L3089" s="715">
        <f t="shared" si="93"/>
        <v>18.8</v>
      </c>
      <c r="M3089" s="716">
        <f t="shared" si="92"/>
        <v>37.6</v>
      </c>
    </row>
    <row r="3090" spans="2:13" s="645" customFormat="1" ht="21.75" customHeight="1">
      <c r="B3090" s="708">
        <v>44460</v>
      </c>
      <c r="C3090" s="709" t="s">
        <v>819</v>
      </c>
      <c r="D3090" s="710" t="s">
        <v>870</v>
      </c>
      <c r="E3090" s="711" t="s">
        <v>831</v>
      </c>
      <c r="F3090" s="712"/>
      <c r="G3090" s="710">
        <v>20</v>
      </c>
      <c r="H3090" s="709" t="s">
        <v>807</v>
      </c>
      <c r="I3090" s="713" t="s">
        <v>859</v>
      </c>
      <c r="J3090" s="714" t="s">
        <v>802</v>
      </c>
      <c r="K3090" s="709">
        <v>4</v>
      </c>
      <c r="L3090" s="715">
        <f t="shared" si="93"/>
        <v>18.8</v>
      </c>
      <c r="M3090" s="716">
        <f t="shared" si="92"/>
        <v>75.2</v>
      </c>
    </row>
    <row r="3091" spans="2:13" s="645" customFormat="1" ht="21.75" customHeight="1">
      <c r="B3091" s="708">
        <v>44460</v>
      </c>
      <c r="C3091" s="709" t="s">
        <v>819</v>
      </c>
      <c r="D3091" s="710" t="s">
        <v>873</v>
      </c>
      <c r="E3091" s="711" t="s">
        <v>831</v>
      </c>
      <c r="F3091" s="712"/>
      <c r="G3091" s="710">
        <v>17</v>
      </c>
      <c r="H3091" s="709" t="s">
        <v>807</v>
      </c>
      <c r="I3091" s="713" t="s">
        <v>859</v>
      </c>
      <c r="J3091" s="714" t="s">
        <v>802</v>
      </c>
      <c r="K3091" s="709">
        <v>2</v>
      </c>
      <c r="L3091" s="715">
        <f t="shared" si="93"/>
        <v>15.98</v>
      </c>
      <c r="M3091" s="716">
        <f t="shared" si="92"/>
        <v>31.96</v>
      </c>
    </row>
    <row r="3092" spans="2:13" s="645" customFormat="1" ht="21.75" customHeight="1">
      <c r="B3092" s="708">
        <v>44460</v>
      </c>
      <c r="C3092" s="709" t="s">
        <v>837</v>
      </c>
      <c r="D3092" s="710" t="s">
        <v>856</v>
      </c>
      <c r="E3092" s="711" t="s">
        <v>831</v>
      </c>
      <c r="F3092" s="712"/>
      <c r="G3092" s="710">
        <v>20</v>
      </c>
      <c r="H3092" s="709" t="s">
        <v>807</v>
      </c>
      <c r="I3092" s="713" t="s">
        <v>859</v>
      </c>
      <c r="J3092" s="714" t="s">
        <v>802</v>
      </c>
      <c r="K3092" s="709">
        <v>3</v>
      </c>
      <c r="L3092" s="715">
        <f t="shared" si="93"/>
        <v>18.8</v>
      </c>
      <c r="M3092" s="716">
        <f t="shared" si="92"/>
        <v>56.400000000000006</v>
      </c>
    </row>
    <row r="3093" spans="2:13" s="645" customFormat="1" ht="21.75" customHeight="1">
      <c r="B3093" s="708">
        <v>44460</v>
      </c>
      <c r="C3093" s="709" t="s">
        <v>837</v>
      </c>
      <c r="D3093" s="710" t="s">
        <v>855</v>
      </c>
      <c r="E3093" s="711" t="s">
        <v>831</v>
      </c>
      <c r="F3093" s="712"/>
      <c r="G3093" s="710">
        <v>20</v>
      </c>
      <c r="H3093" s="709" t="s">
        <v>807</v>
      </c>
      <c r="I3093" s="713" t="s">
        <v>859</v>
      </c>
      <c r="J3093" s="714" t="s">
        <v>802</v>
      </c>
      <c r="K3093" s="709">
        <v>2</v>
      </c>
      <c r="L3093" s="715">
        <f t="shared" si="93"/>
        <v>18.8</v>
      </c>
      <c r="M3093" s="716">
        <f t="shared" si="92"/>
        <v>37.6</v>
      </c>
    </row>
    <row r="3094" spans="2:13" s="645" customFormat="1" ht="21.75" customHeight="1">
      <c r="B3094" s="708">
        <v>44460</v>
      </c>
      <c r="C3094" s="709" t="s">
        <v>837</v>
      </c>
      <c r="D3094" s="710" t="s">
        <v>840</v>
      </c>
      <c r="E3094" s="711" t="s">
        <v>831</v>
      </c>
      <c r="F3094" s="712"/>
      <c r="G3094" s="710">
        <v>20</v>
      </c>
      <c r="H3094" s="709" t="s">
        <v>807</v>
      </c>
      <c r="I3094" s="713" t="s">
        <v>805</v>
      </c>
      <c r="J3094" s="714" t="s">
        <v>802</v>
      </c>
      <c r="K3094" s="709">
        <v>21</v>
      </c>
      <c r="L3094" s="715">
        <f t="shared" si="93"/>
        <v>18.8</v>
      </c>
      <c r="M3094" s="716">
        <f t="shared" si="92"/>
        <v>394.8</v>
      </c>
    </row>
    <row r="3095" spans="2:13" s="645" customFormat="1" ht="21.75" customHeight="1">
      <c r="B3095" s="708">
        <v>44460</v>
      </c>
      <c r="C3095" s="709" t="s">
        <v>837</v>
      </c>
      <c r="D3095" s="710" t="s">
        <v>848</v>
      </c>
      <c r="E3095" s="711" t="s">
        <v>831</v>
      </c>
      <c r="F3095" s="712"/>
      <c r="G3095" s="710">
        <v>20</v>
      </c>
      <c r="H3095" s="709" t="s">
        <v>807</v>
      </c>
      <c r="I3095" s="713" t="s">
        <v>805</v>
      </c>
      <c r="J3095" s="714" t="s">
        <v>802</v>
      </c>
      <c r="K3095" s="709">
        <v>1</v>
      </c>
      <c r="L3095" s="715">
        <f t="shared" si="93"/>
        <v>18.8</v>
      </c>
      <c r="M3095" s="716">
        <f t="shared" si="92"/>
        <v>18.8</v>
      </c>
    </row>
    <row r="3096" spans="2:13" s="645" customFormat="1" ht="21.75" customHeight="1">
      <c r="B3096" s="708">
        <v>44460</v>
      </c>
      <c r="C3096" s="709" t="s">
        <v>837</v>
      </c>
      <c r="D3096" s="710" t="s">
        <v>847</v>
      </c>
      <c r="E3096" s="711" t="s">
        <v>831</v>
      </c>
      <c r="F3096" s="712"/>
      <c r="G3096" s="710">
        <v>17</v>
      </c>
      <c r="H3096" s="709" t="s">
        <v>807</v>
      </c>
      <c r="I3096" s="713" t="s">
        <v>859</v>
      </c>
      <c r="J3096" s="714" t="s">
        <v>802</v>
      </c>
      <c r="K3096" s="709">
        <v>2</v>
      </c>
      <c r="L3096" s="715">
        <f t="shared" si="93"/>
        <v>15.98</v>
      </c>
      <c r="M3096" s="716">
        <f t="shared" si="92"/>
        <v>31.96</v>
      </c>
    </row>
    <row r="3097" spans="2:13" s="645" customFormat="1" ht="21.75" customHeight="1">
      <c r="B3097" s="708">
        <v>44460</v>
      </c>
      <c r="C3097" s="709" t="s">
        <v>837</v>
      </c>
      <c r="D3097" s="710" t="s">
        <v>875</v>
      </c>
      <c r="E3097" s="711" t="s">
        <v>831</v>
      </c>
      <c r="F3097" s="712"/>
      <c r="G3097" s="710">
        <v>20</v>
      </c>
      <c r="H3097" s="709" t="s">
        <v>807</v>
      </c>
      <c r="I3097" s="713" t="s">
        <v>805</v>
      </c>
      <c r="J3097" s="714" t="s">
        <v>802</v>
      </c>
      <c r="K3097" s="709">
        <v>11</v>
      </c>
      <c r="L3097" s="715">
        <f t="shared" si="93"/>
        <v>18.8</v>
      </c>
      <c r="M3097" s="716">
        <f t="shared" si="92"/>
        <v>206.8</v>
      </c>
    </row>
    <row r="3098" spans="2:13" s="645" customFormat="1" ht="21.75" customHeight="1">
      <c r="B3098" s="708">
        <v>44460</v>
      </c>
      <c r="C3098" s="709" t="s">
        <v>837</v>
      </c>
      <c r="D3098" s="710" t="s">
        <v>876</v>
      </c>
      <c r="E3098" s="711" t="s">
        <v>831</v>
      </c>
      <c r="F3098" s="712"/>
      <c r="G3098" s="710">
        <v>20</v>
      </c>
      <c r="H3098" s="709" t="s">
        <v>807</v>
      </c>
      <c r="I3098" s="713" t="s">
        <v>859</v>
      </c>
      <c r="J3098" s="714" t="s">
        <v>802</v>
      </c>
      <c r="K3098" s="709">
        <v>2</v>
      </c>
      <c r="L3098" s="715">
        <f t="shared" si="93"/>
        <v>18.8</v>
      </c>
      <c r="M3098" s="716">
        <f t="shared" si="92"/>
        <v>37.6</v>
      </c>
    </row>
    <row r="3099" spans="2:13" s="645" customFormat="1" ht="21.75" customHeight="1">
      <c r="B3099" s="661">
        <v>44461</v>
      </c>
      <c r="C3099" s="662" t="s">
        <v>819</v>
      </c>
      <c r="D3099" s="663" t="s">
        <v>840</v>
      </c>
      <c r="E3099" s="664" t="s">
        <v>831</v>
      </c>
      <c r="F3099" s="665"/>
      <c r="G3099" s="663">
        <v>20</v>
      </c>
      <c r="H3099" s="662" t="s">
        <v>807</v>
      </c>
      <c r="I3099" s="666" t="s">
        <v>859</v>
      </c>
      <c r="J3099" s="667" t="s">
        <v>805</v>
      </c>
      <c r="K3099" s="662">
        <v>3</v>
      </c>
      <c r="L3099" s="685">
        <f t="shared" si="93"/>
        <v>18.8</v>
      </c>
      <c r="M3099" s="686">
        <f t="shared" si="92"/>
        <v>56.400000000000006</v>
      </c>
    </row>
    <row r="3100" spans="2:13" s="645" customFormat="1" ht="21.75" customHeight="1">
      <c r="B3100" s="661">
        <v>44461</v>
      </c>
      <c r="C3100" s="662" t="s">
        <v>819</v>
      </c>
      <c r="D3100" s="663" t="s">
        <v>835</v>
      </c>
      <c r="E3100" s="664" t="s">
        <v>831</v>
      </c>
      <c r="F3100" s="665"/>
      <c r="G3100" s="663">
        <v>20</v>
      </c>
      <c r="H3100" s="662" t="s">
        <v>807</v>
      </c>
      <c r="I3100" s="666" t="s">
        <v>859</v>
      </c>
      <c r="J3100" s="667" t="s">
        <v>805</v>
      </c>
      <c r="K3100" s="662">
        <v>2</v>
      </c>
      <c r="L3100" s="685">
        <f t="shared" si="93"/>
        <v>18.8</v>
      </c>
      <c r="M3100" s="686">
        <f t="shared" si="92"/>
        <v>37.6</v>
      </c>
    </row>
    <row r="3101" spans="2:13" s="645" customFormat="1" ht="21.75" customHeight="1">
      <c r="B3101" s="661">
        <v>44461</v>
      </c>
      <c r="C3101" s="662" t="s">
        <v>819</v>
      </c>
      <c r="D3101" s="663" t="s">
        <v>841</v>
      </c>
      <c r="E3101" s="664" t="s">
        <v>831</v>
      </c>
      <c r="F3101" s="665"/>
      <c r="G3101" s="663">
        <v>20</v>
      </c>
      <c r="H3101" s="662" t="s">
        <v>807</v>
      </c>
      <c r="I3101" s="666" t="s">
        <v>859</v>
      </c>
      <c r="J3101" s="667" t="s">
        <v>805</v>
      </c>
      <c r="K3101" s="662">
        <v>1</v>
      </c>
      <c r="L3101" s="685">
        <f t="shared" si="93"/>
        <v>18.8</v>
      </c>
      <c r="M3101" s="686">
        <f t="shared" si="92"/>
        <v>18.8</v>
      </c>
    </row>
    <row r="3102" spans="2:13" s="645" customFormat="1" ht="21.75" customHeight="1">
      <c r="B3102" s="661">
        <v>44461</v>
      </c>
      <c r="C3102" s="662" t="s">
        <v>819</v>
      </c>
      <c r="D3102" s="663" t="s">
        <v>834</v>
      </c>
      <c r="E3102" s="664" t="s">
        <v>831</v>
      </c>
      <c r="F3102" s="665"/>
      <c r="G3102" s="663">
        <v>20</v>
      </c>
      <c r="H3102" s="662" t="s">
        <v>807</v>
      </c>
      <c r="I3102" s="666" t="s">
        <v>859</v>
      </c>
      <c r="J3102" s="667" t="s">
        <v>805</v>
      </c>
      <c r="K3102" s="662">
        <v>1</v>
      </c>
      <c r="L3102" s="685">
        <f t="shared" si="93"/>
        <v>18.8</v>
      </c>
      <c r="M3102" s="686">
        <f t="shared" si="92"/>
        <v>18.8</v>
      </c>
    </row>
    <row r="3103" spans="2:13" s="645" customFormat="1" ht="21.75" customHeight="1">
      <c r="B3103" s="661">
        <v>44461</v>
      </c>
      <c r="C3103" s="662" t="s">
        <v>819</v>
      </c>
      <c r="D3103" s="663" t="s">
        <v>848</v>
      </c>
      <c r="E3103" s="664" t="s">
        <v>831</v>
      </c>
      <c r="F3103" s="665"/>
      <c r="G3103" s="663">
        <v>20</v>
      </c>
      <c r="H3103" s="662" t="s">
        <v>807</v>
      </c>
      <c r="I3103" s="666" t="s">
        <v>859</v>
      </c>
      <c r="J3103" s="667" t="s">
        <v>805</v>
      </c>
      <c r="K3103" s="662">
        <v>5</v>
      </c>
      <c r="L3103" s="685">
        <f t="shared" si="93"/>
        <v>18.8</v>
      </c>
      <c r="M3103" s="686">
        <f t="shared" si="92"/>
        <v>94</v>
      </c>
    </row>
    <row r="3104" spans="2:13" s="645" customFormat="1" ht="21.75" customHeight="1">
      <c r="B3104" s="661">
        <v>44461</v>
      </c>
      <c r="C3104" s="662" t="s">
        <v>819</v>
      </c>
      <c r="D3104" s="663" t="s">
        <v>856</v>
      </c>
      <c r="E3104" s="664" t="s">
        <v>831</v>
      </c>
      <c r="F3104" s="665"/>
      <c r="G3104" s="663">
        <v>20</v>
      </c>
      <c r="H3104" s="662" t="s">
        <v>807</v>
      </c>
      <c r="I3104" s="666" t="s">
        <v>859</v>
      </c>
      <c r="J3104" s="667" t="s">
        <v>805</v>
      </c>
      <c r="K3104" s="662">
        <v>2</v>
      </c>
      <c r="L3104" s="685">
        <f t="shared" si="93"/>
        <v>18.8</v>
      </c>
      <c r="M3104" s="686">
        <f t="shared" si="92"/>
        <v>37.6</v>
      </c>
    </row>
    <row r="3105" spans="2:13" s="645" customFormat="1" ht="21.75" customHeight="1">
      <c r="B3105" s="661">
        <v>44461</v>
      </c>
      <c r="C3105" s="662" t="s">
        <v>819</v>
      </c>
      <c r="D3105" s="663" t="s">
        <v>877</v>
      </c>
      <c r="E3105" s="664" t="s">
        <v>831</v>
      </c>
      <c r="F3105" s="665"/>
      <c r="G3105" s="663">
        <v>20</v>
      </c>
      <c r="H3105" s="662" t="s">
        <v>807</v>
      </c>
      <c r="I3105" s="666" t="s">
        <v>859</v>
      </c>
      <c r="J3105" s="667" t="s">
        <v>805</v>
      </c>
      <c r="K3105" s="662">
        <v>1</v>
      </c>
      <c r="L3105" s="685">
        <f t="shared" si="93"/>
        <v>18.8</v>
      </c>
      <c r="M3105" s="686">
        <f t="shared" si="92"/>
        <v>18.8</v>
      </c>
    </row>
    <row r="3106" spans="2:13" s="645" customFormat="1" ht="21.75" customHeight="1">
      <c r="B3106" s="661">
        <v>44461</v>
      </c>
      <c r="C3106" s="662" t="s">
        <v>819</v>
      </c>
      <c r="D3106" s="663" t="s">
        <v>870</v>
      </c>
      <c r="E3106" s="664" t="s">
        <v>831</v>
      </c>
      <c r="F3106" s="665"/>
      <c r="G3106" s="663">
        <v>20</v>
      </c>
      <c r="H3106" s="662" t="s">
        <v>807</v>
      </c>
      <c r="I3106" s="666" t="s">
        <v>859</v>
      </c>
      <c r="J3106" s="667" t="s">
        <v>805</v>
      </c>
      <c r="K3106" s="662">
        <v>1</v>
      </c>
      <c r="L3106" s="685">
        <f t="shared" si="93"/>
        <v>18.8</v>
      </c>
      <c r="M3106" s="686">
        <f t="shared" si="92"/>
        <v>18.8</v>
      </c>
    </row>
    <row r="3107" spans="2:13" s="645" customFormat="1" ht="21.75" customHeight="1">
      <c r="B3107" s="661">
        <v>44461</v>
      </c>
      <c r="C3107" s="662" t="s">
        <v>819</v>
      </c>
      <c r="D3107" s="663" t="s">
        <v>873</v>
      </c>
      <c r="E3107" s="664" t="s">
        <v>831</v>
      </c>
      <c r="F3107" s="665"/>
      <c r="G3107" s="663">
        <v>17</v>
      </c>
      <c r="H3107" s="662" t="s">
        <v>807</v>
      </c>
      <c r="I3107" s="666" t="s">
        <v>859</v>
      </c>
      <c r="J3107" s="667" t="s">
        <v>805</v>
      </c>
      <c r="K3107" s="662">
        <v>1</v>
      </c>
      <c r="L3107" s="685">
        <f t="shared" si="93"/>
        <v>15.98</v>
      </c>
      <c r="M3107" s="686">
        <f t="shared" si="92"/>
        <v>15.98</v>
      </c>
    </row>
    <row r="3108" spans="2:13" s="645" customFormat="1" ht="21.75" customHeight="1">
      <c r="B3108" s="661">
        <v>44461</v>
      </c>
      <c r="C3108" s="662" t="s">
        <v>819</v>
      </c>
      <c r="D3108" s="663" t="s">
        <v>849</v>
      </c>
      <c r="E3108" s="664" t="s">
        <v>831</v>
      </c>
      <c r="F3108" s="665"/>
      <c r="G3108" s="663">
        <v>20</v>
      </c>
      <c r="H3108" s="662" t="s">
        <v>807</v>
      </c>
      <c r="I3108" s="666" t="s">
        <v>859</v>
      </c>
      <c r="J3108" s="667" t="s">
        <v>865</v>
      </c>
      <c r="K3108" s="662">
        <v>5</v>
      </c>
      <c r="L3108" s="685">
        <f t="shared" si="93"/>
        <v>18.8</v>
      </c>
      <c r="M3108" s="686">
        <f t="shared" si="92"/>
        <v>94</v>
      </c>
    </row>
    <row r="3109" spans="2:13" s="645" customFormat="1" ht="21.75" customHeight="1">
      <c r="B3109" s="661">
        <v>44461</v>
      </c>
      <c r="C3109" s="662" t="s">
        <v>819</v>
      </c>
      <c r="D3109" s="663" t="s">
        <v>840</v>
      </c>
      <c r="E3109" s="664" t="s">
        <v>831</v>
      </c>
      <c r="F3109" s="665"/>
      <c r="G3109" s="663">
        <v>20</v>
      </c>
      <c r="H3109" s="662" t="s">
        <v>807</v>
      </c>
      <c r="I3109" s="666" t="s">
        <v>859</v>
      </c>
      <c r="J3109" s="667" t="s">
        <v>865</v>
      </c>
      <c r="K3109" s="662">
        <v>3</v>
      </c>
      <c r="L3109" s="685">
        <f t="shared" si="93"/>
        <v>18.8</v>
      </c>
      <c r="M3109" s="686">
        <f t="shared" si="92"/>
        <v>56.400000000000006</v>
      </c>
    </row>
    <row r="3110" spans="2:13" s="645" customFormat="1" ht="21.75" customHeight="1">
      <c r="B3110" s="661">
        <v>44461</v>
      </c>
      <c r="C3110" s="662" t="s">
        <v>819</v>
      </c>
      <c r="D3110" s="663" t="s">
        <v>835</v>
      </c>
      <c r="E3110" s="664" t="s">
        <v>831</v>
      </c>
      <c r="F3110" s="665"/>
      <c r="G3110" s="663">
        <v>20</v>
      </c>
      <c r="H3110" s="662" t="s">
        <v>807</v>
      </c>
      <c r="I3110" s="666" t="s">
        <v>859</v>
      </c>
      <c r="J3110" s="667" t="s">
        <v>865</v>
      </c>
      <c r="K3110" s="662">
        <v>5</v>
      </c>
      <c r="L3110" s="685">
        <f t="shared" si="93"/>
        <v>18.8</v>
      </c>
      <c r="M3110" s="686">
        <f t="shared" si="92"/>
        <v>94</v>
      </c>
    </row>
    <row r="3111" spans="2:13" s="645" customFormat="1" ht="21.75" customHeight="1">
      <c r="B3111" s="661">
        <v>44461</v>
      </c>
      <c r="C3111" s="662" t="s">
        <v>819</v>
      </c>
      <c r="D3111" s="663" t="s">
        <v>841</v>
      </c>
      <c r="E3111" s="664" t="s">
        <v>831</v>
      </c>
      <c r="F3111" s="665"/>
      <c r="G3111" s="663">
        <v>20</v>
      </c>
      <c r="H3111" s="662" t="s">
        <v>807</v>
      </c>
      <c r="I3111" s="666" t="s">
        <v>859</v>
      </c>
      <c r="J3111" s="667" t="s">
        <v>865</v>
      </c>
      <c r="K3111" s="662">
        <v>5</v>
      </c>
      <c r="L3111" s="685">
        <f t="shared" si="93"/>
        <v>18.8</v>
      </c>
      <c r="M3111" s="686">
        <f t="shared" ref="M3111:M3174" si="94">L3111*K3111</f>
        <v>94</v>
      </c>
    </row>
    <row r="3112" spans="2:13" s="645" customFormat="1" ht="21.75" customHeight="1">
      <c r="B3112" s="661">
        <v>44461</v>
      </c>
      <c r="C3112" s="662" t="s">
        <v>819</v>
      </c>
      <c r="D3112" s="663" t="s">
        <v>834</v>
      </c>
      <c r="E3112" s="664" t="s">
        <v>831</v>
      </c>
      <c r="F3112" s="665"/>
      <c r="G3112" s="663">
        <v>20</v>
      </c>
      <c r="H3112" s="662" t="s">
        <v>807</v>
      </c>
      <c r="I3112" s="666" t="s">
        <v>859</v>
      </c>
      <c r="J3112" s="667" t="s">
        <v>865</v>
      </c>
      <c r="K3112" s="662">
        <v>6</v>
      </c>
      <c r="L3112" s="685">
        <f t="shared" si="93"/>
        <v>18.8</v>
      </c>
      <c r="M3112" s="686">
        <f t="shared" si="94"/>
        <v>112.80000000000001</v>
      </c>
    </row>
    <row r="3113" spans="2:13" s="645" customFormat="1" ht="21.75" customHeight="1">
      <c r="B3113" s="661">
        <v>44461</v>
      </c>
      <c r="C3113" s="662" t="s">
        <v>819</v>
      </c>
      <c r="D3113" s="663" t="s">
        <v>848</v>
      </c>
      <c r="E3113" s="664" t="s">
        <v>831</v>
      </c>
      <c r="F3113" s="665"/>
      <c r="G3113" s="663">
        <v>20</v>
      </c>
      <c r="H3113" s="662" t="s">
        <v>807</v>
      </c>
      <c r="I3113" s="666" t="s">
        <v>859</v>
      </c>
      <c r="J3113" s="667" t="s">
        <v>865</v>
      </c>
      <c r="K3113" s="662">
        <v>7</v>
      </c>
      <c r="L3113" s="685">
        <f t="shared" si="93"/>
        <v>18.8</v>
      </c>
      <c r="M3113" s="686">
        <f t="shared" si="94"/>
        <v>131.6</v>
      </c>
    </row>
    <row r="3114" spans="2:13" s="645" customFormat="1" ht="21.75" customHeight="1">
      <c r="B3114" s="661">
        <v>44461</v>
      </c>
      <c r="C3114" s="662" t="s">
        <v>819</v>
      </c>
      <c r="D3114" s="663" t="s">
        <v>839</v>
      </c>
      <c r="E3114" s="664" t="s">
        <v>831</v>
      </c>
      <c r="F3114" s="665"/>
      <c r="G3114" s="663">
        <v>15</v>
      </c>
      <c r="H3114" s="662" t="s">
        <v>807</v>
      </c>
      <c r="I3114" s="666" t="s">
        <v>859</v>
      </c>
      <c r="J3114" s="667" t="s">
        <v>865</v>
      </c>
      <c r="K3114" s="662">
        <v>3</v>
      </c>
      <c r="L3114" s="685">
        <f t="shared" si="93"/>
        <v>14.1</v>
      </c>
      <c r="M3114" s="686">
        <f t="shared" si="94"/>
        <v>42.3</v>
      </c>
    </row>
    <row r="3115" spans="2:13" s="645" customFormat="1" ht="21.75" customHeight="1">
      <c r="B3115" s="661">
        <v>44461</v>
      </c>
      <c r="C3115" s="662" t="s">
        <v>819</v>
      </c>
      <c r="D3115" s="663" t="s">
        <v>847</v>
      </c>
      <c r="E3115" s="664" t="s">
        <v>831</v>
      </c>
      <c r="F3115" s="665"/>
      <c r="G3115" s="663">
        <v>17</v>
      </c>
      <c r="H3115" s="662" t="s">
        <v>807</v>
      </c>
      <c r="I3115" s="666" t="s">
        <v>859</v>
      </c>
      <c r="J3115" s="667" t="s">
        <v>865</v>
      </c>
      <c r="K3115" s="662">
        <v>4</v>
      </c>
      <c r="L3115" s="685">
        <f t="shared" si="93"/>
        <v>15.98</v>
      </c>
      <c r="M3115" s="686">
        <f t="shared" si="94"/>
        <v>63.92</v>
      </c>
    </row>
    <row r="3116" spans="2:13" s="645" customFormat="1" ht="21.75" customHeight="1">
      <c r="B3116" s="661">
        <v>44461</v>
      </c>
      <c r="C3116" s="662" t="s">
        <v>819</v>
      </c>
      <c r="D3116" s="663" t="s">
        <v>856</v>
      </c>
      <c r="E3116" s="664" t="s">
        <v>831</v>
      </c>
      <c r="F3116" s="665"/>
      <c r="G3116" s="663">
        <v>20</v>
      </c>
      <c r="H3116" s="662" t="s">
        <v>807</v>
      </c>
      <c r="I3116" s="666" t="s">
        <v>859</v>
      </c>
      <c r="J3116" s="667" t="s">
        <v>865</v>
      </c>
      <c r="K3116" s="662">
        <v>2</v>
      </c>
      <c r="L3116" s="685">
        <f t="shared" si="93"/>
        <v>18.8</v>
      </c>
      <c r="M3116" s="686">
        <f t="shared" si="94"/>
        <v>37.6</v>
      </c>
    </row>
    <row r="3117" spans="2:13" s="645" customFormat="1" ht="21.75" customHeight="1">
      <c r="B3117" s="661">
        <v>44461</v>
      </c>
      <c r="C3117" s="662" t="s">
        <v>819</v>
      </c>
      <c r="D3117" s="663" t="s">
        <v>878</v>
      </c>
      <c r="E3117" s="664" t="s">
        <v>831</v>
      </c>
      <c r="F3117" s="665"/>
      <c r="G3117" s="663">
        <v>15</v>
      </c>
      <c r="H3117" s="662" t="s">
        <v>807</v>
      </c>
      <c r="I3117" s="666" t="s">
        <v>859</v>
      </c>
      <c r="J3117" s="667" t="s">
        <v>865</v>
      </c>
      <c r="K3117" s="662">
        <v>4</v>
      </c>
      <c r="L3117" s="685">
        <f t="shared" si="93"/>
        <v>14.1</v>
      </c>
      <c r="M3117" s="686">
        <f t="shared" si="94"/>
        <v>56.4</v>
      </c>
    </row>
    <row r="3118" spans="2:13" s="645" customFormat="1" ht="21.75" customHeight="1">
      <c r="B3118" s="661">
        <v>44461</v>
      </c>
      <c r="C3118" s="662" t="s">
        <v>819</v>
      </c>
      <c r="D3118" s="663" t="s">
        <v>867</v>
      </c>
      <c r="E3118" s="664" t="s">
        <v>831</v>
      </c>
      <c r="F3118" s="665"/>
      <c r="G3118" s="663">
        <v>20</v>
      </c>
      <c r="H3118" s="662" t="s">
        <v>807</v>
      </c>
      <c r="I3118" s="666" t="s">
        <v>859</v>
      </c>
      <c r="J3118" s="667" t="s">
        <v>865</v>
      </c>
      <c r="K3118" s="662">
        <v>1</v>
      </c>
      <c r="L3118" s="685">
        <f t="shared" si="93"/>
        <v>18.8</v>
      </c>
      <c r="M3118" s="686">
        <f t="shared" si="94"/>
        <v>18.8</v>
      </c>
    </row>
    <row r="3119" spans="2:13" s="645" customFormat="1" ht="21.75" customHeight="1">
      <c r="B3119" s="661">
        <v>44461</v>
      </c>
      <c r="C3119" s="662" t="s">
        <v>819</v>
      </c>
      <c r="D3119" s="663" t="s">
        <v>868</v>
      </c>
      <c r="E3119" s="664" t="s">
        <v>831</v>
      </c>
      <c r="F3119" s="665"/>
      <c r="G3119" s="663">
        <v>20</v>
      </c>
      <c r="H3119" s="662" t="s">
        <v>807</v>
      </c>
      <c r="I3119" s="666" t="s">
        <v>859</v>
      </c>
      <c r="J3119" s="667" t="s">
        <v>865</v>
      </c>
      <c r="K3119" s="662">
        <v>1</v>
      </c>
      <c r="L3119" s="685">
        <f t="shared" si="93"/>
        <v>18.8</v>
      </c>
      <c r="M3119" s="686">
        <f t="shared" si="94"/>
        <v>18.8</v>
      </c>
    </row>
    <row r="3120" spans="2:13" s="645" customFormat="1" ht="21.75" customHeight="1">
      <c r="B3120" s="661">
        <v>44461</v>
      </c>
      <c r="C3120" s="662" t="s">
        <v>819</v>
      </c>
      <c r="D3120" s="663" t="s">
        <v>877</v>
      </c>
      <c r="E3120" s="664" t="s">
        <v>831</v>
      </c>
      <c r="F3120" s="665"/>
      <c r="G3120" s="663">
        <v>20</v>
      </c>
      <c r="H3120" s="662" t="s">
        <v>807</v>
      </c>
      <c r="I3120" s="666" t="s">
        <v>859</v>
      </c>
      <c r="J3120" s="667" t="s">
        <v>865</v>
      </c>
      <c r="K3120" s="662">
        <v>3</v>
      </c>
      <c r="L3120" s="685">
        <f t="shared" si="93"/>
        <v>18.8</v>
      </c>
      <c r="M3120" s="686">
        <f t="shared" si="94"/>
        <v>56.400000000000006</v>
      </c>
    </row>
    <row r="3121" spans="2:13" s="645" customFormat="1" ht="21.75" customHeight="1">
      <c r="B3121" s="661">
        <v>44461</v>
      </c>
      <c r="C3121" s="662" t="s">
        <v>819</v>
      </c>
      <c r="D3121" s="663" t="s">
        <v>873</v>
      </c>
      <c r="E3121" s="664" t="s">
        <v>831</v>
      </c>
      <c r="F3121" s="665"/>
      <c r="G3121" s="663">
        <v>17</v>
      </c>
      <c r="H3121" s="662" t="s">
        <v>807</v>
      </c>
      <c r="I3121" s="666" t="s">
        <v>859</v>
      </c>
      <c r="J3121" s="667" t="s">
        <v>865</v>
      </c>
      <c r="K3121" s="662">
        <v>4</v>
      </c>
      <c r="L3121" s="685">
        <f t="shared" si="93"/>
        <v>15.98</v>
      </c>
      <c r="M3121" s="686">
        <f t="shared" si="94"/>
        <v>63.92</v>
      </c>
    </row>
    <row r="3122" spans="2:13" s="645" customFormat="1" ht="21.75" customHeight="1">
      <c r="B3122" s="661">
        <v>44461</v>
      </c>
      <c r="C3122" s="662" t="s">
        <v>837</v>
      </c>
      <c r="D3122" s="663" t="s">
        <v>856</v>
      </c>
      <c r="E3122" s="664" t="s">
        <v>831</v>
      </c>
      <c r="F3122" s="665"/>
      <c r="G3122" s="663">
        <v>20</v>
      </c>
      <c r="H3122" s="662" t="s">
        <v>807</v>
      </c>
      <c r="I3122" s="666" t="s">
        <v>859</v>
      </c>
      <c r="J3122" s="667" t="s">
        <v>865</v>
      </c>
      <c r="K3122" s="662">
        <v>8</v>
      </c>
      <c r="L3122" s="685">
        <f t="shared" si="93"/>
        <v>18.8</v>
      </c>
      <c r="M3122" s="686">
        <f t="shared" si="94"/>
        <v>150.4</v>
      </c>
    </row>
    <row r="3123" spans="2:13" s="645" customFormat="1" ht="21.75" customHeight="1">
      <c r="B3123" s="661">
        <v>44461</v>
      </c>
      <c r="C3123" s="662" t="s">
        <v>837</v>
      </c>
      <c r="D3123" s="663" t="s">
        <v>855</v>
      </c>
      <c r="E3123" s="664" t="s">
        <v>831</v>
      </c>
      <c r="F3123" s="665"/>
      <c r="G3123" s="663">
        <v>20</v>
      </c>
      <c r="H3123" s="662" t="s">
        <v>807</v>
      </c>
      <c r="I3123" s="666" t="s">
        <v>859</v>
      </c>
      <c r="J3123" s="667" t="s">
        <v>865</v>
      </c>
      <c r="K3123" s="662">
        <v>8</v>
      </c>
      <c r="L3123" s="685">
        <f t="shared" si="93"/>
        <v>18.8</v>
      </c>
      <c r="M3123" s="686">
        <f t="shared" si="94"/>
        <v>150.4</v>
      </c>
    </row>
    <row r="3124" spans="2:13" s="645" customFormat="1" ht="21.75" customHeight="1">
      <c r="B3124" s="661">
        <v>44461</v>
      </c>
      <c r="C3124" s="662" t="s">
        <v>837</v>
      </c>
      <c r="D3124" s="663" t="s">
        <v>835</v>
      </c>
      <c r="E3124" s="664" t="s">
        <v>831</v>
      </c>
      <c r="F3124" s="665"/>
      <c r="G3124" s="663">
        <v>20</v>
      </c>
      <c r="H3124" s="662" t="s">
        <v>807</v>
      </c>
      <c r="I3124" s="666" t="s">
        <v>859</v>
      </c>
      <c r="J3124" s="667" t="s">
        <v>865</v>
      </c>
      <c r="K3124" s="662">
        <v>3</v>
      </c>
      <c r="L3124" s="685">
        <f t="shared" si="93"/>
        <v>18.8</v>
      </c>
      <c r="M3124" s="686">
        <f t="shared" si="94"/>
        <v>56.400000000000006</v>
      </c>
    </row>
    <row r="3125" spans="2:13" s="645" customFormat="1" ht="21.75" customHeight="1">
      <c r="B3125" s="661">
        <v>44461</v>
      </c>
      <c r="C3125" s="662" t="s">
        <v>837</v>
      </c>
      <c r="D3125" s="663" t="s">
        <v>841</v>
      </c>
      <c r="E3125" s="664" t="s">
        <v>831</v>
      </c>
      <c r="F3125" s="665"/>
      <c r="G3125" s="663">
        <v>20</v>
      </c>
      <c r="H3125" s="662" t="s">
        <v>807</v>
      </c>
      <c r="I3125" s="666" t="s">
        <v>859</v>
      </c>
      <c r="J3125" s="667" t="s">
        <v>865</v>
      </c>
      <c r="K3125" s="662">
        <v>3</v>
      </c>
      <c r="L3125" s="685">
        <f t="shared" si="93"/>
        <v>18.8</v>
      </c>
      <c r="M3125" s="686">
        <f t="shared" si="94"/>
        <v>56.400000000000006</v>
      </c>
    </row>
    <row r="3126" spans="2:13" s="645" customFormat="1" ht="21.75" customHeight="1">
      <c r="B3126" s="661">
        <v>44461</v>
      </c>
      <c r="C3126" s="662" t="s">
        <v>837</v>
      </c>
      <c r="D3126" s="663" t="s">
        <v>848</v>
      </c>
      <c r="E3126" s="664" t="s">
        <v>831</v>
      </c>
      <c r="F3126" s="665"/>
      <c r="G3126" s="663">
        <v>20</v>
      </c>
      <c r="H3126" s="662" t="s">
        <v>807</v>
      </c>
      <c r="I3126" s="666" t="s">
        <v>859</v>
      </c>
      <c r="J3126" s="667" t="s">
        <v>865</v>
      </c>
      <c r="K3126" s="662">
        <v>8</v>
      </c>
      <c r="L3126" s="685">
        <f t="shared" si="93"/>
        <v>18.8</v>
      </c>
      <c r="M3126" s="686">
        <f t="shared" si="94"/>
        <v>150.4</v>
      </c>
    </row>
    <row r="3127" spans="2:13" s="645" customFormat="1" ht="21.75" customHeight="1">
      <c r="B3127" s="661">
        <v>44461</v>
      </c>
      <c r="C3127" s="662" t="s">
        <v>837</v>
      </c>
      <c r="D3127" s="663" t="s">
        <v>845</v>
      </c>
      <c r="E3127" s="664" t="s">
        <v>831</v>
      </c>
      <c r="F3127" s="665"/>
      <c r="G3127" s="663">
        <v>17</v>
      </c>
      <c r="H3127" s="662" t="s">
        <v>807</v>
      </c>
      <c r="I3127" s="666" t="s">
        <v>859</v>
      </c>
      <c r="J3127" s="667" t="s">
        <v>865</v>
      </c>
      <c r="K3127" s="662">
        <v>11</v>
      </c>
      <c r="L3127" s="685">
        <f t="shared" si="93"/>
        <v>15.98</v>
      </c>
      <c r="M3127" s="686">
        <f t="shared" si="94"/>
        <v>175.78</v>
      </c>
    </row>
    <row r="3128" spans="2:13" s="645" customFormat="1" ht="21.75" customHeight="1">
      <c r="B3128" s="661">
        <v>44461</v>
      </c>
      <c r="C3128" s="662" t="s">
        <v>837</v>
      </c>
      <c r="D3128" s="663" t="s">
        <v>847</v>
      </c>
      <c r="E3128" s="664" t="s">
        <v>831</v>
      </c>
      <c r="F3128" s="665"/>
      <c r="G3128" s="663">
        <v>17</v>
      </c>
      <c r="H3128" s="662" t="s">
        <v>807</v>
      </c>
      <c r="I3128" s="666" t="s">
        <v>859</v>
      </c>
      <c r="J3128" s="667" t="s">
        <v>865</v>
      </c>
      <c r="K3128" s="662">
        <v>4</v>
      </c>
      <c r="L3128" s="685">
        <f t="shared" si="93"/>
        <v>15.98</v>
      </c>
      <c r="M3128" s="686">
        <f t="shared" si="94"/>
        <v>63.92</v>
      </c>
    </row>
    <row r="3129" spans="2:13" s="645" customFormat="1" ht="21.75" customHeight="1">
      <c r="B3129" s="661">
        <v>44461</v>
      </c>
      <c r="C3129" s="662" t="s">
        <v>837</v>
      </c>
      <c r="D3129" s="663" t="s">
        <v>847</v>
      </c>
      <c r="E3129" s="664" t="s">
        <v>831</v>
      </c>
      <c r="F3129" s="665"/>
      <c r="G3129" s="663">
        <v>17</v>
      </c>
      <c r="H3129" s="662" t="s">
        <v>807</v>
      </c>
      <c r="I3129" s="666" t="s">
        <v>859</v>
      </c>
      <c r="J3129" s="667" t="s">
        <v>865</v>
      </c>
      <c r="K3129" s="662">
        <v>1</v>
      </c>
      <c r="L3129" s="685">
        <f t="shared" si="93"/>
        <v>15.98</v>
      </c>
      <c r="M3129" s="686">
        <f t="shared" si="94"/>
        <v>15.98</v>
      </c>
    </row>
    <row r="3130" spans="2:13" s="645" customFormat="1" ht="21.75" customHeight="1">
      <c r="B3130" s="661">
        <v>44461</v>
      </c>
      <c r="C3130" s="662" t="s">
        <v>837</v>
      </c>
      <c r="D3130" s="663" t="s">
        <v>878</v>
      </c>
      <c r="E3130" s="664" t="s">
        <v>831</v>
      </c>
      <c r="F3130" s="665"/>
      <c r="G3130" s="663">
        <v>15</v>
      </c>
      <c r="H3130" s="662" t="s">
        <v>807</v>
      </c>
      <c r="I3130" s="666" t="s">
        <v>859</v>
      </c>
      <c r="J3130" s="667" t="s">
        <v>865</v>
      </c>
      <c r="K3130" s="662">
        <v>3</v>
      </c>
      <c r="L3130" s="685">
        <f t="shared" si="93"/>
        <v>14.1</v>
      </c>
      <c r="M3130" s="686">
        <f t="shared" si="94"/>
        <v>42.3</v>
      </c>
    </row>
    <row r="3131" spans="2:13" s="645" customFormat="1" ht="21.75" customHeight="1">
      <c r="B3131" s="661">
        <v>44461</v>
      </c>
      <c r="C3131" s="662" t="s">
        <v>837</v>
      </c>
      <c r="D3131" s="663" t="s">
        <v>875</v>
      </c>
      <c r="E3131" s="664" t="s">
        <v>831</v>
      </c>
      <c r="F3131" s="665"/>
      <c r="G3131" s="663">
        <v>20</v>
      </c>
      <c r="H3131" s="662" t="s">
        <v>807</v>
      </c>
      <c r="I3131" s="666" t="s">
        <v>859</v>
      </c>
      <c r="J3131" s="667" t="s">
        <v>865</v>
      </c>
      <c r="K3131" s="662">
        <v>2</v>
      </c>
      <c r="L3131" s="685">
        <f t="shared" si="93"/>
        <v>18.8</v>
      </c>
      <c r="M3131" s="686">
        <f t="shared" si="94"/>
        <v>37.6</v>
      </c>
    </row>
    <row r="3132" spans="2:13" s="645" customFormat="1" ht="21.75" customHeight="1">
      <c r="B3132" s="661">
        <v>44461</v>
      </c>
      <c r="C3132" s="662" t="s">
        <v>837</v>
      </c>
      <c r="D3132" s="663" t="s">
        <v>873</v>
      </c>
      <c r="E3132" s="664" t="s">
        <v>831</v>
      </c>
      <c r="F3132" s="665"/>
      <c r="G3132" s="663">
        <v>17</v>
      </c>
      <c r="H3132" s="662" t="s">
        <v>807</v>
      </c>
      <c r="I3132" s="666" t="s">
        <v>859</v>
      </c>
      <c r="J3132" s="667" t="s">
        <v>865</v>
      </c>
      <c r="K3132" s="662">
        <v>5</v>
      </c>
      <c r="L3132" s="685">
        <f t="shared" si="93"/>
        <v>15.98</v>
      </c>
      <c r="M3132" s="686">
        <f t="shared" si="94"/>
        <v>79.900000000000006</v>
      </c>
    </row>
    <row r="3133" spans="2:13" s="645" customFormat="1" ht="21.75" customHeight="1">
      <c r="B3133" s="708">
        <v>44461</v>
      </c>
      <c r="C3133" s="709" t="s">
        <v>819</v>
      </c>
      <c r="D3133" s="710" t="s">
        <v>849</v>
      </c>
      <c r="E3133" s="711" t="s">
        <v>831</v>
      </c>
      <c r="F3133" s="712"/>
      <c r="G3133" s="710">
        <v>20</v>
      </c>
      <c r="H3133" s="709" t="s">
        <v>807</v>
      </c>
      <c r="I3133" s="713" t="s">
        <v>859</v>
      </c>
      <c r="J3133" s="714" t="s">
        <v>802</v>
      </c>
      <c r="K3133" s="709">
        <v>7</v>
      </c>
      <c r="L3133" s="715">
        <f t="shared" si="93"/>
        <v>18.8</v>
      </c>
      <c r="M3133" s="716">
        <f t="shared" si="94"/>
        <v>131.6</v>
      </c>
    </row>
    <row r="3134" spans="2:13" s="645" customFormat="1" ht="21.75" customHeight="1">
      <c r="B3134" s="708">
        <v>44461</v>
      </c>
      <c r="C3134" s="709" t="s">
        <v>819</v>
      </c>
      <c r="D3134" s="710" t="s">
        <v>840</v>
      </c>
      <c r="E3134" s="711" t="s">
        <v>831</v>
      </c>
      <c r="F3134" s="712"/>
      <c r="G3134" s="710">
        <v>20</v>
      </c>
      <c r="H3134" s="709" t="s">
        <v>807</v>
      </c>
      <c r="I3134" s="713" t="s">
        <v>859</v>
      </c>
      <c r="J3134" s="714" t="s">
        <v>802</v>
      </c>
      <c r="K3134" s="709">
        <v>4</v>
      </c>
      <c r="L3134" s="715">
        <f t="shared" si="93"/>
        <v>18.8</v>
      </c>
      <c r="M3134" s="716">
        <f t="shared" si="94"/>
        <v>75.2</v>
      </c>
    </row>
    <row r="3135" spans="2:13" s="645" customFormat="1" ht="21.75" customHeight="1">
      <c r="B3135" s="708">
        <v>44461</v>
      </c>
      <c r="C3135" s="709" t="s">
        <v>819</v>
      </c>
      <c r="D3135" s="710" t="s">
        <v>835</v>
      </c>
      <c r="E3135" s="711" t="s">
        <v>831</v>
      </c>
      <c r="F3135" s="712"/>
      <c r="G3135" s="710">
        <v>20</v>
      </c>
      <c r="H3135" s="709" t="s">
        <v>807</v>
      </c>
      <c r="I3135" s="713" t="s">
        <v>859</v>
      </c>
      <c r="J3135" s="714" t="s">
        <v>802</v>
      </c>
      <c r="K3135" s="709">
        <v>2</v>
      </c>
      <c r="L3135" s="715">
        <f t="shared" si="93"/>
        <v>18.8</v>
      </c>
      <c r="M3135" s="716">
        <f t="shared" si="94"/>
        <v>37.6</v>
      </c>
    </row>
    <row r="3136" spans="2:13" s="645" customFormat="1" ht="21.75" customHeight="1">
      <c r="B3136" s="708">
        <v>44461</v>
      </c>
      <c r="C3136" s="709" t="s">
        <v>819</v>
      </c>
      <c r="D3136" s="710" t="s">
        <v>841</v>
      </c>
      <c r="E3136" s="711" t="s">
        <v>831</v>
      </c>
      <c r="F3136" s="712"/>
      <c r="G3136" s="710">
        <v>20</v>
      </c>
      <c r="H3136" s="709" t="s">
        <v>807</v>
      </c>
      <c r="I3136" s="713" t="s">
        <v>859</v>
      </c>
      <c r="J3136" s="714" t="s">
        <v>802</v>
      </c>
      <c r="K3136" s="709">
        <v>6</v>
      </c>
      <c r="L3136" s="715">
        <f t="shared" si="93"/>
        <v>18.8</v>
      </c>
      <c r="M3136" s="716">
        <f t="shared" si="94"/>
        <v>112.80000000000001</v>
      </c>
    </row>
    <row r="3137" spans="2:13" s="645" customFormat="1" ht="21.75" customHeight="1">
      <c r="B3137" s="708">
        <v>44461</v>
      </c>
      <c r="C3137" s="709" t="s">
        <v>819</v>
      </c>
      <c r="D3137" s="710" t="s">
        <v>834</v>
      </c>
      <c r="E3137" s="711" t="s">
        <v>831</v>
      </c>
      <c r="F3137" s="712"/>
      <c r="G3137" s="710">
        <v>20</v>
      </c>
      <c r="H3137" s="709" t="s">
        <v>807</v>
      </c>
      <c r="I3137" s="713" t="s">
        <v>859</v>
      </c>
      <c r="J3137" s="714" t="s">
        <v>802</v>
      </c>
      <c r="K3137" s="709">
        <v>4</v>
      </c>
      <c r="L3137" s="715">
        <f t="shared" si="93"/>
        <v>18.8</v>
      </c>
      <c r="M3137" s="716">
        <f t="shared" si="94"/>
        <v>75.2</v>
      </c>
    </row>
    <row r="3138" spans="2:13" s="645" customFormat="1" ht="21.75" customHeight="1">
      <c r="B3138" s="708">
        <v>44461</v>
      </c>
      <c r="C3138" s="709" t="s">
        <v>819</v>
      </c>
      <c r="D3138" s="710" t="s">
        <v>830</v>
      </c>
      <c r="E3138" s="711" t="s">
        <v>831</v>
      </c>
      <c r="F3138" s="712"/>
      <c r="G3138" s="710">
        <v>15</v>
      </c>
      <c r="H3138" s="709" t="s">
        <v>807</v>
      </c>
      <c r="I3138" s="713" t="s">
        <v>859</v>
      </c>
      <c r="J3138" s="714" t="s">
        <v>802</v>
      </c>
      <c r="K3138" s="709">
        <v>5</v>
      </c>
      <c r="L3138" s="715">
        <f t="shared" si="93"/>
        <v>14.1</v>
      </c>
      <c r="M3138" s="716">
        <f t="shared" si="94"/>
        <v>70.5</v>
      </c>
    </row>
    <row r="3139" spans="2:13" s="645" customFormat="1" ht="21.75" customHeight="1">
      <c r="B3139" s="708">
        <v>44461</v>
      </c>
      <c r="C3139" s="709" t="s">
        <v>819</v>
      </c>
      <c r="D3139" s="710" t="s">
        <v>839</v>
      </c>
      <c r="E3139" s="711" t="s">
        <v>831</v>
      </c>
      <c r="F3139" s="712"/>
      <c r="G3139" s="710">
        <v>15</v>
      </c>
      <c r="H3139" s="709" t="s">
        <v>807</v>
      </c>
      <c r="I3139" s="713" t="s">
        <v>859</v>
      </c>
      <c r="J3139" s="714" t="s">
        <v>802</v>
      </c>
      <c r="K3139" s="709">
        <v>3</v>
      </c>
      <c r="L3139" s="715">
        <f t="shared" si="93"/>
        <v>14.1</v>
      </c>
      <c r="M3139" s="716">
        <f t="shared" si="94"/>
        <v>42.3</v>
      </c>
    </row>
    <row r="3140" spans="2:13" s="645" customFormat="1" ht="21.75" customHeight="1">
      <c r="B3140" s="708">
        <v>44461</v>
      </c>
      <c r="C3140" s="709" t="s">
        <v>819</v>
      </c>
      <c r="D3140" s="710" t="s">
        <v>845</v>
      </c>
      <c r="E3140" s="711" t="s">
        <v>831</v>
      </c>
      <c r="F3140" s="712"/>
      <c r="G3140" s="710">
        <v>17</v>
      </c>
      <c r="H3140" s="709" t="s">
        <v>807</v>
      </c>
      <c r="I3140" s="713" t="s">
        <v>805</v>
      </c>
      <c r="J3140" s="714" t="s">
        <v>802</v>
      </c>
      <c r="K3140" s="709">
        <v>10</v>
      </c>
      <c r="L3140" s="715">
        <f t="shared" si="93"/>
        <v>15.98</v>
      </c>
      <c r="M3140" s="716">
        <f t="shared" si="94"/>
        <v>159.80000000000001</v>
      </c>
    </row>
    <row r="3141" spans="2:13" s="645" customFormat="1" ht="21.75" customHeight="1">
      <c r="B3141" s="708">
        <v>44461</v>
      </c>
      <c r="C3141" s="709" t="s">
        <v>819</v>
      </c>
      <c r="D3141" s="710" t="s">
        <v>845</v>
      </c>
      <c r="E3141" s="711" t="s">
        <v>831</v>
      </c>
      <c r="F3141" s="712"/>
      <c r="G3141" s="710">
        <v>17</v>
      </c>
      <c r="H3141" s="709" t="s">
        <v>807</v>
      </c>
      <c r="I3141" s="713" t="s">
        <v>859</v>
      </c>
      <c r="J3141" s="714" t="s">
        <v>802</v>
      </c>
      <c r="K3141" s="709">
        <v>1</v>
      </c>
      <c r="L3141" s="715">
        <f t="shared" si="93"/>
        <v>15.98</v>
      </c>
      <c r="M3141" s="716">
        <f t="shared" si="94"/>
        <v>15.98</v>
      </c>
    </row>
    <row r="3142" spans="2:13" s="645" customFormat="1" ht="21.75" customHeight="1">
      <c r="B3142" s="708">
        <v>44461</v>
      </c>
      <c r="C3142" s="709" t="s">
        <v>819</v>
      </c>
      <c r="D3142" s="710" t="s">
        <v>847</v>
      </c>
      <c r="E3142" s="711" t="s">
        <v>831</v>
      </c>
      <c r="F3142" s="712"/>
      <c r="G3142" s="710">
        <v>17</v>
      </c>
      <c r="H3142" s="709" t="s">
        <v>807</v>
      </c>
      <c r="I3142" s="713" t="s">
        <v>859</v>
      </c>
      <c r="J3142" s="714" t="s">
        <v>802</v>
      </c>
      <c r="K3142" s="709">
        <v>6</v>
      </c>
      <c r="L3142" s="715">
        <f t="shared" si="93"/>
        <v>15.98</v>
      </c>
      <c r="M3142" s="716">
        <f t="shared" si="94"/>
        <v>95.88</v>
      </c>
    </row>
    <row r="3143" spans="2:13" s="645" customFormat="1" ht="21.75" customHeight="1">
      <c r="B3143" s="708">
        <v>44461</v>
      </c>
      <c r="C3143" s="709" t="s">
        <v>819</v>
      </c>
      <c r="D3143" s="710" t="s">
        <v>856</v>
      </c>
      <c r="E3143" s="711" t="s">
        <v>831</v>
      </c>
      <c r="F3143" s="712"/>
      <c r="G3143" s="710">
        <v>20</v>
      </c>
      <c r="H3143" s="709" t="s">
        <v>807</v>
      </c>
      <c r="I3143" s="713" t="s">
        <v>859</v>
      </c>
      <c r="J3143" s="714" t="s">
        <v>802</v>
      </c>
      <c r="K3143" s="709">
        <v>2</v>
      </c>
      <c r="L3143" s="715">
        <f t="shared" si="93"/>
        <v>18.8</v>
      </c>
      <c r="M3143" s="716">
        <f t="shared" si="94"/>
        <v>37.6</v>
      </c>
    </row>
    <row r="3144" spans="2:13" s="645" customFormat="1" ht="21.75" customHeight="1">
      <c r="B3144" s="708">
        <v>44461</v>
      </c>
      <c r="C3144" s="709" t="s">
        <v>819</v>
      </c>
      <c r="D3144" s="710" t="s">
        <v>878</v>
      </c>
      <c r="E3144" s="711" t="s">
        <v>831</v>
      </c>
      <c r="F3144" s="712"/>
      <c r="G3144" s="710">
        <v>15</v>
      </c>
      <c r="H3144" s="709" t="s">
        <v>807</v>
      </c>
      <c r="I3144" s="713" t="s">
        <v>859</v>
      </c>
      <c r="J3144" s="714" t="s">
        <v>802</v>
      </c>
      <c r="K3144" s="709">
        <v>5</v>
      </c>
      <c r="L3144" s="715">
        <f t="shared" si="93"/>
        <v>14.1</v>
      </c>
      <c r="M3144" s="716">
        <f t="shared" si="94"/>
        <v>70.5</v>
      </c>
    </row>
    <row r="3145" spans="2:13" s="645" customFormat="1" ht="21.75" customHeight="1">
      <c r="B3145" s="708">
        <v>44461</v>
      </c>
      <c r="C3145" s="709" t="s">
        <v>819</v>
      </c>
      <c r="D3145" s="710" t="s">
        <v>855</v>
      </c>
      <c r="E3145" s="711" t="s">
        <v>831</v>
      </c>
      <c r="F3145" s="712"/>
      <c r="G3145" s="710">
        <v>20</v>
      </c>
      <c r="H3145" s="709" t="s">
        <v>807</v>
      </c>
      <c r="I3145" s="713" t="s">
        <v>859</v>
      </c>
      <c r="J3145" s="714" t="s">
        <v>802</v>
      </c>
      <c r="K3145" s="709">
        <v>8</v>
      </c>
      <c r="L3145" s="715">
        <f t="shared" ref="L3145:L3208" si="95">VLOOKUP(G3145,$Q$4:$V$7,6,FALSE)</f>
        <v>18.8</v>
      </c>
      <c r="M3145" s="716">
        <f t="shared" si="94"/>
        <v>150.4</v>
      </c>
    </row>
    <row r="3146" spans="2:13" s="645" customFormat="1" ht="21.75" customHeight="1">
      <c r="B3146" s="708">
        <v>44461</v>
      </c>
      <c r="C3146" s="709" t="s">
        <v>819</v>
      </c>
      <c r="D3146" s="710" t="s">
        <v>867</v>
      </c>
      <c r="E3146" s="711" t="s">
        <v>831</v>
      </c>
      <c r="F3146" s="712"/>
      <c r="G3146" s="710">
        <v>20</v>
      </c>
      <c r="H3146" s="709" t="s">
        <v>807</v>
      </c>
      <c r="I3146" s="713" t="s">
        <v>859</v>
      </c>
      <c r="J3146" s="714" t="s">
        <v>802</v>
      </c>
      <c r="K3146" s="709">
        <v>6</v>
      </c>
      <c r="L3146" s="715">
        <f t="shared" si="95"/>
        <v>18.8</v>
      </c>
      <c r="M3146" s="716">
        <f t="shared" si="94"/>
        <v>112.80000000000001</v>
      </c>
    </row>
    <row r="3147" spans="2:13" s="645" customFormat="1" ht="21.75" customHeight="1">
      <c r="B3147" s="708">
        <v>44461</v>
      </c>
      <c r="C3147" s="709" t="s">
        <v>819</v>
      </c>
      <c r="D3147" s="710" t="s">
        <v>876</v>
      </c>
      <c r="E3147" s="711" t="s">
        <v>831</v>
      </c>
      <c r="F3147" s="712"/>
      <c r="G3147" s="710">
        <v>20</v>
      </c>
      <c r="H3147" s="709" t="s">
        <v>807</v>
      </c>
      <c r="I3147" s="713" t="s">
        <v>859</v>
      </c>
      <c r="J3147" s="714" t="s">
        <v>802</v>
      </c>
      <c r="K3147" s="709">
        <v>7</v>
      </c>
      <c r="L3147" s="715">
        <f t="shared" si="95"/>
        <v>18.8</v>
      </c>
      <c r="M3147" s="716">
        <f t="shared" si="94"/>
        <v>131.6</v>
      </c>
    </row>
    <row r="3148" spans="2:13" s="645" customFormat="1" ht="21.75" customHeight="1">
      <c r="B3148" s="708">
        <v>44461</v>
      </c>
      <c r="C3148" s="709" t="s">
        <v>819</v>
      </c>
      <c r="D3148" s="710" t="s">
        <v>868</v>
      </c>
      <c r="E3148" s="711" t="s">
        <v>831</v>
      </c>
      <c r="F3148" s="712"/>
      <c r="G3148" s="710">
        <v>20</v>
      </c>
      <c r="H3148" s="709" t="s">
        <v>807</v>
      </c>
      <c r="I3148" s="713" t="s">
        <v>859</v>
      </c>
      <c r="J3148" s="714" t="s">
        <v>802</v>
      </c>
      <c r="K3148" s="709">
        <v>7</v>
      </c>
      <c r="L3148" s="715">
        <f t="shared" si="95"/>
        <v>18.8</v>
      </c>
      <c r="M3148" s="716">
        <f t="shared" si="94"/>
        <v>131.6</v>
      </c>
    </row>
    <row r="3149" spans="2:13" s="645" customFormat="1" ht="21.75" customHeight="1">
      <c r="B3149" s="708">
        <v>44461</v>
      </c>
      <c r="C3149" s="709" t="s">
        <v>819</v>
      </c>
      <c r="D3149" s="710" t="s">
        <v>877</v>
      </c>
      <c r="E3149" s="711" t="s">
        <v>831</v>
      </c>
      <c r="F3149" s="712"/>
      <c r="G3149" s="710">
        <v>20</v>
      </c>
      <c r="H3149" s="709" t="s">
        <v>807</v>
      </c>
      <c r="I3149" s="713" t="s">
        <v>859</v>
      </c>
      <c r="J3149" s="714" t="s">
        <v>802</v>
      </c>
      <c r="K3149" s="709">
        <v>6</v>
      </c>
      <c r="L3149" s="715">
        <f t="shared" si="95"/>
        <v>18.8</v>
      </c>
      <c r="M3149" s="716">
        <f t="shared" si="94"/>
        <v>112.80000000000001</v>
      </c>
    </row>
    <row r="3150" spans="2:13" s="645" customFormat="1" ht="21.75" customHeight="1">
      <c r="B3150" s="708">
        <v>44461</v>
      </c>
      <c r="C3150" s="709" t="s">
        <v>819</v>
      </c>
      <c r="D3150" s="710" t="s">
        <v>870</v>
      </c>
      <c r="E3150" s="711" t="s">
        <v>831</v>
      </c>
      <c r="F3150" s="712"/>
      <c r="G3150" s="710">
        <v>20</v>
      </c>
      <c r="H3150" s="709" t="s">
        <v>807</v>
      </c>
      <c r="I3150" s="713" t="s">
        <v>805</v>
      </c>
      <c r="J3150" s="714" t="s">
        <v>802</v>
      </c>
      <c r="K3150" s="709">
        <v>15</v>
      </c>
      <c r="L3150" s="715">
        <f t="shared" si="95"/>
        <v>18.8</v>
      </c>
      <c r="M3150" s="716">
        <f t="shared" si="94"/>
        <v>282</v>
      </c>
    </row>
    <row r="3151" spans="2:13" s="645" customFormat="1" ht="21.75" customHeight="1">
      <c r="B3151" s="708">
        <v>44461</v>
      </c>
      <c r="C3151" s="709" t="s">
        <v>819</v>
      </c>
      <c r="D3151" s="710" t="s">
        <v>870</v>
      </c>
      <c r="E3151" s="711" t="s">
        <v>831</v>
      </c>
      <c r="F3151" s="712"/>
      <c r="G3151" s="710">
        <v>20</v>
      </c>
      <c r="H3151" s="709" t="s">
        <v>807</v>
      </c>
      <c r="I3151" s="713" t="s">
        <v>859</v>
      </c>
      <c r="J3151" s="714" t="s">
        <v>802</v>
      </c>
      <c r="K3151" s="709">
        <v>4</v>
      </c>
      <c r="L3151" s="715">
        <f t="shared" si="95"/>
        <v>18.8</v>
      </c>
      <c r="M3151" s="716">
        <f t="shared" si="94"/>
        <v>75.2</v>
      </c>
    </row>
    <row r="3152" spans="2:13" s="645" customFormat="1" ht="21.75" customHeight="1">
      <c r="B3152" s="708">
        <v>44461</v>
      </c>
      <c r="C3152" s="709" t="s">
        <v>819</v>
      </c>
      <c r="D3152" s="710" t="s">
        <v>873</v>
      </c>
      <c r="E3152" s="711" t="s">
        <v>831</v>
      </c>
      <c r="F3152" s="712"/>
      <c r="G3152" s="710">
        <v>17</v>
      </c>
      <c r="H3152" s="709" t="s">
        <v>807</v>
      </c>
      <c r="I3152" s="713" t="s">
        <v>859</v>
      </c>
      <c r="J3152" s="714" t="s">
        <v>802</v>
      </c>
      <c r="K3152" s="709">
        <v>6</v>
      </c>
      <c r="L3152" s="715">
        <f t="shared" si="95"/>
        <v>15.98</v>
      </c>
      <c r="M3152" s="716">
        <f t="shared" si="94"/>
        <v>95.88</v>
      </c>
    </row>
    <row r="3153" spans="2:13" s="645" customFormat="1" ht="21.75" customHeight="1">
      <c r="B3153" s="708">
        <v>44461</v>
      </c>
      <c r="C3153" s="709" t="s">
        <v>837</v>
      </c>
      <c r="D3153" s="710" t="s">
        <v>856</v>
      </c>
      <c r="E3153" s="711" t="s">
        <v>831</v>
      </c>
      <c r="F3153" s="712"/>
      <c r="G3153" s="710">
        <v>20</v>
      </c>
      <c r="H3153" s="709" t="s">
        <v>807</v>
      </c>
      <c r="I3153" s="713" t="s">
        <v>859</v>
      </c>
      <c r="J3153" s="714" t="s">
        <v>802</v>
      </c>
      <c r="K3153" s="709">
        <v>4</v>
      </c>
      <c r="L3153" s="715">
        <f t="shared" si="95"/>
        <v>18.8</v>
      </c>
      <c r="M3153" s="716">
        <f t="shared" si="94"/>
        <v>75.2</v>
      </c>
    </row>
    <row r="3154" spans="2:13" s="645" customFormat="1" ht="21.75" customHeight="1">
      <c r="B3154" s="708">
        <v>44461</v>
      </c>
      <c r="C3154" s="709" t="s">
        <v>837</v>
      </c>
      <c r="D3154" s="710" t="s">
        <v>855</v>
      </c>
      <c r="E3154" s="711" t="s">
        <v>831</v>
      </c>
      <c r="F3154" s="712"/>
      <c r="G3154" s="710">
        <v>20</v>
      </c>
      <c r="H3154" s="709" t="s">
        <v>807</v>
      </c>
      <c r="I3154" s="713" t="s">
        <v>859</v>
      </c>
      <c r="J3154" s="714" t="s">
        <v>802</v>
      </c>
      <c r="K3154" s="709">
        <v>1</v>
      </c>
      <c r="L3154" s="715">
        <f t="shared" si="95"/>
        <v>18.8</v>
      </c>
      <c r="M3154" s="716">
        <f t="shared" si="94"/>
        <v>18.8</v>
      </c>
    </row>
    <row r="3155" spans="2:13" s="645" customFormat="1" ht="21.75" customHeight="1">
      <c r="B3155" s="708">
        <v>44461</v>
      </c>
      <c r="C3155" s="709" t="s">
        <v>837</v>
      </c>
      <c r="D3155" s="710" t="s">
        <v>840</v>
      </c>
      <c r="E3155" s="711" t="s">
        <v>831</v>
      </c>
      <c r="F3155" s="712"/>
      <c r="G3155" s="710">
        <v>20</v>
      </c>
      <c r="H3155" s="709" t="s">
        <v>807</v>
      </c>
      <c r="I3155" s="713" t="s">
        <v>859</v>
      </c>
      <c r="J3155" s="714" t="s">
        <v>802</v>
      </c>
      <c r="K3155" s="709">
        <v>2</v>
      </c>
      <c r="L3155" s="715">
        <f t="shared" si="95"/>
        <v>18.8</v>
      </c>
      <c r="M3155" s="716">
        <f t="shared" si="94"/>
        <v>37.6</v>
      </c>
    </row>
    <row r="3156" spans="2:13" s="645" customFormat="1" ht="21.75" customHeight="1">
      <c r="B3156" s="708">
        <v>44461</v>
      </c>
      <c r="C3156" s="709" t="s">
        <v>837</v>
      </c>
      <c r="D3156" s="710" t="s">
        <v>841</v>
      </c>
      <c r="E3156" s="711" t="s">
        <v>831</v>
      </c>
      <c r="F3156" s="712"/>
      <c r="G3156" s="710">
        <v>20</v>
      </c>
      <c r="H3156" s="709" t="s">
        <v>807</v>
      </c>
      <c r="I3156" s="713" t="s">
        <v>859</v>
      </c>
      <c r="J3156" s="714" t="s">
        <v>802</v>
      </c>
      <c r="K3156" s="709">
        <v>1</v>
      </c>
      <c r="L3156" s="715">
        <f t="shared" si="95"/>
        <v>18.8</v>
      </c>
      <c r="M3156" s="716">
        <f t="shared" si="94"/>
        <v>18.8</v>
      </c>
    </row>
    <row r="3157" spans="2:13" s="645" customFormat="1" ht="21.75" customHeight="1">
      <c r="B3157" s="708">
        <v>44461</v>
      </c>
      <c r="C3157" s="709" t="s">
        <v>837</v>
      </c>
      <c r="D3157" s="710" t="s">
        <v>848</v>
      </c>
      <c r="E3157" s="711" t="s">
        <v>831</v>
      </c>
      <c r="F3157" s="712"/>
      <c r="G3157" s="710">
        <v>20</v>
      </c>
      <c r="H3157" s="709" t="s">
        <v>807</v>
      </c>
      <c r="I3157" s="713" t="s">
        <v>859</v>
      </c>
      <c r="J3157" s="714" t="s">
        <v>802</v>
      </c>
      <c r="K3157" s="709">
        <v>6</v>
      </c>
      <c r="L3157" s="715">
        <f t="shared" si="95"/>
        <v>18.8</v>
      </c>
      <c r="M3157" s="716">
        <f t="shared" si="94"/>
        <v>112.80000000000001</v>
      </c>
    </row>
    <row r="3158" spans="2:13" s="645" customFormat="1" ht="21.75" customHeight="1">
      <c r="B3158" s="708">
        <v>44461</v>
      </c>
      <c r="C3158" s="709" t="s">
        <v>837</v>
      </c>
      <c r="D3158" s="710" t="s">
        <v>845</v>
      </c>
      <c r="E3158" s="711" t="s">
        <v>831</v>
      </c>
      <c r="F3158" s="712"/>
      <c r="G3158" s="710">
        <v>17</v>
      </c>
      <c r="H3158" s="709" t="s">
        <v>807</v>
      </c>
      <c r="I3158" s="713" t="s">
        <v>859</v>
      </c>
      <c r="J3158" s="714" t="s">
        <v>802</v>
      </c>
      <c r="K3158" s="709">
        <v>2</v>
      </c>
      <c r="L3158" s="715">
        <f t="shared" si="95"/>
        <v>15.98</v>
      </c>
      <c r="M3158" s="716">
        <f t="shared" si="94"/>
        <v>31.96</v>
      </c>
    </row>
    <row r="3159" spans="2:13" s="645" customFormat="1" ht="21.75" customHeight="1">
      <c r="B3159" s="708">
        <v>44461</v>
      </c>
      <c r="C3159" s="709" t="s">
        <v>837</v>
      </c>
      <c r="D3159" s="710" t="s">
        <v>847</v>
      </c>
      <c r="E3159" s="711" t="s">
        <v>831</v>
      </c>
      <c r="F3159" s="712"/>
      <c r="G3159" s="710">
        <v>17</v>
      </c>
      <c r="H3159" s="709" t="s">
        <v>807</v>
      </c>
      <c r="I3159" s="713" t="s">
        <v>859</v>
      </c>
      <c r="J3159" s="714" t="s">
        <v>802</v>
      </c>
      <c r="K3159" s="709">
        <v>5</v>
      </c>
      <c r="L3159" s="715">
        <f t="shared" si="95"/>
        <v>15.98</v>
      </c>
      <c r="M3159" s="716">
        <f t="shared" si="94"/>
        <v>79.900000000000006</v>
      </c>
    </row>
    <row r="3160" spans="2:13" s="645" customFormat="1" ht="21.75" customHeight="1">
      <c r="B3160" s="708">
        <v>44461</v>
      </c>
      <c r="C3160" s="709" t="s">
        <v>837</v>
      </c>
      <c r="D3160" s="710" t="s">
        <v>878</v>
      </c>
      <c r="E3160" s="711" t="s">
        <v>831</v>
      </c>
      <c r="F3160" s="712"/>
      <c r="G3160" s="710">
        <v>15</v>
      </c>
      <c r="H3160" s="709" t="s">
        <v>807</v>
      </c>
      <c r="I3160" s="713" t="s">
        <v>859</v>
      </c>
      <c r="J3160" s="714" t="s">
        <v>802</v>
      </c>
      <c r="K3160" s="709">
        <v>2</v>
      </c>
      <c r="L3160" s="715">
        <f t="shared" si="95"/>
        <v>14.1</v>
      </c>
      <c r="M3160" s="716">
        <f t="shared" si="94"/>
        <v>28.2</v>
      </c>
    </row>
    <row r="3161" spans="2:13" s="645" customFormat="1" ht="21.75" customHeight="1">
      <c r="B3161" s="708">
        <v>44461</v>
      </c>
      <c r="C3161" s="709" t="s">
        <v>837</v>
      </c>
      <c r="D3161" s="710" t="s">
        <v>875</v>
      </c>
      <c r="E3161" s="711" t="s">
        <v>831</v>
      </c>
      <c r="F3161" s="712"/>
      <c r="G3161" s="710">
        <v>20</v>
      </c>
      <c r="H3161" s="709" t="s">
        <v>807</v>
      </c>
      <c r="I3161" s="713" t="s">
        <v>859</v>
      </c>
      <c r="J3161" s="714" t="s">
        <v>802</v>
      </c>
      <c r="K3161" s="709">
        <v>8</v>
      </c>
      <c r="L3161" s="715">
        <f t="shared" si="95"/>
        <v>18.8</v>
      </c>
      <c r="M3161" s="716">
        <f t="shared" si="94"/>
        <v>150.4</v>
      </c>
    </row>
    <row r="3162" spans="2:13" s="645" customFormat="1" ht="21.75" customHeight="1">
      <c r="B3162" s="708">
        <v>44461</v>
      </c>
      <c r="C3162" s="709" t="s">
        <v>837</v>
      </c>
      <c r="D3162" s="710" t="s">
        <v>873</v>
      </c>
      <c r="E3162" s="711" t="s">
        <v>831</v>
      </c>
      <c r="F3162" s="712"/>
      <c r="G3162" s="710">
        <v>17</v>
      </c>
      <c r="H3162" s="709" t="s">
        <v>807</v>
      </c>
      <c r="I3162" s="713" t="s">
        <v>859</v>
      </c>
      <c r="J3162" s="714" t="s">
        <v>802</v>
      </c>
      <c r="K3162" s="709">
        <v>8</v>
      </c>
      <c r="L3162" s="715">
        <f t="shared" si="95"/>
        <v>15.98</v>
      </c>
      <c r="M3162" s="716">
        <f t="shared" si="94"/>
        <v>127.84</v>
      </c>
    </row>
    <row r="3163" spans="2:13" s="645" customFormat="1" ht="21.75" customHeight="1">
      <c r="B3163" s="661">
        <v>44462</v>
      </c>
      <c r="C3163" s="662" t="s">
        <v>819</v>
      </c>
      <c r="D3163" s="663" t="s">
        <v>849</v>
      </c>
      <c r="E3163" s="664" t="s">
        <v>831</v>
      </c>
      <c r="F3163" s="665"/>
      <c r="G3163" s="663">
        <v>20</v>
      </c>
      <c r="H3163" s="662" t="s">
        <v>807</v>
      </c>
      <c r="I3163" s="666" t="s">
        <v>857</v>
      </c>
      <c r="J3163" s="667" t="s">
        <v>804</v>
      </c>
      <c r="K3163" s="662">
        <v>4</v>
      </c>
      <c r="L3163" s="685">
        <f t="shared" si="95"/>
        <v>18.8</v>
      </c>
      <c r="M3163" s="686">
        <f t="shared" si="94"/>
        <v>75.2</v>
      </c>
    </row>
    <row r="3164" spans="2:13" s="645" customFormat="1" ht="21.75" customHeight="1">
      <c r="B3164" s="661">
        <v>44462</v>
      </c>
      <c r="C3164" s="662" t="s">
        <v>819</v>
      </c>
      <c r="D3164" s="663" t="s">
        <v>840</v>
      </c>
      <c r="E3164" s="664" t="s">
        <v>831</v>
      </c>
      <c r="F3164" s="665"/>
      <c r="G3164" s="663">
        <v>20</v>
      </c>
      <c r="H3164" s="662" t="s">
        <v>807</v>
      </c>
      <c r="I3164" s="666" t="s">
        <v>857</v>
      </c>
      <c r="J3164" s="667" t="s">
        <v>805</v>
      </c>
      <c r="K3164" s="662">
        <v>1</v>
      </c>
      <c r="L3164" s="685">
        <f t="shared" si="95"/>
        <v>18.8</v>
      </c>
      <c r="M3164" s="686">
        <f t="shared" si="94"/>
        <v>18.8</v>
      </c>
    </row>
    <row r="3165" spans="2:13" s="645" customFormat="1" ht="21.75" customHeight="1">
      <c r="B3165" s="661">
        <v>44462</v>
      </c>
      <c r="C3165" s="662" t="s">
        <v>819</v>
      </c>
      <c r="D3165" s="663" t="s">
        <v>840</v>
      </c>
      <c r="E3165" s="664" t="s">
        <v>831</v>
      </c>
      <c r="F3165" s="665"/>
      <c r="G3165" s="663">
        <v>20</v>
      </c>
      <c r="H3165" s="662" t="s">
        <v>807</v>
      </c>
      <c r="I3165" s="666" t="s">
        <v>857</v>
      </c>
      <c r="J3165" s="667" t="s">
        <v>804</v>
      </c>
      <c r="K3165" s="662">
        <v>2</v>
      </c>
      <c r="L3165" s="685">
        <f t="shared" si="95"/>
        <v>18.8</v>
      </c>
      <c r="M3165" s="686">
        <f t="shared" si="94"/>
        <v>37.6</v>
      </c>
    </row>
    <row r="3166" spans="2:13" s="645" customFormat="1" ht="21.75" customHeight="1">
      <c r="B3166" s="661">
        <v>44462</v>
      </c>
      <c r="C3166" s="662" t="s">
        <v>819</v>
      </c>
      <c r="D3166" s="663" t="s">
        <v>835</v>
      </c>
      <c r="E3166" s="664" t="s">
        <v>831</v>
      </c>
      <c r="F3166" s="665"/>
      <c r="G3166" s="663">
        <v>20</v>
      </c>
      <c r="H3166" s="662" t="s">
        <v>807</v>
      </c>
      <c r="I3166" s="666" t="s">
        <v>857</v>
      </c>
      <c r="J3166" s="667" t="s">
        <v>804</v>
      </c>
      <c r="K3166" s="662">
        <v>1</v>
      </c>
      <c r="L3166" s="685">
        <f t="shared" si="95"/>
        <v>18.8</v>
      </c>
      <c r="M3166" s="686">
        <f t="shared" si="94"/>
        <v>18.8</v>
      </c>
    </row>
    <row r="3167" spans="2:13" s="645" customFormat="1" ht="21.75" customHeight="1">
      <c r="B3167" s="661">
        <v>44462</v>
      </c>
      <c r="C3167" s="662" t="s">
        <v>819</v>
      </c>
      <c r="D3167" s="663" t="s">
        <v>835</v>
      </c>
      <c r="E3167" s="664" t="s">
        <v>831</v>
      </c>
      <c r="F3167" s="665"/>
      <c r="G3167" s="663">
        <v>20</v>
      </c>
      <c r="H3167" s="662" t="s">
        <v>807</v>
      </c>
      <c r="I3167" s="666" t="s">
        <v>857</v>
      </c>
      <c r="J3167" s="667" t="s">
        <v>805</v>
      </c>
      <c r="K3167" s="662">
        <v>3</v>
      </c>
      <c r="L3167" s="685">
        <f t="shared" si="95"/>
        <v>18.8</v>
      </c>
      <c r="M3167" s="686">
        <f t="shared" si="94"/>
        <v>56.400000000000006</v>
      </c>
    </row>
    <row r="3168" spans="2:13" s="645" customFormat="1" ht="21.75" customHeight="1">
      <c r="B3168" s="661">
        <v>44462</v>
      </c>
      <c r="C3168" s="662" t="s">
        <v>819</v>
      </c>
      <c r="D3168" s="663" t="s">
        <v>841</v>
      </c>
      <c r="E3168" s="664" t="s">
        <v>831</v>
      </c>
      <c r="F3168" s="665"/>
      <c r="G3168" s="663">
        <v>20</v>
      </c>
      <c r="H3168" s="662" t="s">
        <v>807</v>
      </c>
      <c r="I3168" s="666" t="s">
        <v>857</v>
      </c>
      <c r="J3168" s="667" t="s">
        <v>804</v>
      </c>
      <c r="K3168" s="662">
        <v>3</v>
      </c>
      <c r="L3168" s="685">
        <f t="shared" si="95"/>
        <v>18.8</v>
      </c>
      <c r="M3168" s="686">
        <f t="shared" si="94"/>
        <v>56.400000000000006</v>
      </c>
    </row>
    <row r="3169" spans="2:13" s="645" customFormat="1" ht="21.75" customHeight="1">
      <c r="B3169" s="661">
        <v>44462</v>
      </c>
      <c r="C3169" s="662" t="s">
        <v>819</v>
      </c>
      <c r="D3169" s="663" t="s">
        <v>841</v>
      </c>
      <c r="E3169" s="664" t="s">
        <v>831</v>
      </c>
      <c r="F3169" s="665"/>
      <c r="G3169" s="663">
        <v>20</v>
      </c>
      <c r="H3169" s="662" t="s">
        <v>807</v>
      </c>
      <c r="I3169" s="666" t="s">
        <v>857</v>
      </c>
      <c r="J3169" s="667" t="s">
        <v>805</v>
      </c>
      <c r="K3169" s="662">
        <v>3</v>
      </c>
      <c r="L3169" s="685">
        <f t="shared" si="95"/>
        <v>18.8</v>
      </c>
      <c r="M3169" s="686">
        <f t="shared" si="94"/>
        <v>56.400000000000006</v>
      </c>
    </row>
    <row r="3170" spans="2:13" s="645" customFormat="1" ht="21.75" customHeight="1">
      <c r="B3170" s="661">
        <v>44462</v>
      </c>
      <c r="C3170" s="662" t="s">
        <v>819</v>
      </c>
      <c r="D3170" s="663" t="s">
        <v>834</v>
      </c>
      <c r="E3170" s="664" t="s">
        <v>831</v>
      </c>
      <c r="F3170" s="665"/>
      <c r="G3170" s="663">
        <v>20</v>
      </c>
      <c r="H3170" s="662" t="s">
        <v>807</v>
      </c>
      <c r="I3170" s="666" t="s">
        <v>857</v>
      </c>
      <c r="J3170" s="667" t="s">
        <v>804</v>
      </c>
      <c r="K3170" s="662">
        <v>6</v>
      </c>
      <c r="L3170" s="685">
        <f t="shared" si="95"/>
        <v>18.8</v>
      </c>
      <c r="M3170" s="686">
        <f t="shared" si="94"/>
        <v>112.80000000000001</v>
      </c>
    </row>
    <row r="3171" spans="2:13" s="645" customFormat="1" ht="21.75" customHeight="1">
      <c r="B3171" s="661">
        <v>44462</v>
      </c>
      <c r="C3171" s="662" t="s">
        <v>819</v>
      </c>
      <c r="D3171" s="663" t="s">
        <v>834</v>
      </c>
      <c r="E3171" s="664" t="s">
        <v>831</v>
      </c>
      <c r="F3171" s="665"/>
      <c r="G3171" s="663">
        <v>20</v>
      </c>
      <c r="H3171" s="662" t="s">
        <v>807</v>
      </c>
      <c r="I3171" s="666" t="s">
        <v>857</v>
      </c>
      <c r="J3171" s="667" t="s">
        <v>805</v>
      </c>
      <c r="K3171" s="662">
        <v>4</v>
      </c>
      <c r="L3171" s="685">
        <f t="shared" si="95"/>
        <v>18.8</v>
      </c>
      <c r="M3171" s="686">
        <f t="shared" si="94"/>
        <v>75.2</v>
      </c>
    </row>
    <row r="3172" spans="2:13" s="645" customFormat="1" ht="21.75" customHeight="1">
      <c r="B3172" s="661">
        <v>44462</v>
      </c>
      <c r="C3172" s="662" t="s">
        <v>819</v>
      </c>
      <c r="D3172" s="663" t="s">
        <v>848</v>
      </c>
      <c r="E3172" s="664" t="s">
        <v>831</v>
      </c>
      <c r="F3172" s="665"/>
      <c r="G3172" s="663">
        <v>20</v>
      </c>
      <c r="H3172" s="662" t="s">
        <v>807</v>
      </c>
      <c r="I3172" s="666" t="s">
        <v>857</v>
      </c>
      <c r="J3172" s="667" t="s">
        <v>804</v>
      </c>
      <c r="K3172" s="662">
        <v>1</v>
      </c>
      <c r="L3172" s="685">
        <f t="shared" si="95"/>
        <v>18.8</v>
      </c>
      <c r="M3172" s="686">
        <f t="shared" si="94"/>
        <v>18.8</v>
      </c>
    </row>
    <row r="3173" spans="2:13" s="645" customFormat="1" ht="21.75" customHeight="1">
      <c r="B3173" s="661">
        <v>44462</v>
      </c>
      <c r="C3173" s="662" t="s">
        <v>819</v>
      </c>
      <c r="D3173" s="663" t="s">
        <v>848</v>
      </c>
      <c r="E3173" s="664" t="s">
        <v>831</v>
      </c>
      <c r="F3173" s="665"/>
      <c r="G3173" s="663">
        <v>20</v>
      </c>
      <c r="H3173" s="662" t="s">
        <v>807</v>
      </c>
      <c r="I3173" s="666" t="s">
        <v>857</v>
      </c>
      <c r="J3173" s="667" t="s">
        <v>805</v>
      </c>
      <c r="K3173" s="662">
        <v>6</v>
      </c>
      <c r="L3173" s="685">
        <f t="shared" si="95"/>
        <v>18.8</v>
      </c>
      <c r="M3173" s="686">
        <f t="shared" si="94"/>
        <v>112.80000000000001</v>
      </c>
    </row>
    <row r="3174" spans="2:13" s="645" customFormat="1" ht="21.75" customHeight="1">
      <c r="B3174" s="661">
        <v>44462</v>
      </c>
      <c r="C3174" s="662" t="s">
        <v>819</v>
      </c>
      <c r="D3174" s="663" t="s">
        <v>830</v>
      </c>
      <c r="E3174" s="664" t="s">
        <v>831</v>
      </c>
      <c r="F3174" s="665"/>
      <c r="G3174" s="663">
        <v>15</v>
      </c>
      <c r="H3174" s="662" t="s">
        <v>807</v>
      </c>
      <c r="I3174" s="666" t="s">
        <v>857</v>
      </c>
      <c r="J3174" s="667" t="s">
        <v>804</v>
      </c>
      <c r="K3174" s="662">
        <v>7</v>
      </c>
      <c r="L3174" s="685">
        <f t="shared" si="95"/>
        <v>14.1</v>
      </c>
      <c r="M3174" s="686">
        <f t="shared" si="94"/>
        <v>98.7</v>
      </c>
    </row>
    <row r="3175" spans="2:13" s="645" customFormat="1" ht="21.75" customHeight="1">
      <c r="B3175" s="661">
        <v>44462</v>
      </c>
      <c r="C3175" s="662" t="s">
        <v>819</v>
      </c>
      <c r="D3175" s="663" t="s">
        <v>830</v>
      </c>
      <c r="E3175" s="664" t="s">
        <v>831</v>
      </c>
      <c r="F3175" s="665"/>
      <c r="G3175" s="663">
        <v>15</v>
      </c>
      <c r="H3175" s="662" t="s">
        <v>807</v>
      </c>
      <c r="I3175" s="666" t="s">
        <v>857</v>
      </c>
      <c r="J3175" s="667" t="s">
        <v>805</v>
      </c>
      <c r="K3175" s="662">
        <v>1</v>
      </c>
      <c r="L3175" s="685">
        <f t="shared" si="95"/>
        <v>14.1</v>
      </c>
      <c r="M3175" s="686">
        <f t="shared" ref="M3175:M3238" si="96">L3175*K3175</f>
        <v>14.1</v>
      </c>
    </row>
    <row r="3176" spans="2:13" s="645" customFormat="1" ht="21.75" customHeight="1">
      <c r="B3176" s="661">
        <v>44462</v>
      </c>
      <c r="C3176" s="662" t="s">
        <v>819</v>
      </c>
      <c r="D3176" s="663" t="s">
        <v>839</v>
      </c>
      <c r="E3176" s="664" t="s">
        <v>831</v>
      </c>
      <c r="F3176" s="665"/>
      <c r="G3176" s="663">
        <v>15</v>
      </c>
      <c r="H3176" s="662" t="s">
        <v>807</v>
      </c>
      <c r="I3176" s="666" t="s">
        <v>857</v>
      </c>
      <c r="J3176" s="667" t="s">
        <v>804</v>
      </c>
      <c r="K3176" s="662">
        <v>1</v>
      </c>
      <c r="L3176" s="685">
        <f t="shared" si="95"/>
        <v>14.1</v>
      </c>
      <c r="M3176" s="686">
        <f t="shared" si="96"/>
        <v>14.1</v>
      </c>
    </row>
    <row r="3177" spans="2:13" s="645" customFormat="1" ht="21.75" customHeight="1">
      <c r="B3177" s="661">
        <v>44462</v>
      </c>
      <c r="C3177" s="662" t="s">
        <v>819</v>
      </c>
      <c r="D3177" s="663" t="s">
        <v>839</v>
      </c>
      <c r="E3177" s="664" t="s">
        <v>831</v>
      </c>
      <c r="F3177" s="665"/>
      <c r="G3177" s="663">
        <v>15</v>
      </c>
      <c r="H3177" s="662" t="s">
        <v>807</v>
      </c>
      <c r="I3177" s="666" t="s">
        <v>857</v>
      </c>
      <c r="J3177" s="667" t="s">
        <v>805</v>
      </c>
      <c r="K3177" s="662">
        <v>3</v>
      </c>
      <c r="L3177" s="685">
        <f t="shared" si="95"/>
        <v>14.1</v>
      </c>
      <c r="M3177" s="686">
        <f t="shared" si="96"/>
        <v>42.3</v>
      </c>
    </row>
    <row r="3178" spans="2:13" s="645" customFormat="1" ht="21.75" customHeight="1">
      <c r="B3178" s="661">
        <v>44462</v>
      </c>
      <c r="C3178" s="662" t="s">
        <v>819</v>
      </c>
      <c r="D3178" s="663" t="s">
        <v>847</v>
      </c>
      <c r="E3178" s="664" t="s">
        <v>831</v>
      </c>
      <c r="F3178" s="665"/>
      <c r="G3178" s="663">
        <v>17</v>
      </c>
      <c r="H3178" s="662" t="s">
        <v>807</v>
      </c>
      <c r="I3178" s="666" t="s">
        <v>857</v>
      </c>
      <c r="J3178" s="667" t="s">
        <v>805</v>
      </c>
      <c r="K3178" s="662">
        <v>4</v>
      </c>
      <c r="L3178" s="685">
        <f t="shared" si="95"/>
        <v>15.98</v>
      </c>
      <c r="M3178" s="686">
        <f t="shared" si="96"/>
        <v>63.92</v>
      </c>
    </row>
    <row r="3179" spans="2:13" s="645" customFormat="1" ht="21.75" customHeight="1">
      <c r="B3179" s="661">
        <v>44462</v>
      </c>
      <c r="C3179" s="662" t="s">
        <v>819</v>
      </c>
      <c r="D3179" s="663" t="s">
        <v>847</v>
      </c>
      <c r="E3179" s="664" t="s">
        <v>831</v>
      </c>
      <c r="F3179" s="665"/>
      <c r="G3179" s="663">
        <v>17</v>
      </c>
      <c r="H3179" s="662" t="s">
        <v>807</v>
      </c>
      <c r="I3179" s="666" t="s">
        <v>857</v>
      </c>
      <c r="J3179" s="667" t="s">
        <v>804</v>
      </c>
      <c r="K3179" s="662">
        <v>2</v>
      </c>
      <c r="L3179" s="685">
        <f t="shared" si="95"/>
        <v>15.98</v>
      </c>
      <c r="M3179" s="686">
        <f t="shared" si="96"/>
        <v>31.96</v>
      </c>
    </row>
    <row r="3180" spans="2:13" s="645" customFormat="1" ht="21.75" customHeight="1">
      <c r="B3180" s="661">
        <v>44462</v>
      </c>
      <c r="C3180" s="662" t="s">
        <v>819</v>
      </c>
      <c r="D3180" s="663" t="s">
        <v>856</v>
      </c>
      <c r="E3180" s="664" t="s">
        <v>831</v>
      </c>
      <c r="F3180" s="665"/>
      <c r="G3180" s="663">
        <v>20</v>
      </c>
      <c r="H3180" s="662" t="s">
        <v>807</v>
      </c>
      <c r="I3180" s="666" t="s">
        <v>857</v>
      </c>
      <c r="J3180" s="667" t="s">
        <v>804</v>
      </c>
      <c r="K3180" s="662">
        <v>4</v>
      </c>
      <c r="L3180" s="685">
        <f t="shared" si="95"/>
        <v>18.8</v>
      </c>
      <c r="M3180" s="686">
        <f t="shared" si="96"/>
        <v>75.2</v>
      </c>
    </row>
    <row r="3181" spans="2:13" s="645" customFormat="1" ht="21.75" customHeight="1">
      <c r="B3181" s="661">
        <v>44462</v>
      </c>
      <c r="C3181" s="662" t="s">
        <v>819</v>
      </c>
      <c r="D3181" s="663" t="s">
        <v>856</v>
      </c>
      <c r="E3181" s="664" t="s">
        <v>831</v>
      </c>
      <c r="F3181" s="665"/>
      <c r="G3181" s="663">
        <v>20</v>
      </c>
      <c r="H3181" s="662" t="s">
        <v>807</v>
      </c>
      <c r="I3181" s="666" t="s">
        <v>857</v>
      </c>
      <c r="J3181" s="667" t="s">
        <v>805</v>
      </c>
      <c r="K3181" s="662">
        <v>3</v>
      </c>
      <c r="L3181" s="685">
        <f t="shared" si="95"/>
        <v>18.8</v>
      </c>
      <c r="M3181" s="686">
        <f t="shared" si="96"/>
        <v>56.400000000000006</v>
      </c>
    </row>
    <row r="3182" spans="2:13" s="645" customFormat="1" ht="21.75" customHeight="1">
      <c r="B3182" s="661">
        <v>44462</v>
      </c>
      <c r="C3182" s="662" t="s">
        <v>819</v>
      </c>
      <c r="D3182" s="663" t="s">
        <v>878</v>
      </c>
      <c r="E3182" s="664" t="s">
        <v>831</v>
      </c>
      <c r="F3182" s="665"/>
      <c r="G3182" s="663">
        <v>15</v>
      </c>
      <c r="H3182" s="662" t="s">
        <v>807</v>
      </c>
      <c r="I3182" s="666" t="s">
        <v>857</v>
      </c>
      <c r="J3182" s="667" t="s">
        <v>804</v>
      </c>
      <c r="K3182" s="662">
        <v>3</v>
      </c>
      <c r="L3182" s="685">
        <f t="shared" si="95"/>
        <v>14.1</v>
      </c>
      <c r="M3182" s="686">
        <f t="shared" si="96"/>
        <v>42.3</v>
      </c>
    </row>
    <row r="3183" spans="2:13" s="645" customFormat="1" ht="21.75" customHeight="1">
      <c r="B3183" s="661">
        <v>44462</v>
      </c>
      <c r="C3183" s="662" t="s">
        <v>819</v>
      </c>
      <c r="D3183" s="663" t="s">
        <v>878</v>
      </c>
      <c r="E3183" s="664" t="s">
        <v>831</v>
      </c>
      <c r="F3183" s="665"/>
      <c r="G3183" s="663">
        <v>15</v>
      </c>
      <c r="H3183" s="662" t="s">
        <v>807</v>
      </c>
      <c r="I3183" s="666" t="s">
        <v>857</v>
      </c>
      <c r="J3183" s="667" t="s">
        <v>805</v>
      </c>
      <c r="K3183" s="662">
        <v>3</v>
      </c>
      <c r="L3183" s="685">
        <f t="shared" si="95"/>
        <v>14.1</v>
      </c>
      <c r="M3183" s="686">
        <f t="shared" si="96"/>
        <v>42.3</v>
      </c>
    </row>
    <row r="3184" spans="2:13" s="645" customFormat="1" ht="21.75" customHeight="1">
      <c r="B3184" s="661">
        <v>44462</v>
      </c>
      <c r="C3184" s="662" t="s">
        <v>819</v>
      </c>
      <c r="D3184" s="663" t="s">
        <v>855</v>
      </c>
      <c r="E3184" s="664" t="s">
        <v>831</v>
      </c>
      <c r="F3184" s="665"/>
      <c r="G3184" s="663">
        <v>20</v>
      </c>
      <c r="H3184" s="662" t="s">
        <v>807</v>
      </c>
      <c r="I3184" s="666" t="s">
        <v>857</v>
      </c>
      <c r="J3184" s="667" t="s">
        <v>805</v>
      </c>
      <c r="K3184" s="662">
        <v>2</v>
      </c>
      <c r="L3184" s="685">
        <f t="shared" si="95"/>
        <v>18.8</v>
      </c>
      <c r="M3184" s="686">
        <f t="shared" si="96"/>
        <v>37.6</v>
      </c>
    </row>
    <row r="3185" spans="2:13" s="645" customFormat="1" ht="21.75" customHeight="1">
      <c r="B3185" s="661">
        <v>44462</v>
      </c>
      <c r="C3185" s="662" t="s">
        <v>819</v>
      </c>
      <c r="D3185" s="663" t="s">
        <v>875</v>
      </c>
      <c r="E3185" s="664" t="s">
        <v>831</v>
      </c>
      <c r="F3185" s="665"/>
      <c r="G3185" s="663">
        <v>20</v>
      </c>
      <c r="H3185" s="662" t="s">
        <v>807</v>
      </c>
      <c r="I3185" s="666" t="s">
        <v>857</v>
      </c>
      <c r="J3185" s="667" t="s">
        <v>805</v>
      </c>
      <c r="K3185" s="662">
        <v>4</v>
      </c>
      <c r="L3185" s="685">
        <f t="shared" si="95"/>
        <v>18.8</v>
      </c>
      <c r="M3185" s="686">
        <f t="shared" si="96"/>
        <v>75.2</v>
      </c>
    </row>
    <row r="3186" spans="2:13" s="645" customFormat="1" ht="21.75" customHeight="1">
      <c r="B3186" s="661">
        <v>44462</v>
      </c>
      <c r="C3186" s="662" t="s">
        <v>819</v>
      </c>
      <c r="D3186" s="663" t="s">
        <v>867</v>
      </c>
      <c r="E3186" s="664" t="s">
        <v>831</v>
      </c>
      <c r="F3186" s="665"/>
      <c r="G3186" s="663">
        <v>20</v>
      </c>
      <c r="H3186" s="662" t="s">
        <v>807</v>
      </c>
      <c r="I3186" s="666" t="s">
        <v>857</v>
      </c>
      <c r="J3186" s="667" t="s">
        <v>804</v>
      </c>
      <c r="K3186" s="662">
        <v>2</v>
      </c>
      <c r="L3186" s="685">
        <f t="shared" si="95"/>
        <v>18.8</v>
      </c>
      <c r="M3186" s="686">
        <f t="shared" si="96"/>
        <v>37.6</v>
      </c>
    </row>
    <row r="3187" spans="2:13" s="645" customFormat="1" ht="21.75" customHeight="1">
      <c r="B3187" s="661">
        <v>44462</v>
      </c>
      <c r="C3187" s="662" t="s">
        <v>819</v>
      </c>
      <c r="D3187" s="663" t="s">
        <v>867</v>
      </c>
      <c r="E3187" s="664" t="s">
        <v>831</v>
      </c>
      <c r="F3187" s="665"/>
      <c r="G3187" s="663">
        <v>20</v>
      </c>
      <c r="H3187" s="662" t="s">
        <v>807</v>
      </c>
      <c r="I3187" s="666" t="s">
        <v>857</v>
      </c>
      <c r="J3187" s="667" t="s">
        <v>805</v>
      </c>
      <c r="K3187" s="662">
        <v>2</v>
      </c>
      <c r="L3187" s="685">
        <f t="shared" si="95"/>
        <v>18.8</v>
      </c>
      <c r="M3187" s="686">
        <f t="shared" si="96"/>
        <v>37.6</v>
      </c>
    </row>
    <row r="3188" spans="2:13" s="645" customFormat="1" ht="21.75" customHeight="1">
      <c r="B3188" s="661">
        <v>44462</v>
      </c>
      <c r="C3188" s="662" t="s">
        <v>819</v>
      </c>
      <c r="D3188" s="663" t="s">
        <v>868</v>
      </c>
      <c r="E3188" s="664" t="s">
        <v>831</v>
      </c>
      <c r="F3188" s="665"/>
      <c r="G3188" s="663">
        <v>20</v>
      </c>
      <c r="H3188" s="662" t="s">
        <v>807</v>
      </c>
      <c r="I3188" s="666" t="s">
        <v>857</v>
      </c>
      <c r="J3188" s="667" t="s">
        <v>805</v>
      </c>
      <c r="K3188" s="662">
        <v>5</v>
      </c>
      <c r="L3188" s="685">
        <f t="shared" si="95"/>
        <v>18.8</v>
      </c>
      <c r="M3188" s="686">
        <f t="shared" si="96"/>
        <v>94</v>
      </c>
    </row>
    <row r="3189" spans="2:13" s="645" customFormat="1" ht="21.75" customHeight="1">
      <c r="B3189" s="661">
        <v>44462</v>
      </c>
      <c r="C3189" s="662" t="s">
        <v>819</v>
      </c>
      <c r="D3189" s="663" t="s">
        <v>868</v>
      </c>
      <c r="E3189" s="664" t="s">
        <v>831</v>
      </c>
      <c r="F3189" s="665"/>
      <c r="G3189" s="663">
        <v>20</v>
      </c>
      <c r="H3189" s="662" t="s">
        <v>807</v>
      </c>
      <c r="I3189" s="666" t="s">
        <v>857</v>
      </c>
      <c r="J3189" s="667" t="s">
        <v>804</v>
      </c>
      <c r="K3189" s="662">
        <v>1</v>
      </c>
      <c r="L3189" s="685">
        <f t="shared" si="95"/>
        <v>18.8</v>
      </c>
      <c r="M3189" s="686">
        <f t="shared" si="96"/>
        <v>18.8</v>
      </c>
    </row>
    <row r="3190" spans="2:13" s="645" customFormat="1" ht="21.75" customHeight="1">
      <c r="B3190" s="661">
        <v>44462</v>
      </c>
      <c r="C3190" s="662" t="s">
        <v>819</v>
      </c>
      <c r="D3190" s="663" t="s">
        <v>870</v>
      </c>
      <c r="E3190" s="664" t="s">
        <v>831</v>
      </c>
      <c r="F3190" s="665"/>
      <c r="G3190" s="663">
        <v>20</v>
      </c>
      <c r="H3190" s="662" t="s">
        <v>807</v>
      </c>
      <c r="I3190" s="666" t="s">
        <v>857</v>
      </c>
      <c r="J3190" s="667" t="s">
        <v>804</v>
      </c>
      <c r="K3190" s="662">
        <v>2</v>
      </c>
      <c r="L3190" s="685">
        <f t="shared" si="95"/>
        <v>18.8</v>
      </c>
      <c r="M3190" s="686">
        <f t="shared" si="96"/>
        <v>37.6</v>
      </c>
    </row>
    <row r="3191" spans="2:13" s="645" customFormat="1" ht="21.75" customHeight="1">
      <c r="B3191" s="661">
        <v>44462</v>
      </c>
      <c r="C3191" s="662" t="s">
        <v>819</v>
      </c>
      <c r="D3191" s="663" t="s">
        <v>870</v>
      </c>
      <c r="E3191" s="664" t="s">
        <v>831</v>
      </c>
      <c r="F3191" s="665"/>
      <c r="G3191" s="663">
        <v>20</v>
      </c>
      <c r="H3191" s="662" t="s">
        <v>807</v>
      </c>
      <c r="I3191" s="666" t="s">
        <v>857</v>
      </c>
      <c r="J3191" s="667" t="s">
        <v>805</v>
      </c>
      <c r="K3191" s="662">
        <v>2</v>
      </c>
      <c r="L3191" s="685">
        <f t="shared" si="95"/>
        <v>18.8</v>
      </c>
      <c r="M3191" s="686">
        <f t="shared" si="96"/>
        <v>37.6</v>
      </c>
    </row>
    <row r="3192" spans="2:13" s="645" customFormat="1" ht="21.75" customHeight="1">
      <c r="B3192" s="661">
        <v>44462</v>
      </c>
      <c r="C3192" s="662" t="s">
        <v>819</v>
      </c>
      <c r="D3192" s="663" t="s">
        <v>873</v>
      </c>
      <c r="E3192" s="664" t="s">
        <v>831</v>
      </c>
      <c r="F3192" s="665"/>
      <c r="G3192" s="663">
        <v>17</v>
      </c>
      <c r="H3192" s="662" t="s">
        <v>807</v>
      </c>
      <c r="I3192" s="666" t="s">
        <v>857</v>
      </c>
      <c r="J3192" s="667" t="s">
        <v>804</v>
      </c>
      <c r="K3192" s="662">
        <v>9</v>
      </c>
      <c r="L3192" s="685">
        <f t="shared" si="95"/>
        <v>15.98</v>
      </c>
      <c r="M3192" s="686">
        <f t="shared" si="96"/>
        <v>143.82</v>
      </c>
    </row>
    <row r="3193" spans="2:13" s="645" customFormat="1" ht="21.75" customHeight="1">
      <c r="B3193" s="708">
        <v>44462</v>
      </c>
      <c r="C3193" s="709" t="s">
        <v>819</v>
      </c>
      <c r="D3193" s="710" t="s">
        <v>849</v>
      </c>
      <c r="E3193" s="711" t="s">
        <v>831</v>
      </c>
      <c r="F3193" s="712"/>
      <c r="G3193" s="710">
        <v>20</v>
      </c>
      <c r="H3193" s="709" t="s">
        <v>807</v>
      </c>
      <c r="I3193" s="713" t="s">
        <v>857</v>
      </c>
      <c r="J3193" s="714" t="s">
        <v>802</v>
      </c>
      <c r="K3193" s="709">
        <v>6</v>
      </c>
      <c r="L3193" s="715">
        <f t="shared" si="95"/>
        <v>18.8</v>
      </c>
      <c r="M3193" s="716">
        <f t="shared" si="96"/>
        <v>112.80000000000001</v>
      </c>
    </row>
    <row r="3194" spans="2:13" s="645" customFormat="1" ht="21.75" customHeight="1">
      <c r="B3194" s="708">
        <v>44462</v>
      </c>
      <c r="C3194" s="709" t="s">
        <v>819</v>
      </c>
      <c r="D3194" s="710" t="s">
        <v>840</v>
      </c>
      <c r="E3194" s="711" t="s">
        <v>831</v>
      </c>
      <c r="F3194" s="712"/>
      <c r="G3194" s="710">
        <v>20</v>
      </c>
      <c r="H3194" s="709" t="s">
        <v>807</v>
      </c>
      <c r="I3194" s="713" t="s">
        <v>857</v>
      </c>
      <c r="J3194" s="714" t="s">
        <v>802</v>
      </c>
      <c r="K3194" s="709">
        <v>5</v>
      </c>
      <c r="L3194" s="715">
        <f t="shared" si="95"/>
        <v>18.8</v>
      </c>
      <c r="M3194" s="716">
        <f t="shared" si="96"/>
        <v>94</v>
      </c>
    </row>
    <row r="3195" spans="2:13" s="645" customFormat="1" ht="21.75" customHeight="1">
      <c r="B3195" s="708">
        <v>44462</v>
      </c>
      <c r="C3195" s="709" t="s">
        <v>819</v>
      </c>
      <c r="D3195" s="710" t="s">
        <v>835</v>
      </c>
      <c r="E3195" s="711" t="s">
        <v>831</v>
      </c>
      <c r="F3195" s="712"/>
      <c r="G3195" s="710">
        <v>20</v>
      </c>
      <c r="H3195" s="709" t="s">
        <v>807</v>
      </c>
      <c r="I3195" s="713" t="s">
        <v>857</v>
      </c>
      <c r="J3195" s="714" t="s">
        <v>802</v>
      </c>
      <c r="K3195" s="709">
        <v>6</v>
      </c>
      <c r="L3195" s="715">
        <f t="shared" si="95"/>
        <v>18.8</v>
      </c>
      <c r="M3195" s="716">
        <f t="shared" si="96"/>
        <v>112.80000000000001</v>
      </c>
    </row>
    <row r="3196" spans="2:13" s="645" customFormat="1" ht="21.75" customHeight="1">
      <c r="B3196" s="708">
        <v>44462</v>
      </c>
      <c r="C3196" s="709" t="s">
        <v>819</v>
      </c>
      <c r="D3196" s="710" t="s">
        <v>841</v>
      </c>
      <c r="E3196" s="711" t="s">
        <v>831</v>
      </c>
      <c r="F3196" s="712"/>
      <c r="G3196" s="710">
        <v>20</v>
      </c>
      <c r="H3196" s="709" t="s">
        <v>807</v>
      </c>
      <c r="I3196" s="713" t="s">
        <v>857</v>
      </c>
      <c r="J3196" s="714" t="s">
        <v>802</v>
      </c>
      <c r="K3196" s="709">
        <v>3</v>
      </c>
      <c r="L3196" s="715">
        <f t="shared" si="95"/>
        <v>18.8</v>
      </c>
      <c r="M3196" s="716">
        <f t="shared" si="96"/>
        <v>56.400000000000006</v>
      </c>
    </row>
    <row r="3197" spans="2:13" s="645" customFormat="1" ht="21.75" customHeight="1">
      <c r="B3197" s="708">
        <v>44462</v>
      </c>
      <c r="C3197" s="709" t="s">
        <v>819</v>
      </c>
      <c r="D3197" s="710" t="s">
        <v>834</v>
      </c>
      <c r="E3197" s="711" t="s">
        <v>831</v>
      </c>
      <c r="F3197" s="712"/>
      <c r="G3197" s="710">
        <v>20</v>
      </c>
      <c r="H3197" s="709" t="s">
        <v>807</v>
      </c>
      <c r="I3197" s="713" t="s">
        <v>857</v>
      </c>
      <c r="J3197" s="714" t="s">
        <v>802</v>
      </c>
      <c r="K3197" s="709">
        <v>2</v>
      </c>
      <c r="L3197" s="715">
        <f t="shared" si="95"/>
        <v>18.8</v>
      </c>
      <c r="M3197" s="716">
        <f t="shared" si="96"/>
        <v>37.6</v>
      </c>
    </row>
    <row r="3198" spans="2:13" s="645" customFormat="1" ht="21.75" customHeight="1">
      <c r="B3198" s="708">
        <v>44462</v>
      </c>
      <c r="C3198" s="709" t="s">
        <v>819</v>
      </c>
      <c r="D3198" s="710" t="s">
        <v>848</v>
      </c>
      <c r="E3198" s="711" t="s">
        <v>831</v>
      </c>
      <c r="F3198" s="712"/>
      <c r="G3198" s="710">
        <v>20</v>
      </c>
      <c r="H3198" s="709" t="s">
        <v>807</v>
      </c>
      <c r="I3198" s="713" t="s">
        <v>857</v>
      </c>
      <c r="J3198" s="714" t="s">
        <v>802</v>
      </c>
      <c r="K3198" s="709">
        <v>4</v>
      </c>
      <c r="L3198" s="715">
        <f t="shared" si="95"/>
        <v>18.8</v>
      </c>
      <c r="M3198" s="716">
        <f t="shared" si="96"/>
        <v>75.2</v>
      </c>
    </row>
    <row r="3199" spans="2:13" s="645" customFormat="1" ht="21.75" customHeight="1">
      <c r="B3199" s="708">
        <v>44462</v>
      </c>
      <c r="C3199" s="709" t="s">
        <v>819</v>
      </c>
      <c r="D3199" s="710" t="s">
        <v>833</v>
      </c>
      <c r="E3199" s="711" t="s">
        <v>831</v>
      </c>
      <c r="F3199" s="712"/>
      <c r="G3199" s="710">
        <v>15</v>
      </c>
      <c r="H3199" s="709" t="s">
        <v>807</v>
      </c>
      <c r="I3199" s="713" t="s">
        <v>857</v>
      </c>
      <c r="J3199" s="714" t="s">
        <v>802</v>
      </c>
      <c r="K3199" s="709">
        <v>8</v>
      </c>
      <c r="L3199" s="715">
        <f t="shared" si="95"/>
        <v>14.1</v>
      </c>
      <c r="M3199" s="716">
        <f t="shared" si="96"/>
        <v>112.8</v>
      </c>
    </row>
    <row r="3200" spans="2:13" s="645" customFormat="1" ht="21.75" customHeight="1">
      <c r="B3200" s="708">
        <v>44462</v>
      </c>
      <c r="C3200" s="709" t="s">
        <v>819</v>
      </c>
      <c r="D3200" s="710" t="s">
        <v>830</v>
      </c>
      <c r="E3200" s="711" t="s">
        <v>831</v>
      </c>
      <c r="F3200" s="712"/>
      <c r="G3200" s="710">
        <v>15</v>
      </c>
      <c r="H3200" s="709" t="s">
        <v>807</v>
      </c>
      <c r="I3200" s="713" t="s">
        <v>857</v>
      </c>
      <c r="J3200" s="714" t="s">
        <v>802</v>
      </c>
      <c r="K3200" s="709">
        <v>1</v>
      </c>
      <c r="L3200" s="715">
        <f t="shared" si="95"/>
        <v>14.1</v>
      </c>
      <c r="M3200" s="716">
        <f t="shared" si="96"/>
        <v>14.1</v>
      </c>
    </row>
    <row r="3201" spans="2:13" s="645" customFormat="1" ht="21.75" customHeight="1">
      <c r="B3201" s="708">
        <v>44462</v>
      </c>
      <c r="C3201" s="709" t="s">
        <v>819</v>
      </c>
      <c r="D3201" s="710" t="s">
        <v>839</v>
      </c>
      <c r="E3201" s="711" t="s">
        <v>831</v>
      </c>
      <c r="F3201" s="712"/>
      <c r="G3201" s="710">
        <v>15</v>
      </c>
      <c r="H3201" s="709" t="s">
        <v>807</v>
      </c>
      <c r="I3201" s="713" t="s">
        <v>857</v>
      </c>
      <c r="J3201" s="714" t="s">
        <v>802</v>
      </c>
      <c r="K3201" s="709">
        <v>8</v>
      </c>
      <c r="L3201" s="715">
        <f t="shared" si="95"/>
        <v>14.1</v>
      </c>
      <c r="M3201" s="716">
        <f t="shared" si="96"/>
        <v>112.8</v>
      </c>
    </row>
    <row r="3202" spans="2:13" s="645" customFormat="1" ht="21.75" customHeight="1">
      <c r="B3202" s="708">
        <v>44462</v>
      </c>
      <c r="C3202" s="709" t="s">
        <v>819</v>
      </c>
      <c r="D3202" s="710" t="s">
        <v>845</v>
      </c>
      <c r="E3202" s="711" t="s">
        <v>831</v>
      </c>
      <c r="F3202" s="712"/>
      <c r="G3202" s="710">
        <v>17</v>
      </c>
      <c r="H3202" s="709" t="s">
        <v>807</v>
      </c>
      <c r="I3202" s="713" t="s">
        <v>857</v>
      </c>
      <c r="J3202" s="714" t="s">
        <v>802</v>
      </c>
      <c r="K3202" s="709">
        <v>11</v>
      </c>
      <c r="L3202" s="715">
        <f t="shared" si="95"/>
        <v>15.98</v>
      </c>
      <c r="M3202" s="716">
        <f t="shared" si="96"/>
        <v>175.78</v>
      </c>
    </row>
    <row r="3203" spans="2:13" s="645" customFormat="1" ht="21.75" customHeight="1">
      <c r="B3203" s="708">
        <v>44462</v>
      </c>
      <c r="C3203" s="709" t="s">
        <v>819</v>
      </c>
      <c r="D3203" s="710" t="s">
        <v>847</v>
      </c>
      <c r="E3203" s="711" t="s">
        <v>831</v>
      </c>
      <c r="F3203" s="712"/>
      <c r="G3203" s="710">
        <v>17</v>
      </c>
      <c r="H3203" s="709" t="s">
        <v>807</v>
      </c>
      <c r="I3203" s="713" t="s">
        <v>857</v>
      </c>
      <c r="J3203" s="714" t="s">
        <v>802</v>
      </c>
      <c r="K3203" s="709">
        <v>4</v>
      </c>
      <c r="L3203" s="715">
        <f t="shared" si="95"/>
        <v>15.98</v>
      </c>
      <c r="M3203" s="716">
        <f t="shared" si="96"/>
        <v>63.92</v>
      </c>
    </row>
    <row r="3204" spans="2:13" s="645" customFormat="1" ht="21.75" customHeight="1">
      <c r="B3204" s="708">
        <v>44462</v>
      </c>
      <c r="C3204" s="709" t="s">
        <v>819</v>
      </c>
      <c r="D3204" s="710" t="s">
        <v>856</v>
      </c>
      <c r="E3204" s="711" t="s">
        <v>831</v>
      </c>
      <c r="F3204" s="712"/>
      <c r="G3204" s="710">
        <v>20</v>
      </c>
      <c r="H3204" s="709" t="s">
        <v>807</v>
      </c>
      <c r="I3204" s="713" t="s">
        <v>857</v>
      </c>
      <c r="J3204" s="714" t="s">
        <v>802</v>
      </c>
      <c r="K3204" s="709">
        <v>2</v>
      </c>
      <c r="L3204" s="715">
        <f t="shared" si="95"/>
        <v>18.8</v>
      </c>
      <c r="M3204" s="716">
        <f t="shared" si="96"/>
        <v>37.6</v>
      </c>
    </row>
    <row r="3205" spans="2:13" s="645" customFormat="1" ht="21.75" customHeight="1">
      <c r="B3205" s="708">
        <v>44462</v>
      </c>
      <c r="C3205" s="709" t="s">
        <v>819</v>
      </c>
      <c r="D3205" s="710" t="s">
        <v>878</v>
      </c>
      <c r="E3205" s="711" t="s">
        <v>831</v>
      </c>
      <c r="F3205" s="712"/>
      <c r="G3205" s="710">
        <v>15</v>
      </c>
      <c r="H3205" s="709" t="s">
        <v>807</v>
      </c>
      <c r="I3205" s="713" t="s">
        <v>857</v>
      </c>
      <c r="J3205" s="714" t="s">
        <v>802</v>
      </c>
      <c r="K3205" s="709">
        <v>6</v>
      </c>
      <c r="L3205" s="715">
        <f t="shared" si="95"/>
        <v>14.1</v>
      </c>
      <c r="M3205" s="716">
        <f t="shared" si="96"/>
        <v>84.6</v>
      </c>
    </row>
    <row r="3206" spans="2:13" s="645" customFormat="1" ht="21.75" customHeight="1">
      <c r="B3206" s="708">
        <v>44462</v>
      </c>
      <c r="C3206" s="709" t="s">
        <v>819</v>
      </c>
      <c r="D3206" s="710" t="s">
        <v>855</v>
      </c>
      <c r="E3206" s="711" t="s">
        <v>831</v>
      </c>
      <c r="F3206" s="712"/>
      <c r="G3206" s="710">
        <v>20</v>
      </c>
      <c r="H3206" s="709" t="s">
        <v>807</v>
      </c>
      <c r="I3206" s="713" t="s">
        <v>857</v>
      </c>
      <c r="J3206" s="714" t="s">
        <v>802</v>
      </c>
      <c r="K3206" s="709">
        <v>8</v>
      </c>
      <c r="L3206" s="715">
        <f t="shared" si="95"/>
        <v>18.8</v>
      </c>
      <c r="M3206" s="716">
        <f t="shared" si="96"/>
        <v>150.4</v>
      </c>
    </row>
    <row r="3207" spans="2:13" s="645" customFormat="1" ht="21.75" customHeight="1">
      <c r="B3207" s="708">
        <v>44462</v>
      </c>
      <c r="C3207" s="709" t="s">
        <v>819</v>
      </c>
      <c r="D3207" s="710" t="s">
        <v>875</v>
      </c>
      <c r="E3207" s="711" t="s">
        <v>831</v>
      </c>
      <c r="F3207" s="712"/>
      <c r="G3207" s="710">
        <v>20</v>
      </c>
      <c r="H3207" s="709" t="s">
        <v>807</v>
      </c>
      <c r="I3207" s="713" t="s">
        <v>857</v>
      </c>
      <c r="J3207" s="714" t="s">
        <v>802</v>
      </c>
      <c r="K3207" s="709">
        <v>7</v>
      </c>
      <c r="L3207" s="715">
        <f t="shared" si="95"/>
        <v>18.8</v>
      </c>
      <c r="M3207" s="716">
        <f t="shared" si="96"/>
        <v>131.6</v>
      </c>
    </row>
    <row r="3208" spans="2:13" s="645" customFormat="1" ht="21.75" customHeight="1">
      <c r="B3208" s="708">
        <v>44462</v>
      </c>
      <c r="C3208" s="709" t="s">
        <v>819</v>
      </c>
      <c r="D3208" s="710" t="s">
        <v>867</v>
      </c>
      <c r="E3208" s="711" t="s">
        <v>831</v>
      </c>
      <c r="F3208" s="712"/>
      <c r="G3208" s="710">
        <v>20</v>
      </c>
      <c r="H3208" s="709" t="s">
        <v>807</v>
      </c>
      <c r="I3208" s="713" t="s">
        <v>857</v>
      </c>
      <c r="J3208" s="714" t="s">
        <v>802</v>
      </c>
      <c r="K3208" s="709">
        <v>4</v>
      </c>
      <c r="L3208" s="715">
        <f t="shared" si="95"/>
        <v>18.8</v>
      </c>
      <c r="M3208" s="716">
        <f t="shared" si="96"/>
        <v>75.2</v>
      </c>
    </row>
    <row r="3209" spans="2:13" s="645" customFormat="1" ht="21.75" customHeight="1">
      <c r="B3209" s="708">
        <v>44462</v>
      </c>
      <c r="C3209" s="709" t="s">
        <v>819</v>
      </c>
      <c r="D3209" s="710" t="s">
        <v>868</v>
      </c>
      <c r="E3209" s="711" t="s">
        <v>831</v>
      </c>
      <c r="F3209" s="712"/>
      <c r="G3209" s="710">
        <v>20</v>
      </c>
      <c r="H3209" s="709" t="s">
        <v>807</v>
      </c>
      <c r="I3209" s="713" t="s">
        <v>857</v>
      </c>
      <c r="J3209" s="714" t="s">
        <v>802</v>
      </c>
      <c r="K3209" s="709">
        <v>7</v>
      </c>
      <c r="L3209" s="715">
        <f t="shared" ref="L3209:L3272" si="97">VLOOKUP(G3209,$Q$4:$V$7,6,FALSE)</f>
        <v>18.8</v>
      </c>
      <c r="M3209" s="716">
        <f t="shared" si="96"/>
        <v>131.6</v>
      </c>
    </row>
    <row r="3210" spans="2:13" s="645" customFormat="1" ht="21.75" customHeight="1">
      <c r="B3210" s="708">
        <v>44462</v>
      </c>
      <c r="C3210" s="709" t="s">
        <v>819</v>
      </c>
      <c r="D3210" s="710" t="s">
        <v>870</v>
      </c>
      <c r="E3210" s="711" t="s">
        <v>831</v>
      </c>
      <c r="F3210" s="712"/>
      <c r="G3210" s="710">
        <v>20</v>
      </c>
      <c r="H3210" s="709" t="s">
        <v>807</v>
      </c>
      <c r="I3210" s="713" t="s">
        <v>857</v>
      </c>
      <c r="J3210" s="714" t="s">
        <v>802</v>
      </c>
      <c r="K3210" s="709">
        <v>3</v>
      </c>
      <c r="L3210" s="715">
        <f t="shared" si="97"/>
        <v>18.8</v>
      </c>
      <c r="M3210" s="716">
        <f t="shared" si="96"/>
        <v>56.400000000000006</v>
      </c>
    </row>
    <row r="3211" spans="2:13" s="645" customFormat="1" ht="21.75" customHeight="1">
      <c r="B3211" s="708">
        <v>44462</v>
      </c>
      <c r="C3211" s="709" t="s">
        <v>819</v>
      </c>
      <c r="D3211" s="710" t="s">
        <v>873</v>
      </c>
      <c r="E3211" s="711" t="s">
        <v>831</v>
      </c>
      <c r="F3211" s="712"/>
      <c r="G3211" s="710">
        <v>17</v>
      </c>
      <c r="H3211" s="709" t="s">
        <v>807</v>
      </c>
      <c r="I3211" s="713" t="s">
        <v>857</v>
      </c>
      <c r="J3211" s="714" t="s">
        <v>802</v>
      </c>
      <c r="K3211" s="709">
        <v>1</v>
      </c>
      <c r="L3211" s="715">
        <f t="shared" si="97"/>
        <v>15.98</v>
      </c>
      <c r="M3211" s="716">
        <f t="shared" si="96"/>
        <v>15.98</v>
      </c>
    </row>
    <row r="3212" spans="2:13" s="645" customFormat="1" ht="21.75" customHeight="1">
      <c r="B3212" s="708">
        <v>44462</v>
      </c>
      <c r="C3212" s="709" t="s">
        <v>837</v>
      </c>
      <c r="D3212" s="710" t="s">
        <v>834</v>
      </c>
      <c r="E3212" s="711" t="s">
        <v>831</v>
      </c>
      <c r="F3212" s="712"/>
      <c r="G3212" s="710">
        <v>20</v>
      </c>
      <c r="H3212" s="709" t="s">
        <v>807</v>
      </c>
      <c r="I3212" s="713" t="s">
        <v>857</v>
      </c>
      <c r="J3212" s="714" t="s">
        <v>802</v>
      </c>
      <c r="K3212" s="709">
        <v>13</v>
      </c>
      <c r="L3212" s="715">
        <f t="shared" si="97"/>
        <v>18.8</v>
      </c>
      <c r="M3212" s="716">
        <f t="shared" si="96"/>
        <v>244.4</v>
      </c>
    </row>
    <row r="3213" spans="2:13" s="645" customFormat="1" ht="21.75" customHeight="1">
      <c r="B3213" s="708">
        <v>44462</v>
      </c>
      <c r="C3213" s="709" t="s">
        <v>837</v>
      </c>
      <c r="D3213" s="710" t="s">
        <v>856</v>
      </c>
      <c r="E3213" s="711" t="s">
        <v>831</v>
      </c>
      <c r="F3213" s="712"/>
      <c r="G3213" s="710">
        <v>20</v>
      </c>
      <c r="H3213" s="709" t="s">
        <v>807</v>
      </c>
      <c r="I3213" s="713" t="s">
        <v>857</v>
      </c>
      <c r="J3213" s="714" t="s">
        <v>802</v>
      </c>
      <c r="K3213" s="709">
        <v>10</v>
      </c>
      <c r="L3213" s="715">
        <f t="shared" si="97"/>
        <v>18.8</v>
      </c>
      <c r="M3213" s="716">
        <f t="shared" si="96"/>
        <v>188</v>
      </c>
    </row>
    <row r="3214" spans="2:13" s="645" customFormat="1" ht="21.75" customHeight="1">
      <c r="B3214" s="708">
        <v>44462</v>
      </c>
      <c r="C3214" s="709" t="s">
        <v>837</v>
      </c>
      <c r="D3214" s="710" t="s">
        <v>840</v>
      </c>
      <c r="E3214" s="711" t="s">
        <v>831</v>
      </c>
      <c r="F3214" s="712"/>
      <c r="G3214" s="710">
        <v>20</v>
      </c>
      <c r="H3214" s="709" t="s">
        <v>807</v>
      </c>
      <c r="I3214" s="713" t="s">
        <v>857</v>
      </c>
      <c r="J3214" s="714" t="s">
        <v>802</v>
      </c>
      <c r="K3214" s="709">
        <v>13</v>
      </c>
      <c r="L3214" s="715">
        <f t="shared" si="97"/>
        <v>18.8</v>
      </c>
      <c r="M3214" s="716">
        <f t="shared" si="96"/>
        <v>244.4</v>
      </c>
    </row>
    <row r="3215" spans="2:13" s="645" customFormat="1" ht="21.75" customHeight="1">
      <c r="B3215" s="708">
        <v>44462</v>
      </c>
      <c r="C3215" s="709" t="s">
        <v>837</v>
      </c>
      <c r="D3215" s="710" t="s">
        <v>835</v>
      </c>
      <c r="E3215" s="711" t="s">
        <v>831</v>
      </c>
      <c r="F3215" s="712"/>
      <c r="G3215" s="710">
        <v>20</v>
      </c>
      <c r="H3215" s="709" t="s">
        <v>807</v>
      </c>
      <c r="I3215" s="713" t="s">
        <v>857</v>
      </c>
      <c r="J3215" s="714" t="s">
        <v>802</v>
      </c>
      <c r="K3215" s="709">
        <v>12</v>
      </c>
      <c r="L3215" s="715">
        <f t="shared" si="97"/>
        <v>18.8</v>
      </c>
      <c r="M3215" s="716">
        <f t="shared" si="96"/>
        <v>225.60000000000002</v>
      </c>
    </row>
    <row r="3216" spans="2:13" s="645" customFormat="1" ht="21.75" customHeight="1">
      <c r="B3216" s="708">
        <v>44462</v>
      </c>
      <c r="C3216" s="709" t="s">
        <v>837</v>
      </c>
      <c r="D3216" s="710" t="s">
        <v>841</v>
      </c>
      <c r="E3216" s="711" t="s">
        <v>831</v>
      </c>
      <c r="F3216" s="712"/>
      <c r="G3216" s="710">
        <v>20</v>
      </c>
      <c r="H3216" s="709" t="s">
        <v>807</v>
      </c>
      <c r="I3216" s="713" t="s">
        <v>857</v>
      </c>
      <c r="J3216" s="714" t="s">
        <v>802</v>
      </c>
      <c r="K3216" s="709">
        <v>12</v>
      </c>
      <c r="L3216" s="715">
        <f t="shared" si="97"/>
        <v>18.8</v>
      </c>
      <c r="M3216" s="716">
        <f t="shared" si="96"/>
        <v>225.60000000000002</v>
      </c>
    </row>
    <row r="3217" spans="2:13" s="645" customFormat="1" ht="21.75" customHeight="1">
      <c r="B3217" s="708">
        <v>44462</v>
      </c>
      <c r="C3217" s="709" t="s">
        <v>837</v>
      </c>
      <c r="D3217" s="710" t="s">
        <v>848</v>
      </c>
      <c r="E3217" s="711" t="s">
        <v>831</v>
      </c>
      <c r="F3217" s="712"/>
      <c r="G3217" s="710">
        <v>20</v>
      </c>
      <c r="H3217" s="709" t="s">
        <v>807</v>
      </c>
      <c r="I3217" s="713" t="s">
        <v>857</v>
      </c>
      <c r="J3217" s="714" t="s">
        <v>802</v>
      </c>
      <c r="K3217" s="709">
        <v>12</v>
      </c>
      <c r="L3217" s="715">
        <f t="shared" si="97"/>
        <v>18.8</v>
      </c>
      <c r="M3217" s="716">
        <f t="shared" si="96"/>
        <v>225.60000000000002</v>
      </c>
    </row>
    <row r="3218" spans="2:13" s="645" customFormat="1" ht="21.75" customHeight="1">
      <c r="B3218" s="708">
        <v>44462</v>
      </c>
      <c r="C3218" s="709" t="s">
        <v>837</v>
      </c>
      <c r="D3218" s="710" t="s">
        <v>845</v>
      </c>
      <c r="E3218" s="711" t="s">
        <v>831</v>
      </c>
      <c r="F3218" s="712"/>
      <c r="G3218" s="710">
        <v>17</v>
      </c>
      <c r="H3218" s="709" t="s">
        <v>807</v>
      </c>
      <c r="I3218" s="713" t="s">
        <v>857</v>
      </c>
      <c r="J3218" s="714" t="s">
        <v>802</v>
      </c>
      <c r="K3218" s="709">
        <v>11</v>
      </c>
      <c r="L3218" s="715">
        <f t="shared" si="97"/>
        <v>15.98</v>
      </c>
      <c r="M3218" s="716">
        <f t="shared" si="96"/>
        <v>175.78</v>
      </c>
    </row>
    <row r="3219" spans="2:13" s="645" customFormat="1" ht="21.75" customHeight="1">
      <c r="B3219" s="708">
        <v>44462</v>
      </c>
      <c r="C3219" s="709" t="s">
        <v>837</v>
      </c>
      <c r="D3219" s="710" t="s">
        <v>847</v>
      </c>
      <c r="E3219" s="711" t="s">
        <v>831</v>
      </c>
      <c r="F3219" s="712"/>
      <c r="G3219" s="710">
        <v>17</v>
      </c>
      <c r="H3219" s="709" t="s">
        <v>807</v>
      </c>
      <c r="I3219" s="713" t="s">
        <v>857</v>
      </c>
      <c r="J3219" s="714" t="s">
        <v>802</v>
      </c>
      <c r="K3219" s="709">
        <v>7</v>
      </c>
      <c r="L3219" s="715">
        <f t="shared" si="97"/>
        <v>15.98</v>
      </c>
      <c r="M3219" s="716">
        <f t="shared" si="96"/>
        <v>111.86</v>
      </c>
    </row>
    <row r="3220" spans="2:13" s="645" customFormat="1" ht="21.75" customHeight="1">
      <c r="B3220" s="708">
        <v>44462</v>
      </c>
      <c r="C3220" s="709" t="s">
        <v>837</v>
      </c>
      <c r="D3220" s="710" t="s">
        <v>878</v>
      </c>
      <c r="E3220" s="711" t="s">
        <v>831</v>
      </c>
      <c r="F3220" s="712"/>
      <c r="G3220" s="710">
        <v>15</v>
      </c>
      <c r="H3220" s="709" t="s">
        <v>807</v>
      </c>
      <c r="I3220" s="713" t="s">
        <v>857</v>
      </c>
      <c r="J3220" s="714" t="s">
        <v>802</v>
      </c>
      <c r="K3220" s="709">
        <v>2</v>
      </c>
      <c r="L3220" s="715">
        <f t="shared" si="97"/>
        <v>14.1</v>
      </c>
      <c r="M3220" s="716">
        <f t="shared" si="96"/>
        <v>28.2</v>
      </c>
    </row>
    <row r="3221" spans="2:13" s="645" customFormat="1" ht="21.75" customHeight="1">
      <c r="B3221" s="708">
        <v>44462</v>
      </c>
      <c r="C3221" s="709" t="s">
        <v>837</v>
      </c>
      <c r="D3221" s="710" t="s">
        <v>875</v>
      </c>
      <c r="E3221" s="711" t="s">
        <v>831</v>
      </c>
      <c r="F3221" s="712"/>
      <c r="G3221" s="710">
        <v>20</v>
      </c>
      <c r="H3221" s="709" t="s">
        <v>807</v>
      </c>
      <c r="I3221" s="713" t="s">
        <v>857</v>
      </c>
      <c r="J3221" s="714" t="s">
        <v>802</v>
      </c>
      <c r="K3221" s="709">
        <v>5</v>
      </c>
      <c r="L3221" s="715">
        <f t="shared" si="97"/>
        <v>18.8</v>
      </c>
      <c r="M3221" s="716">
        <f t="shared" si="96"/>
        <v>94</v>
      </c>
    </row>
    <row r="3222" spans="2:13" s="645" customFormat="1" ht="21.75" customHeight="1">
      <c r="B3222" s="708">
        <v>44462</v>
      </c>
      <c r="C3222" s="709" t="s">
        <v>837</v>
      </c>
      <c r="D3222" s="710" t="s">
        <v>873</v>
      </c>
      <c r="E3222" s="711" t="s">
        <v>831</v>
      </c>
      <c r="F3222" s="712"/>
      <c r="G3222" s="710">
        <v>17</v>
      </c>
      <c r="H3222" s="709" t="s">
        <v>807</v>
      </c>
      <c r="I3222" s="713" t="s">
        <v>857</v>
      </c>
      <c r="J3222" s="714" t="s">
        <v>802</v>
      </c>
      <c r="K3222" s="709">
        <v>12</v>
      </c>
      <c r="L3222" s="715">
        <f t="shared" si="97"/>
        <v>15.98</v>
      </c>
      <c r="M3222" s="716">
        <f t="shared" si="96"/>
        <v>191.76</v>
      </c>
    </row>
    <row r="3223" spans="2:13" s="645" customFormat="1" ht="21.75" customHeight="1">
      <c r="B3223" s="661">
        <v>44463</v>
      </c>
      <c r="C3223" s="662" t="s">
        <v>819</v>
      </c>
      <c r="D3223" s="663" t="s">
        <v>849</v>
      </c>
      <c r="E3223" s="664" t="s">
        <v>831</v>
      </c>
      <c r="F3223" s="665"/>
      <c r="G3223" s="663">
        <v>20</v>
      </c>
      <c r="H3223" s="662" t="s">
        <v>807</v>
      </c>
      <c r="I3223" s="666" t="s">
        <v>857</v>
      </c>
      <c r="J3223" s="667" t="s">
        <v>804</v>
      </c>
      <c r="K3223" s="662">
        <v>1</v>
      </c>
      <c r="L3223" s="685">
        <f t="shared" si="97"/>
        <v>18.8</v>
      </c>
      <c r="M3223" s="686">
        <f t="shared" si="96"/>
        <v>18.8</v>
      </c>
    </row>
    <row r="3224" spans="2:13" s="645" customFormat="1" ht="21.75" customHeight="1">
      <c r="B3224" s="661">
        <v>44463</v>
      </c>
      <c r="C3224" s="662" t="s">
        <v>819</v>
      </c>
      <c r="D3224" s="663" t="s">
        <v>841</v>
      </c>
      <c r="E3224" s="664" t="s">
        <v>831</v>
      </c>
      <c r="F3224" s="665"/>
      <c r="G3224" s="663">
        <v>20</v>
      </c>
      <c r="H3224" s="662" t="s">
        <v>807</v>
      </c>
      <c r="I3224" s="666" t="s">
        <v>857</v>
      </c>
      <c r="J3224" s="667" t="s">
        <v>805</v>
      </c>
      <c r="K3224" s="662">
        <v>4</v>
      </c>
      <c r="L3224" s="685">
        <f t="shared" si="97"/>
        <v>18.8</v>
      </c>
      <c r="M3224" s="686">
        <f t="shared" si="96"/>
        <v>75.2</v>
      </c>
    </row>
    <row r="3225" spans="2:13" s="645" customFormat="1" ht="21.75" customHeight="1">
      <c r="B3225" s="661">
        <v>44463</v>
      </c>
      <c r="C3225" s="662" t="s">
        <v>819</v>
      </c>
      <c r="D3225" s="663" t="s">
        <v>834</v>
      </c>
      <c r="E3225" s="664" t="s">
        <v>831</v>
      </c>
      <c r="F3225" s="665"/>
      <c r="G3225" s="663">
        <v>20</v>
      </c>
      <c r="H3225" s="662" t="s">
        <v>807</v>
      </c>
      <c r="I3225" s="666" t="s">
        <v>857</v>
      </c>
      <c r="J3225" s="667" t="s">
        <v>804</v>
      </c>
      <c r="K3225" s="662">
        <v>1</v>
      </c>
      <c r="L3225" s="685">
        <f t="shared" si="97"/>
        <v>18.8</v>
      </c>
      <c r="M3225" s="686">
        <f t="shared" si="96"/>
        <v>18.8</v>
      </c>
    </row>
    <row r="3226" spans="2:13" s="645" customFormat="1" ht="21.75" customHeight="1">
      <c r="B3226" s="661">
        <v>44463</v>
      </c>
      <c r="C3226" s="662" t="s">
        <v>819</v>
      </c>
      <c r="D3226" s="663" t="s">
        <v>834</v>
      </c>
      <c r="E3226" s="664" t="s">
        <v>831</v>
      </c>
      <c r="F3226" s="665"/>
      <c r="G3226" s="663">
        <v>20</v>
      </c>
      <c r="H3226" s="662" t="s">
        <v>807</v>
      </c>
      <c r="I3226" s="666" t="s">
        <v>857</v>
      </c>
      <c r="J3226" s="667" t="s">
        <v>805</v>
      </c>
      <c r="K3226" s="662">
        <v>2</v>
      </c>
      <c r="L3226" s="685">
        <f t="shared" si="97"/>
        <v>18.8</v>
      </c>
      <c r="M3226" s="686">
        <f t="shared" si="96"/>
        <v>37.6</v>
      </c>
    </row>
    <row r="3227" spans="2:13" s="645" customFormat="1" ht="21.75" customHeight="1">
      <c r="B3227" s="661">
        <v>44463</v>
      </c>
      <c r="C3227" s="662" t="s">
        <v>819</v>
      </c>
      <c r="D3227" s="663" t="s">
        <v>833</v>
      </c>
      <c r="E3227" s="664" t="s">
        <v>831</v>
      </c>
      <c r="F3227" s="665"/>
      <c r="G3227" s="663">
        <v>15</v>
      </c>
      <c r="H3227" s="662" t="s">
        <v>807</v>
      </c>
      <c r="I3227" s="666" t="s">
        <v>861</v>
      </c>
      <c r="J3227" s="667" t="s">
        <v>804</v>
      </c>
      <c r="K3227" s="662">
        <v>1</v>
      </c>
      <c r="L3227" s="685">
        <f t="shared" si="97"/>
        <v>14.1</v>
      </c>
      <c r="M3227" s="686">
        <f t="shared" si="96"/>
        <v>14.1</v>
      </c>
    </row>
    <row r="3228" spans="2:13" s="645" customFormat="1" ht="21.75" customHeight="1">
      <c r="B3228" s="661">
        <v>44463</v>
      </c>
      <c r="C3228" s="662" t="s">
        <v>819</v>
      </c>
      <c r="D3228" s="663" t="s">
        <v>839</v>
      </c>
      <c r="E3228" s="664" t="s">
        <v>831</v>
      </c>
      <c r="F3228" s="665"/>
      <c r="G3228" s="663">
        <v>15</v>
      </c>
      <c r="H3228" s="662" t="s">
        <v>807</v>
      </c>
      <c r="I3228" s="666" t="s">
        <v>857</v>
      </c>
      <c r="J3228" s="667" t="s">
        <v>804</v>
      </c>
      <c r="K3228" s="662">
        <v>1</v>
      </c>
      <c r="L3228" s="685">
        <f t="shared" si="97"/>
        <v>14.1</v>
      </c>
      <c r="M3228" s="686">
        <f t="shared" si="96"/>
        <v>14.1</v>
      </c>
    </row>
    <row r="3229" spans="2:13" s="645" customFormat="1" ht="21.75" customHeight="1">
      <c r="B3229" s="661">
        <v>44463</v>
      </c>
      <c r="C3229" s="662" t="s">
        <v>819</v>
      </c>
      <c r="D3229" s="663" t="s">
        <v>839</v>
      </c>
      <c r="E3229" s="664" t="s">
        <v>831</v>
      </c>
      <c r="F3229" s="665"/>
      <c r="G3229" s="663">
        <v>15</v>
      </c>
      <c r="H3229" s="662" t="s">
        <v>807</v>
      </c>
      <c r="I3229" s="666" t="s">
        <v>861</v>
      </c>
      <c r="J3229" s="667" t="s">
        <v>804</v>
      </c>
      <c r="K3229" s="662">
        <v>1</v>
      </c>
      <c r="L3229" s="685">
        <f t="shared" si="97"/>
        <v>14.1</v>
      </c>
      <c r="M3229" s="686">
        <f t="shared" si="96"/>
        <v>14.1</v>
      </c>
    </row>
    <row r="3230" spans="2:13" s="645" customFormat="1" ht="21.75" customHeight="1">
      <c r="B3230" s="661">
        <v>44463</v>
      </c>
      <c r="C3230" s="662" t="s">
        <v>819</v>
      </c>
      <c r="D3230" s="663" t="s">
        <v>847</v>
      </c>
      <c r="E3230" s="664" t="s">
        <v>831</v>
      </c>
      <c r="F3230" s="665"/>
      <c r="G3230" s="663">
        <v>17</v>
      </c>
      <c r="H3230" s="662" t="s">
        <v>807</v>
      </c>
      <c r="I3230" s="666" t="s">
        <v>857</v>
      </c>
      <c r="J3230" s="667" t="s">
        <v>805</v>
      </c>
      <c r="K3230" s="662">
        <v>1</v>
      </c>
      <c r="L3230" s="685">
        <f t="shared" si="97"/>
        <v>15.98</v>
      </c>
      <c r="M3230" s="686">
        <f t="shared" si="96"/>
        <v>15.98</v>
      </c>
    </row>
    <row r="3231" spans="2:13" s="645" customFormat="1" ht="21.75" customHeight="1">
      <c r="B3231" s="661">
        <v>44463</v>
      </c>
      <c r="C3231" s="662" t="s">
        <v>819</v>
      </c>
      <c r="D3231" s="663" t="s">
        <v>847</v>
      </c>
      <c r="E3231" s="664" t="s">
        <v>831</v>
      </c>
      <c r="F3231" s="665"/>
      <c r="G3231" s="663">
        <v>17</v>
      </c>
      <c r="H3231" s="662" t="s">
        <v>807</v>
      </c>
      <c r="I3231" s="666" t="s">
        <v>857</v>
      </c>
      <c r="J3231" s="667" t="s">
        <v>804</v>
      </c>
      <c r="K3231" s="662">
        <v>1</v>
      </c>
      <c r="L3231" s="685">
        <f t="shared" si="97"/>
        <v>15.98</v>
      </c>
      <c r="M3231" s="686">
        <f t="shared" si="96"/>
        <v>15.98</v>
      </c>
    </row>
    <row r="3232" spans="2:13" s="645" customFormat="1" ht="21.75" customHeight="1">
      <c r="B3232" s="661">
        <v>44463</v>
      </c>
      <c r="C3232" s="662" t="s">
        <v>819</v>
      </c>
      <c r="D3232" s="663" t="s">
        <v>856</v>
      </c>
      <c r="E3232" s="664" t="s">
        <v>831</v>
      </c>
      <c r="F3232" s="665"/>
      <c r="G3232" s="663">
        <v>20</v>
      </c>
      <c r="H3232" s="662" t="s">
        <v>807</v>
      </c>
      <c r="I3232" s="666" t="s">
        <v>857</v>
      </c>
      <c r="J3232" s="667" t="s">
        <v>804</v>
      </c>
      <c r="K3232" s="662">
        <v>1</v>
      </c>
      <c r="L3232" s="685">
        <f t="shared" si="97"/>
        <v>18.8</v>
      </c>
      <c r="M3232" s="686">
        <f t="shared" si="96"/>
        <v>18.8</v>
      </c>
    </row>
    <row r="3233" spans="2:13" s="645" customFormat="1" ht="21.75" customHeight="1">
      <c r="B3233" s="661">
        <v>44463</v>
      </c>
      <c r="C3233" s="662" t="s">
        <v>819</v>
      </c>
      <c r="D3233" s="663" t="s">
        <v>878</v>
      </c>
      <c r="E3233" s="664" t="s">
        <v>831</v>
      </c>
      <c r="F3233" s="665"/>
      <c r="G3233" s="663">
        <v>15</v>
      </c>
      <c r="H3233" s="662" t="s">
        <v>807</v>
      </c>
      <c r="I3233" s="666" t="s">
        <v>861</v>
      </c>
      <c r="J3233" s="667" t="s">
        <v>804</v>
      </c>
      <c r="K3233" s="662">
        <v>1</v>
      </c>
      <c r="L3233" s="685">
        <f t="shared" si="97"/>
        <v>14.1</v>
      </c>
      <c r="M3233" s="686">
        <f t="shared" si="96"/>
        <v>14.1</v>
      </c>
    </row>
    <row r="3234" spans="2:13" s="645" customFormat="1" ht="21.75" customHeight="1">
      <c r="B3234" s="661">
        <v>44463</v>
      </c>
      <c r="C3234" s="662" t="s">
        <v>819</v>
      </c>
      <c r="D3234" s="663" t="s">
        <v>855</v>
      </c>
      <c r="E3234" s="664" t="s">
        <v>831</v>
      </c>
      <c r="F3234" s="665"/>
      <c r="G3234" s="663">
        <v>20</v>
      </c>
      <c r="H3234" s="662" t="s">
        <v>807</v>
      </c>
      <c r="I3234" s="666" t="s">
        <v>857</v>
      </c>
      <c r="J3234" s="667" t="s">
        <v>805</v>
      </c>
      <c r="K3234" s="662">
        <v>1</v>
      </c>
      <c r="L3234" s="685">
        <f t="shared" si="97"/>
        <v>18.8</v>
      </c>
      <c r="M3234" s="686">
        <f t="shared" si="96"/>
        <v>18.8</v>
      </c>
    </row>
    <row r="3235" spans="2:13" s="645" customFormat="1" ht="21.75" customHeight="1">
      <c r="B3235" s="661">
        <v>44463</v>
      </c>
      <c r="C3235" s="662" t="s">
        <v>819</v>
      </c>
      <c r="D3235" s="663" t="s">
        <v>875</v>
      </c>
      <c r="E3235" s="664" t="s">
        <v>831</v>
      </c>
      <c r="F3235" s="665"/>
      <c r="G3235" s="663">
        <v>20</v>
      </c>
      <c r="H3235" s="662" t="s">
        <v>807</v>
      </c>
      <c r="I3235" s="666" t="s">
        <v>857</v>
      </c>
      <c r="J3235" s="667" t="s">
        <v>804</v>
      </c>
      <c r="K3235" s="662">
        <v>3</v>
      </c>
      <c r="L3235" s="685">
        <f t="shared" si="97"/>
        <v>18.8</v>
      </c>
      <c r="M3235" s="686">
        <f t="shared" si="96"/>
        <v>56.400000000000006</v>
      </c>
    </row>
    <row r="3236" spans="2:13" s="645" customFormat="1" ht="21.75" customHeight="1">
      <c r="B3236" s="661">
        <v>44463</v>
      </c>
      <c r="C3236" s="662" t="s">
        <v>819</v>
      </c>
      <c r="D3236" s="663" t="s">
        <v>875</v>
      </c>
      <c r="E3236" s="664" t="s">
        <v>831</v>
      </c>
      <c r="F3236" s="665"/>
      <c r="G3236" s="663">
        <v>20</v>
      </c>
      <c r="H3236" s="662" t="s">
        <v>807</v>
      </c>
      <c r="I3236" s="666" t="s">
        <v>857</v>
      </c>
      <c r="J3236" s="667" t="s">
        <v>805</v>
      </c>
      <c r="K3236" s="662">
        <v>1</v>
      </c>
      <c r="L3236" s="685">
        <f t="shared" si="97"/>
        <v>18.8</v>
      </c>
      <c r="M3236" s="686">
        <f t="shared" si="96"/>
        <v>18.8</v>
      </c>
    </row>
    <row r="3237" spans="2:13" s="645" customFormat="1" ht="21.75" customHeight="1">
      <c r="B3237" s="661">
        <v>44463</v>
      </c>
      <c r="C3237" s="662" t="s">
        <v>819</v>
      </c>
      <c r="D3237" s="663" t="s">
        <v>867</v>
      </c>
      <c r="E3237" s="664" t="s">
        <v>831</v>
      </c>
      <c r="F3237" s="665"/>
      <c r="G3237" s="663">
        <v>20</v>
      </c>
      <c r="H3237" s="662" t="s">
        <v>807</v>
      </c>
      <c r="I3237" s="666" t="s">
        <v>861</v>
      </c>
      <c r="J3237" s="667" t="s">
        <v>804</v>
      </c>
      <c r="K3237" s="662">
        <v>1</v>
      </c>
      <c r="L3237" s="685">
        <f t="shared" si="97"/>
        <v>18.8</v>
      </c>
      <c r="M3237" s="686">
        <f t="shared" si="96"/>
        <v>18.8</v>
      </c>
    </row>
    <row r="3238" spans="2:13" s="645" customFormat="1" ht="21.75" customHeight="1">
      <c r="B3238" s="661">
        <v>44463</v>
      </c>
      <c r="C3238" s="662" t="s">
        <v>819</v>
      </c>
      <c r="D3238" s="663" t="s">
        <v>867</v>
      </c>
      <c r="E3238" s="664" t="s">
        <v>831</v>
      </c>
      <c r="F3238" s="665"/>
      <c r="G3238" s="663">
        <v>20</v>
      </c>
      <c r="H3238" s="662" t="s">
        <v>807</v>
      </c>
      <c r="I3238" s="666" t="s">
        <v>863</v>
      </c>
      <c r="J3238" s="667" t="s">
        <v>805</v>
      </c>
      <c r="K3238" s="662">
        <v>1</v>
      </c>
      <c r="L3238" s="685">
        <f t="shared" si="97"/>
        <v>18.8</v>
      </c>
      <c r="M3238" s="686">
        <f t="shared" si="96"/>
        <v>18.8</v>
      </c>
    </row>
    <row r="3239" spans="2:13" s="645" customFormat="1" ht="21.75" customHeight="1">
      <c r="B3239" s="661">
        <v>44463</v>
      </c>
      <c r="C3239" s="662" t="s">
        <v>819</v>
      </c>
      <c r="D3239" s="663" t="s">
        <v>868</v>
      </c>
      <c r="E3239" s="664" t="s">
        <v>831</v>
      </c>
      <c r="F3239" s="665"/>
      <c r="G3239" s="663">
        <v>20</v>
      </c>
      <c r="H3239" s="662" t="s">
        <v>807</v>
      </c>
      <c r="I3239" s="666" t="s">
        <v>857</v>
      </c>
      <c r="J3239" s="667" t="s">
        <v>804</v>
      </c>
      <c r="K3239" s="662">
        <v>2</v>
      </c>
      <c r="L3239" s="685">
        <f t="shared" si="97"/>
        <v>18.8</v>
      </c>
      <c r="M3239" s="686">
        <f t="shared" ref="M3239:M3302" si="98">L3239*K3239</f>
        <v>37.6</v>
      </c>
    </row>
    <row r="3240" spans="2:13" s="645" customFormat="1" ht="21.75" customHeight="1">
      <c r="B3240" s="661">
        <v>44463</v>
      </c>
      <c r="C3240" s="662" t="s">
        <v>819</v>
      </c>
      <c r="D3240" s="663" t="s">
        <v>868</v>
      </c>
      <c r="E3240" s="664" t="s">
        <v>831</v>
      </c>
      <c r="F3240" s="665"/>
      <c r="G3240" s="663">
        <v>20</v>
      </c>
      <c r="H3240" s="662" t="s">
        <v>807</v>
      </c>
      <c r="I3240" s="666" t="s">
        <v>863</v>
      </c>
      <c r="J3240" s="667" t="s">
        <v>804</v>
      </c>
      <c r="K3240" s="662">
        <v>1</v>
      </c>
      <c r="L3240" s="685">
        <f t="shared" si="97"/>
        <v>18.8</v>
      </c>
      <c r="M3240" s="686">
        <f t="shared" si="98"/>
        <v>18.8</v>
      </c>
    </row>
    <row r="3241" spans="2:13" s="645" customFormat="1" ht="21.75" customHeight="1">
      <c r="B3241" s="661">
        <v>44463</v>
      </c>
      <c r="C3241" s="662" t="s">
        <v>819</v>
      </c>
      <c r="D3241" s="663" t="s">
        <v>868</v>
      </c>
      <c r="E3241" s="664" t="s">
        <v>831</v>
      </c>
      <c r="F3241" s="665"/>
      <c r="G3241" s="663">
        <v>20</v>
      </c>
      <c r="H3241" s="662" t="s">
        <v>807</v>
      </c>
      <c r="I3241" s="666" t="s">
        <v>863</v>
      </c>
      <c r="J3241" s="667" t="s">
        <v>805</v>
      </c>
      <c r="K3241" s="662">
        <v>1</v>
      </c>
      <c r="L3241" s="685">
        <f t="shared" si="97"/>
        <v>18.8</v>
      </c>
      <c r="M3241" s="686">
        <f t="shared" si="98"/>
        <v>18.8</v>
      </c>
    </row>
    <row r="3242" spans="2:13" s="645" customFormat="1" ht="21.75" customHeight="1">
      <c r="B3242" s="661">
        <v>44463</v>
      </c>
      <c r="C3242" s="662" t="s">
        <v>819</v>
      </c>
      <c r="D3242" s="663" t="s">
        <v>870</v>
      </c>
      <c r="E3242" s="664" t="s">
        <v>831</v>
      </c>
      <c r="F3242" s="665"/>
      <c r="G3242" s="663">
        <v>20</v>
      </c>
      <c r="H3242" s="662" t="s">
        <v>807</v>
      </c>
      <c r="I3242" s="666" t="s">
        <v>861</v>
      </c>
      <c r="J3242" s="667" t="s">
        <v>804</v>
      </c>
      <c r="K3242" s="662">
        <v>3</v>
      </c>
      <c r="L3242" s="685">
        <f t="shared" si="97"/>
        <v>18.8</v>
      </c>
      <c r="M3242" s="686">
        <f t="shared" si="98"/>
        <v>56.400000000000006</v>
      </c>
    </row>
    <row r="3243" spans="2:13" s="645" customFormat="1" ht="21.75" customHeight="1">
      <c r="B3243" s="661">
        <v>44463</v>
      </c>
      <c r="C3243" s="662" t="s">
        <v>819</v>
      </c>
      <c r="D3243" s="663" t="s">
        <v>873</v>
      </c>
      <c r="E3243" s="664" t="s">
        <v>831</v>
      </c>
      <c r="F3243" s="665"/>
      <c r="G3243" s="663">
        <v>17</v>
      </c>
      <c r="H3243" s="662" t="s">
        <v>807</v>
      </c>
      <c r="I3243" s="666" t="s">
        <v>857</v>
      </c>
      <c r="J3243" s="667" t="s">
        <v>804</v>
      </c>
      <c r="K3243" s="662">
        <v>1</v>
      </c>
      <c r="L3243" s="685">
        <f t="shared" si="97"/>
        <v>15.98</v>
      </c>
      <c r="M3243" s="686">
        <f t="shared" si="98"/>
        <v>15.98</v>
      </c>
    </row>
    <row r="3244" spans="2:13" s="645" customFormat="1" ht="21.75" customHeight="1">
      <c r="B3244" s="661">
        <v>44463</v>
      </c>
      <c r="C3244" s="662" t="s">
        <v>837</v>
      </c>
      <c r="D3244" s="663" t="s">
        <v>834</v>
      </c>
      <c r="E3244" s="664" t="s">
        <v>831</v>
      </c>
      <c r="F3244" s="665"/>
      <c r="G3244" s="663">
        <v>20</v>
      </c>
      <c r="H3244" s="662" t="s">
        <v>807</v>
      </c>
      <c r="I3244" s="666" t="s">
        <v>861</v>
      </c>
      <c r="J3244" s="667" t="s">
        <v>805</v>
      </c>
      <c r="K3244" s="662">
        <v>3</v>
      </c>
      <c r="L3244" s="685">
        <f t="shared" si="97"/>
        <v>18.8</v>
      </c>
      <c r="M3244" s="686">
        <f t="shared" si="98"/>
        <v>56.400000000000006</v>
      </c>
    </row>
    <row r="3245" spans="2:13" s="645" customFormat="1" ht="21.75" customHeight="1">
      <c r="B3245" s="661">
        <v>44463</v>
      </c>
      <c r="C3245" s="662" t="s">
        <v>837</v>
      </c>
      <c r="D3245" s="663" t="s">
        <v>856</v>
      </c>
      <c r="E3245" s="664" t="s">
        <v>831</v>
      </c>
      <c r="F3245" s="665"/>
      <c r="G3245" s="663">
        <v>20</v>
      </c>
      <c r="H3245" s="662" t="s">
        <v>807</v>
      </c>
      <c r="I3245" s="666" t="s">
        <v>861</v>
      </c>
      <c r="J3245" s="667" t="s">
        <v>805</v>
      </c>
      <c r="K3245" s="662">
        <v>3</v>
      </c>
      <c r="L3245" s="685">
        <f t="shared" si="97"/>
        <v>18.8</v>
      </c>
      <c r="M3245" s="686">
        <f t="shared" si="98"/>
        <v>56.400000000000006</v>
      </c>
    </row>
    <row r="3246" spans="2:13" s="645" customFormat="1" ht="21.75" customHeight="1">
      <c r="B3246" s="661">
        <v>44463</v>
      </c>
      <c r="C3246" s="662" t="s">
        <v>837</v>
      </c>
      <c r="D3246" s="663" t="s">
        <v>835</v>
      </c>
      <c r="E3246" s="664" t="s">
        <v>831</v>
      </c>
      <c r="F3246" s="665"/>
      <c r="G3246" s="663">
        <v>20</v>
      </c>
      <c r="H3246" s="662" t="s">
        <v>807</v>
      </c>
      <c r="I3246" s="666" t="s">
        <v>861</v>
      </c>
      <c r="J3246" s="667" t="s">
        <v>805</v>
      </c>
      <c r="K3246" s="662">
        <v>2</v>
      </c>
      <c r="L3246" s="685">
        <f t="shared" si="97"/>
        <v>18.8</v>
      </c>
      <c r="M3246" s="686">
        <f t="shared" si="98"/>
        <v>37.6</v>
      </c>
    </row>
    <row r="3247" spans="2:13" s="645" customFormat="1" ht="21.75" customHeight="1">
      <c r="B3247" s="661">
        <v>44463</v>
      </c>
      <c r="C3247" s="662" t="s">
        <v>837</v>
      </c>
      <c r="D3247" s="663" t="s">
        <v>841</v>
      </c>
      <c r="E3247" s="664" t="s">
        <v>831</v>
      </c>
      <c r="F3247" s="665"/>
      <c r="G3247" s="663">
        <v>20</v>
      </c>
      <c r="H3247" s="662" t="s">
        <v>807</v>
      </c>
      <c r="I3247" s="666" t="s">
        <v>861</v>
      </c>
      <c r="J3247" s="667" t="s">
        <v>805</v>
      </c>
      <c r="K3247" s="662">
        <v>3</v>
      </c>
      <c r="L3247" s="685">
        <f t="shared" si="97"/>
        <v>18.8</v>
      </c>
      <c r="M3247" s="686">
        <f t="shared" si="98"/>
        <v>56.400000000000006</v>
      </c>
    </row>
    <row r="3248" spans="2:13" s="645" customFormat="1" ht="21.75" customHeight="1">
      <c r="B3248" s="661">
        <v>44463</v>
      </c>
      <c r="C3248" s="662" t="s">
        <v>837</v>
      </c>
      <c r="D3248" s="663" t="s">
        <v>845</v>
      </c>
      <c r="E3248" s="664" t="s">
        <v>831</v>
      </c>
      <c r="F3248" s="665"/>
      <c r="G3248" s="663">
        <v>17</v>
      </c>
      <c r="H3248" s="662" t="s">
        <v>807</v>
      </c>
      <c r="I3248" s="666" t="s">
        <v>861</v>
      </c>
      <c r="J3248" s="667" t="s">
        <v>805</v>
      </c>
      <c r="K3248" s="662">
        <v>3</v>
      </c>
      <c r="L3248" s="685">
        <f t="shared" si="97"/>
        <v>15.98</v>
      </c>
      <c r="M3248" s="686">
        <f t="shared" si="98"/>
        <v>47.94</v>
      </c>
    </row>
    <row r="3249" spans="2:13" s="645" customFormat="1" ht="21.75" customHeight="1">
      <c r="B3249" s="661">
        <v>44463</v>
      </c>
      <c r="C3249" s="662" t="s">
        <v>837</v>
      </c>
      <c r="D3249" s="663" t="s">
        <v>847</v>
      </c>
      <c r="E3249" s="664" t="s">
        <v>831</v>
      </c>
      <c r="F3249" s="665"/>
      <c r="G3249" s="663">
        <v>17</v>
      </c>
      <c r="H3249" s="662" t="s">
        <v>807</v>
      </c>
      <c r="I3249" s="666" t="s">
        <v>861</v>
      </c>
      <c r="J3249" s="667" t="s">
        <v>805</v>
      </c>
      <c r="K3249" s="662">
        <v>3</v>
      </c>
      <c r="L3249" s="685">
        <f t="shared" si="97"/>
        <v>15.98</v>
      </c>
      <c r="M3249" s="686">
        <f t="shared" si="98"/>
        <v>47.94</v>
      </c>
    </row>
    <row r="3250" spans="2:13" s="645" customFormat="1" ht="21.75" customHeight="1">
      <c r="B3250" s="661">
        <v>44463</v>
      </c>
      <c r="C3250" s="662" t="s">
        <v>837</v>
      </c>
      <c r="D3250" s="663" t="s">
        <v>878</v>
      </c>
      <c r="E3250" s="664" t="s">
        <v>831</v>
      </c>
      <c r="F3250" s="665"/>
      <c r="G3250" s="663">
        <v>15</v>
      </c>
      <c r="H3250" s="662" t="s">
        <v>807</v>
      </c>
      <c r="I3250" s="666" t="s">
        <v>861</v>
      </c>
      <c r="J3250" s="667" t="s">
        <v>805</v>
      </c>
      <c r="K3250" s="662">
        <v>1</v>
      </c>
      <c r="L3250" s="685">
        <f t="shared" si="97"/>
        <v>14.1</v>
      </c>
      <c r="M3250" s="686">
        <f t="shared" si="98"/>
        <v>14.1</v>
      </c>
    </row>
    <row r="3251" spans="2:13" s="645" customFormat="1" ht="21.75" customHeight="1">
      <c r="B3251" s="661">
        <v>44463</v>
      </c>
      <c r="C3251" s="662" t="s">
        <v>837</v>
      </c>
      <c r="D3251" s="663" t="s">
        <v>876</v>
      </c>
      <c r="E3251" s="664" t="s">
        <v>831</v>
      </c>
      <c r="F3251" s="665"/>
      <c r="G3251" s="663">
        <v>20</v>
      </c>
      <c r="H3251" s="662" t="s">
        <v>807</v>
      </c>
      <c r="I3251" s="666" t="s">
        <v>861</v>
      </c>
      <c r="J3251" s="667" t="s">
        <v>805</v>
      </c>
      <c r="K3251" s="662">
        <v>1</v>
      </c>
      <c r="L3251" s="685">
        <f t="shared" si="97"/>
        <v>18.8</v>
      </c>
      <c r="M3251" s="686">
        <f t="shared" si="98"/>
        <v>18.8</v>
      </c>
    </row>
    <row r="3252" spans="2:13" s="645" customFormat="1" ht="21.75" customHeight="1">
      <c r="B3252" s="661">
        <v>44463</v>
      </c>
      <c r="C3252" s="662" t="s">
        <v>837</v>
      </c>
      <c r="D3252" s="663" t="s">
        <v>873</v>
      </c>
      <c r="E3252" s="664" t="s">
        <v>831</v>
      </c>
      <c r="F3252" s="665"/>
      <c r="G3252" s="663">
        <v>17</v>
      </c>
      <c r="H3252" s="662" t="s">
        <v>807</v>
      </c>
      <c r="I3252" s="666" t="s">
        <v>861</v>
      </c>
      <c r="J3252" s="667" t="s">
        <v>805</v>
      </c>
      <c r="K3252" s="662">
        <v>2</v>
      </c>
      <c r="L3252" s="685">
        <f t="shared" si="97"/>
        <v>15.98</v>
      </c>
      <c r="M3252" s="686">
        <f t="shared" si="98"/>
        <v>31.96</v>
      </c>
    </row>
    <row r="3253" spans="2:13" s="645" customFormat="1" ht="21.75" customHeight="1">
      <c r="B3253" s="708">
        <v>44463</v>
      </c>
      <c r="C3253" s="709" t="s">
        <v>819</v>
      </c>
      <c r="D3253" s="710" t="s">
        <v>849</v>
      </c>
      <c r="E3253" s="711" t="s">
        <v>831</v>
      </c>
      <c r="F3253" s="712"/>
      <c r="G3253" s="710">
        <v>20</v>
      </c>
      <c r="H3253" s="709" t="s">
        <v>807</v>
      </c>
      <c r="I3253" s="713" t="s">
        <v>857</v>
      </c>
      <c r="J3253" s="714" t="s">
        <v>802</v>
      </c>
      <c r="K3253" s="709">
        <v>9</v>
      </c>
      <c r="L3253" s="715">
        <f t="shared" si="97"/>
        <v>18.8</v>
      </c>
      <c r="M3253" s="716">
        <f t="shared" si="98"/>
        <v>169.20000000000002</v>
      </c>
    </row>
    <row r="3254" spans="2:13" s="645" customFormat="1" ht="21.75" customHeight="1">
      <c r="B3254" s="708">
        <v>44463</v>
      </c>
      <c r="C3254" s="709" t="s">
        <v>819</v>
      </c>
      <c r="D3254" s="710" t="s">
        <v>835</v>
      </c>
      <c r="E3254" s="711" t="s">
        <v>831</v>
      </c>
      <c r="F3254" s="712"/>
      <c r="G3254" s="710">
        <v>20</v>
      </c>
      <c r="H3254" s="709" t="s">
        <v>807</v>
      </c>
      <c r="I3254" s="713" t="s">
        <v>857</v>
      </c>
      <c r="J3254" s="714" t="s">
        <v>802</v>
      </c>
      <c r="K3254" s="709">
        <v>2</v>
      </c>
      <c r="L3254" s="715">
        <f t="shared" si="97"/>
        <v>18.8</v>
      </c>
      <c r="M3254" s="716">
        <f t="shared" si="98"/>
        <v>37.6</v>
      </c>
    </row>
    <row r="3255" spans="2:13" s="645" customFormat="1" ht="21.75" customHeight="1">
      <c r="B3255" s="708">
        <v>44463</v>
      </c>
      <c r="C3255" s="709" t="s">
        <v>819</v>
      </c>
      <c r="D3255" s="710" t="s">
        <v>841</v>
      </c>
      <c r="E3255" s="711" t="s">
        <v>831</v>
      </c>
      <c r="F3255" s="712"/>
      <c r="G3255" s="710">
        <v>20</v>
      </c>
      <c r="H3255" s="709" t="s">
        <v>807</v>
      </c>
      <c r="I3255" s="713" t="s">
        <v>857</v>
      </c>
      <c r="J3255" s="714" t="s">
        <v>802</v>
      </c>
      <c r="K3255" s="709">
        <v>7</v>
      </c>
      <c r="L3255" s="715">
        <f t="shared" si="97"/>
        <v>18.8</v>
      </c>
      <c r="M3255" s="716">
        <f t="shared" si="98"/>
        <v>131.6</v>
      </c>
    </row>
    <row r="3256" spans="2:13" s="645" customFormat="1" ht="21.75" customHeight="1">
      <c r="B3256" s="708">
        <v>44463</v>
      </c>
      <c r="C3256" s="709" t="s">
        <v>819</v>
      </c>
      <c r="D3256" s="710" t="s">
        <v>834</v>
      </c>
      <c r="E3256" s="711" t="s">
        <v>831</v>
      </c>
      <c r="F3256" s="712"/>
      <c r="G3256" s="710">
        <v>20</v>
      </c>
      <c r="H3256" s="709" t="s">
        <v>807</v>
      </c>
      <c r="I3256" s="713" t="s">
        <v>857</v>
      </c>
      <c r="J3256" s="714" t="s">
        <v>802</v>
      </c>
      <c r="K3256" s="709">
        <v>6</v>
      </c>
      <c r="L3256" s="715">
        <f t="shared" si="97"/>
        <v>18.8</v>
      </c>
      <c r="M3256" s="716">
        <f t="shared" si="98"/>
        <v>112.80000000000001</v>
      </c>
    </row>
    <row r="3257" spans="2:13" s="645" customFormat="1" ht="21.75" customHeight="1">
      <c r="B3257" s="708">
        <v>44463</v>
      </c>
      <c r="C3257" s="709" t="s">
        <v>819</v>
      </c>
      <c r="D3257" s="710" t="s">
        <v>848</v>
      </c>
      <c r="E3257" s="711" t="s">
        <v>831</v>
      </c>
      <c r="F3257" s="712"/>
      <c r="G3257" s="710">
        <v>20</v>
      </c>
      <c r="H3257" s="709" t="s">
        <v>807</v>
      </c>
      <c r="I3257" s="713" t="s">
        <v>857</v>
      </c>
      <c r="J3257" s="714" t="s">
        <v>802</v>
      </c>
      <c r="K3257" s="709">
        <v>4</v>
      </c>
      <c r="L3257" s="715">
        <f t="shared" si="97"/>
        <v>18.8</v>
      </c>
      <c r="M3257" s="716">
        <f t="shared" si="98"/>
        <v>75.2</v>
      </c>
    </row>
    <row r="3258" spans="2:13" s="645" customFormat="1" ht="21.75" customHeight="1">
      <c r="B3258" s="708">
        <v>44463</v>
      </c>
      <c r="C3258" s="709" t="s">
        <v>819</v>
      </c>
      <c r="D3258" s="710" t="s">
        <v>833</v>
      </c>
      <c r="E3258" s="711" t="s">
        <v>831</v>
      </c>
      <c r="F3258" s="712"/>
      <c r="G3258" s="710">
        <v>15</v>
      </c>
      <c r="H3258" s="709" t="s">
        <v>807</v>
      </c>
      <c r="I3258" s="713" t="s">
        <v>861</v>
      </c>
      <c r="J3258" s="714" t="s">
        <v>802</v>
      </c>
      <c r="K3258" s="709">
        <v>5</v>
      </c>
      <c r="L3258" s="715">
        <f t="shared" si="97"/>
        <v>14.1</v>
      </c>
      <c r="M3258" s="716">
        <f t="shared" si="98"/>
        <v>70.5</v>
      </c>
    </row>
    <row r="3259" spans="2:13" s="645" customFormat="1" ht="21.75" customHeight="1">
      <c r="B3259" s="708">
        <v>44463</v>
      </c>
      <c r="C3259" s="709" t="s">
        <v>819</v>
      </c>
      <c r="D3259" s="710" t="s">
        <v>833</v>
      </c>
      <c r="E3259" s="711" t="s">
        <v>831</v>
      </c>
      <c r="F3259" s="712"/>
      <c r="G3259" s="710">
        <v>15</v>
      </c>
      <c r="H3259" s="709" t="s">
        <v>807</v>
      </c>
      <c r="I3259" s="713" t="s">
        <v>857</v>
      </c>
      <c r="J3259" s="714" t="s">
        <v>802</v>
      </c>
      <c r="K3259" s="709">
        <v>3</v>
      </c>
      <c r="L3259" s="715">
        <f t="shared" si="97"/>
        <v>14.1</v>
      </c>
      <c r="M3259" s="716">
        <f t="shared" si="98"/>
        <v>42.3</v>
      </c>
    </row>
    <row r="3260" spans="2:13" s="645" customFormat="1" ht="21.75" customHeight="1">
      <c r="B3260" s="708">
        <v>44463</v>
      </c>
      <c r="C3260" s="709" t="s">
        <v>819</v>
      </c>
      <c r="D3260" s="710" t="s">
        <v>833</v>
      </c>
      <c r="E3260" s="711" t="s">
        <v>831</v>
      </c>
      <c r="F3260" s="712"/>
      <c r="G3260" s="710">
        <v>15</v>
      </c>
      <c r="H3260" s="709" t="s">
        <v>807</v>
      </c>
      <c r="I3260" s="713" t="s">
        <v>863</v>
      </c>
      <c r="J3260" s="714" t="s">
        <v>802</v>
      </c>
      <c r="K3260" s="709">
        <v>3</v>
      </c>
      <c r="L3260" s="715">
        <f t="shared" si="97"/>
        <v>14.1</v>
      </c>
      <c r="M3260" s="716">
        <f t="shared" si="98"/>
        <v>42.3</v>
      </c>
    </row>
    <row r="3261" spans="2:13" s="645" customFormat="1" ht="21.75" customHeight="1">
      <c r="B3261" s="708">
        <v>44463</v>
      </c>
      <c r="C3261" s="709" t="s">
        <v>819</v>
      </c>
      <c r="D3261" s="710" t="s">
        <v>830</v>
      </c>
      <c r="E3261" s="711" t="s">
        <v>831</v>
      </c>
      <c r="F3261" s="712"/>
      <c r="G3261" s="710">
        <v>15</v>
      </c>
      <c r="H3261" s="709" t="s">
        <v>807</v>
      </c>
      <c r="I3261" s="713" t="s">
        <v>857</v>
      </c>
      <c r="J3261" s="714" t="s">
        <v>802</v>
      </c>
      <c r="K3261" s="709">
        <v>2</v>
      </c>
      <c r="L3261" s="715">
        <f t="shared" si="97"/>
        <v>14.1</v>
      </c>
      <c r="M3261" s="716">
        <f t="shared" si="98"/>
        <v>28.2</v>
      </c>
    </row>
    <row r="3262" spans="2:13" s="645" customFormat="1" ht="21.75" customHeight="1">
      <c r="B3262" s="708">
        <v>44463</v>
      </c>
      <c r="C3262" s="709" t="s">
        <v>819</v>
      </c>
      <c r="D3262" s="710" t="s">
        <v>830</v>
      </c>
      <c r="E3262" s="711" t="s">
        <v>831</v>
      </c>
      <c r="F3262" s="712"/>
      <c r="G3262" s="710">
        <v>15</v>
      </c>
      <c r="H3262" s="709" t="s">
        <v>807</v>
      </c>
      <c r="I3262" s="713" t="s">
        <v>861</v>
      </c>
      <c r="J3262" s="714" t="s">
        <v>802</v>
      </c>
      <c r="K3262" s="709">
        <v>4</v>
      </c>
      <c r="L3262" s="715">
        <f t="shared" si="97"/>
        <v>14.1</v>
      </c>
      <c r="M3262" s="716">
        <f t="shared" si="98"/>
        <v>56.4</v>
      </c>
    </row>
    <row r="3263" spans="2:13" s="645" customFormat="1" ht="21.75" customHeight="1">
      <c r="B3263" s="708">
        <v>44463</v>
      </c>
      <c r="C3263" s="709" t="s">
        <v>819</v>
      </c>
      <c r="D3263" s="710" t="s">
        <v>830</v>
      </c>
      <c r="E3263" s="711" t="s">
        <v>831</v>
      </c>
      <c r="F3263" s="712"/>
      <c r="G3263" s="710">
        <v>15</v>
      </c>
      <c r="H3263" s="709" t="s">
        <v>807</v>
      </c>
      <c r="I3263" s="713" t="s">
        <v>863</v>
      </c>
      <c r="J3263" s="714" t="s">
        <v>802</v>
      </c>
      <c r="K3263" s="709">
        <v>2</v>
      </c>
      <c r="L3263" s="715">
        <f t="shared" si="97"/>
        <v>14.1</v>
      </c>
      <c r="M3263" s="716">
        <f t="shared" si="98"/>
        <v>28.2</v>
      </c>
    </row>
    <row r="3264" spans="2:13" s="645" customFormat="1" ht="21.75" customHeight="1">
      <c r="B3264" s="708">
        <v>44463</v>
      </c>
      <c r="C3264" s="709" t="s">
        <v>819</v>
      </c>
      <c r="D3264" s="710" t="s">
        <v>839</v>
      </c>
      <c r="E3264" s="711" t="s">
        <v>831</v>
      </c>
      <c r="F3264" s="712"/>
      <c r="G3264" s="710">
        <v>15</v>
      </c>
      <c r="H3264" s="709" t="s">
        <v>807</v>
      </c>
      <c r="I3264" s="713" t="s">
        <v>857</v>
      </c>
      <c r="J3264" s="714" t="s">
        <v>802</v>
      </c>
      <c r="K3264" s="709">
        <v>1</v>
      </c>
      <c r="L3264" s="715">
        <f t="shared" si="97"/>
        <v>14.1</v>
      </c>
      <c r="M3264" s="716">
        <f t="shared" si="98"/>
        <v>14.1</v>
      </c>
    </row>
    <row r="3265" spans="2:13" s="645" customFormat="1" ht="21.75" customHeight="1">
      <c r="B3265" s="708">
        <v>44463</v>
      </c>
      <c r="C3265" s="709" t="s">
        <v>819</v>
      </c>
      <c r="D3265" s="710" t="s">
        <v>839</v>
      </c>
      <c r="E3265" s="711" t="s">
        <v>831</v>
      </c>
      <c r="F3265" s="712"/>
      <c r="G3265" s="710">
        <v>15</v>
      </c>
      <c r="H3265" s="709" t="s">
        <v>807</v>
      </c>
      <c r="I3265" s="713" t="s">
        <v>861</v>
      </c>
      <c r="J3265" s="714" t="s">
        <v>802</v>
      </c>
      <c r="K3265" s="709">
        <v>4</v>
      </c>
      <c r="L3265" s="715">
        <f t="shared" si="97"/>
        <v>14.1</v>
      </c>
      <c r="M3265" s="716">
        <f t="shared" si="98"/>
        <v>56.4</v>
      </c>
    </row>
    <row r="3266" spans="2:13" s="645" customFormat="1" ht="21.75" customHeight="1">
      <c r="B3266" s="708">
        <v>44463</v>
      </c>
      <c r="C3266" s="709" t="s">
        <v>819</v>
      </c>
      <c r="D3266" s="710" t="s">
        <v>839</v>
      </c>
      <c r="E3266" s="711" t="s">
        <v>831</v>
      </c>
      <c r="F3266" s="712"/>
      <c r="G3266" s="710">
        <v>15</v>
      </c>
      <c r="H3266" s="709" t="s">
        <v>807</v>
      </c>
      <c r="I3266" s="713" t="s">
        <v>863</v>
      </c>
      <c r="J3266" s="714" t="s">
        <v>802</v>
      </c>
      <c r="K3266" s="709">
        <v>3</v>
      </c>
      <c r="L3266" s="715">
        <f t="shared" si="97"/>
        <v>14.1</v>
      </c>
      <c r="M3266" s="716">
        <f t="shared" si="98"/>
        <v>42.3</v>
      </c>
    </row>
    <row r="3267" spans="2:13" s="645" customFormat="1" ht="21.75" customHeight="1">
      <c r="B3267" s="708">
        <v>44463</v>
      </c>
      <c r="C3267" s="709" t="s">
        <v>819</v>
      </c>
      <c r="D3267" s="710" t="s">
        <v>845</v>
      </c>
      <c r="E3267" s="711" t="s">
        <v>831</v>
      </c>
      <c r="F3267" s="712"/>
      <c r="G3267" s="710">
        <v>17</v>
      </c>
      <c r="H3267" s="709" t="s">
        <v>807</v>
      </c>
      <c r="I3267" s="713" t="s">
        <v>857</v>
      </c>
      <c r="J3267" s="714" t="s">
        <v>802</v>
      </c>
      <c r="K3267" s="709">
        <v>5</v>
      </c>
      <c r="L3267" s="715">
        <f t="shared" si="97"/>
        <v>15.98</v>
      </c>
      <c r="M3267" s="716">
        <f t="shared" si="98"/>
        <v>79.900000000000006</v>
      </c>
    </row>
    <row r="3268" spans="2:13" s="645" customFormat="1" ht="21.75" customHeight="1">
      <c r="B3268" s="708">
        <v>44463</v>
      </c>
      <c r="C3268" s="709" t="s">
        <v>819</v>
      </c>
      <c r="D3268" s="710" t="s">
        <v>845</v>
      </c>
      <c r="E3268" s="711" t="s">
        <v>831</v>
      </c>
      <c r="F3268" s="712"/>
      <c r="G3268" s="710">
        <v>17</v>
      </c>
      <c r="H3268" s="709" t="s">
        <v>807</v>
      </c>
      <c r="I3268" s="713" t="s">
        <v>861</v>
      </c>
      <c r="J3268" s="714" t="s">
        <v>802</v>
      </c>
      <c r="K3268" s="709">
        <v>6</v>
      </c>
      <c r="L3268" s="715">
        <f t="shared" si="97"/>
        <v>15.98</v>
      </c>
      <c r="M3268" s="716">
        <f t="shared" si="98"/>
        <v>95.88</v>
      </c>
    </row>
    <row r="3269" spans="2:13" s="645" customFormat="1" ht="21.75" customHeight="1">
      <c r="B3269" s="708">
        <v>44463</v>
      </c>
      <c r="C3269" s="709" t="s">
        <v>819</v>
      </c>
      <c r="D3269" s="710" t="s">
        <v>847</v>
      </c>
      <c r="E3269" s="711" t="s">
        <v>831</v>
      </c>
      <c r="F3269" s="712"/>
      <c r="G3269" s="710">
        <v>17</v>
      </c>
      <c r="H3269" s="709" t="s">
        <v>807</v>
      </c>
      <c r="I3269" s="713" t="s">
        <v>857</v>
      </c>
      <c r="J3269" s="714" t="s">
        <v>802</v>
      </c>
      <c r="K3269" s="709">
        <v>9</v>
      </c>
      <c r="L3269" s="715">
        <f t="shared" si="97"/>
        <v>15.98</v>
      </c>
      <c r="M3269" s="716">
        <f t="shared" si="98"/>
        <v>143.82</v>
      </c>
    </row>
    <row r="3270" spans="2:13" s="645" customFormat="1" ht="21.75" customHeight="1">
      <c r="B3270" s="708">
        <v>44463</v>
      </c>
      <c r="C3270" s="709" t="s">
        <v>819</v>
      </c>
      <c r="D3270" s="710" t="s">
        <v>856</v>
      </c>
      <c r="E3270" s="711" t="s">
        <v>831</v>
      </c>
      <c r="F3270" s="712"/>
      <c r="G3270" s="710">
        <v>20</v>
      </c>
      <c r="H3270" s="709" t="s">
        <v>807</v>
      </c>
      <c r="I3270" s="713" t="s">
        <v>857</v>
      </c>
      <c r="J3270" s="714" t="s">
        <v>802</v>
      </c>
      <c r="K3270" s="709">
        <v>5</v>
      </c>
      <c r="L3270" s="715">
        <f t="shared" si="97"/>
        <v>18.8</v>
      </c>
      <c r="M3270" s="716">
        <f t="shared" si="98"/>
        <v>94</v>
      </c>
    </row>
    <row r="3271" spans="2:13" s="645" customFormat="1" ht="21.75" customHeight="1">
      <c r="B3271" s="708">
        <v>44463</v>
      </c>
      <c r="C3271" s="709" t="s">
        <v>819</v>
      </c>
      <c r="D3271" s="710" t="s">
        <v>878</v>
      </c>
      <c r="E3271" s="711" t="s">
        <v>831</v>
      </c>
      <c r="F3271" s="712"/>
      <c r="G3271" s="710">
        <v>15</v>
      </c>
      <c r="H3271" s="709" t="s">
        <v>807</v>
      </c>
      <c r="I3271" s="713" t="s">
        <v>857</v>
      </c>
      <c r="J3271" s="714" t="s">
        <v>802</v>
      </c>
      <c r="K3271" s="709">
        <v>2</v>
      </c>
      <c r="L3271" s="715">
        <f t="shared" si="97"/>
        <v>14.1</v>
      </c>
      <c r="M3271" s="716">
        <f t="shared" si="98"/>
        <v>28.2</v>
      </c>
    </row>
    <row r="3272" spans="2:13" s="645" customFormat="1" ht="21.75" customHeight="1">
      <c r="B3272" s="708">
        <v>44463</v>
      </c>
      <c r="C3272" s="709" t="s">
        <v>819</v>
      </c>
      <c r="D3272" s="710" t="s">
        <v>878</v>
      </c>
      <c r="E3272" s="711" t="s">
        <v>831</v>
      </c>
      <c r="F3272" s="712"/>
      <c r="G3272" s="710">
        <v>15</v>
      </c>
      <c r="H3272" s="709" t="s">
        <v>807</v>
      </c>
      <c r="I3272" s="713" t="s">
        <v>861</v>
      </c>
      <c r="J3272" s="714" t="s">
        <v>802</v>
      </c>
      <c r="K3272" s="709">
        <v>7</v>
      </c>
      <c r="L3272" s="715">
        <f t="shared" si="97"/>
        <v>14.1</v>
      </c>
      <c r="M3272" s="716">
        <f t="shared" si="98"/>
        <v>98.7</v>
      </c>
    </row>
    <row r="3273" spans="2:13" s="645" customFormat="1" ht="21.75" customHeight="1">
      <c r="B3273" s="708">
        <v>44463</v>
      </c>
      <c r="C3273" s="709" t="s">
        <v>819</v>
      </c>
      <c r="D3273" s="710" t="s">
        <v>878</v>
      </c>
      <c r="E3273" s="711" t="s">
        <v>831</v>
      </c>
      <c r="F3273" s="712"/>
      <c r="G3273" s="710">
        <v>15</v>
      </c>
      <c r="H3273" s="709" t="s">
        <v>807</v>
      </c>
      <c r="I3273" s="713" t="s">
        <v>863</v>
      </c>
      <c r="J3273" s="714" t="s">
        <v>802</v>
      </c>
      <c r="K3273" s="709">
        <v>4</v>
      </c>
      <c r="L3273" s="715">
        <f t="shared" ref="L3273:L3336" si="99">VLOOKUP(G3273,$Q$4:$V$7,6,FALSE)</f>
        <v>14.1</v>
      </c>
      <c r="M3273" s="716">
        <f t="shared" si="98"/>
        <v>56.4</v>
      </c>
    </row>
    <row r="3274" spans="2:13" s="645" customFormat="1" ht="21.75" customHeight="1">
      <c r="B3274" s="708">
        <v>44463</v>
      </c>
      <c r="C3274" s="709" t="s">
        <v>819</v>
      </c>
      <c r="D3274" s="710" t="s">
        <v>855</v>
      </c>
      <c r="E3274" s="711" t="s">
        <v>831</v>
      </c>
      <c r="F3274" s="712"/>
      <c r="G3274" s="710">
        <v>20</v>
      </c>
      <c r="H3274" s="709" t="s">
        <v>807</v>
      </c>
      <c r="I3274" s="713" t="s">
        <v>857</v>
      </c>
      <c r="J3274" s="714" t="s">
        <v>802</v>
      </c>
      <c r="K3274" s="709">
        <v>10</v>
      </c>
      <c r="L3274" s="715">
        <f t="shared" si="99"/>
        <v>18.8</v>
      </c>
      <c r="M3274" s="716">
        <f t="shared" si="98"/>
        <v>188</v>
      </c>
    </row>
    <row r="3275" spans="2:13" s="645" customFormat="1" ht="21.75" customHeight="1">
      <c r="B3275" s="708">
        <v>44463</v>
      </c>
      <c r="C3275" s="709" t="s">
        <v>819</v>
      </c>
      <c r="D3275" s="710" t="s">
        <v>875</v>
      </c>
      <c r="E3275" s="711" t="s">
        <v>831</v>
      </c>
      <c r="F3275" s="712"/>
      <c r="G3275" s="710">
        <v>20</v>
      </c>
      <c r="H3275" s="709" t="s">
        <v>807</v>
      </c>
      <c r="I3275" s="713" t="s">
        <v>857</v>
      </c>
      <c r="J3275" s="714" t="s">
        <v>802</v>
      </c>
      <c r="K3275" s="709">
        <v>5</v>
      </c>
      <c r="L3275" s="715">
        <f t="shared" si="99"/>
        <v>18.8</v>
      </c>
      <c r="M3275" s="716">
        <f t="shared" si="98"/>
        <v>94</v>
      </c>
    </row>
    <row r="3276" spans="2:13" s="645" customFormat="1" ht="21.75" customHeight="1">
      <c r="B3276" s="708">
        <v>44463</v>
      </c>
      <c r="C3276" s="709" t="s">
        <v>819</v>
      </c>
      <c r="D3276" s="710" t="s">
        <v>867</v>
      </c>
      <c r="E3276" s="711" t="s">
        <v>831</v>
      </c>
      <c r="F3276" s="712"/>
      <c r="G3276" s="710">
        <v>20</v>
      </c>
      <c r="H3276" s="709" t="s">
        <v>807</v>
      </c>
      <c r="I3276" s="713" t="s">
        <v>857</v>
      </c>
      <c r="J3276" s="714" t="s">
        <v>802</v>
      </c>
      <c r="K3276" s="709">
        <v>2</v>
      </c>
      <c r="L3276" s="715">
        <f t="shared" si="99"/>
        <v>18.8</v>
      </c>
      <c r="M3276" s="716">
        <f t="shared" si="98"/>
        <v>37.6</v>
      </c>
    </row>
    <row r="3277" spans="2:13" s="645" customFormat="1" ht="21.75" customHeight="1">
      <c r="B3277" s="708">
        <v>44463</v>
      </c>
      <c r="C3277" s="709" t="s">
        <v>819</v>
      </c>
      <c r="D3277" s="710" t="s">
        <v>867</v>
      </c>
      <c r="E3277" s="711" t="s">
        <v>831</v>
      </c>
      <c r="F3277" s="712"/>
      <c r="G3277" s="710">
        <v>20</v>
      </c>
      <c r="H3277" s="709" t="s">
        <v>807</v>
      </c>
      <c r="I3277" s="713" t="s">
        <v>861</v>
      </c>
      <c r="J3277" s="714" t="s">
        <v>802</v>
      </c>
      <c r="K3277" s="709">
        <v>6</v>
      </c>
      <c r="L3277" s="715">
        <f t="shared" si="99"/>
        <v>18.8</v>
      </c>
      <c r="M3277" s="716">
        <f t="shared" si="98"/>
        <v>112.80000000000001</v>
      </c>
    </row>
    <row r="3278" spans="2:13" s="645" customFormat="1" ht="21.75" customHeight="1">
      <c r="B3278" s="708">
        <v>44463</v>
      </c>
      <c r="C3278" s="709" t="s">
        <v>819</v>
      </c>
      <c r="D3278" s="710" t="s">
        <v>867</v>
      </c>
      <c r="E3278" s="711" t="s">
        <v>831</v>
      </c>
      <c r="F3278" s="712"/>
      <c r="G3278" s="710">
        <v>20</v>
      </c>
      <c r="H3278" s="709" t="s">
        <v>807</v>
      </c>
      <c r="I3278" s="713" t="s">
        <v>863</v>
      </c>
      <c r="J3278" s="714" t="s">
        <v>802</v>
      </c>
      <c r="K3278" s="709">
        <v>2</v>
      </c>
      <c r="L3278" s="715">
        <f t="shared" si="99"/>
        <v>18.8</v>
      </c>
      <c r="M3278" s="716">
        <f t="shared" si="98"/>
        <v>37.6</v>
      </c>
    </row>
    <row r="3279" spans="2:13" s="645" customFormat="1" ht="21.75" customHeight="1">
      <c r="B3279" s="708">
        <v>44463</v>
      </c>
      <c r="C3279" s="709" t="s">
        <v>819</v>
      </c>
      <c r="D3279" s="710" t="s">
        <v>876</v>
      </c>
      <c r="E3279" s="711" t="s">
        <v>831</v>
      </c>
      <c r="F3279" s="712"/>
      <c r="G3279" s="710">
        <v>20</v>
      </c>
      <c r="H3279" s="709" t="s">
        <v>807</v>
      </c>
      <c r="I3279" s="713" t="s">
        <v>857</v>
      </c>
      <c r="J3279" s="714" t="s">
        <v>802</v>
      </c>
      <c r="K3279" s="709">
        <v>11</v>
      </c>
      <c r="L3279" s="715">
        <f t="shared" si="99"/>
        <v>18.8</v>
      </c>
      <c r="M3279" s="716">
        <f t="shared" si="98"/>
        <v>206.8</v>
      </c>
    </row>
    <row r="3280" spans="2:13" s="645" customFormat="1" ht="21.75" customHeight="1">
      <c r="B3280" s="708">
        <v>44463</v>
      </c>
      <c r="C3280" s="709" t="s">
        <v>819</v>
      </c>
      <c r="D3280" s="710" t="s">
        <v>868</v>
      </c>
      <c r="E3280" s="711" t="s">
        <v>831</v>
      </c>
      <c r="F3280" s="712"/>
      <c r="G3280" s="710">
        <v>20</v>
      </c>
      <c r="H3280" s="709" t="s">
        <v>807</v>
      </c>
      <c r="I3280" s="713" t="s">
        <v>857</v>
      </c>
      <c r="J3280" s="714" t="s">
        <v>802</v>
      </c>
      <c r="K3280" s="709">
        <v>1</v>
      </c>
      <c r="L3280" s="715">
        <f t="shared" si="99"/>
        <v>18.8</v>
      </c>
      <c r="M3280" s="716">
        <f t="shared" si="98"/>
        <v>18.8</v>
      </c>
    </row>
    <row r="3281" spans="2:13" s="645" customFormat="1" ht="21.75" customHeight="1">
      <c r="B3281" s="708">
        <v>44463</v>
      </c>
      <c r="C3281" s="709" t="s">
        <v>819</v>
      </c>
      <c r="D3281" s="710" t="s">
        <v>868</v>
      </c>
      <c r="E3281" s="711" t="s">
        <v>831</v>
      </c>
      <c r="F3281" s="712"/>
      <c r="G3281" s="710">
        <v>20</v>
      </c>
      <c r="H3281" s="709" t="s">
        <v>807</v>
      </c>
      <c r="I3281" s="713" t="s">
        <v>861</v>
      </c>
      <c r="J3281" s="714" t="s">
        <v>802</v>
      </c>
      <c r="K3281" s="709">
        <v>6</v>
      </c>
      <c r="L3281" s="715">
        <f t="shared" si="99"/>
        <v>18.8</v>
      </c>
      <c r="M3281" s="716">
        <f t="shared" si="98"/>
        <v>112.80000000000001</v>
      </c>
    </row>
    <row r="3282" spans="2:13" s="645" customFormat="1" ht="21.75" customHeight="1">
      <c r="B3282" s="708">
        <v>44463</v>
      </c>
      <c r="C3282" s="709" t="s">
        <v>819</v>
      </c>
      <c r="D3282" s="710" t="s">
        <v>868</v>
      </c>
      <c r="E3282" s="711" t="s">
        <v>831</v>
      </c>
      <c r="F3282" s="712"/>
      <c r="G3282" s="710">
        <v>20</v>
      </c>
      <c r="H3282" s="709" t="s">
        <v>807</v>
      </c>
      <c r="I3282" s="713" t="s">
        <v>863</v>
      </c>
      <c r="J3282" s="714" t="s">
        <v>802</v>
      </c>
      <c r="K3282" s="709">
        <v>2</v>
      </c>
      <c r="L3282" s="715">
        <f t="shared" si="99"/>
        <v>18.8</v>
      </c>
      <c r="M3282" s="716">
        <f t="shared" si="98"/>
        <v>37.6</v>
      </c>
    </row>
    <row r="3283" spans="2:13" s="645" customFormat="1" ht="21.75" customHeight="1">
      <c r="B3283" s="708">
        <v>44463</v>
      </c>
      <c r="C3283" s="709" t="s">
        <v>819</v>
      </c>
      <c r="D3283" s="710" t="s">
        <v>877</v>
      </c>
      <c r="E3283" s="711" t="s">
        <v>831</v>
      </c>
      <c r="F3283" s="712"/>
      <c r="G3283" s="710">
        <v>20</v>
      </c>
      <c r="H3283" s="709" t="s">
        <v>807</v>
      </c>
      <c r="I3283" s="713" t="s">
        <v>857</v>
      </c>
      <c r="J3283" s="714" t="s">
        <v>802</v>
      </c>
      <c r="K3283" s="709">
        <v>2</v>
      </c>
      <c r="L3283" s="715">
        <f t="shared" si="99"/>
        <v>18.8</v>
      </c>
      <c r="M3283" s="716">
        <f t="shared" si="98"/>
        <v>37.6</v>
      </c>
    </row>
    <row r="3284" spans="2:13" s="645" customFormat="1" ht="21.75" customHeight="1">
      <c r="B3284" s="708">
        <v>44463</v>
      </c>
      <c r="C3284" s="709" t="s">
        <v>819</v>
      </c>
      <c r="D3284" s="710" t="s">
        <v>870</v>
      </c>
      <c r="E3284" s="711" t="s">
        <v>831</v>
      </c>
      <c r="F3284" s="712"/>
      <c r="G3284" s="710">
        <v>20</v>
      </c>
      <c r="H3284" s="709" t="s">
        <v>807</v>
      </c>
      <c r="I3284" s="713" t="s">
        <v>857</v>
      </c>
      <c r="J3284" s="714" t="s">
        <v>802</v>
      </c>
      <c r="K3284" s="709">
        <v>2</v>
      </c>
      <c r="L3284" s="715">
        <f t="shared" si="99"/>
        <v>18.8</v>
      </c>
      <c r="M3284" s="716">
        <f t="shared" si="98"/>
        <v>37.6</v>
      </c>
    </row>
    <row r="3285" spans="2:13" s="645" customFormat="1" ht="21.75" customHeight="1">
      <c r="B3285" s="708">
        <v>44463</v>
      </c>
      <c r="C3285" s="709" t="s">
        <v>819</v>
      </c>
      <c r="D3285" s="710" t="s">
        <v>870</v>
      </c>
      <c r="E3285" s="711" t="s">
        <v>831</v>
      </c>
      <c r="F3285" s="712"/>
      <c r="G3285" s="710">
        <v>20</v>
      </c>
      <c r="H3285" s="709" t="s">
        <v>807</v>
      </c>
      <c r="I3285" s="713" t="s">
        <v>861</v>
      </c>
      <c r="J3285" s="714" t="s">
        <v>802</v>
      </c>
      <c r="K3285" s="709">
        <v>5</v>
      </c>
      <c r="L3285" s="715">
        <f t="shared" si="99"/>
        <v>18.8</v>
      </c>
      <c r="M3285" s="716">
        <f t="shared" si="98"/>
        <v>94</v>
      </c>
    </row>
    <row r="3286" spans="2:13" s="645" customFormat="1" ht="21.75" customHeight="1">
      <c r="B3286" s="708">
        <v>44463</v>
      </c>
      <c r="C3286" s="709" t="s">
        <v>819</v>
      </c>
      <c r="D3286" s="710" t="s">
        <v>870</v>
      </c>
      <c r="E3286" s="711" t="s">
        <v>831</v>
      </c>
      <c r="F3286" s="712"/>
      <c r="G3286" s="710">
        <v>20</v>
      </c>
      <c r="H3286" s="709" t="s">
        <v>807</v>
      </c>
      <c r="I3286" s="713" t="s">
        <v>863</v>
      </c>
      <c r="J3286" s="714" t="s">
        <v>802</v>
      </c>
      <c r="K3286" s="709">
        <v>3</v>
      </c>
      <c r="L3286" s="715">
        <f t="shared" si="99"/>
        <v>18.8</v>
      </c>
      <c r="M3286" s="716">
        <f t="shared" si="98"/>
        <v>56.400000000000006</v>
      </c>
    </row>
    <row r="3287" spans="2:13" s="645" customFormat="1" ht="21.75" customHeight="1">
      <c r="B3287" s="708">
        <v>44463</v>
      </c>
      <c r="C3287" s="709" t="s">
        <v>819</v>
      </c>
      <c r="D3287" s="710" t="s">
        <v>873</v>
      </c>
      <c r="E3287" s="711" t="s">
        <v>831</v>
      </c>
      <c r="F3287" s="712"/>
      <c r="G3287" s="710">
        <v>17</v>
      </c>
      <c r="H3287" s="709" t="s">
        <v>807</v>
      </c>
      <c r="I3287" s="713" t="s">
        <v>857</v>
      </c>
      <c r="J3287" s="714" t="s">
        <v>802</v>
      </c>
      <c r="K3287" s="709">
        <v>1</v>
      </c>
      <c r="L3287" s="715">
        <f t="shared" si="99"/>
        <v>15.98</v>
      </c>
      <c r="M3287" s="716">
        <f t="shared" si="98"/>
        <v>15.98</v>
      </c>
    </row>
    <row r="3288" spans="2:13" s="645" customFormat="1" ht="21.75" customHeight="1">
      <c r="B3288" s="708">
        <v>44463</v>
      </c>
      <c r="C3288" s="709" t="s">
        <v>819</v>
      </c>
      <c r="D3288" s="710" t="s">
        <v>873</v>
      </c>
      <c r="E3288" s="711" t="s">
        <v>831</v>
      </c>
      <c r="F3288" s="712"/>
      <c r="G3288" s="710">
        <v>17</v>
      </c>
      <c r="H3288" s="709" t="s">
        <v>807</v>
      </c>
      <c r="I3288" s="713" t="s">
        <v>861</v>
      </c>
      <c r="J3288" s="714" t="s">
        <v>802</v>
      </c>
      <c r="K3288" s="709">
        <v>7</v>
      </c>
      <c r="L3288" s="715">
        <f t="shared" si="99"/>
        <v>15.98</v>
      </c>
      <c r="M3288" s="716">
        <f t="shared" si="98"/>
        <v>111.86</v>
      </c>
    </row>
    <row r="3289" spans="2:13" s="645" customFormat="1" ht="21.75" customHeight="1">
      <c r="B3289" s="708">
        <v>44463</v>
      </c>
      <c r="C3289" s="709" t="s">
        <v>819</v>
      </c>
      <c r="D3289" s="710" t="s">
        <v>873</v>
      </c>
      <c r="E3289" s="711" t="s">
        <v>831</v>
      </c>
      <c r="F3289" s="712"/>
      <c r="G3289" s="710">
        <v>17</v>
      </c>
      <c r="H3289" s="709" t="s">
        <v>807</v>
      </c>
      <c r="I3289" s="713" t="s">
        <v>863</v>
      </c>
      <c r="J3289" s="714" t="s">
        <v>802</v>
      </c>
      <c r="K3289" s="709">
        <v>3</v>
      </c>
      <c r="L3289" s="715">
        <f t="shared" si="99"/>
        <v>15.98</v>
      </c>
      <c r="M3289" s="716">
        <f t="shared" si="98"/>
        <v>47.94</v>
      </c>
    </row>
    <row r="3290" spans="2:13" s="645" customFormat="1" ht="21.75" customHeight="1">
      <c r="B3290" s="708">
        <v>44463</v>
      </c>
      <c r="C3290" s="709" t="s">
        <v>837</v>
      </c>
      <c r="D3290" s="710" t="s">
        <v>834</v>
      </c>
      <c r="E3290" s="711" t="s">
        <v>831</v>
      </c>
      <c r="F3290" s="712"/>
      <c r="G3290" s="710">
        <v>20</v>
      </c>
      <c r="H3290" s="709" t="s">
        <v>807</v>
      </c>
      <c r="I3290" s="713" t="s">
        <v>861</v>
      </c>
      <c r="J3290" s="714" t="s">
        <v>802</v>
      </c>
      <c r="K3290" s="709">
        <v>10</v>
      </c>
      <c r="L3290" s="715">
        <f t="shared" si="99"/>
        <v>18.8</v>
      </c>
      <c r="M3290" s="716">
        <f t="shared" si="98"/>
        <v>188</v>
      </c>
    </row>
    <row r="3291" spans="2:13" s="645" customFormat="1" ht="21.75" customHeight="1">
      <c r="B3291" s="708">
        <v>44463</v>
      </c>
      <c r="C3291" s="709" t="s">
        <v>837</v>
      </c>
      <c r="D3291" s="710" t="s">
        <v>856</v>
      </c>
      <c r="E3291" s="711" t="s">
        <v>831</v>
      </c>
      <c r="F3291" s="712"/>
      <c r="G3291" s="710">
        <v>20</v>
      </c>
      <c r="H3291" s="709" t="s">
        <v>807</v>
      </c>
      <c r="I3291" s="713" t="s">
        <v>861</v>
      </c>
      <c r="J3291" s="714" t="s">
        <v>802</v>
      </c>
      <c r="K3291" s="709">
        <v>11</v>
      </c>
      <c r="L3291" s="715">
        <f t="shared" si="99"/>
        <v>18.8</v>
      </c>
      <c r="M3291" s="716">
        <f t="shared" si="98"/>
        <v>206.8</v>
      </c>
    </row>
    <row r="3292" spans="2:13" s="645" customFormat="1" ht="21.75" customHeight="1">
      <c r="B3292" s="708">
        <v>44463</v>
      </c>
      <c r="C3292" s="709" t="s">
        <v>837</v>
      </c>
      <c r="D3292" s="710" t="s">
        <v>855</v>
      </c>
      <c r="E3292" s="711" t="s">
        <v>831</v>
      </c>
      <c r="F3292" s="712"/>
      <c r="G3292" s="710">
        <v>20</v>
      </c>
      <c r="H3292" s="709" t="s">
        <v>807</v>
      </c>
      <c r="I3292" s="713" t="s">
        <v>861</v>
      </c>
      <c r="J3292" s="714" t="s">
        <v>802</v>
      </c>
      <c r="K3292" s="709">
        <v>10</v>
      </c>
      <c r="L3292" s="715">
        <f t="shared" si="99"/>
        <v>18.8</v>
      </c>
      <c r="M3292" s="716">
        <f t="shared" si="98"/>
        <v>188</v>
      </c>
    </row>
    <row r="3293" spans="2:13" s="645" customFormat="1" ht="21.75" customHeight="1">
      <c r="B3293" s="708">
        <v>44463</v>
      </c>
      <c r="C3293" s="709" t="s">
        <v>837</v>
      </c>
      <c r="D3293" s="710" t="s">
        <v>840</v>
      </c>
      <c r="E3293" s="711" t="s">
        <v>831</v>
      </c>
      <c r="F3293" s="712"/>
      <c r="G3293" s="710">
        <v>20</v>
      </c>
      <c r="H3293" s="709" t="s">
        <v>807</v>
      </c>
      <c r="I3293" s="713" t="s">
        <v>861</v>
      </c>
      <c r="J3293" s="714" t="s">
        <v>802</v>
      </c>
      <c r="K3293" s="709">
        <v>12</v>
      </c>
      <c r="L3293" s="715">
        <f t="shared" si="99"/>
        <v>18.8</v>
      </c>
      <c r="M3293" s="716">
        <f t="shared" si="98"/>
        <v>225.60000000000002</v>
      </c>
    </row>
    <row r="3294" spans="2:13" s="645" customFormat="1" ht="21.75" customHeight="1">
      <c r="B3294" s="708">
        <v>44463</v>
      </c>
      <c r="C3294" s="709" t="s">
        <v>837</v>
      </c>
      <c r="D3294" s="710" t="s">
        <v>835</v>
      </c>
      <c r="E3294" s="711" t="s">
        <v>831</v>
      </c>
      <c r="F3294" s="712"/>
      <c r="G3294" s="710">
        <v>20</v>
      </c>
      <c r="H3294" s="709" t="s">
        <v>807</v>
      </c>
      <c r="I3294" s="713" t="s">
        <v>861</v>
      </c>
      <c r="J3294" s="714" t="s">
        <v>802</v>
      </c>
      <c r="K3294" s="709">
        <v>11</v>
      </c>
      <c r="L3294" s="715">
        <f t="shared" si="99"/>
        <v>18.8</v>
      </c>
      <c r="M3294" s="716">
        <f t="shared" si="98"/>
        <v>206.8</v>
      </c>
    </row>
    <row r="3295" spans="2:13" s="645" customFormat="1" ht="21.75" customHeight="1">
      <c r="B3295" s="708">
        <v>44463</v>
      </c>
      <c r="C3295" s="709" t="s">
        <v>837</v>
      </c>
      <c r="D3295" s="710" t="s">
        <v>841</v>
      </c>
      <c r="E3295" s="711" t="s">
        <v>831</v>
      </c>
      <c r="F3295" s="712"/>
      <c r="G3295" s="710">
        <v>20</v>
      </c>
      <c r="H3295" s="709" t="s">
        <v>807</v>
      </c>
      <c r="I3295" s="713" t="s">
        <v>861</v>
      </c>
      <c r="J3295" s="714" t="s">
        <v>802</v>
      </c>
      <c r="K3295" s="709">
        <v>10</v>
      </c>
      <c r="L3295" s="715">
        <f t="shared" si="99"/>
        <v>18.8</v>
      </c>
      <c r="M3295" s="716">
        <f t="shared" si="98"/>
        <v>188</v>
      </c>
    </row>
    <row r="3296" spans="2:13" s="645" customFormat="1" ht="21.75" customHeight="1">
      <c r="B3296" s="708">
        <v>44463</v>
      </c>
      <c r="C3296" s="709" t="s">
        <v>837</v>
      </c>
      <c r="D3296" s="710" t="s">
        <v>845</v>
      </c>
      <c r="E3296" s="711" t="s">
        <v>831</v>
      </c>
      <c r="F3296" s="712"/>
      <c r="G3296" s="710">
        <v>17</v>
      </c>
      <c r="H3296" s="709" t="s">
        <v>807</v>
      </c>
      <c r="I3296" s="713" t="s">
        <v>861</v>
      </c>
      <c r="J3296" s="714" t="s">
        <v>802</v>
      </c>
      <c r="K3296" s="709">
        <v>9</v>
      </c>
      <c r="L3296" s="715">
        <f t="shared" si="99"/>
        <v>15.98</v>
      </c>
      <c r="M3296" s="716">
        <f t="shared" si="98"/>
        <v>143.82</v>
      </c>
    </row>
    <row r="3297" spans="2:13" s="645" customFormat="1" ht="21.75" customHeight="1">
      <c r="B3297" s="708">
        <v>44463</v>
      </c>
      <c r="C3297" s="709" t="s">
        <v>837</v>
      </c>
      <c r="D3297" s="710" t="s">
        <v>847</v>
      </c>
      <c r="E3297" s="711" t="s">
        <v>831</v>
      </c>
      <c r="F3297" s="712"/>
      <c r="G3297" s="710">
        <v>17</v>
      </c>
      <c r="H3297" s="709" t="s">
        <v>807</v>
      </c>
      <c r="I3297" s="713" t="s">
        <v>861</v>
      </c>
      <c r="J3297" s="714" t="s">
        <v>802</v>
      </c>
      <c r="K3297" s="709">
        <v>10</v>
      </c>
      <c r="L3297" s="715">
        <f t="shared" si="99"/>
        <v>15.98</v>
      </c>
      <c r="M3297" s="716">
        <f t="shared" si="98"/>
        <v>159.80000000000001</v>
      </c>
    </row>
    <row r="3298" spans="2:13" s="645" customFormat="1" ht="21.75" customHeight="1">
      <c r="B3298" s="708">
        <v>44463</v>
      </c>
      <c r="C3298" s="709" t="s">
        <v>837</v>
      </c>
      <c r="D3298" s="710" t="s">
        <v>878</v>
      </c>
      <c r="E3298" s="711" t="s">
        <v>831</v>
      </c>
      <c r="F3298" s="712"/>
      <c r="G3298" s="710">
        <v>15</v>
      </c>
      <c r="H3298" s="709" t="s">
        <v>807</v>
      </c>
      <c r="I3298" s="713" t="s">
        <v>861</v>
      </c>
      <c r="J3298" s="714" t="s">
        <v>802</v>
      </c>
      <c r="K3298" s="709">
        <v>12</v>
      </c>
      <c r="L3298" s="715">
        <f t="shared" si="99"/>
        <v>14.1</v>
      </c>
      <c r="M3298" s="716">
        <f t="shared" si="98"/>
        <v>169.2</v>
      </c>
    </row>
    <row r="3299" spans="2:13" s="645" customFormat="1" ht="21.75" customHeight="1">
      <c r="B3299" s="708">
        <v>44463</v>
      </c>
      <c r="C3299" s="709" t="s">
        <v>837</v>
      </c>
      <c r="D3299" s="710" t="s">
        <v>876</v>
      </c>
      <c r="E3299" s="711" t="s">
        <v>831</v>
      </c>
      <c r="F3299" s="712"/>
      <c r="G3299" s="710">
        <v>20</v>
      </c>
      <c r="H3299" s="709" t="s">
        <v>807</v>
      </c>
      <c r="I3299" s="713" t="s">
        <v>861</v>
      </c>
      <c r="J3299" s="714" t="s">
        <v>802</v>
      </c>
      <c r="K3299" s="709">
        <v>12</v>
      </c>
      <c r="L3299" s="715">
        <f t="shared" si="99"/>
        <v>18.8</v>
      </c>
      <c r="M3299" s="716">
        <f t="shared" si="98"/>
        <v>225.60000000000002</v>
      </c>
    </row>
    <row r="3300" spans="2:13" s="645" customFormat="1" ht="21.75" customHeight="1">
      <c r="B3300" s="708">
        <v>44463</v>
      </c>
      <c r="C3300" s="709" t="s">
        <v>837</v>
      </c>
      <c r="D3300" s="710" t="s">
        <v>873</v>
      </c>
      <c r="E3300" s="711" t="s">
        <v>831</v>
      </c>
      <c r="F3300" s="712"/>
      <c r="G3300" s="710">
        <v>17</v>
      </c>
      <c r="H3300" s="709" t="s">
        <v>807</v>
      </c>
      <c r="I3300" s="713" t="s">
        <v>861</v>
      </c>
      <c r="J3300" s="714" t="s">
        <v>802</v>
      </c>
      <c r="K3300" s="709">
        <v>8</v>
      </c>
      <c r="L3300" s="715">
        <f t="shared" si="99"/>
        <v>15.98</v>
      </c>
      <c r="M3300" s="716">
        <f t="shared" si="98"/>
        <v>127.84</v>
      </c>
    </row>
    <row r="3301" spans="2:13" s="645" customFormat="1" ht="21.75" customHeight="1">
      <c r="B3301" s="708">
        <v>44463</v>
      </c>
      <c r="C3301" s="709" t="s">
        <v>837</v>
      </c>
      <c r="D3301" s="710" t="s">
        <v>875</v>
      </c>
      <c r="E3301" s="711" t="s">
        <v>831</v>
      </c>
      <c r="F3301" s="712"/>
      <c r="G3301" s="710">
        <v>20</v>
      </c>
      <c r="H3301" s="709" t="s">
        <v>807</v>
      </c>
      <c r="I3301" s="713" t="s">
        <v>861</v>
      </c>
      <c r="J3301" s="714" t="s">
        <v>802</v>
      </c>
      <c r="K3301" s="709">
        <v>8</v>
      </c>
      <c r="L3301" s="715">
        <f t="shared" si="99"/>
        <v>18.8</v>
      </c>
      <c r="M3301" s="716">
        <f t="shared" si="98"/>
        <v>150.4</v>
      </c>
    </row>
    <row r="3302" spans="2:13" s="645" customFormat="1" ht="21.75" customHeight="1">
      <c r="B3302" s="661">
        <v>44464</v>
      </c>
      <c r="C3302" s="662" t="s">
        <v>819</v>
      </c>
      <c r="D3302" s="663" t="s">
        <v>849</v>
      </c>
      <c r="E3302" s="664" t="s">
        <v>831</v>
      </c>
      <c r="F3302" s="665"/>
      <c r="G3302" s="663">
        <v>20</v>
      </c>
      <c r="H3302" s="662" t="s">
        <v>807</v>
      </c>
      <c r="I3302" s="666" t="s">
        <v>861</v>
      </c>
      <c r="J3302" s="667" t="s">
        <v>805</v>
      </c>
      <c r="K3302" s="662">
        <v>10</v>
      </c>
      <c r="L3302" s="685">
        <f t="shared" si="99"/>
        <v>18.8</v>
      </c>
      <c r="M3302" s="686">
        <f t="shared" si="98"/>
        <v>188</v>
      </c>
    </row>
    <row r="3303" spans="2:13" s="645" customFormat="1" ht="21.75" customHeight="1">
      <c r="B3303" s="661">
        <v>44464</v>
      </c>
      <c r="C3303" s="662" t="s">
        <v>819</v>
      </c>
      <c r="D3303" s="663" t="s">
        <v>849</v>
      </c>
      <c r="E3303" s="664" t="s">
        <v>831</v>
      </c>
      <c r="F3303" s="665"/>
      <c r="G3303" s="663">
        <v>20</v>
      </c>
      <c r="H3303" s="662" t="s">
        <v>807</v>
      </c>
      <c r="I3303" s="666" t="s">
        <v>861</v>
      </c>
      <c r="J3303" s="667" t="s">
        <v>804</v>
      </c>
      <c r="K3303" s="662">
        <v>2</v>
      </c>
      <c r="L3303" s="685">
        <f t="shared" si="99"/>
        <v>18.8</v>
      </c>
      <c r="M3303" s="686">
        <f t="shared" ref="M3303:M3366" si="100">L3303*K3303</f>
        <v>37.6</v>
      </c>
    </row>
    <row r="3304" spans="2:13" s="645" customFormat="1" ht="21.75" customHeight="1">
      <c r="B3304" s="661">
        <v>44464</v>
      </c>
      <c r="C3304" s="662" t="s">
        <v>819</v>
      </c>
      <c r="D3304" s="663" t="s">
        <v>840</v>
      </c>
      <c r="E3304" s="664" t="s">
        <v>831</v>
      </c>
      <c r="F3304" s="665"/>
      <c r="G3304" s="663">
        <v>20</v>
      </c>
      <c r="H3304" s="662" t="s">
        <v>807</v>
      </c>
      <c r="I3304" s="666" t="s">
        <v>861</v>
      </c>
      <c r="J3304" s="667" t="s">
        <v>805</v>
      </c>
      <c r="K3304" s="662">
        <v>10</v>
      </c>
      <c r="L3304" s="685">
        <f t="shared" si="99"/>
        <v>18.8</v>
      </c>
      <c r="M3304" s="686">
        <f t="shared" si="100"/>
        <v>188</v>
      </c>
    </row>
    <row r="3305" spans="2:13" s="645" customFormat="1" ht="21.75" customHeight="1">
      <c r="B3305" s="661">
        <v>44464</v>
      </c>
      <c r="C3305" s="662" t="s">
        <v>819</v>
      </c>
      <c r="D3305" s="663" t="s">
        <v>835</v>
      </c>
      <c r="E3305" s="664" t="s">
        <v>831</v>
      </c>
      <c r="F3305" s="665"/>
      <c r="G3305" s="663">
        <v>20</v>
      </c>
      <c r="H3305" s="662" t="s">
        <v>807</v>
      </c>
      <c r="I3305" s="666" t="s">
        <v>861</v>
      </c>
      <c r="J3305" s="667" t="s">
        <v>804</v>
      </c>
      <c r="K3305" s="662">
        <v>2</v>
      </c>
      <c r="L3305" s="685">
        <f t="shared" si="99"/>
        <v>18.8</v>
      </c>
      <c r="M3305" s="686">
        <f t="shared" si="100"/>
        <v>37.6</v>
      </c>
    </row>
    <row r="3306" spans="2:13" s="645" customFormat="1" ht="21.75" customHeight="1">
      <c r="B3306" s="661">
        <v>44464</v>
      </c>
      <c r="C3306" s="662" t="s">
        <v>819</v>
      </c>
      <c r="D3306" s="663" t="s">
        <v>835</v>
      </c>
      <c r="E3306" s="664" t="s">
        <v>831</v>
      </c>
      <c r="F3306" s="665"/>
      <c r="G3306" s="663">
        <v>20</v>
      </c>
      <c r="H3306" s="662" t="s">
        <v>807</v>
      </c>
      <c r="I3306" s="666" t="s">
        <v>861</v>
      </c>
      <c r="J3306" s="667" t="s">
        <v>805</v>
      </c>
      <c r="K3306" s="662">
        <v>6</v>
      </c>
      <c r="L3306" s="685">
        <f t="shared" si="99"/>
        <v>18.8</v>
      </c>
      <c r="M3306" s="686">
        <f t="shared" si="100"/>
        <v>112.80000000000001</v>
      </c>
    </row>
    <row r="3307" spans="2:13" s="645" customFormat="1" ht="21.75" customHeight="1">
      <c r="B3307" s="661">
        <v>44464</v>
      </c>
      <c r="C3307" s="662" t="s">
        <v>819</v>
      </c>
      <c r="D3307" s="663" t="s">
        <v>841</v>
      </c>
      <c r="E3307" s="664" t="s">
        <v>831</v>
      </c>
      <c r="F3307" s="665"/>
      <c r="G3307" s="663">
        <v>20</v>
      </c>
      <c r="H3307" s="662" t="s">
        <v>807</v>
      </c>
      <c r="I3307" s="666" t="s">
        <v>861</v>
      </c>
      <c r="J3307" s="667" t="s">
        <v>805</v>
      </c>
      <c r="K3307" s="662">
        <v>9</v>
      </c>
      <c r="L3307" s="685">
        <f t="shared" si="99"/>
        <v>18.8</v>
      </c>
      <c r="M3307" s="686">
        <f t="shared" si="100"/>
        <v>169.20000000000002</v>
      </c>
    </row>
    <row r="3308" spans="2:13" s="645" customFormat="1" ht="21.75" customHeight="1">
      <c r="B3308" s="661">
        <v>44464</v>
      </c>
      <c r="C3308" s="662" t="s">
        <v>819</v>
      </c>
      <c r="D3308" s="663" t="s">
        <v>841</v>
      </c>
      <c r="E3308" s="664" t="s">
        <v>831</v>
      </c>
      <c r="F3308" s="665"/>
      <c r="G3308" s="663">
        <v>20</v>
      </c>
      <c r="H3308" s="662" t="s">
        <v>807</v>
      </c>
      <c r="I3308" s="666" t="s">
        <v>861</v>
      </c>
      <c r="J3308" s="667" t="s">
        <v>804</v>
      </c>
      <c r="K3308" s="662">
        <v>1</v>
      </c>
      <c r="L3308" s="685">
        <f t="shared" si="99"/>
        <v>18.8</v>
      </c>
      <c r="M3308" s="686">
        <f t="shared" si="100"/>
        <v>18.8</v>
      </c>
    </row>
    <row r="3309" spans="2:13" s="645" customFormat="1" ht="21.75" customHeight="1">
      <c r="B3309" s="661">
        <v>44464</v>
      </c>
      <c r="C3309" s="662" t="s">
        <v>819</v>
      </c>
      <c r="D3309" s="663" t="s">
        <v>841</v>
      </c>
      <c r="E3309" s="664" t="s">
        <v>831</v>
      </c>
      <c r="F3309" s="665"/>
      <c r="G3309" s="663">
        <v>20</v>
      </c>
      <c r="H3309" s="662" t="s">
        <v>807</v>
      </c>
      <c r="I3309" s="666" t="s">
        <v>805</v>
      </c>
      <c r="J3309" s="667" t="s">
        <v>805</v>
      </c>
      <c r="K3309" s="662">
        <v>5</v>
      </c>
      <c r="L3309" s="685">
        <f t="shared" si="99"/>
        <v>18.8</v>
      </c>
      <c r="M3309" s="686">
        <f t="shared" si="100"/>
        <v>94</v>
      </c>
    </row>
    <row r="3310" spans="2:13" s="645" customFormat="1" ht="21.75" customHeight="1">
      <c r="B3310" s="661">
        <v>44464</v>
      </c>
      <c r="C3310" s="662" t="s">
        <v>819</v>
      </c>
      <c r="D3310" s="663" t="s">
        <v>834</v>
      </c>
      <c r="E3310" s="664" t="s">
        <v>831</v>
      </c>
      <c r="F3310" s="665"/>
      <c r="G3310" s="663">
        <v>20</v>
      </c>
      <c r="H3310" s="662" t="s">
        <v>807</v>
      </c>
      <c r="I3310" s="666" t="s">
        <v>861</v>
      </c>
      <c r="J3310" s="667" t="s">
        <v>805</v>
      </c>
      <c r="K3310" s="662">
        <v>8</v>
      </c>
      <c r="L3310" s="685">
        <f t="shared" si="99"/>
        <v>18.8</v>
      </c>
      <c r="M3310" s="686">
        <f t="shared" si="100"/>
        <v>150.4</v>
      </c>
    </row>
    <row r="3311" spans="2:13" s="645" customFormat="1" ht="21.75" customHeight="1">
      <c r="B3311" s="661">
        <v>44464</v>
      </c>
      <c r="C3311" s="662" t="s">
        <v>819</v>
      </c>
      <c r="D3311" s="663" t="s">
        <v>834</v>
      </c>
      <c r="E3311" s="664" t="s">
        <v>831</v>
      </c>
      <c r="F3311" s="665"/>
      <c r="G3311" s="663">
        <v>20</v>
      </c>
      <c r="H3311" s="662" t="s">
        <v>807</v>
      </c>
      <c r="I3311" s="666" t="s">
        <v>861</v>
      </c>
      <c r="J3311" s="667" t="s">
        <v>804</v>
      </c>
      <c r="K3311" s="662">
        <v>3</v>
      </c>
      <c r="L3311" s="685">
        <f t="shared" si="99"/>
        <v>18.8</v>
      </c>
      <c r="M3311" s="686">
        <f t="shared" si="100"/>
        <v>56.400000000000006</v>
      </c>
    </row>
    <row r="3312" spans="2:13" s="645" customFormat="1" ht="21.75" customHeight="1">
      <c r="B3312" s="661">
        <v>44464</v>
      </c>
      <c r="C3312" s="662" t="s">
        <v>819</v>
      </c>
      <c r="D3312" s="663" t="s">
        <v>836</v>
      </c>
      <c r="E3312" s="664" t="s">
        <v>831</v>
      </c>
      <c r="F3312" s="665"/>
      <c r="G3312" s="663">
        <v>20</v>
      </c>
      <c r="H3312" s="662" t="s">
        <v>807</v>
      </c>
      <c r="I3312" s="666" t="s">
        <v>861</v>
      </c>
      <c r="J3312" s="667" t="s">
        <v>805</v>
      </c>
      <c r="K3312" s="662">
        <v>3</v>
      </c>
      <c r="L3312" s="685">
        <f t="shared" si="99"/>
        <v>18.8</v>
      </c>
      <c r="M3312" s="686">
        <f t="shared" si="100"/>
        <v>56.400000000000006</v>
      </c>
    </row>
    <row r="3313" spans="2:13" s="645" customFormat="1" ht="21.75" customHeight="1">
      <c r="B3313" s="661">
        <v>44464</v>
      </c>
      <c r="C3313" s="662" t="s">
        <v>819</v>
      </c>
      <c r="D3313" s="663" t="s">
        <v>833</v>
      </c>
      <c r="E3313" s="664" t="s">
        <v>831</v>
      </c>
      <c r="F3313" s="665"/>
      <c r="G3313" s="663">
        <v>15</v>
      </c>
      <c r="H3313" s="662" t="s">
        <v>807</v>
      </c>
      <c r="I3313" s="666" t="s">
        <v>861</v>
      </c>
      <c r="J3313" s="667" t="s">
        <v>805</v>
      </c>
      <c r="K3313" s="662">
        <v>3</v>
      </c>
      <c r="L3313" s="685">
        <f t="shared" si="99"/>
        <v>14.1</v>
      </c>
      <c r="M3313" s="686">
        <f t="shared" si="100"/>
        <v>42.3</v>
      </c>
    </row>
    <row r="3314" spans="2:13" s="645" customFormat="1" ht="21.75" customHeight="1">
      <c r="B3314" s="661">
        <v>44464</v>
      </c>
      <c r="C3314" s="662" t="s">
        <v>819</v>
      </c>
      <c r="D3314" s="663" t="s">
        <v>830</v>
      </c>
      <c r="E3314" s="664" t="s">
        <v>831</v>
      </c>
      <c r="F3314" s="665"/>
      <c r="G3314" s="663">
        <v>15</v>
      </c>
      <c r="H3314" s="662" t="s">
        <v>807</v>
      </c>
      <c r="I3314" s="666" t="s">
        <v>861</v>
      </c>
      <c r="J3314" s="667" t="s">
        <v>805</v>
      </c>
      <c r="K3314" s="662">
        <v>8</v>
      </c>
      <c r="L3314" s="685">
        <f t="shared" si="99"/>
        <v>14.1</v>
      </c>
      <c r="M3314" s="686">
        <f t="shared" si="100"/>
        <v>112.8</v>
      </c>
    </row>
    <row r="3315" spans="2:13" s="645" customFormat="1" ht="21.75" customHeight="1">
      <c r="B3315" s="661">
        <v>44464</v>
      </c>
      <c r="C3315" s="662" t="s">
        <v>819</v>
      </c>
      <c r="D3315" s="663" t="s">
        <v>830</v>
      </c>
      <c r="E3315" s="664" t="s">
        <v>831</v>
      </c>
      <c r="F3315" s="665"/>
      <c r="G3315" s="663">
        <v>15</v>
      </c>
      <c r="H3315" s="662" t="s">
        <v>807</v>
      </c>
      <c r="I3315" s="666" t="s">
        <v>861</v>
      </c>
      <c r="J3315" s="667" t="s">
        <v>804</v>
      </c>
      <c r="K3315" s="662">
        <v>1</v>
      </c>
      <c r="L3315" s="685">
        <f t="shared" si="99"/>
        <v>14.1</v>
      </c>
      <c r="M3315" s="686">
        <f t="shared" si="100"/>
        <v>14.1</v>
      </c>
    </row>
    <row r="3316" spans="2:13" s="645" customFormat="1" ht="21.75" customHeight="1">
      <c r="B3316" s="661">
        <v>44464</v>
      </c>
      <c r="C3316" s="662" t="s">
        <v>819</v>
      </c>
      <c r="D3316" s="663" t="s">
        <v>839</v>
      </c>
      <c r="E3316" s="664" t="s">
        <v>831</v>
      </c>
      <c r="F3316" s="665"/>
      <c r="G3316" s="663">
        <v>15</v>
      </c>
      <c r="H3316" s="662" t="s">
        <v>807</v>
      </c>
      <c r="I3316" s="666" t="s">
        <v>861</v>
      </c>
      <c r="J3316" s="667" t="s">
        <v>805</v>
      </c>
      <c r="K3316" s="662">
        <v>7</v>
      </c>
      <c r="L3316" s="685">
        <f t="shared" si="99"/>
        <v>14.1</v>
      </c>
      <c r="M3316" s="686">
        <f t="shared" si="100"/>
        <v>98.7</v>
      </c>
    </row>
    <row r="3317" spans="2:13" s="645" customFormat="1" ht="21.75" customHeight="1">
      <c r="B3317" s="661">
        <v>44464</v>
      </c>
      <c r="C3317" s="662" t="s">
        <v>819</v>
      </c>
      <c r="D3317" s="663" t="s">
        <v>839</v>
      </c>
      <c r="E3317" s="664" t="s">
        <v>831</v>
      </c>
      <c r="F3317" s="665"/>
      <c r="G3317" s="663">
        <v>15</v>
      </c>
      <c r="H3317" s="662" t="s">
        <v>807</v>
      </c>
      <c r="I3317" s="666" t="s">
        <v>861</v>
      </c>
      <c r="J3317" s="667" t="s">
        <v>804</v>
      </c>
      <c r="K3317" s="662">
        <v>1</v>
      </c>
      <c r="L3317" s="685">
        <f t="shared" si="99"/>
        <v>14.1</v>
      </c>
      <c r="M3317" s="686">
        <f t="shared" si="100"/>
        <v>14.1</v>
      </c>
    </row>
    <row r="3318" spans="2:13" s="645" customFormat="1" ht="21.75" customHeight="1">
      <c r="B3318" s="661">
        <v>44464</v>
      </c>
      <c r="C3318" s="662" t="s">
        <v>819</v>
      </c>
      <c r="D3318" s="663" t="s">
        <v>847</v>
      </c>
      <c r="E3318" s="664" t="s">
        <v>831</v>
      </c>
      <c r="F3318" s="665"/>
      <c r="G3318" s="663">
        <v>17</v>
      </c>
      <c r="H3318" s="662" t="s">
        <v>807</v>
      </c>
      <c r="I3318" s="666" t="s">
        <v>861</v>
      </c>
      <c r="J3318" s="667" t="s">
        <v>805</v>
      </c>
      <c r="K3318" s="662">
        <v>7</v>
      </c>
      <c r="L3318" s="685">
        <f t="shared" si="99"/>
        <v>15.98</v>
      </c>
      <c r="M3318" s="686">
        <f t="shared" si="100"/>
        <v>111.86</v>
      </c>
    </row>
    <row r="3319" spans="2:13" s="645" customFormat="1" ht="21.75" customHeight="1">
      <c r="B3319" s="661">
        <v>44464</v>
      </c>
      <c r="C3319" s="662" t="s">
        <v>819</v>
      </c>
      <c r="D3319" s="663" t="s">
        <v>847</v>
      </c>
      <c r="E3319" s="664" t="s">
        <v>831</v>
      </c>
      <c r="F3319" s="665"/>
      <c r="G3319" s="663">
        <v>17</v>
      </c>
      <c r="H3319" s="662" t="s">
        <v>807</v>
      </c>
      <c r="I3319" s="666" t="s">
        <v>861</v>
      </c>
      <c r="J3319" s="667" t="s">
        <v>804</v>
      </c>
      <c r="K3319" s="662">
        <v>3</v>
      </c>
      <c r="L3319" s="685">
        <f t="shared" si="99"/>
        <v>15.98</v>
      </c>
      <c r="M3319" s="686">
        <f t="shared" si="100"/>
        <v>47.94</v>
      </c>
    </row>
    <row r="3320" spans="2:13" s="645" customFormat="1" ht="21.75" customHeight="1">
      <c r="B3320" s="661">
        <v>44464</v>
      </c>
      <c r="C3320" s="662" t="s">
        <v>819</v>
      </c>
      <c r="D3320" s="663" t="s">
        <v>856</v>
      </c>
      <c r="E3320" s="664" t="s">
        <v>831</v>
      </c>
      <c r="F3320" s="665"/>
      <c r="G3320" s="663">
        <v>20</v>
      </c>
      <c r="H3320" s="662" t="s">
        <v>807</v>
      </c>
      <c r="I3320" s="666" t="s">
        <v>861</v>
      </c>
      <c r="J3320" s="667" t="s">
        <v>805</v>
      </c>
      <c r="K3320" s="662">
        <v>7</v>
      </c>
      <c r="L3320" s="685">
        <f t="shared" si="99"/>
        <v>18.8</v>
      </c>
      <c r="M3320" s="686">
        <f t="shared" si="100"/>
        <v>131.6</v>
      </c>
    </row>
    <row r="3321" spans="2:13" s="645" customFormat="1" ht="21.75" customHeight="1">
      <c r="B3321" s="661">
        <v>44464</v>
      </c>
      <c r="C3321" s="662" t="s">
        <v>819</v>
      </c>
      <c r="D3321" s="663" t="s">
        <v>856</v>
      </c>
      <c r="E3321" s="664" t="s">
        <v>831</v>
      </c>
      <c r="F3321" s="665"/>
      <c r="G3321" s="663">
        <v>20</v>
      </c>
      <c r="H3321" s="662" t="s">
        <v>807</v>
      </c>
      <c r="I3321" s="666" t="s">
        <v>861</v>
      </c>
      <c r="J3321" s="667" t="s">
        <v>804</v>
      </c>
      <c r="K3321" s="662">
        <v>4</v>
      </c>
      <c r="L3321" s="685">
        <f t="shared" si="99"/>
        <v>18.8</v>
      </c>
      <c r="M3321" s="686">
        <f t="shared" si="100"/>
        <v>75.2</v>
      </c>
    </row>
    <row r="3322" spans="2:13" s="645" customFormat="1" ht="21.75" customHeight="1">
      <c r="B3322" s="661">
        <v>44464</v>
      </c>
      <c r="C3322" s="662" t="s">
        <v>819</v>
      </c>
      <c r="D3322" s="663" t="s">
        <v>878</v>
      </c>
      <c r="E3322" s="664" t="s">
        <v>831</v>
      </c>
      <c r="F3322" s="665"/>
      <c r="G3322" s="663">
        <v>15</v>
      </c>
      <c r="H3322" s="662" t="s">
        <v>807</v>
      </c>
      <c r="I3322" s="666" t="s">
        <v>861</v>
      </c>
      <c r="J3322" s="667" t="s">
        <v>804</v>
      </c>
      <c r="K3322" s="662">
        <v>1</v>
      </c>
      <c r="L3322" s="685">
        <f t="shared" si="99"/>
        <v>14.1</v>
      </c>
      <c r="M3322" s="686">
        <f t="shared" si="100"/>
        <v>14.1</v>
      </c>
    </row>
    <row r="3323" spans="2:13" s="645" customFormat="1" ht="21.75" customHeight="1">
      <c r="B3323" s="661">
        <v>44464</v>
      </c>
      <c r="C3323" s="662" t="s">
        <v>819</v>
      </c>
      <c r="D3323" s="663" t="s">
        <v>878</v>
      </c>
      <c r="E3323" s="664" t="s">
        <v>831</v>
      </c>
      <c r="F3323" s="665"/>
      <c r="G3323" s="663">
        <v>15</v>
      </c>
      <c r="H3323" s="662" t="s">
        <v>807</v>
      </c>
      <c r="I3323" s="666" t="s">
        <v>861</v>
      </c>
      <c r="J3323" s="667" t="s">
        <v>805</v>
      </c>
      <c r="K3323" s="662">
        <v>8</v>
      </c>
      <c r="L3323" s="685">
        <f t="shared" si="99"/>
        <v>14.1</v>
      </c>
      <c r="M3323" s="686">
        <f t="shared" si="100"/>
        <v>112.8</v>
      </c>
    </row>
    <row r="3324" spans="2:13" s="645" customFormat="1" ht="21.75" customHeight="1">
      <c r="B3324" s="661">
        <v>44464</v>
      </c>
      <c r="C3324" s="662" t="s">
        <v>819</v>
      </c>
      <c r="D3324" s="663" t="s">
        <v>855</v>
      </c>
      <c r="E3324" s="664" t="s">
        <v>831</v>
      </c>
      <c r="F3324" s="665"/>
      <c r="G3324" s="663">
        <v>20</v>
      </c>
      <c r="H3324" s="662" t="s">
        <v>807</v>
      </c>
      <c r="I3324" s="666" t="s">
        <v>861</v>
      </c>
      <c r="J3324" s="667" t="s">
        <v>805</v>
      </c>
      <c r="K3324" s="662">
        <v>11</v>
      </c>
      <c r="L3324" s="685">
        <f t="shared" si="99"/>
        <v>18.8</v>
      </c>
      <c r="M3324" s="686">
        <f t="shared" si="100"/>
        <v>206.8</v>
      </c>
    </row>
    <row r="3325" spans="2:13" s="645" customFormat="1" ht="21.75" customHeight="1">
      <c r="B3325" s="661">
        <v>44464</v>
      </c>
      <c r="C3325" s="662" t="s">
        <v>819</v>
      </c>
      <c r="D3325" s="663" t="s">
        <v>875</v>
      </c>
      <c r="E3325" s="664" t="s">
        <v>831</v>
      </c>
      <c r="F3325" s="665"/>
      <c r="G3325" s="663">
        <v>20</v>
      </c>
      <c r="H3325" s="662" t="s">
        <v>807</v>
      </c>
      <c r="I3325" s="666" t="s">
        <v>861</v>
      </c>
      <c r="J3325" s="667" t="s">
        <v>805</v>
      </c>
      <c r="K3325" s="662">
        <v>9</v>
      </c>
      <c r="L3325" s="685">
        <f t="shared" si="99"/>
        <v>18.8</v>
      </c>
      <c r="M3325" s="686">
        <f t="shared" si="100"/>
        <v>169.20000000000002</v>
      </c>
    </row>
    <row r="3326" spans="2:13" s="645" customFormat="1" ht="21.75" customHeight="1">
      <c r="B3326" s="661">
        <v>44464</v>
      </c>
      <c r="C3326" s="662" t="s">
        <v>819</v>
      </c>
      <c r="D3326" s="663" t="s">
        <v>867</v>
      </c>
      <c r="E3326" s="664" t="s">
        <v>831</v>
      </c>
      <c r="F3326" s="665"/>
      <c r="G3326" s="663">
        <v>20</v>
      </c>
      <c r="H3326" s="662" t="s">
        <v>807</v>
      </c>
      <c r="I3326" s="666" t="s">
        <v>861</v>
      </c>
      <c r="J3326" s="667" t="s">
        <v>805</v>
      </c>
      <c r="K3326" s="662">
        <v>8</v>
      </c>
      <c r="L3326" s="685">
        <f t="shared" si="99"/>
        <v>18.8</v>
      </c>
      <c r="M3326" s="686">
        <f t="shared" si="100"/>
        <v>150.4</v>
      </c>
    </row>
    <row r="3327" spans="2:13" s="645" customFormat="1" ht="21.75" customHeight="1">
      <c r="B3327" s="661">
        <v>44464</v>
      </c>
      <c r="C3327" s="662" t="s">
        <v>819</v>
      </c>
      <c r="D3327" s="663" t="s">
        <v>876</v>
      </c>
      <c r="E3327" s="664" t="s">
        <v>831</v>
      </c>
      <c r="F3327" s="665"/>
      <c r="G3327" s="663">
        <v>20</v>
      </c>
      <c r="H3327" s="662" t="s">
        <v>807</v>
      </c>
      <c r="I3327" s="666" t="s">
        <v>861</v>
      </c>
      <c r="J3327" s="667" t="s">
        <v>805</v>
      </c>
      <c r="K3327" s="662">
        <v>11</v>
      </c>
      <c r="L3327" s="685">
        <f t="shared" si="99"/>
        <v>18.8</v>
      </c>
      <c r="M3327" s="686">
        <f t="shared" si="100"/>
        <v>206.8</v>
      </c>
    </row>
    <row r="3328" spans="2:13" s="645" customFormat="1" ht="21.75" customHeight="1">
      <c r="B3328" s="661">
        <v>44464</v>
      </c>
      <c r="C3328" s="662" t="s">
        <v>819</v>
      </c>
      <c r="D3328" s="663" t="s">
        <v>868</v>
      </c>
      <c r="E3328" s="664" t="s">
        <v>831</v>
      </c>
      <c r="F3328" s="665"/>
      <c r="G3328" s="663">
        <v>20</v>
      </c>
      <c r="H3328" s="662" t="s">
        <v>807</v>
      </c>
      <c r="I3328" s="666" t="s">
        <v>861</v>
      </c>
      <c r="J3328" s="667" t="s">
        <v>805</v>
      </c>
      <c r="K3328" s="662">
        <v>9</v>
      </c>
      <c r="L3328" s="685">
        <f t="shared" si="99"/>
        <v>18.8</v>
      </c>
      <c r="M3328" s="686">
        <f t="shared" si="100"/>
        <v>169.20000000000002</v>
      </c>
    </row>
    <row r="3329" spans="2:13" s="645" customFormat="1" ht="21.75" customHeight="1">
      <c r="B3329" s="661">
        <v>44464</v>
      </c>
      <c r="C3329" s="662" t="s">
        <v>819</v>
      </c>
      <c r="D3329" s="663" t="s">
        <v>868</v>
      </c>
      <c r="E3329" s="664" t="s">
        <v>831</v>
      </c>
      <c r="F3329" s="665"/>
      <c r="G3329" s="663">
        <v>20</v>
      </c>
      <c r="H3329" s="662" t="s">
        <v>807</v>
      </c>
      <c r="I3329" s="666" t="s">
        <v>861</v>
      </c>
      <c r="J3329" s="667" t="s">
        <v>804</v>
      </c>
      <c r="K3329" s="662">
        <v>1</v>
      </c>
      <c r="L3329" s="685">
        <f t="shared" si="99"/>
        <v>18.8</v>
      </c>
      <c r="M3329" s="686">
        <f t="shared" si="100"/>
        <v>18.8</v>
      </c>
    </row>
    <row r="3330" spans="2:13" s="645" customFormat="1" ht="21.75" customHeight="1">
      <c r="B3330" s="661">
        <v>44464</v>
      </c>
      <c r="C3330" s="662" t="s">
        <v>819</v>
      </c>
      <c r="D3330" s="663" t="s">
        <v>870</v>
      </c>
      <c r="E3330" s="664" t="s">
        <v>831</v>
      </c>
      <c r="F3330" s="665"/>
      <c r="G3330" s="663">
        <v>20</v>
      </c>
      <c r="H3330" s="662" t="s">
        <v>807</v>
      </c>
      <c r="I3330" s="666" t="s">
        <v>861</v>
      </c>
      <c r="J3330" s="667" t="s">
        <v>805</v>
      </c>
      <c r="K3330" s="662">
        <v>10</v>
      </c>
      <c r="L3330" s="685">
        <f t="shared" si="99"/>
        <v>18.8</v>
      </c>
      <c r="M3330" s="686">
        <f t="shared" si="100"/>
        <v>188</v>
      </c>
    </row>
    <row r="3331" spans="2:13" s="645" customFormat="1" ht="21.75" customHeight="1">
      <c r="B3331" s="661">
        <v>44464</v>
      </c>
      <c r="C3331" s="662" t="s">
        <v>819</v>
      </c>
      <c r="D3331" s="663" t="s">
        <v>873</v>
      </c>
      <c r="E3331" s="664" t="s">
        <v>831</v>
      </c>
      <c r="F3331" s="665"/>
      <c r="G3331" s="663">
        <v>17</v>
      </c>
      <c r="H3331" s="662" t="s">
        <v>807</v>
      </c>
      <c r="I3331" s="666" t="s">
        <v>861</v>
      </c>
      <c r="J3331" s="667" t="s">
        <v>805</v>
      </c>
      <c r="K3331" s="662">
        <v>6</v>
      </c>
      <c r="L3331" s="685">
        <f t="shared" si="99"/>
        <v>15.98</v>
      </c>
      <c r="M3331" s="686">
        <f t="shared" si="100"/>
        <v>95.88</v>
      </c>
    </row>
    <row r="3332" spans="2:13" s="645" customFormat="1" ht="21.75" customHeight="1">
      <c r="B3332" s="708">
        <v>44464</v>
      </c>
      <c r="C3332" s="709" t="s">
        <v>819</v>
      </c>
      <c r="D3332" s="710" t="s">
        <v>840</v>
      </c>
      <c r="E3332" s="711" t="s">
        <v>831</v>
      </c>
      <c r="F3332" s="712"/>
      <c r="G3332" s="710">
        <v>20</v>
      </c>
      <c r="H3332" s="709" t="s">
        <v>807</v>
      </c>
      <c r="I3332" s="713" t="s">
        <v>861</v>
      </c>
      <c r="J3332" s="714" t="s">
        <v>802</v>
      </c>
      <c r="K3332" s="709">
        <v>1</v>
      </c>
      <c r="L3332" s="715">
        <f t="shared" si="99"/>
        <v>18.8</v>
      </c>
      <c r="M3332" s="716">
        <f t="shared" si="100"/>
        <v>18.8</v>
      </c>
    </row>
    <row r="3333" spans="2:13" s="645" customFormat="1" ht="21.75" customHeight="1">
      <c r="B3333" s="708">
        <v>44464</v>
      </c>
      <c r="C3333" s="709" t="s">
        <v>819</v>
      </c>
      <c r="D3333" s="710" t="s">
        <v>841</v>
      </c>
      <c r="E3333" s="711" t="s">
        <v>831</v>
      </c>
      <c r="F3333" s="712"/>
      <c r="G3333" s="710">
        <v>20</v>
      </c>
      <c r="H3333" s="709" t="s">
        <v>807</v>
      </c>
      <c r="I3333" s="713" t="s">
        <v>861</v>
      </c>
      <c r="J3333" s="714" t="s">
        <v>802</v>
      </c>
      <c r="K3333" s="709">
        <v>1</v>
      </c>
      <c r="L3333" s="715">
        <f t="shared" si="99"/>
        <v>18.8</v>
      </c>
      <c r="M3333" s="716">
        <f t="shared" si="100"/>
        <v>18.8</v>
      </c>
    </row>
    <row r="3334" spans="2:13" s="645" customFormat="1" ht="21.75" customHeight="1">
      <c r="B3334" s="708">
        <v>44464</v>
      </c>
      <c r="C3334" s="709" t="s">
        <v>819</v>
      </c>
      <c r="D3334" s="710" t="s">
        <v>833</v>
      </c>
      <c r="E3334" s="711" t="s">
        <v>831</v>
      </c>
      <c r="F3334" s="712"/>
      <c r="G3334" s="710">
        <v>15</v>
      </c>
      <c r="H3334" s="709" t="s">
        <v>807</v>
      </c>
      <c r="I3334" s="713" t="s">
        <v>861</v>
      </c>
      <c r="J3334" s="714" t="s">
        <v>802</v>
      </c>
      <c r="K3334" s="709">
        <v>1</v>
      </c>
      <c r="L3334" s="715">
        <f t="shared" si="99"/>
        <v>14.1</v>
      </c>
      <c r="M3334" s="716">
        <f t="shared" si="100"/>
        <v>14.1</v>
      </c>
    </row>
    <row r="3335" spans="2:13" s="645" customFormat="1" ht="21.75" customHeight="1">
      <c r="B3335" s="708">
        <v>44464</v>
      </c>
      <c r="C3335" s="709" t="s">
        <v>819</v>
      </c>
      <c r="D3335" s="710" t="s">
        <v>830</v>
      </c>
      <c r="E3335" s="711" t="s">
        <v>831</v>
      </c>
      <c r="F3335" s="712"/>
      <c r="G3335" s="710">
        <v>15</v>
      </c>
      <c r="H3335" s="709" t="s">
        <v>807</v>
      </c>
      <c r="I3335" s="713" t="s">
        <v>861</v>
      </c>
      <c r="J3335" s="714" t="s">
        <v>802</v>
      </c>
      <c r="K3335" s="709">
        <v>1</v>
      </c>
      <c r="L3335" s="715">
        <f t="shared" si="99"/>
        <v>14.1</v>
      </c>
      <c r="M3335" s="716">
        <f t="shared" si="100"/>
        <v>14.1</v>
      </c>
    </row>
    <row r="3336" spans="2:13" s="645" customFormat="1" ht="21.75" customHeight="1">
      <c r="B3336" s="708">
        <v>44464</v>
      </c>
      <c r="C3336" s="709" t="s">
        <v>819</v>
      </c>
      <c r="D3336" s="710" t="s">
        <v>839</v>
      </c>
      <c r="E3336" s="711" t="s">
        <v>831</v>
      </c>
      <c r="F3336" s="712"/>
      <c r="G3336" s="710">
        <v>15</v>
      </c>
      <c r="H3336" s="709" t="s">
        <v>807</v>
      </c>
      <c r="I3336" s="713" t="s">
        <v>861</v>
      </c>
      <c r="J3336" s="714" t="s">
        <v>802</v>
      </c>
      <c r="K3336" s="709">
        <v>2</v>
      </c>
      <c r="L3336" s="715">
        <f t="shared" si="99"/>
        <v>14.1</v>
      </c>
      <c r="M3336" s="716">
        <f t="shared" si="100"/>
        <v>28.2</v>
      </c>
    </row>
    <row r="3337" spans="2:13" s="645" customFormat="1" ht="21.75" customHeight="1">
      <c r="B3337" s="708">
        <v>44464</v>
      </c>
      <c r="C3337" s="709" t="s">
        <v>819</v>
      </c>
      <c r="D3337" s="710" t="s">
        <v>845</v>
      </c>
      <c r="E3337" s="711" t="s">
        <v>831</v>
      </c>
      <c r="F3337" s="712"/>
      <c r="G3337" s="710">
        <v>17</v>
      </c>
      <c r="H3337" s="709" t="s">
        <v>807</v>
      </c>
      <c r="I3337" s="713" t="s">
        <v>861</v>
      </c>
      <c r="J3337" s="714" t="s">
        <v>802</v>
      </c>
      <c r="K3337" s="709">
        <v>9</v>
      </c>
      <c r="L3337" s="715">
        <f t="shared" ref="L3337:L3400" si="101">VLOOKUP(G3337,$Q$4:$V$7,6,FALSE)</f>
        <v>15.98</v>
      </c>
      <c r="M3337" s="716">
        <f t="shared" si="100"/>
        <v>143.82</v>
      </c>
    </row>
    <row r="3338" spans="2:13" s="645" customFormat="1" ht="21.75" customHeight="1">
      <c r="B3338" s="708">
        <v>44464</v>
      </c>
      <c r="C3338" s="709" t="s">
        <v>819</v>
      </c>
      <c r="D3338" s="710" t="s">
        <v>847</v>
      </c>
      <c r="E3338" s="711" t="s">
        <v>831</v>
      </c>
      <c r="F3338" s="712"/>
      <c r="G3338" s="710">
        <v>17</v>
      </c>
      <c r="H3338" s="709" t="s">
        <v>807</v>
      </c>
      <c r="I3338" s="713" t="s">
        <v>861</v>
      </c>
      <c r="J3338" s="714" t="s">
        <v>802</v>
      </c>
      <c r="K3338" s="709">
        <v>2</v>
      </c>
      <c r="L3338" s="715">
        <f t="shared" si="101"/>
        <v>15.98</v>
      </c>
      <c r="M3338" s="716">
        <f t="shared" si="100"/>
        <v>31.96</v>
      </c>
    </row>
    <row r="3339" spans="2:13" s="645" customFormat="1" ht="21.75" customHeight="1">
      <c r="B3339" s="708">
        <v>44464</v>
      </c>
      <c r="C3339" s="709" t="s">
        <v>819</v>
      </c>
      <c r="D3339" s="710" t="s">
        <v>878</v>
      </c>
      <c r="E3339" s="711" t="s">
        <v>831</v>
      </c>
      <c r="F3339" s="712"/>
      <c r="G3339" s="710">
        <v>15</v>
      </c>
      <c r="H3339" s="709" t="s">
        <v>807</v>
      </c>
      <c r="I3339" s="713" t="s">
        <v>861</v>
      </c>
      <c r="J3339" s="714" t="s">
        <v>802</v>
      </c>
      <c r="K3339" s="709">
        <v>2</v>
      </c>
      <c r="L3339" s="715">
        <f t="shared" si="101"/>
        <v>14.1</v>
      </c>
      <c r="M3339" s="716">
        <f t="shared" si="100"/>
        <v>28.2</v>
      </c>
    </row>
    <row r="3340" spans="2:13" s="645" customFormat="1" ht="21.75" customHeight="1">
      <c r="B3340" s="708">
        <v>44464</v>
      </c>
      <c r="C3340" s="709" t="s">
        <v>819</v>
      </c>
      <c r="D3340" s="710" t="s">
        <v>875</v>
      </c>
      <c r="E3340" s="711" t="s">
        <v>831</v>
      </c>
      <c r="F3340" s="712"/>
      <c r="G3340" s="710">
        <v>20</v>
      </c>
      <c r="H3340" s="709" t="s">
        <v>807</v>
      </c>
      <c r="I3340" s="713" t="s">
        <v>861</v>
      </c>
      <c r="J3340" s="714" t="s">
        <v>802</v>
      </c>
      <c r="K3340" s="709">
        <v>1</v>
      </c>
      <c r="L3340" s="715">
        <f t="shared" si="101"/>
        <v>18.8</v>
      </c>
      <c r="M3340" s="716">
        <f t="shared" si="100"/>
        <v>18.8</v>
      </c>
    </row>
    <row r="3341" spans="2:13" s="645" customFormat="1" ht="21.75" customHeight="1">
      <c r="B3341" s="708">
        <v>44464</v>
      </c>
      <c r="C3341" s="709" t="s">
        <v>819</v>
      </c>
      <c r="D3341" s="710" t="s">
        <v>867</v>
      </c>
      <c r="E3341" s="711" t="s">
        <v>831</v>
      </c>
      <c r="F3341" s="712"/>
      <c r="G3341" s="710">
        <v>20</v>
      </c>
      <c r="H3341" s="709" t="s">
        <v>807</v>
      </c>
      <c r="I3341" s="713" t="s">
        <v>861</v>
      </c>
      <c r="J3341" s="714" t="s">
        <v>802</v>
      </c>
      <c r="K3341" s="709">
        <v>1</v>
      </c>
      <c r="L3341" s="715">
        <f t="shared" si="101"/>
        <v>18.8</v>
      </c>
      <c r="M3341" s="716">
        <f t="shared" si="100"/>
        <v>18.8</v>
      </c>
    </row>
    <row r="3342" spans="2:13" s="645" customFormat="1" ht="21.75" customHeight="1">
      <c r="B3342" s="708">
        <v>44464</v>
      </c>
      <c r="C3342" s="709" t="s">
        <v>819</v>
      </c>
      <c r="D3342" s="710" t="s">
        <v>868</v>
      </c>
      <c r="E3342" s="711" t="s">
        <v>831</v>
      </c>
      <c r="F3342" s="712"/>
      <c r="G3342" s="710">
        <v>20</v>
      </c>
      <c r="H3342" s="709" t="s">
        <v>807</v>
      </c>
      <c r="I3342" s="713" t="s">
        <v>861</v>
      </c>
      <c r="J3342" s="714" t="s">
        <v>802</v>
      </c>
      <c r="K3342" s="709">
        <v>2</v>
      </c>
      <c r="L3342" s="715">
        <f t="shared" si="101"/>
        <v>18.8</v>
      </c>
      <c r="M3342" s="716">
        <f t="shared" si="100"/>
        <v>37.6</v>
      </c>
    </row>
    <row r="3343" spans="2:13" s="645" customFormat="1" ht="21.75" customHeight="1">
      <c r="B3343" s="708">
        <v>44464</v>
      </c>
      <c r="C3343" s="709" t="s">
        <v>819</v>
      </c>
      <c r="D3343" s="710" t="s">
        <v>873</v>
      </c>
      <c r="E3343" s="711" t="s">
        <v>831</v>
      </c>
      <c r="F3343" s="712"/>
      <c r="G3343" s="710">
        <v>17</v>
      </c>
      <c r="H3343" s="709" t="s">
        <v>807</v>
      </c>
      <c r="I3343" s="713" t="s">
        <v>861</v>
      </c>
      <c r="J3343" s="714" t="s">
        <v>802</v>
      </c>
      <c r="K3343" s="709">
        <v>3</v>
      </c>
      <c r="L3343" s="715">
        <f t="shared" si="101"/>
        <v>15.98</v>
      </c>
      <c r="M3343" s="716">
        <f t="shared" si="100"/>
        <v>47.94</v>
      </c>
    </row>
    <row r="3344" spans="2:13" s="645" customFormat="1" ht="21.75" customHeight="1">
      <c r="B3344" s="661">
        <v>44465</v>
      </c>
      <c r="C3344" s="662" t="s">
        <v>819</v>
      </c>
      <c r="D3344" s="663" t="s">
        <v>849</v>
      </c>
      <c r="E3344" s="664" t="s">
        <v>831</v>
      </c>
      <c r="F3344" s="665"/>
      <c r="G3344" s="663">
        <v>20</v>
      </c>
      <c r="H3344" s="662" t="s">
        <v>807</v>
      </c>
      <c r="I3344" s="666" t="s">
        <v>861</v>
      </c>
      <c r="J3344" s="667" t="s">
        <v>804</v>
      </c>
      <c r="K3344" s="662">
        <v>1</v>
      </c>
      <c r="L3344" s="685">
        <f t="shared" si="101"/>
        <v>18.8</v>
      </c>
      <c r="M3344" s="686">
        <f t="shared" si="100"/>
        <v>18.8</v>
      </c>
    </row>
    <row r="3345" spans="2:13" s="645" customFormat="1" ht="21.75" customHeight="1">
      <c r="B3345" s="661">
        <v>44465</v>
      </c>
      <c r="C3345" s="662" t="s">
        <v>819</v>
      </c>
      <c r="D3345" s="663" t="s">
        <v>840</v>
      </c>
      <c r="E3345" s="664" t="s">
        <v>831</v>
      </c>
      <c r="F3345" s="665"/>
      <c r="G3345" s="663">
        <v>20</v>
      </c>
      <c r="H3345" s="662" t="s">
        <v>807</v>
      </c>
      <c r="I3345" s="666" t="s">
        <v>861</v>
      </c>
      <c r="J3345" s="667" t="s">
        <v>805</v>
      </c>
      <c r="K3345" s="662">
        <v>2</v>
      </c>
      <c r="L3345" s="685">
        <f t="shared" si="101"/>
        <v>18.8</v>
      </c>
      <c r="M3345" s="686">
        <f t="shared" si="100"/>
        <v>37.6</v>
      </c>
    </row>
    <row r="3346" spans="2:13" s="645" customFormat="1" ht="21.75" customHeight="1">
      <c r="B3346" s="661">
        <v>44465</v>
      </c>
      <c r="C3346" s="662" t="s">
        <v>819</v>
      </c>
      <c r="D3346" s="663" t="s">
        <v>835</v>
      </c>
      <c r="E3346" s="664" t="s">
        <v>831</v>
      </c>
      <c r="F3346" s="665"/>
      <c r="G3346" s="663">
        <v>20</v>
      </c>
      <c r="H3346" s="662" t="s">
        <v>807</v>
      </c>
      <c r="I3346" s="666" t="s">
        <v>861</v>
      </c>
      <c r="J3346" s="667" t="s">
        <v>805</v>
      </c>
      <c r="K3346" s="662">
        <v>3</v>
      </c>
      <c r="L3346" s="685">
        <f t="shared" si="101"/>
        <v>18.8</v>
      </c>
      <c r="M3346" s="686">
        <f t="shared" si="100"/>
        <v>56.400000000000006</v>
      </c>
    </row>
    <row r="3347" spans="2:13" s="645" customFormat="1" ht="21.75" customHeight="1">
      <c r="B3347" s="661">
        <v>44465</v>
      </c>
      <c r="C3347" s="662" t="s">
        <v>819</v>
      </c>
      <c r="D3347" s="663" t="s">
        <v>841</v>
      </c>
      <c r="E3347" s="664" t="s">
        <v>831</v>
      </c>
      <c r="F3347" s="665"/>
      <c r="G3347" s="663">
        <v>20</v>
      </c>
      <c r="H3347" s="662" t="s">
        <v>807</v>
      </c>
      <c r="I3347" s="666" t="s">
        <v>861</v>
      </c>
      <c r="J3347" s="667" t="s">
        <v>805</v>
      </c>
      <c r="K3347" s="662">
        <v>3</v>
      </c>
      <c r="L3347" s="685">
        <f t="shared" si="101"/>
        <v>18.8</v>
      </c>
      <c r="M3347" s="686">
        <f t="shared" si="100"/>
        <v>56.400000000000006</v>
      </c>
    </row>
    <row r="3348" spans="2:13" s="645" customFormat="1" ht="21.75" customHeight="1">
      <c r="B3348" s="661">
        <v>44465</v>
      </c>
      <c r="C3348" s="662" t="s">
        <v>819</v>
      </c>
      <c r="D3348" s="663" t="s">
        <v>834</v>
      </c>
      <c r="E3348" s="664" t="s">
        <v>831</v>
      </c>
      <c r="F3348" s="665"/>
      <c r="G3348" s="663">
        <v>20</v>
      </c>
      <c r="H3348" s="662" t="s">
        <v>807</v>
      </c>
      <c r="I3348" s="666" t="s">
        <v>861</v>
      </c>
      <c r="J3348" s="667" t="s">
        <v>805</v>
      </c>
      <c r="K3348" s="662">
        <v>2</v>
      </c>
      <c r="L3348" s="685">
        <f t="shared" si="101"/>
        <v>18.8</v>
      </c>
      <c r="M3348" s="686">
        <f t="shared" si="100"/>
        <v>37.6</v>
      </c>
    </row>
    <row r="3349" spans="2:13" s="645" customFormat="1" ht="21.75" customHeight="1">
      <c r="B3349" s="661">
        <v>44465</v>
      </c>
      <c r="C3349" s="662" t="s">
        <v>819</v>
      </c>
      <c r="D3349" s="663" t="s">
        <v>848</v>
      </c>
      <c r="E3349" s="664" t="s">
        <v>831</v>
      </c>
      <c r="F3349" s="665"/>
      <c r="G3349" s="663">
        <v>20</v>
      </c>
      <c r="H3349" s="662" t="s">
        <v>807</v>
      </c>
      <c r="I3349" s="666" t="s">
        <v>861</v>
      </c>
      <c r="J3349" s="667" t="s">
        <v>804</v>
      </c>
      <c r="K3349" s="662">
        <v>2</v>
      </c>
      <c r="L3349" s="685">
        <f t="shared" si="101"/>
        <v>18.8</v>
      </c>
      <c r="M3349" s="686">
        <f t="shared" si="100"/>
        <v>37.6</v>
      </c>
    </row>
    <row r="3350" spans="2:13" s="645" customFormat="1" ht="21.75" customHeight="1">
      <c r="B3350" s="661">
        <v>44465</v>
      </c>
      <c r="C3350" s="662" t="s">
        <v>819</v>
      </c>
      <c r="D3350" s="663" t="s">
        <v>839</v>
      </c>
      <c r="E3350" s="664" t="s">
        <v>831</v>
      </c>
      <c r="F3350" s="665"/>
      <c r="G3350" s="663">
        <v>15</v>
      </c>
      <c r="H3350" s="662" t="s">
        <v>807</v>
      </c>
      <c r="I3350" s="666" t="s">
        <v>861</v>
      </c>
      <c r="J3350" s="667" t="s">
        <v>805</v>
      </c>
      <c r="K3350" s="662">
        <v>2</v>
      </c>
      <c r="L3350" s="685">
        <f t="shared" si="101"/>
        <v>14.1</v>
      </c>
      <c r="M3350" s="686">
        <f t="shared" si="100"/>
        <v>28.2</v>
      </c>
    </row>
    <row r="3351" spans="2:13" s="645" customFormat="1" ht="21.75" customHeight="1">
      <c r="B3351" s="661">
        <v>44465</v>
      </c>
      <c r="C3351" s="662" t="s">
        <v>819</v>
      </c>
      <c r="D3351" s="663" t="s">
        <v>845</v>
      </c>
      <c r="E3351" s="664" t="s">
        <v>831</v>
      </c>
      <c r="F3351" s="665"/>
      <c r="G3351" s="663">
        <v>17</v>
      </c>
      <c r="H3351" s="662" t="s">
        <v>807</v>
      </c>
      <c r="I3351" s="666" t="s">
        <v>861</v>
      </c>
      <c r="J3351" s="667" t="s">
        <v>805</v>
      </c>
      <c r="K3351" s="662">
        <v>3</v>
      </c>
      <c r="L3351" s="685">
        <f t="shared" si="101"/>
        <v>15.98</v>
      </c>
      <c r="M3351" s="686">
        <f t="shared" si="100"/>
        <v>47.94</v>
      </c>
    </row>
    <row r="3352" spans="2:13" s="645" customFormat="1" ht="21.75" customHeight="1">
      <c r="B3352" s="661">
        <v>44465</v>
      </c>
      <c r="C3352" s="662" t="s">
        <v>819</v>
      </c>
      <c r="D3352" s="663" t="s">
        <v>856</v>
      </c>
      <c r="E3352" s="664" t="s">
        <v>831</v>
      </c>
      <c r="F3352" s="665"/>
      <c r="G3352" s="663">
        <v>20</v>
      </c>
      <c r="H3352" s="662" t="s">
        <v>807</v>
      </c>
      <c r="I3352" s="666" t="s">
        <v>861</v>
      </c>
      <c r="J3352" s="667" t="s">
        <v>805</v>
      </c>
      <c r="K3352" s="662">
        <v>2</v>
      </c>
      <c r="L3352" s="685">
        <f t="shared" si="101"/>
        <v>18.8</v>
      </c>
      <c r="M3352" s="686">
        <f t="shared" si="100"/>
        <v>37.6</v>
      </c>
    </row>
    <row r="3353" spans="2:13" s="645" customFormat="1" ht="21.75" customHeight="1">
      <c r="B3353" s="661">
        <v>44465</v>
      </c>
      <c r="C3353" s="662" t="s">
        <v>819</v>
      </c>
      <c r="D3353" s="663" t="s">
        <v>878</v>
      </c>
      <c r="E3353" s="664" t="s">
        <v>831</v>
      </c>
      <c r="F3353" s="665"/>
      <c r="G3353" s="663">
        <v>15</v>
      </c>
      <c r="H3353" s="662" t="s">
        <v>807</v>
      </c>
      <c r="I3353" s="666" t="s">
        <v>861</v>
      </c>
      <c r="J3353" s="667" t="s">
        <v>804</v>
      </c>
      <c r="K3353" s="662">
        <v>1</v>
      </c>
      <c r="L3353" s="685">
        <f t="shared" si="101"/>
        <v>14.1</v>
      </c>
      <c r="M3353" s="686">
        <f t="shared" si="100"/>
        <v>14.1</v>
      </c>
    </row>
    <row r="3354" spans="2:13" s="645" customFormat="1" ht="21.75" customHeight="1">
      <c r="B3354" s="661">
        <v>44465</v>
      </c>
      <c r="C3354" s="662" t="s">
        <v>819</v>
      </c>
      <c r="D3354" s="663" t="s">
        <v>855</v>
      </c>
      <c r="E3354" s="664" t="s">
        <v>831</v>
      </c>
      <c r="F3354" s="665"/>
      <c r="G3354" s="663">
        <v>20</v>
      </c>
      <c r="H3354" s="662" t="s">
        <v>807</v>
      </c>
      <c r="I3354" s="666" t="s">
        <v>861</v>
      </c>
      <c r="J3354" s="667" t="s">
        <v>805</v>
      </c>
      <c r="K3354" s="662">
        <v>2</v>
      </c>
      <c r="L3354" s="685">
        <f t="shared" si="101"/>
        <v>18.8</v>
      </c>
      <c r="M3354" s="686">
        <f t="shared" si="100"/>
        <v>37.6</v>
      </c>
    </row>
    <row r="3355" spans="2:13" s="645" customFormat="1" ht="21.75" customHeight="1">
      <c r="B3355" s="661">
        <v>44465</v>
      </c>
      <c r="C3355" s="662" t="s">
        <v>819</v>
      </c>
      <c r="D3355" s="663" t="s">
        <v>867</v>
      </c>
      <c r="E3355" s="664" t="s">
        <v>831</v>
      </c>
      <c r="F3355" s="665"/>
      <c r="G3355" s="663">
        <v>20</v>
      </c>
      <c r="H3355" s="662" t="s">
        <v>807</v>
      </c>
      <c r="I3355" s="666" t="s">
        <v>861</v>
      </c>
      <c r="J3355" s="667" t="s">
        <v>805</v>
      </c>
      <c r="K3355" s="662">
        <v>2</v>
      </c>
      <c r="L3355" s="685">
        <f t="shared" si="101"/>
        <v>18.8</v>
      </c>
      <c r="M3355" s="686">
        <f t="shared" si="100"/>
        <v>37.6</v>
      </c>
    </row>
    <row r="3356" spans="2:13" s="645" customFormat="1" ht="21.75" customHeight="1">
      <c r="B3356" s="661">
        <v>44465</v>
      </c>
      <c r="C3356" s="662" t="s">
        <v>819</v>
      </c>
      <c r="D3356" s="663" t="s">
        <v>868</v>
      </c>
      <c r="E3356" s="664" t="s">
        <v>831</v>
      </c>
      <c r="F3356" s="665"/>
      <c r="G3356" s="663">
        <v>20</v>
      </c>
      <c r="H3356" s="662" t="s">
        <v>807</v>
      </c>
      <c r="I3356" s="666" t="s">
        <v>861</v>
      </c>
      <c r="J3356" s="667" t="s">
        <v>805</v>
      </c>
      <c r="K3356" s="662">
        <v>3</v>
      </c>
      <c r="L3356" s="685">
        <f t="shared" si="101"/>
        <v>18.8</v>
      </c>
      <c r="M3356" s="686">
        <f t="shared" si="100"/>
        <v>56.400000000000006</v>
      </c>
    </row>
    <row r="3357" spans="2:13" s="645" customFormat="1" ht="21.75" customHeight="1">
      <c r="B3357" s="661">
        <v>44465</v>
      </c>
      <c r="C3357" s="662" t="s">
        <v>819</v>
      </c>
      <c r="D3357" s="663" t="s">
        <v>870</v>
      </c>
      <c r="E3357" s="664" t="s">
        <v>831</v>
      </c>
      <c r="F3357" s="665"/>
      <c r="G3357" s="663">
        <v>20</v>
      </c>
      <c r="H3357" s="662" t="s">
        <v>807</v>
      </c>
      <c r="I3357" s="666" t="s">
        <v>861</v>
      </c>
      <c r="J3357" s="667" t="s">
        <v>805</v>
      </c>
      <c r="K3357" s="662">
        <v>3</v>
      </c>
      <c r="L3357" s="685">
        <f t="shared" si="101"/>
        <v>18.8</v>
      </c>
      <c r="M3357" s="686">
        <f t="shared" si="100"/>
        <v>56.400000000000006</v>
      </c>
    </row>
    <row r="3358" spans="2:13" s="645" customFormat="1" ht="21.75" customHeight="1">
      <c r="B3358" s="661">
        <v>44465</v>
      </c>
      <c r="C3358" s="662" t="s">
        <v>819</v>
      </c>
      <c r="D3358" s="663" t="s">
        <v>870</v>
      </c>
      <c r="E3358" s="664" t="s">
        <v>831</v>
      </c>
      <c r="F3358" s="665"/>
      <c r="G3358" s="663">
        <v>20</v>
      </c>
      <c r="H3358" s="662" t="s">
        <v>807</v>
      </c>
      <c r="I3358" s="666" t="s">
        <v>861</v>
      </c>
      <c r="J3358" s="667" t="s">
        <v>804</v>
      </c>
      <c r="K3358" s="662">
        <v>1</v>
      </c>
      <c r="L3358" s="685">
        <f t="shared" si="101"/>
        <v>18.8</v>
      </c>
      <c r="M3358" s="686">
        <f t="shared" si="100"/>
        <v>18.8</v>
      </c>
    </row>
    <row r="3359" spans="2:13" s="645" customFormat="1" ht="21.75" customHeight="1">
      <c r="B3359" s="661">
        <v>44465</v>
      </c>
      <c r="C3359" s="662" t="s">
        <v>819</v>
      </c>
      <c r="D3359" s="663" t="s">
        <v>873</v>
      </c>
      <c r="E3359" s="664" t="s">
        <v>831</v>
      </c>
      <c r="F3359" s="665"/>
      <c r="G3359" s="663">
        <v>17</v>
      </c>
      <c r="H3359" s="662" t="s">
        <v>807</v>
      </c>
      <c r="I3359" s="666" t="s">
        <v>861</v>
      </c>
      <c r="J3359" s="667" t="s">
        <v>805</v>
      </c>
      <c r="K3359" s="662">
        <v>4</v>
      </c>
      <c r="L3359" s="685">
        <f t="shared" si="101"/>
        <v>15.98</v>
      </c>
      <c r="M3359" s="686">
        <f t="shared" si="100"/>
        <v>63.92</v>
      </c>
    </row>
    <row r="3360" spans="2:13" s="645" customFormat="1" ht="21.75" customHeight="1">
      <c r="B3360" s="661">
        <v>44465</v>
      </c>
      <c r="C3360" s="662" t="s">
        <v>819</v>
      </c>
      <c r="D3360" s="663" t="s">
        <v>835</v>
      </c>
      <c r="E3360" s="664" t="s">
        <v>831</v>
      </c>
      <c r="F3360" s="665"/>
      <c r="G3360" s="663">
        <v>20</v>
      </c>
      <c r="H3360" s="662" t="s">
        <v>807</v>
      </c>
      <c r="I3360" s="666" t="s">
        <v>805</v>
      </c>
      <c r="J3360" s="667" t="s">
        <v>852</v>
      </c>
      <c r="K3360" s="662">
        <v>1</v>
      </c>
      <c r="L3360" s="685">
        <f t="shared" si="101"/>
        <v>18.8</v>
      </c>
      <c r="M3360" s="686">
        <f t="shared" si="100"/>
        <v>18.8</v>
      </c>
    </row>
    <row r="3361" spans="2:13" s="645" customFormat="1" ht="21.75" customHeight="1">
      <c r="B3361" s="661">
        <v>44465</v>
      </c>
      <c r="C3361" s="662" t="s">
        <v>819</v>
      </c>
      <c r="D3361" s="663" t="s">
        <v>839</v>
      </c>
      <c r="E3361" s="664" t="s">
        <v>831</v>
      </c>
      <c r="F3361" s="665"/>
      <c r="G3361" s="663">
        <v>15</v>
      </c>
      <c r="H3361" s="662" t="s">
        <v>807</v>
      </c>
      <c r="I3361" s="666" t="s">
        <v>805</v>
      </c>
      <c r="J3361" s="667" t="s">
        <v>852</v>
      </c>
      <c r="K3361" s="662">
        <v>1</v>
      </c>
      <c r="L3361" s="685">
        <f t="shared" si="101"/>
        <v>14.1</v>
      </c>
      <c r="M3361" s="686">
        <f t="shared" si="100"/>
        <v>14.1</v>
      </c>
    </row>
    <row r="3362" spans="2:13" s="645" customFormat="1" ht="21.75" customHeight="1">
      <c r="B3362" s="661">
        <v>44465</v>
      </c>
      <c r="C3362" s="662" t="s">
        <v>819</v>
      </c>
      <c r="D3362" s="663" t="s">
        <v>847</v>
      </c>
      <c r="E3362" s="664" t="s">
        <v>831</v>
      </c>
      <c r="F3362" s="665"/>
      <c r="G3362" s="663">
        <v>17</v>
      </c>
      <c r="H3362" s="662" t="s">
        <v>807</v>
      </c>
      <c r="I3362" s="666" t="s">
        <v>805</v>
      </c>
      <c r="J3362" s="667" t="s">
        <v>852</v>
      </c>
      <c r="K3362" s="662">
        <v>1</v>
      </c>
      <c r="L3362" s="685">
        <f t="shared" si="101"/>
        <v>15.98</v>
      </c>
      <c r="M3362" s="686">
        <f t="shared" si="100"/>
        <v>15.98</v>
      </c>
    </row>
    <row r="3363" spans="2:13" s="645" customFormat="1" ht="21.75" customHeight="1">
      <c r="B3363" s="708">
        <v>44465</v>
      </c>
      <c r="C3363" s="709" t="s">
        <v>819</v>
      </c>
      <c r="D3363" s="710" t="s">
        <v>835</v>
      </c>
      <c r="E3363" s="711" t="s">
        <v>831</v>
      </c>
      <c r="F3363" s="712"/>
      <c r="G3363" s="710">
        <v>20</v>
      </c>
      <c r="H3363" s="709" t="s">
        <v>807</v>
      </c>
      <c r="I3363" s="713" t="s">
        <v>861</v>
      </c>
      <c r="J3363" s="714" t="s">
        <v>802</v>
      </c>
      <c r="K3363" s="709">
        <v>5</v>
      </c>
      <c r="L3363" s="715">
        <f t="shared" si="101"/>
        <v>18.8</v>
      </c>
      <c r="M3363" s="716">
        <f t="shared" si="100"/>
        <v>94</v>
      </c>
    </row>
    <row r="3364" spans="2:13" s="645" customFormat="1" ht="21.75" customHeight="1">
      <c r="B3364" s="708">
        <v>44465</v>
      </c>
      <c r="C3364" s="709" t="s">
        <v>819</v>
      </c>
      <c r="D3364" s="710" t="s">
        <v>834</v>
      </c>
      <c r="E3364" s="711" t="s">
        <v>831</v>
      </c>
      <c r="F3364" s="712"/>
      <c r="G3364" s="710">
        <v>20</v>
      </c>
      <c r="H3364" s="709" t="s">
        <v>807</v>
      </c>
      <c r="I3364" s="713" t="s">
        <v>861</v>
      </c>
      <c r="J3364" s="714" t="s">
        <v>802</v>
      </c>
      <c r="K3364" s="709">
        <v>6</v>
      </c>
      <c r="L3364" s="715">
        <f t="shared" si="101"/>
        <v>18.8</v>
      </c>
      <c r="M3364" s="716">
        <f t="shared" si="100"/>
        <v>112.80000000000001</v>
      </c>
    </row>
    <row r="3365" spans="2:13" s="645" customFormat="1" ht="21.75" customHeight="1">
      <c r="B3365" s="708">
        <v>44465</v>
      </c>
      <c r="C3365" s="709" t="s">
        <v>819</v>
      </c>
      <c r="D3365" s="710" t="s">
        <v>839</v>
      </c>
      <c r="E3365" s="711" t="s">
        <v>831</v>
      </c>
      <c r="F3365" s="712"/>
      <c r="G3365" s="710">
        <v>15</v>
      </c>
      <c r="H3365" s="709" t="s">
        <v>807</v>
      </c>
      <c r="I3365" s="713" t="s">
        <v>861</v>
      </c>
      <c r="J3365" s="714" t="s">
        <v>802</v>
      </c>
      <c r="K3365" s="709">
        <v>2</v>
      </c>
      <c r="L3365" s="715">
        <f t="shared" si="101"/>
        <v>14.1</v>
      </c>
      <c r="M3365" s="716">
        <f t="shared" si="100"/>
        <v>28.2</v>
      </c>
    </row>
    <row r="3366" spans="2:13" s="645" customFormat="1" ht="21.75" customHeight="1">
      <c r="B3366" s="708">
        <v>44465</v>
      </c>
      <c r="C3366" s="709" t="s">
        <v>819</v>
      </c>
      <c r="D3366" s="710" t="s">
        <v>845</v>
      </c>
      <c r="E3366" s="711" t="s">
        <v>831</v>
      </c>
      <c r="F3366" s="712"/>
      <c r="G3366" s="710">
        <v>17</v>
      </c>
      <c r="H3366" s="709" t="s">
        <v>807</v>
      </c>
      <c r="I3366" s="713" t="s">
        <v>861</v>
      </c>
      <c r="J3366" s="714" t="s">
        <v>802</v>
      </c>
      <c r="K3366" s="709">
        <v>1</v>
      </c>
      <c r="L3366" s="715">
        <f t="shared" si="101"/>
        <v>15.98</v>
      </c>
      <c r="M3366" s="716">
        <f t="shared" si="100"/>
        <v>15.98</v>
      </c>
    </row>
    <row r="3367" spans="2:13" s="645" customFormat="1" ht="21.75" customHeight="1">
      <c r="B3367" s="708">
        <v>44465</v>
      </c>
      <c r="C3367" s="709" t="s">
        <v>819</v>
      </c>
      <c r="D3367" s="710" t="s">
        <v>856</v>
      </c>
      <c r="E3367" s="711" t="s">
        <v>831</v>
      </c>
      <c r="F3367" s="712"/>
      <c r="G3367" s="710">
        <v>20</v>
      </c>
      <c r="H3367" s="709" t="s">
        <v>807</v>
      </c>
      <c r="I3367" s="713" t="s">
        <v>861</v>
      </c>
      <c r="J3367" s="714" t="s">
        <v>802</v>
      </c>
      <c r="K3367" s="709">
        <v>1</v>
      </c>
      <c r="L3367" s="715">
        <f t="shared" si="101"/>
        <v>18.8</v>
      </c>
      <c r="M3367" s="716">
        <f t="shared" ref="M3367:M3430" si="102">L3367*K3367</f>
        <v>18.8</v>
      </c>
    </row>
    <row r="3368" spans="2:13" s="645" customFormat="1" ht="21.75" customHeight="1">
      <c r="B3368" s="708">
        <v>44465</v>
      </c>
      <c r="C3368" s="709" t="s">
        <v>819</v>
      </c>
      <c r="D3368" s="710" t="s">
        <v>878</v>
      </c>
      <c r="E3368" s="711" t="s">
        <v>831</v>
      </c>
      <c r="F3368" s="712"/>
      <c r="G3368" s="710">
        <v>15</v>
      </c>
      <c r="H3368" s="709" t="s">
        <v>807</v>
      </c>
      <c r="I3368" s="713" t="s">
        <v>861</v>
      </c>
      <c r="J3368" s="714" t="s">
        <v>802</v>
      </c>
      <c r="K3368" s="709">
        <v>1</v>
      </c>
      <c r="L3368" s="715">
        <f t="shared" si="101"/>
        <v>14.1</v>
      </c>
      <c r="M3368" s="716">
        <f t="shared" si="102"/>
        <v>14.1</v>
      </c>
    </row>
    <row r="3369" spans="2:13" s="645" customFormat="1" ht="21.75" customHeight="1">
      <c r="B3369" s="708">
        <v>44465</v>
      </c>
      <c r="C3369" s="709" t="s">
        <v>819</v>
      </c>
      <c r="D3369" s="710" t="s">
        <v>855</v>
      </c>
      <c r="E3369" s="711" t="s">
        <v>831</v>
      </c>
      <c r="F3369" s="712"/>
      <c r="G3369" s="710">
        <v>20</v>
      </c>
      <c r="H3369" s="709" t="s">
        <v>807</v>
      </c>
      <c r="I3369" s="713" t="s">
        <v>861</v>
      </c>
      <c r="J3369" s="714" t="s">
        <v>802</v>
      </c>
      <c r="K3369" s="709">
        <v>2</v>
      </c>
      <c r="L3369" s="715">
        <f t="shared" si="101"/>
        <v>18.8</v>
      </c>
      <c r="M3369" s="716">
        <f t="shared" si="102"/>
        <v>37.6</v>
      </c>
    </row>
    <row r="3370" spans="2:13" s="645" customFormat="1" ht="21.75" customHeight="1">
      <c r="B3370" s="708">
        <v>44465</v>
      </c>
      <c r="C3370" s="709" t="s">
        <v>819</v>
      </c>
      <c r="D3370" s="710" t="s">
        <v>868</v>
      </c>
      <c r="E3370" s="711" t="s">
        <v>831</v>
      </c>
      <c r="F3370" s="712"/>
      <c r="G3370" s="710">
        <v>20</v>
      </c>
      <c r="H3370" s="709" t="s">
        <v>807</v>
      </c>
      <c r="I3370" s="713" t="s">
        <v>861</v>
      </c>
      <c r="J3370" s="714" t="s">
        <v>802</v>
      </c>
      <c r="K3370" s="709">
        <v>2</v>
      </c>
      <c r="L3370" s="715">
        <f t="shared" si="101"/>
        <v>18.8</v>
      </c>
      <c r="M3370" s="716">
        <f t="shared" si="102"/>
        <v>37.6</v>
      </c>
    </row>
    <row r="3371" spans="2:13" s="645" customFormat="1" ht="21.75" customHeight="1">
      <c r="B3371" s="708">
        <v>44465</v>
      </c>
      <c r="C3371" s="709" t="s">
        <v>819</v>
      </c>
      <c r="D3371" s="710" t="s">
        <v>870</v>
      </c>
      <c r="E3371" s="711" t="s">
        <v>831</v>
      </c>
      <c r="F3371" s="712"/>
      <c r="G3371" s="710">
        <v>20</v>
      </c>
      <c r="H3371" s="709" t="s">
        <v>807</v>
      </c>
      <c r="I3371" s="713" t="s">
        <v>861</v>
      </c>
      <c r="J3371" s="714" t="s">
        <v>802</v>
      </c>
      <c r="K3371" s="709">
        <v>2</v>
      </c>
      <c r="L3371" s="715">
        <f t="shared" si="101"/>
        <v>18.8</v>
      </c>
      <c r="M3371" s="716">
        <f t="shared" si="102"/>
        <v>37.6</v>
      </c>
    </row>
    <row r="3372" spans="2:13" s="645" customFormat="1" ht="21.75" customHeight="1">
      <c r="B3372" s="708">
        <v>44465</v>
      </c>
      <c r="C3372" s="709" t="s">
        <v>819</v>
      </c>
      <c r="D3372" s="710" t="s">
        <v>873</v>
      </c>
      <c r="E3372" s="711" t="s">
        <v>831</v>
      </c>
      <c r="F3372" s="712"/>
      <c r="G3372" s="710">
        <v>17</v>
      </c>
      <c r="H3372" s="709" t="s">
        <v>807</v>
      </c>
      <c r="I3372" s="713" t="s">
        <v>861</v>
      </c>
      <c r="J3372" s="714" t="s">
        <v>802</v>
      </c>
      <c r="K3372" s="709">
        <v>2</v>
      </c>
      <c r="L3372" s="715">
        <f t="shared" si="101"/>
        <v>15.98</v>
      </c>
      <c r="M3372" s="716">
        <f t="shared" si="102"/>
        <v>31.96</v>
      </c>
    </row>
    <row r="3373" spans="2:13" s="645" customFormat="1" ht="21.75" customHeight="1">
      <c r="B3373" s="708">
        <v>44465</v>
      </c>
      <c r="C3373" s="709" t="s">
        <v>837</v>
      </c>
      <c r="D3373" s="710" t="s">
        <v>834</v>
      </c>
      <c r="E3373" s="711" t="s">
        <v>831</v>
      </c>
      <c r="F3373" s="712"/>
      <c r="G3373" s="710">
        <v>20</v>
      </c>
      <c r="H3373" s="709" t="s">
        <v>807</v>
      </c>
      <c r="I3373" s="713" t="s">
        <v>861</v>
      </c>
      <c r="J3373" s="714" t="s">
        <v>802</v>
      </c>
      <c r="K3373" s="709">
        <v>10</v>
      </c>
      <c r="L3373" s="715">
        <f t="shared" si="101"/>
        <v>18.8</v>
      </c>
      <c r="M3373" s="716">
        <f t="shared" si="102"/>
        <v>188</v>
      </c>
    </row>
    <row r="3374" spans="2:13" s="645" customFormat="1" ht="21.75" customHeight="1">
      <c r="B3374" s="708">
        <v>44465</v>
      </c>
      <c r="C3374" s="709" t="s">
        <v>837</v>
      </c>
      <c r="D3374" s="710" t="s">
        <v>834</v>
      </c>
      <c r="E3374" s="711" t="s">
        <v>831</v>
      </c>
      <c r="F3374" s="712"/>
      <c r="G3374" s="710">
        <v>20</v>
      </c>
      <c r="H3374" s="709" t="s">
        <v>807</v>
      </c>
      <c r="I3374" s="713" t="s">
        <v>857</v>
      </c>
      <c r="J3374" s="714" t="s">
        <v>802</v>
      </c>
      <c r="K3374" s="709">
        <v>1</v>
      </c>
      <c r="L3374" s="715">
        <f t="shared" si="101"/>
        <v>18.8</v>
      </c>
      <c r="M3374" s="716">
        <f t="shared" si="102"/>
        <v>18.8</v>
      </c>
    </row>
    <row r="3375" spans="2:13" s="645" customFormat="1" ht="21.75" customHeight="1">
      <c r="B3375" s="708">
        <v>44465</v>
      </c>
      <c r="C3375" s="709" t="s">
        <v>837</v>
      </c>
      <c r="D3375" s="710" t="s">
        <v>856</v>
      </c>
      <c r="E3375" s="711" t="s">
        <v>831</v>
      </c>
      <c r="F3375" s="712"/>
      <c r="G3375" s="710">
        <v>20</v>
      </c>
      <c r="H3375" s="709" t="s">
        <v>807</v>
      </c>
      <c r="I3375" s="713" t="s">
        <v>861</v>
      </c>
      <c r="J3375" s="714" t="s">
        <v>802</v>
      </c>
      <c r="K3375" s="709">
        <v>9</v>
      </c>
      <c r="L3375" s="715">
        <f t="shared" si="101"/>
        <v>18.8</v>
      </c>
      <c r="M3375" s="716">
        <f t="shared" si="102"/>
        <v>169.20000000000002</v>
      </c>
    </row>
    <row r="3376" spans="2:13" s="645" customFormat="1" ht="21.75" customHeight="1">
      <c r="B3376" s="708">
        <v>44465</v>
      </c>
      <c r="C3376" s="709" t="s">
        <v>837</v>
      </c>
      <c r="D3376" s="710" t="s">
        <v>856</v>
      </c>
      <c r="E3376" s="711" t="s">
        <v>831</v>
      </c>
      <c r="F3376" s="712"/>
      <c r="G3376" s="710">
        <v>20</v>
      </c>
      <c r="H3376" s="709" t="s">
        <v>807</v>
      </c>
      <c r="I3376" s="713" t="s">
        <v>857</v>
      </c>
      <c r="J3376" s="714" t="s">
        <v>802</v>
      </c>
      <c r="K3376" s="709">
        <v>1</v>
      </c>
      <c r="L3376" s="715">
        <f t="shared" si="101"/>
        <v>18.8</v>
      </c>
      <c r="M3376" s="716">
        <f t="shared" si="102"/>
        <v>18.8</v>
      </c>
    </row>
    <row r="3377" spans="2:13" s="645" customFormat="1" ht="21.75" customHeight="1">
      <c r="B3377" s="708">
        <v>44465</v>
      </c>
      <c r="C3377" s="709" t="s">
        <v>837</v>
      </c>
      <c r="D3377" s="710" t="s">
        <v>855</v>
      </c>
      <c r="E3377" s="711" t="s">
        <v>831</v>
      </c>
      <c r="F3377" s="712"/>
      <c r="G3377" s="710">
        <v>20</v>
      </c>
      <c r="H3377" s="709" t="s">
        <v>807</v>
      </c>
      <c r="I3377" s="713" t="s">
        <v>861</v>
      </c>
      <c r="J3377" s="714" t="s">
        <v>802</v>
      </c>
      <c r="K3377" s="709">
        <v>9</v>
      </c>
      <c r="L3377" s="715">
        <f t="shared" si="101"/>
        <v>18.8</v>
      </c>
      <c r="M3377" s="716">
        <f t="shared" si="102"/>
        <v>169.20000000000002</v>
      </c>
    </row>
    <row r="3378" spans="2:13" s="645" customFormat="1" ht="21.75" customHeight="1">
      <c r="B3378" s="708">
        <v>44465</v>
      </c>
      <c r="C3378" s="709" t="s">
        <v>837</v>
      </c>
      <c r="D3378" s="710" t="s">
        <v>855</v>
      </c>
      <c r="E3378" s="711" t="s">
        <v>831</v>
      </c>
      <c r="F3378" s="712"/>
      <c r="G3378" s="710">
        <v>20</v>
      </c>
      <c r="H3378" s="709" t="s">
        <v>807</v>
      </c>
      <c r="I3378" s="713" t="s">
        <v>857</v>
      </c>
      <c r="J3378" s="714" t="s">
        <v>802</v>
      </c>
      <c r="K3378" s="709">
        <v>1</v>
      </c>
      <c r="L3378" s="715">
        <f t="shared" si="101"/>
        <v>18.8</v>
      </c>
      <c r="M3378" s="716">
        <f t="shared" si="102"/>
        <v>18.8</v>
      </c>
    </row>
    <row r="3379" spans="2:13" s="645" customFormat="1" ht="21.75" customHeight="1">
      <c r="B3379" s="708">
        <v>44465</v>
      </c>
      <c r="C3379" s="709" t="s">
        <v>837</v>
      </c>
      <c r="D3379" s="710" t="s">
        <v>840</v>
      </c>
      <c r="E3379" s="711" t="s">
        <v>831</v>
      </c>
      <c r="F3379" s="712"/>
      <c r="G3379" s="710">
        <v>20</v>
      </c>
      <c r="H3379" s="709" t="s">
        <v>807</v>
      </c>
      <c r="I3379" s="713" t="s">
        <v>861</v>
      </c>
      <c r="J3379" s="714" t="s">
        <v>802</v>
      </c>
      <c r="K3379" s="709">
        <v>8</v>
      </c>
      <c r="L3379" s="715">
        <f t="shared" si="101"/>
        <v>18.8</v>
      </c>
      <c r="M3379" s="716">
        <f t="shared" si="102"/>
        <v>150.4</v>
      </c>
    </row>
    <row r="3380" spans="2:13" s="645" customFormat="1" ht="21.75" customHeight="1">
      <c r="B3380" s="708">
        <v>44465</v>
      </c>
      <c r="C3380" s="709" t="s">
        <v>837</v>
      </c>
      <c r="D3380" s="710" t="s">
        <v>840</v>
      </c>
      <c r="E3380" s="711" t="s">
        <v>831</v>
      </c>
      <c r="F3380" s="712"/>
      <c r="G3380" s="710">
        <v>20</v>
      </c>
      <c r="H3380" s="709" t="s">
        <v>807</v>
      </c>
      <c r="I3380" s="713" t="s">
        <v>857</v>
      </c>
      <c r="J3380" s="714" t="s">
        <v>802</v>
      </c>
      <c r="K3380" s="709">
        <v>2</v>
      </c>
      <c r="L3380" s="715">
        <f t="shared" si="101"/>
        <v>18.8</v>
      </c>
      <c r="M3380" s="716">
        <f t="shared" si="102"/>
        <v>37.6</v>
      </c>
    </row>
    <row r="3381" spans="2:13" s="645" customFormat="1" ht="21.75" customHeight="1">
      <c r="B3381" s="708">
        <v>44465</v>
      </c>
      <c r="C3381" s="709" t="s">
        <v>837</v>
      </c>
      <c r="D3381" s="710" t="s">
        <v>835</v>
      </c>
      <c r="E3381" s="711" t="s">
        <v>831</v>
      </c>
      <c r="F3381" s="712"/>
      <c r="G3381" s="710">
        <v>20</v>
      </c>
      <c r="H3381" s="709" t="s">
        <v>807</v>
      </c>
      <c r="I3381" s="713" t="s">
        <v>861</v>
      </c>
      <c r="J3381" s="714" t="s">
        <v>802</v>
      </c>
      <c r="K3381" s="709">
        <v>8</v>
      </c>
      <c r="L3381" s="715">
        <f t="shared" si="101"/>
        <v>18.8</v>
      </c>
      <c r="M3381" s="716">
        <f t="shared" si="102"/>
        <v>150.4</v>
      </c>
    </row>
    <row r="3382" spans="2:13" s="645" customFormat="1" ht="21.75" customHeight="1">
      <c r="B3382" s="708">
        <v>44465</v>
      </c>
      <c r="C3382" s="709" t="s">
        <v>837</v>
      </c>
      <c r="D3382" s="710" t="s">
        <v>835</v>
      </c>
      <c r="E3382" s="711" t="s">
        <v>831</v>
      </c>
      <c r="F3382" s="712"/>
      <c r="G3382" s="710">
        <v>20</v>
      </c>
      <c r="H3382" s="709" t="s">
        <v>807</v>
      </c>
      <c r="I3382" s="713" t="s">
        <v>857</v>
      </c>
      <c r="J3382" s="714" t="s">
        <v>802</v>
      </c>
      <c r="K3382" s="709">
        <v>1</v>
      </c>
      <c r="L3382" s="715">
        <f t="shared" si="101"/>
        <v>18.8</v>
      </c>
      <c r="M3382" s="716">
        <f t="shared" si="102"/>
        <v>18.8</v>
      </c>
    </row>
    <row r="3383" spans="2:13" s="645" customFormat="1" ht="21.75" customHeight="1">
      <c r="B3383" s="708">
        <v>44465</v>
      </c>
      <c r="C3383" s="709" t="s">
        <v>837</v>
      </c>
      <c r="D3383" s="710" t="s">
        <v>841</v>
      </c>
      <c r="E3383" s="711" t="s">
        <v>831</v>
      </c>
      <c r="F3383" s="712"/>
      <c r="G3383" s="710">
        <v>20</v>
      </c>
      <c r="H3383" s="709" t="s">
        <v>807</v>
      </c>
      <c r="I3383" s="713" t="s">
        <v>861</v>
      </c>
      <c r="J3383" s="714" t="s">
        <v>802</v>
      </c>
      <c r="K3383" s="709">
        <v>9</v>
      </c>
      <c r="L3383" s="715">
        <f t="shared" si="101"/>
        <v>18.8</v>
      </c>
      <c r="M3383" s="716">
        <f t="shared" si="102"/>
        <v>169.20000000000002</v>
      </c>
    </row>
    <row r="3384" spans="2:13" s="645" customFormat="1" ht="21.75" customHeight="1">
      <c r="B3384" s="708">
        <v>44465</v>
      </c>
      <c r="C3384" s="709" t="s">
        <v>837</v>
      </c>
      <c r="D3384" s="710" t="s">
        <v>841</v>
      </c>
      <c r="E3384" s="711" t="s">
        <v>831</v>
      </c>
      <c r="F3384" s="712"/>
      <c r="G3384" s="710">
        <v>20</v>
      </c>
      <c r="H3384" s="709" t="s">
        <v>807</v>
      </c>
      <c r="I3384" s="713" t="s">
        <v>857</v>
      </c>
      <c r="J3384" s="714" t="s">
        <v>802</v>
      </c>
      <c r="K3384" s="709">
        <v>2</v>
      </c>
      <c r="L3384" s="715">
        <f t="shared" si="101"/>
        <v>18.8</v>
      </c>
      <c r="M3384" s="716">
        <f t="shared" si="102"/>
        <v>37.6</v>
      </c>
    </row>
    <row r="3385" spans="2:13" s="645" customFormat="1" ht="21.75" customHeight="1">
      <c r="B3385" s="708">
        <v>44465</v>
      </c>
      <c r="C3385" s="709" t="s">
        <v>837</v>
      </c>
      <c r="D3385" s="710" t="s">
        <v>845</v>
      </c>
      <c r="E3385" s="711" t="s">
        <v>831</v>
      </c>
      <c r="F3385" s="712"/>
      <c r="G3385" s="710">
        <v>17</v>
      </c>
      <c r="H3385" s="709" t="s">
        <v>807</v>
      </c>
      <c r="I3385" s="713" t="s">
        <v>861</v>
      </c>
      <c r="J3385" s="714" t="s">
        <v>802</v>
      </c>
      <c r="K3385" s="709">
        <v>9</v>
      </c>
      <c r="L3385" s="715">
        <f t="shared" si="101"/>
        <v>15.98</v>
      </c>
      <c r="M3385" s="716">
        <f t="shared" si="102"/>
        <v>143.82</v>
      </c>
    </row>
    <row r="3386" spans="2:13" s="645" customFormat="1" ht="21.75" customHeight="1">
      <c r="B3386" s="708">
        <v>44465</v>
      </c>
      <c r="C3386" s="709" t="s">
        <v>837</v>
      </c>
      <c r="D3386" s="710" t="s">
        <v>845</v>
      </c>
      <c r="E3386" s="711" t="s">
        <v>831</v>
      </c>
      <c r="F3386" s="712"/>
      <c r="G3386" s="710">
        <v>17</v>
      </c>
      <c r="H3386" s="709" t="s">
        <v>807</v>
      </c>
      <c r="I3386" s="713" t="s">
        <v>857</v>
      </c>
      <c r="J3386" s="714" t="s">
        <v>802</v>
      </c>
      <c r="K3386" s="709">
        <v>2</v>
      </c>
      <c r="L3386" s="715">
        <f t="shared" si="101"/>
        <v>15.98</v>
      </c>
      <c r="M3386" s="716">
        <f t="shared" si="102"/>
        <v>31.96</v>
      </c>
    </row>
    <row r="3387" spans="2:13" s="645" customFormat="1" ht="21.75" customHeight="1">
      <c r="B3387" s="708">
        <v>44465</v>
      </c>
      <c r="C3387" s="709" t="s">
        <v>837</v>
      </c>
      <c r="D3387" s="710" t="s">
        <v>878</v>
      </c>
      <c r="E3387" s="711" t="s">
        <v>831</v>
      </c>
      <c r="F3387" s="712"/>
      <c r="G3387" s="710">
        <v>15</v>
      </c>
      <c r="H3387" s="709" t="s">
        <v>807</v>
      </c>
      <c r="I3387" s="713" t="s">
        <v>861</v>
      </c>
      <c r="J3387" s="714" t="s">
        <v>802</v>
      </c>
      <c r="K3387" s="709">
        <v>5</v>
      </c>
      <c r="L3387" s="715">
        <f t="shared" si="101"/>
        <v>14.1</v>
      </c>
      <c r="M3387" s="716">
        <f t="shared" si="102"/>
        <v>70.5</v>
      </c>
    </row>
    <row r="3388" spans="2:13" s="645" customFormat="1" ht="21.75" customHeight="1">
      <c r="B3388" s="708">
        <v>44465</v>
      </c>
      <c r="C3388" s="709" t="s">
        <v>837</v>
      </c>
      <c r="D3388" s="710" t="s">
        <v>878</v>
      </c>
      <c r="E3388" s="711" t="s">
        <v>831</v>
      </c>
      <c r="F3388" s="712"/>
      <c r="G3388" s="710">
        <v>15</v>
      </c>
      <c r="H3388" s="709" t="s">
        <v>807</v>
      </c>
      <c r="I3388" s="713" t="s">
        <v>857</v>
      </c>
      <c r="J3388" s="714" t="s">
        <v>802</v>
      </c>
      <c r="K3388" s="709">
        <v>1</v>
      </c>
      <c r="L3388" s="715">
        <f t="shared" si="101"/>
        <v>14.1</v>
      </c>
      <c r="M3388" s="716">
        <f t="shared" si="102"/>
        <v>14.1</v>
      </c>
    </row>
    <row r="3389" spans="2:13" s="645" customFormat="1" ht="21.75" customHeight="1">
      <c r="B3389" s="708">
        <v>44465</v>
      </c>
      <c r="C3389" s="709" t="s">
        <v>837</v>
      </c>
      <c r="D3389" s="710" t="s">
        <v>870</v>
      </c>
      <c r="E3389" s="711" t="s">
        <v>831</v>
      </c>
      <c r="F3389" s="712"/>
      <c r="G3389" s="710">
        <v>20</v>
      </c>
      <c r="H3389" s="709" t="s">
        <v>807</v>
      </c>
      <c r="I3389" s="713" t="s">
        <v>861</v>
      </c>
      <c r="J3389" s="714" t="s">
        <v>802</v>
      </c>
      <c r="K3389" s="709">
        <v>9</v>
      </c>
      <c r="L3389" s="715">
        <f t="shared" si="101"/>
        <v>18.8</v>
      </c>
      <c r="M3389" s="716">
        <f t="shared" si="102"/>
        <v>169.20000000000002</v>
      </c>
    </row>
    <row r="3390" spans="2:13" s="645" customFormat="1" ht="21.75" customHeight="1">
      <c r="B3390" s="708">
        <v>44465</v>
      </c>
      <c r="C3390" s="709" t="s">
        <v>837</v>
      </c>
      <c r="D3390" s="710" t="s">
        <v>870</v>
      </c>
      <c r="E3390" s="711" t="s">
        <v>831</v>
      </c>
      <c r="F3390" s="712"/>
      <c r="G3390" s="710">
        <v>20</v>
      </c>
      <c r="H3390" s="709" t="s">
        <v>807</v>
      </c>
      <c r="I3390" s="713" t="s">
        <v>857</v>
      </c>
      <c r="J3390" s="714" t="s">
        <v>802</v>
      </c>
      <c r="K3390" s="709">
        <v>1</v>
      </c>
      <c r="L3390" s="715">
        <f t="shared" si="101"/>
        <v>18.8</v>
      </c>
      <c r="M3390" s="716">
        <f t="shared" si="102"/>
        <v>18.8</v>
      </c>
    </row>
    <row r="3391" spans="2:13" s="645" customFormat="1" ht="21.75" customHeight="1">
      <c r="B3391" s="708">
        <v>44465</v>
      </c>
      <c r="C3391" s="709" t="s">
        <v>837</v>
      </c>
      <c r="D3391" s="710" t="s">
        <v>873</v>
      </c>
      <c r="E3391" s="711" t="s">
        <v>831</v>
      </c>
      <c r="F3391" s="712"/>
      <c r="G3391" s="710">
        <v>17</v>
      </c>
      <c r="H3391" s="709" t="s">
        <v>807</v>
      </c>
      <c r="I3391" s="713" t="s">
        <v>861</v>
      </c>
      <c r="J3391" s="714" t="s">
        <v>802</v>
      </c>
      <c r="K3391" s="709">
        <v>9</v>
      </c>
      <c r="L3391" s="715">
        <f t="shared" si="101"/>
        <v>15.98</v>
      </c>
      <c r="M3391" s="716">
        <f t="shared" si="102"/>
        <v>143.82</v>
      </c>
    </row>
    <row r="3392" spans="2:13" s="645" customFormat="1" ht="21.75" customHeight="1">
      <c r="B3392" s="708">
        <v>44465</v>
      </c>
      <c r="C3392" s="709" t="s">
        <v>837</v>
      </c>
      <c r="D3392" s="710" t="s">
        <v>873</v>
      </c>
      <c r="E3392" s="711" t="s">
        <v>831</v>
      </c>
      <c r="F3392" s="712"/>
      <c r="G3392" s="710">
        <v>17</v>
      </c>
      <c r="H3392" s="709" t="s">
        <v>807</v>
      </c>
      <c r="I3392" s="713" t="s">
        <v>857</v>
      </c>
      <c r="J3392" s="714" t="s">
        <v>802</v>
      </c>
      <c r="K3392" s="709">
        <v>1</v>
      </c>
      <c r="L3392" s="715">
        <f t="shared" si="101"/>
        <v>15.98</v>
      </c>
      <c r="M3392" s="716">
        <f t="shared" si="102"/>
        <v>15.98</v>
      </c>
    </row>
    <row r="3393" spans="2:13" s="645" customFormat="1" ht="21.75" customHeight="1">
      <c r="B3393" s="661">
        <v>44466</v>
      </c>
      <c r="C3393" s="662" t="s">
        <v>819</v>
      </c>
      <c r="D3393" s="663" t="s">
        <v>849</v>
      </c>
      <c r="E3393" s="664" t="s">
        <v>831</v>
      </c>
      <c r="F3393" s="665"/>
      <c r="G3393" s="663">
        <v>20</v>
      </c>
      <c r="H3393" s="662" t="s">
        <v>807</v>
      </c>
      <c r="I3393" s="666" t="s">
        <v>863</v>
      </c>
      <c r="J3393" s="667" t="s">
        <v>804</v>
      </c>
      <c r="K3393" s="662">
        <v>1</v>
      </c>
      <c r="L3393" s="685">
        <f t="shared" si="101"/>
        <v>18.8</v>
      </c>
      <c r="M3393" s="686">
        <f t="shared" si="102"/>
        <v>18.8</v>
      </c>
    </row>
    <row r="3394" spans="2:13" s="645" customFormat="1" ht="21.75" customHeight="1">
      <c r="B3394" s="661">
        <v>44466</v>
      </c>
      <c r="C3394" s="662" t="s">
        <v>819</v>
      </c>
      <c r="D3394" s="663" t="s">
        <v>835</v>
      </c>
      <c r="E3394" s="664" t="s">
        <v>831</v>
      </c>
      <c r="F3394" s="665"/>
      <c r="G3394" s="663">
        <v>20</v>
      </c>
      <c r="H3394" s="662" t="s">
        <v>807</v>
      </c>
      <c r="I3394" s="666" t="s">
        <v>863</v>
      </c>
      <c r="J3394" s="667" t="s">
        <v>804</v>
      </c>
      <c r="K3394" s="662">
        <v>1</v>
      </c>
      <c r="L3394" s="685">
        <f t="shared" si="101"/>
        <v>18.8</v>
      </c>
      <c r="M3394" s="686">
        <f t="shared" si="102"/>
        <v>18.8</v>
      </c>
    </row>
    <row r="3395" spans="2:13" s="645" customFormat="1" ht="21.75" customHeight="1">
      <c r="B3395" s="661">
        <v>44466</v>
      </c>
      <c r="C3395" s="662" t="s">
        <v>819</v>
      </c>
      <c r="D3395" s="663" t="s">
        <v>835</v>
      </c>
      <c r="E3395" s="664" t="s">
        <v>831</v>
      </c>
      <c r="F3395" s="665"/>
      <c r="G3395" s="663">
        <v>20</v>
      </c>
      <c r="H3395" s="662" t="s">
        <v>807</v>
      </c>
      <c r="I3395" s="666" t="s">
        <v>832</v>
      </c>
      <c r="J3395" s="667" t="s">
        <v>805</v>
      </c>
      <c r="K3395" s="662">
        <v>1</v>
      </c>
      <c r="L3395" s="685">
        <f t="shared" si="101"/>
        <v>18.8</v>
      </c>
      <c r="M3395" s="686">
        <f t="shared" si="102"/>
        <v>18.8</v>
      </c>
    </row>
    <row r="3396" spans="2:13" s="645" customFormat="1" ht="21.75" customHeight="1">
      <c r="B3396" s="661">
        <v>44466</v>
      </c>
      <c r="C3396" s="662" t="s">
        <v>819</v>
      </c>
      <c r="D3396" s="663" t="s">
        <v>841</v>
      </c>
      <c r="E3396" s="664" t="s">
        <v>831</v>
      </c>
      <c r="F3396" s="665"/>
      <c r="G3396" s="663">
        <v>20</v>
      </c>
      <c r="H3396" s="662" t="s">
        <v>807</v>
      </c>
      <c r="I3396" s="666" t="s">
        <v>832</v>
      </c>
      <c r="J3396" s="667" t="s">
        <v>804</v>
      </c>
      <c r="K3396" s="662">
        <v>1</v>
      </c>
      <c r="L3396" s="685">
        <f t="shared" si="101"/>
        <v>18.8</v>
      </c>
      <c r="M3396" s="686">
        <f t="shared" si="102"/>
        <v>18.8</v>
      </c>
    </row>
    <row r="3397" spans="2:13" s="645" customFormat="1" ht="21.75" customHeight="1">
      <c r="B3397" s="661">
        <v>44466</v>
      </c>
      <c r="C3397" s="662" t="s">
        <v>819</v>
      </c>
      <c r="D3397" s="663" t="s">
        <v>834</v>
      </c>
      <c r="E3397" s="664" t="s">
        <v>831</v>
      </c>
      <c r="F3397" s="665"/>
      <c r="G3397" s="663">
        <v>20</v>
      </c>
      <c r="H3397" s="662" t="s">
        <v>807</v>
      </c>
      <c r="I3397" s="666" t="s">
        <v>832</v>
      </c>
      <c r="J3397" s="667" t="s">
        <v>804</v>
      </c>
      <c r="K3397" s="662">
        <v>1</v>
      </c>
      <c r="L3397" s="685">
        <f t="shared" si="101"/>
        <v>18.8</v>
      </c>
      <c r="M3397" s="686">
        <f t="shared" si="102"/>
        <v>18.8</v>
      </c>
    </row>
    <row r="3398" spans="2:13" s="645" customFormat="1" ht="21.75" customHeight="1">
      <c r="B3398" s="661">
        <v>44466</v>
      </c>
      <c r="C3398" s="662" t="s">
        <v>819</v>
      </c>
      <c r="D3398" s="663" t="s">
        <v>848</v>
      </c>
      <c r="E3398" s="664" t="s">
        <v>831</v>
      </c>
      <c r="F3398" s="665"/>
      <c r="G3398" s="663">
        <v>20</v>
      </c>
      <c r="H3398" s="662" t="s">
        <v>807</v>
      </c>
      <c r="I3398" s="666" t="s">
        <v>832</v>
      </c>
      <c r="J3398" s="667" t="s">
        <v>804</v>
      </c>
      <c r="K3398" s="662">
        <v>2</v>
      </c>
      <c r="L3398" s="685">
        <f t="shared" si="101"/>
        <v>18.8</v>
      </c>
      <c r="M3398" s="686">
        <f t="shared" si="102"/>
        <v>37.6</v>
      </c>
    </row>
    <row r="3399" spans="2:13" s="645" customFormat="1" ht="21.75" customHeight="1">
      <c r="B3399" s="661">
        <v>44466</v>
      </c>
      <c r="C3399" s="662" t="s">
        <v>819</v>
      </c>
      <c r="D3399" s="663" t="s">
        <v>856</v>
      </c>
      <c r="E3399" s="664" t="s">
        <v>831</v>
      </c>
      <c r="F3399" s="665"/>
      <c r="G3399" s="663">
        <v>20</v>
      </c>
      <c r="H3399" s="662" t="s">
        <v>807</v>
      </c>
      <c r="I3399" s="666" t="s">
        <v>832</v>
      </c>
      <c r="J3399" s="667" t="s">
        <v>804</v>
      </c>
      <c r="K3399" s="662">
        <v>1</v>
      </c>
      <c r="L3399" s="685">
        <f t="shared" si="101"/>
        <v>18.8</v>
      </c>
      <c r="M3399" s="686">
        <f t="shared" si="102"/>
        <v>18.8</v>
      </c>
    </row>
    <row r="3400" spans="2:13" s="645" customFormat="1" ht="21.75" customHeight="1">
      <c r="B3400" s="661">
        <v>44466</v>
      </c>
      <c r="C3400" s="662" t="s">
        <v>819</v>
      </c>
      <c r="D3400" s="663" t="s">
        <v>856</v>
      </c>
      <c r="E3400" s="664" t="s">
        <v>831</v>
      </c>
      <c r="F3400" s="665"/>
      <c r="G3400" s="663">
        <v>20</v>
      </c>
      <c r="H3400" s="662" t="s">
        <v>807</v>
      </c>
      <c r="I3400" s="666" t="s">
        <v>857</v>
      </c>
      <c r="J3400" s="667" t="s">
        <v>804</v>
      </c>
      <c r="K3400" s="662">
        <v>2</v>
      </c>
      <c r="L3400" s="685">
        <f t="shared" si="101"/>
        <v>18.8</v>
      </c>
      <c r="M3400" s="686">
        <f t="shared" si="102"/>
        <v>37.6</v>
      </c>
    </row>
    <row r="3401" spans="2:13" s="645" customFormat="1" ht="21.75" customHeight="1">
      <c r="B3401" s="661">
        <v>44466</v>
      </c>
      <c r="C3401" s="662" t="s">
        <v>819</v>
      </c>
      <c r="D3401" s="663" t="s">
        <v>878</v>
      </c>
      <c r="E3401" s="664" t="s">
        <v>831</v>
      </c>
      <c r="F3401" s="665"/>
      <c r="G3401" s="663">
        <v>15</v>
      </c>
      <c r="H3401" s="662" t="s">
        <v>807</v>
      </c>
      <c r="I3401" s="666" t="s">
        <v>857</v>
      </c>
      <c r="J3401" s="667" t="s">
        <v>804</v>
      </c>
      <c r="K3401" s="662">
        <v>5</v>
      </c>
      <c r="L3401" s="685">
        <f t="shared" ref="L3401:L3464" si="103">VLOOKUP(G3401,$Q$4:$V$7,6,FALSE)</f>
        <v>14.1</v>
      </c>
      <c r="M3401" s="686">
        <f t="shared" si="102"/>
        <v>70.5</v>
      </c>
    </row>
    <row r="3402" spans="2:13" s="645" customFormat="1" ht="21.75" customHeight="1">
      <c r="B3402" s="661">
        <v>44466</v>
      </c>
      <c r="C3402" s="662" t="s">
        <v>819</v>
      </c>
      <c r="D3402" s="663" t="s">
        <v>878</v>
      </c>
      <c r="E3402" s="664" t="s">
        <v>831</v>
      </c>
      <c r="F3402" s="665"/>
      <c r="G3402" s="663">
        <v>15</v>
      </c>
      <c r="H3402" s="662" t="s">
        <v>807</v>
      </c>
      <c r="I3402" s="666" t="s">
        <v>832</v>
      </c>
      <c r="J3402" s="667" t="s">
        <v>804</v>
      </c>
      <c r="K3402" s="662">
        <v>1</v>
      </c>
      <c r="L3402" s="685">
        <f t="shared" si="103"/>
        <v>14.1</v>
      </c>
      <c r="M3402" s="686">
        <f t="shared" si="102"/>
        <v>14.1</v>
      </c>
    </row>
    <row r="3403" spans="2:13" s="645" customFormat="1" ht="21.75" customHeight="1">
      <c r="B3403" s="661">
        <v>44466</v>
      </c>
      <c r="C3403" s="662" t="s">
        <v>819</v>
      </c>
      <c r="D3403" s="663" t="s">
        <v>855</v>
      </c>
      <c r="E3403" s="664" t="s">
        <v>831</v>
      </c>
      <c r="F3403" s="665"/>
      <c r="G3403" s="663">
        <v>20</v>
      </c>
      <c r="H3403" s="662" t="s">
        <v>807</v>
      </c>
      <c r="I3403" s="666" t="s">
        <v>863</v>
      </c>
      <c r="J3403" s="667" t="s">
        <v>804</v>
      </c>
      <c r="K3403" s="662">
        <v>1</v>
      </c>
      <c r="L3403" s="685">
        <f t="shared" si="103"/>
        <v>18.8</v>
      </c>
      <c r="M3403" s="686">
        <f t="shared" si="102"/>
        <v>18.8</v>
      </c>
    </row>
    <row r="3404" spans="2:13" s="645" customFormat="1" ht="21.75" customHeight="1">
      <c r="B3404" s="661">
        <v>44466</v>
      </c>
      <c r="C3404" s="662" t="s">
        <v>819</v>
      </c>
      <c r="D3404" s="663" t="s">
        <v>870</v>
      </c>
      <c r="E3404" s="664" t="s">
        <v>831</v>
      </c>
      <c r="F3404" s="665"/>
      <c r="G3404" s="663">
        <v>20</v>
      </c>
      <c r="H3404" s="662" t="s">
        <v>807</v>
      </c>
      <c r="I3404" s="666" t="s">
        <v>857</v>
      </c>
      <c r="J3404" s="667" t="s">
        <v>805</v>
      </c>
      <c r="K3404" s="662">
        <v>2</v>
      </c>
      <c r="L3404" s="685">
        <f t="shared" si="103"/>
        <v>18.8</v>
      </c>
      <c r="M3404" s="686">
        <f t="shared" si="102"/>
        <v>37.6</v>
      </c>
    </row>
    <row r="3405" spans="2:13" s="645" customFormat="1" ht="21.75" customHeight="1">
      <c r="B3405" s="661">
        <v>44466</v>
      </c>
      <c r="C3405" s="662" t="s">
        <v>819</v>
      </c>
      <c r="D3405" s="663" t="s">
        <v>870</v>
      </c>
      <c r="E3405" s="664" t="s">
        <v>831</v>
      </c>
      <c r="F3405" s="665"/>
      <c r="G3405" s="663">
        <v>20</v>
      </c>
      <c r="H3405" s="662" t="s">
        <v>807</v>
      </c>
      <c r="I3405" s="666" t="s">
        <v>857</v>
      </c>
      <c r="J3405" s="667" t="s">
        <v>804</v>
      </c>
      <c r="K3405" s="662">
        <v>1</v>
      </c>
      <c r="L3405" s="685">
        <f t="shared" si="103"/>
        <v>18.8</v>
      </c>
      <c r="M3405" s="686">
        <f t="shared" si="102"/>
        <v>18.8</v>
      </c>
    </row>
    <row r="3406" spans="2:13" s="645" customFormat="1" ht="21.75" customHeight="1">
      <c r="B3406" s="661">
        <v>44466</v>
      </c>
      <c r="C3406" s="662" t="s">
        <v>819</v>
      </c>
      <c r="D3406" s="663" t="s">
        <v>873</v>
      </c>
      <c r="E3406" s="664" t="s">
        <v>831</v>
      </c>
      <c r="F3406" s="665"/>
      <c r="G3406" s="663">
        <v>17</v>
      </c>
      <c r="H3406" s="662" t="s">
        <v>807</v>
      </c>
      <c r="I3406" s="666" t="s">
        <v>863</v>
      </c>
      <c r="J3406" s="667" t="s">
        <v>804</v>
      </c>
      <c r="K3406" s="662">
        <v>1</v>
      </c>
      <c r="L3406" s="685">
        <f t="shared" si="103"/>
        <v>15.98</v>
      </c>
      <c r="M3406" s="686">
        <f t="shared" si="102"/>
        <v>15.98</v>
      </c>
    </row>
    <row r="3407" spans="2:13" s="645" customFormat="1" ht="21.75" customHeight="1">
      <c r="B3407" s="708">
        <v>44466</v>
      </c>
      <c r="C3407" s="709" t="s">
        <v>819</v>
      </c>
      <c r="D3407" s="710" t="s">
        <v>849</v>
      </c>
      <c r="E3407" s="711" t="s">
        <v>831</v>
      </c>
      <c r="F3407" s="712"/>
      <c r="G3407" s="710">
        <v>20</v>
      </c>
      <c r="H3407" s="709" t="s">
        <v>807</v>
      </c>
      <c r="I3407" s="713" t="s">
        <v>863</v>
      </c>
      <c r="J3407" s="714" t="s">
        <v>802</v>
      </c>
      <c r="K3407" s="709">
        <v>7</v>
      </c>
      <c r="L3407" s="715">
        <f t="shared" si="103"/>
        <v>18.8</v>
      </c>
      <c r="M3407" s="716">
        <f t="shared" si="102"/>
        <v>131.6</v>
      </c>
    </row>
    <row r="3408" spans="2:13" s="645" customFormat="1" ht="21.75" customHeight="1">
      <c r="B3408" s="708">
        <v>44466</v>
      </c>
      <c r="C3408" s="709" t="s">
        <v>819</v>
      </c>
      <c r="D3408" s="710" t="s">
        <v>849</v>
      </c>
      <c r="E3408" s="711" t="s">
        <v>831</v>
      </c>
      <c r="F3408" s="712"/>
      <c r="G3408" s="710">
        <v>20</v>
      </c>
      <c r="H3408" s="709" t="s">
        <v>807</v>
      </c>
      <c r="I3408" s="713" t="s">
        <v>857</v>
      </c>
      <c r="J3408" s="714" t="s">
        <v>802</v>
      </c>
      <c r="K3408" s="709">
        <v>1</v>
      </c>
      <c r="L3408" s="715">
        <f t="shared" si="103"/>
        <v>18.8</v>
      </c>
      <c r="M3408" s="716">
        <f t="shared" si="102"/>
        <v>18.8</v>
      </c>
    </row>
    <row r="3409" spans="2:13" s="645" customFormat="1" ht="21.75" customHeight="1">
      <c r="B3409" s="708">
        <v>44466</v>
      </c>
      <c r="C3409" s="709" t="s">
        <v>819</v>
      </c>
      <c r="D3409" s="710" t="s">
        <v>840</v>
      </c>
      <c r="E3409" s="711" t="s">
        <v>831</v>
      </c>
      <c r="F3409" s="712"/>
      <c r="G3409" s="710">
        <v>20</v>
      </c>
      <c r="H3409" s="709" t="s">
        <v>807</v>
      </c>
      <c r="I3409" s="713" t="s">
        <v>863</v>
      </c>
      <c r="J3409" s="714" t="s">
        <v>802</v>
      </c>
      <c r="K3409" s="709">
        <v>10</v>
      </c>
      <c r="L3409" s="715">
        <f t="shared" si="103"/>
        <v>18.8</v>
      </c>
      <c r="M3409" s="716">
        <f t="shared" si="102"/>
        <v>188</v>
      </c>
    </row>
    <row r="3410" spans="2:13" s="645" customFormat="1" ht="21.75" customHeight="1">
      <c r="B3410" s="708">
        <v>44466</v>
      </c>
      <c r="C3410" s="709" t="s">
        <v>819</v>
      </c>
      <c r="D3410" s="710" t="s">
        <v>835</v>
      </c>
      <c r="E3410" s="711" t="s">
        <v>831</v>
      </c>
      <c r="F3410" s="712"/>
      <c r="G3410" s="710">
        <v>20</v>
      </c>
      <c r="H3410" s="709" t="s">
        <v>807</v>
      </c>
      <c r="I3410" s="713" t="s">
        <v>863</v>
      </c>
      <c r="J3410" s="714" t="s">
        <v>802</v>
      </c>
      <c r="K3410" s="709">
        <v>1</v>
      </c>
      <c r="L3410" s="715">
        <f t="shared" si="103"/>
        <v>18.8</v>
      </c>
      <c r="M3410" s="716">
        <f t="shared" si="102"/>
        <v>18.8</v>
      </c>
    </row>
    <row r="3411" spans="2:13" s="645" customFormat="1" ht="21.75" customHeight="1">
      <c r="B3411" s="708">
        <v>44466</v>
      </c>
      <c r="C3411" s="709" t="s">
        <v>819</v>
      </c>
      <c r="D3411" s="710" t="s">
        <v>835</v>
      </c>
      <c r="E3411" s="711" t="s">
        <v>831</v>
      </c>
      <c r="F3411" s="712"/>
      <c r="G3411" s="710">
        <v>20</v>
      </c>
      <c r="H3411" s="709" t="s">
        <v>807</v>
      </c>
      <c r="I3411" s="713" t="s">
        <v>857</v>
      </c>
      <c r="J3411" s="714" t="s">
        <v>802</v>
      </c>
      <c r="K3411" s="709">
        <v>4</v>
      </c>
      <c r="L3411" s="715">
        <f t="shared" si="103"/>
        <v>18.8</v>
      </c>
      <c r="M3411" s="716">
        <f t="shared" si="102"/>
        <v>75.2</v>
      </c>
    </row>
    <row r="3412" spans="2:13" s="645" customFormat="1" ht="21.75" customHeight="1">
      <c r="B3412" s="708">
        <v>44466</v>
      </c>
      <c r="C3412" s="709" t="s">
        <v>819</v>
      </c>
      <c r="D3412" s="710" t="s">
        <v>841</v>
      </c>
      <c r="E3412" s="711" t="s">
        <v>831</v>
      </c>
      <c r="F3412" s="712"/>
      <c r="G3412" s="710">
        <v>20</v>
      </c>
      <c r="H3412" s="709" t="s">
        <v>807</v>
      </c>
      <c r="I3412" s="713" t="s">
        <v>857</v>
      </c>
      <c r="J3412" s="714" t="s">
        <v>802</v>
      </c>
      <c r="K3412" s="709">
        <v>4</v>
      </c>
      <c r="L3412" s="715">
        <f t="shared" si="103"/>
        <v>18.8</v>
      </c>
      <c r="M3412" s="716">
        <f t="shared" si="102"/>
        <v>75.2</v>
      </c>
    </row>
    <row r="3413" spans="2:13" s="645" customFormat="1" ht="21.75" customHeight="1">
      <c r="B3413" s="708">
        <v>44466</v>
      </c>
      <c r="C3413" s="709" t="s">
        <v>819</v>
      </c>
      <c r="D3413" s="710" t="s">
        <v>841</v>
      </c>
      <c r="E3413" s="711" t="s">
        <v>831</v>
      </c>
      <c r="F3413" s="712"/>
      <c r="G3413" s="710">
        <v>20</v>
      </c>
      <c r="H3413" s="709" t="s">
        <v>807</v>
      </c>
      <c r="I3413" s="713" t="s">
        <v>832</v>
      </c>
      <c r="J3413" s="714" t="s">
        <v>802</v>
      </c>
      <c r="K3413" s="709">
        <v>2</v>
      </c>
      <c r="L3413" s="715">
        <f t="shared" si="103"/>
        <v>18.8</v>
      </c>
      <c r="M3413" s="716">
        <f t="shared" si="102"/>
        <v>37.6</v>
      </c>
    </row>
    <row r="3414" spans="2:13" s="645" customFormat="1" ht="21.75" customHeight="1">
      <c r="B3414" s="708">
        <v>44466</v>
      </c>
      <c r="C3414" s="709" t="s">
        <v>819</v>
      </c>
      <c r="D3414" s="710" t="s">
        <v>834</v>
      </c>
      <c r="E3414" s="711" t="s">
        <v>831</v>
      </c>
      <c r="F3414" s="712"/>
      <c r="G3414" s="710">
        <v>20</v>
      </c>
      <c r="H3414" s="709" t="s">
        <v>807</v>
      </c>
      <c r="I3414" s="713" t="s">
        <v>857</v>
      </c>
      <c r="J3414" s="714" t="s">
        <v>802</v>
      </c>
      <c r="K3414" s="709">
        <v>8</v>
      </c>
      <c r="L3414" s="715">
        <f t="shared" si="103"/>
        <v>18.8</v>
      </c>
      <c r="M3414" s="716">
        <f t="shared" si="102"/>
        <v>150.4</v>
      </c>
    </row>
    <row r="3415" spans="2:13" s="645" customFormat="1" ht="21.75" customHeight="1">
      <c r="B3415" s="708">
        <v>44466</v>
      </c>
      <c r="C3415" s="709" t="s">
        <v>819</v>
      </c>
      <c r="D3415" s="710" t="s">
        <v>848</v>
      </c>
      <c r="E3415" s="711" t="s">
        <v>831</v>
      </c>
      <c r="F3415" s="712"/>
      <c r="G3415" s="710">
        <v>20</v>
      </c>
      <c r="H3415" s="709" t="s">
        <v>807</v>
      </c>
      <c r="I3415" s="713" t="s">
        <v>863</v>
      </c>
      <c r="J3415" s="714" t="s">
        <v>802</v>
      </c>
      <c r="K3415" s="709">
        <v>1</v>
      </c>
      <c r="L3415" s="715">
        <f t="shared" si="103"/>
        <v>18.8</v>
      </c>
      <c r="M3415" s="716">
        <f t="shared" si="102"/>
        <v>18.8</v>
      </c>
    </row>
    <row r="3416" spans="2:13" s="645" customFormat="1" ht="21.75" customHeight="1">
      <c r="B3416" s="708">
        <v>44466</v>
      </c>
      <c r="C3416" s="709" t="s">
        <v>819</v>
      </c>
      <c r="D3416" s="710" t="s">
        <v>848</v>
      </c>
      <c r="E3416" s="711" t="s">
        <v>831</v>
      </c>
      <c r="F3416" s="712"/>
      <c r="G3416" s="710">
        <v>20</v>
      </c>
      <c r="H3416" s="709" t="s">
        <v>807</v>
      </c>
      <c r="I3416" s="713" t="s">
        <v>857</v>
      </c>
      <c r="J3416" s="714" t="s">
        <v>802</v>
      </c>
      <c r="K3416" s="709">
        <v>6</v>
      </c>
      <c r="L3416" s="715">
        <f t="shared" si="103"/>
        <v>18.8</v>
      </c>
      <c r="M3416" s="716">
        <f t="shared" si="102"/>
        <v>112.80000000000001</v>
      </c>
    </row>
    <row r="3417" spans="2:13" s="645" customFormat="1" ht="21.75" customHeight="1">
      <c r="B3417" s="708">
        <v>44466</v>
      </c>
      <c r="C3417" s="709" t="s">
        <v>819</v>
      </c>
      <c r="D3417" s="710" t="s">
        <v>848</v>
      </c>
      <c r="E3417" s="711" t="s">
        <v>831</v>
      </c>
      <c r="F3417" s="712"/>
      <c r="G3417" s="710">
        <v>20</v>
      </c>
      <c r="H3417" s="709" t="s">
        <v>807</v>
      </c>
      <c r="I3417" s="713" t="s">
        <v>832</v>
      </c>
      <c r="J3417" s="714" t="s">
        <v>802</v>
      </c>
      <c r="K3417" s="709">
        <v>1</v>
      </c>
      <c r="L3417" s="715">
        <f t="shared" si="103"/>
        <v>18.8</v>
      </c>
      <c r="M3417" s="716">
        <f t="shared" si="102"/>
        <v>18.8</v>
      </c>
    </row>
    <row r="3418" spans="2:13" s="645" customFormat="1" ht="21.75" customHeight="1">
      <c r="B3418" s="708">
        <v>44466</v>
      </c>
      <c r="C3418" s="709" t="s">
        <v>819</v>
      </c>
      <c r="D3418" s="710" t="s">
        <v>833</v>
      </c>
      <c r="E3418" s="711" t="s">
        <v>831</v>
      </c>
      <c r="F3418" s="712"/>
      <c r="G3418" s="710">
        <v>15</v>
      </c>
      <c r="H3418" s="709" t="s">
        <v>807</v>
      </c>
      <c r="I3418" s="713" t="s">
        <v>863</v>
      </c>
      <c r="J3418" s="714" t="s">
        <v>802</v>
      </c>
      <c r="K3418" s="709">
        <v>5</v>
      </c>
      <c r="L3418" s="715">
        <f t="shared" si="103"/>
        <v>14.1</v>
      </c>
      <c r="M3418" s="716">
        <f t="shared" si="102"/>
        <v>70.5</v>
      </c>
    </row>
    <row r="3419" spans="2:13" s="645" customFormat="1" ht="21.75" customHeight="1">
      <c r="B3419" s="708">
        <v>44466</v>
      </c>
      <c r="C3419" s="709" t="s">
        <v>819</v>
      </c>
      <c r="D3419" s="710" t="s">
        <v>839</v>
      </c>
      <c r="E3419" s="711" t="s">
        <v>831</v>
      </c>
      <c r="F3419" s="712"/>
      <c r="G3419" s="710">
        <v>15</v>
      </c>
      <c r="H3419" s="709" t="s">
        <v>807</v>
      </c>
      <c r="I3419" s="713" t="s">
        <v>863</v>
      </c>
      <c r="J3419" s="714" t="s">
        <v>802</v>
      </c>
      <c r="K3419" s="709">
        <v>3</v>
      </c>
      <c r="L3419" s="715">
        <f t="shared" si="103"/>
        <v>14.1</v>
      </c>
      <c r="M3419" s="716">
        <f t="shared" si="102"/>
        <v>42.3</v>
      </c>
    </row>
    <row r="3420" spans="2:13" s="645" customFormat="1" ht="21.75" customHeight="1">
      <c r="B3420" s="708">
        <v>44466</v>
      </c>
      <c r="C3420" s="709" t="s">
        <v>819</v>
      </c>
      <c r="D3420" s="710" t="s">
        <v>845</v>
      </c>
      <c r="E3420" s="711" t="s">
        <v>831</v>
      </c>
      <c r="F3420" s="712"/>
      <c r="G3420" s="710">
        <v>17</v>
      </c>
      <c r="H3420" s="709" t="s">
        <v>807</v>
      </c>
      <c r="I3420" s="713" t="s">
        <v>863</v>
      </c>
      <c r="J3420" s="714" t="s">
        <v>802</v>
      </c>
      <c r="K3420" s="709">
        <v>1</v>
      </c>
      <c r="L3420" s="715">
        <f t="shared" si="103"/>
        <v>15.98</v>
      </c>
      <c r="M3420" s="716">
        <f t="shared" si="102"/>
        <v>15.98</v>
      </c>
    </row>
    <row r="3421" spans="2:13" s="645" customFormat="1" ht="21.75" customHeight="1">
      <c r="B3421" s="708">
        <v>44466</v>
      </c>
      <c r="C3421" s="709" t="s">
        <v>819</v>
      </c>
      <c r="D3421" s="710" t="s">
        <v>845</v>
      </c>
      <c r="E3421" s="711" t="s">
        <v>831</v>
      </c>
      <c r="F3421" s="712"/>
      <c r="G3421" s="710">
        <v>17</v>
      </c>
      <c r="H3421" s="709" t="s">
        <v>807</v>
      </c>
      <c r="I3421" s="713" t="s">
        <v>857</v>
      </c>
      <c r="J3421" s="714" t="s">
        <v>802</v>
      </c>
      <c r="K3421" s="709">
        <v>3</v>
      </c>
      <c r="L3421" s="715">
        <f t="shared" si="103"/>
        <v>15.98</v>
      </c>
      <c r="M3421" s="716">
        <f t="shared" si="102"/>
        <v>47.94</v>
      </c>
    </row>
    <row r="3422" spans="2:13" s="645" customFormat="1" ht="21.75" customHeight="1">
      <c r="B3422" s="708">
        <v>44466</v>
      </c>
      <c r="C3422" s="709" t="s">
        <v>819</v>
      </c>
      <c r="D3422" s="710" t="s">
        <v>845</v>
      </c>
      <c r="E3422" s="711" t="s">
        <v>831</v>
      </c>
      <c r="F3422" s="712"/>
      <c r="G3422" s="710">
        <v>17</v>
      </c>
      <c r="H3422" s="709" t="s">
        <v>807</v>
      </c>
      <c r="I3422" s="713" t="s">
        <v>832</v>
      </c>
      <c r="J3422" s="714" t="s">
        <v>802</v>
      </c>
      <c r="K3422" s="709">
        <v>3</v>
      </c>
      <c r="L3422" s="715">
        <f t="shared" si="103"/>
        <v>15.98</v>
      </c>
      <c r="M3422" s="716">
        <f t="shared" si="102"/>
        <v>47.94</v>
      </c>
    </row>
    <row r="3423" spans="2:13" s="645" customFormat="1" ht="21.75" customHeight="1">
      <c r="B3423" s="708">
        <v>44466</v>
      </c>
      <c r="C3423" s="709" t="s">
        <v>819</v>
      </c>
      <c r="D3423" s="710" t="s">
        <v>847</v>
      </c>
      <c r="E3423" s="711" t="s">
        <v>831</v>
      </c>
      <c r="F3423" s="712"/>
      <c r="G3423" s="710">
        <v>17</v>
      </c>
      <c r="H3423" s="709" t="s">
        <v>807</v>
      </c>
      <c r="I3423" s="713" t="s">
        <v>863</v>
      </c>
      <c r="J3423" s="714" t="s">
        <v>802</v>
      </c>
      <c r="K3423" s="709">
        <v>10</v>
      </c>
      <c r="L3423" s="715">
        <f t="shared" si="103"/>
        <v>15.98</v>
      </c>
      <c r="M3423" s="716">
        <f t="shared" si="102"/>
        <v>159.80000000000001</v>
      </c>
    </row>
    <row r="3424" spans="2:13" s="645" customFormat="1" ht="21.75" customHeight="1">
      <c r="B3424" s="708">
        <v>44466</v>
      </c>
      <c r="C3424" s="709" t="s">
        <v>819</v>
      </c>
      <c r="D3424" s="710" t="s">
        <v>856</v>
      </c>
      <c r="E3424" s="711" t="s">
        <v>831</v>
      </c>
      <c r="F3424" s="712"/>
      <c r="G3424" s="710">
        <v>20</v>
      </c>
      <c r="H3424" s="709" t="s">
        <v>807</v>
      </c>
      <c r="I3424" s="713" t="s">
        <v>863</v>
      </c>
      <c r="J3424" s="714" t="s">
        <v>802</v>
      </c>
      <c r="K3424" s="709">
        <v>1</v>
      </c>
      <c r="L3424" s="715">
        <f t="shared" si="103"/>
        <v>18.8</v>
      </c>
      <c r="M3424" s="716">
        <f t="shared" si="102"/>
        <v>18.8</v>
      </c>
    </row>
    <row r="3425" spans="2:13" s="645" customFormat="1" ht="21.75" customHeight="1">
      <c r="B3425" s="708">
        <v>44466</v>
      </c>
      <c r="C3425" s="709" t="s">
        <v>819</v>
      </c>
      <c r="D3425" s="710" t="s">
        <v>856</v>
      </c>
      <c r="E3425" s="711" t="s">
        <v>831</v>
      </c>
      <c r="F3425" s="712"/>
      <c r="G3425" s="710">
        <v>20</v>
      </c>
      <c r="H3425" s="709" t="s">
        <v>807</v>
      </c>
      <c r="I3425" s="713" t="s">
        <v>832</v>
      </c>
      <c r="J3425" s="714" t="s">
        <v>802</v>
      </c>
      <c r="K3425" s="709">
        <v>2</v>
      </c>
      <c r="L3425" s="715">
        <f t="shared" si="103"/>
        <v>18.8</v>
      </c>
      <c r="M3425" s="716">
        <f t="shared" si="102"/>
        <v>37.6</v>
      </c>
    </row>
    <row r="3426" spans="2:13" s="645" customFormat="1" ht="21.75" customHeight="1">
      <c r="B3426" s="708">
        <v>44466</v>
      </c>
      <c r="C3426" s="709" t="s">
        <v>819</v>
      </c>
      <c r="D3426" s="710" t="s">
        <v>878</v>
      </c>
      <c r="E3426" s="711" t="s">
        <v>831</v>
      </c>
      <c r="F3426" s="712"/>
      <c r="G3426" s="710">
        <v>15</v>
      </c>
      <c r="H3426" s="709" t="s">
        <v>807</v>
      </c>
      <c r="I3426" s="713" t="s">
        <v>857</v>
      </c>
      <c r="J3426" s="714" t="s">
        <v>802</v>
      </c>
      <c r="K3426" s="709">
        <v>1</v>
      </c>
      <c r="L3426" s="715">
        <f t="shared" si="103"/>
        <v>14.1</v>
      </c>
      <c r="M3426" s="716">
        <f t="shared" si="102"/>
        <v>14.1</v>
      </c>
    </row>
    <row r="3427" spans="2:13" s="645" customFormat="1" ht="21.75" customHeight="1">
      <c r="B3427" s="708">
        <v>44466</v>
      </c>
      <c r="C3427" s="709" t="s">
        <v>819</v>
      </c>
      <c r="D3427" s="710" t="s">
        <v>855</v>
      </c>
      <c r="E3427" s="711" t="s">
        <v>831</v>
      </c>
      <c r="F3427" s="712"/>
      <c r="G3427" s="710">
        <v>20</v>
      </c>
      <c r="H3427" s="709" t="s">
        <v>807</v>
      </c>
      <c r="I3427" s="713" t="s">
        <v>863</v>
      </c>
      <c r="J3427" s="714" t="s">
        <v>802</v>
      </c>
      <c r="K3427" s="709">
        <v>2</v>
      </c>
      <c r="L3427" s="715">
        <f t="shared" si="103"/>
        <v>18.8</v>
      </c>
      <c r="M3427" s="716">
        <f t="shared" si="102"/>
        <v>37.6</v>
      </c>
    </row>
    <row r="3428" spans="2:13" s="645" customFormat="1" ht="21.75" customHeight="1">
      <c r="B3428" s="708">
        <v>44466</v>
      </c>
      <c r="C3428" s="709" t="s">
        <v>819</v>
      </c>
      <c r="D3428" s="710" t="s">
        <v>867</v>
      </c>
      <c r="E3428" s="711" t="s">
        <v>831</v>
      </c>
      <c r="F3428" s="712"/>
      <c r="G3428" s="710">
        <v>20</v>
      </c>
      <c r="H3428" s="709" t="s">
        <v>807</v>
      </c>
      <c r="I3428" s="713" t="s">
        <v>863</v>
      </c>
      <c r="J3428" s="714" t="s">
        <v>802</v>
      </c>
      <c r="K3428" s="709">
        <v>8</v>
      </c>
      <c r="L3428" s="715">
        <f t="shared" si="103"/>
        <v>18.8</v>
      </c>
      <c r="M3428" s="716">
        <f t="shared" si="102"/>
        <v>150.4</v>
      </c>
    </row>
    <row r="3429" spans="2:13" s="645" customFormat="1" ht="21.75" customHeight="1">
      <c r="B3429" s="708">
        <v>44466</v>
      </c>
      <c r="C3429" s="709" t="s">
        <v>819</v>
      </c>
      <c r="D3429" s="710" t="s">
        <v>868</v>
      </c>
      <c r="E3429" s="711" t="s">
        <v>831</v>
      </c>
      <c r="F3429" s="712"/>
      <c r="G3429" s="710">
        <v>20</v>
      </c>
      <c r="H3429" s="709" t="s">
        <v>807</v>
      </c>
      <c r="I3429" s="713" t="s">
        <v>863</v>
      </c>
      <c r="J3429" s="714" t="s">
        <v>802</v>
      </c>
      <c r="K3429" s="709">
        <v>3</v>
      </c>
      <c r="L3429" s="715">
        <f t="shared" si="103"/>
        <v>18.8</v>
      </c>
      <c r="M3429" s="716">
        <f t="shared" si="102"/>
        <v>56.400000000000006</v>
      </c>
    </row>
    <row r="3430" spans="2:13" s="645" customFormat="1" ht="21.75" customHeight="1">
      <c r="B3430" s="708">
        <v>44466</v>
      </c>
      <c r="C3430" s="709" t="s">
        <v>819</v>
      </c>
      <c r="D3430" s="710" t="s">
        <v>868</v>
      </c>
      <c r="E3430" s="711" t="s">
        <v>831</v>
      </c>
      <c r="F3430" s="712"/>
      <c r="G3430" s="710">
        <v>20</v>
      </c>
      <c r="H3430" s="709" t="s">
        <v>807</v>
      </c>
      <c r="I3430" s="713" t="s">
        <v>857</v>
      </c>
      <c r="J3430" s="714" t="s">
        <v>802</v>
      </c>
      <c r="K3430" s="709">
        <v>1</v>
      </c>
      <c r="L3430" s="715">
        <f t="shared" si="103"/>
        <v>18.8</v>
      </c>
      <c r="M3430" s="716">
        <f t="shared" si="102"/>
        <v>18.8</v>
      </c>
    </row>
    <row r="3431" spans="2:13" s="645" customFormat="1" ht="21.75" customHeight="1">
      <c r="B3431" s="708">
        <v>44466</v>
      </c>
      <c r="C3431" s="709" t="s">
        <v>819</v>
      </c>
      <c r="D3431" s="710" t="s">
        <v>870</v>
      </c>
      <c r="E3431" s="711" t="s">
        <v>831</v>
      </c>
      <c r="F3431" s="712"/>
      <c r="G3431" s="710">
        <v>20</v>
      </c>
      <c r="H3431" s="709" t="s">
        <v>807</v>
      </c>
      <c r="I3431" s="713" t="s">
        <v>863</v>
      </c>
      <c r="J3431" s="714" t="s">
        <v>802</v>
      </c>
      <c r="K3431" s="709">
        <v>3</v>
      </c>
      <c r="L3431" s="715">
        <f t="shared" si="103"/>
        <v>18.8</v>
      </c>
      <c r="M3431" s="716">
        <f t="shared" ref="M3431:M3494" si="104">L3431*K3431</f>
        <v>56.400000000000006</v>
      </c>
    </row>
    <row r="3432" spans="2:13" s="645" customFormat="1" ht="21.75" customHeight="1">
      <c r="B3432" s="708">
        <v>44466</v>
      </c>
      <c r="C3432" s="709" t="s">
        <v>819</v>
      </c>
      <c r="D3432" s="710" t="s">
        <v>870</v>
      </c>
      <c r="E3432" s="711" t="s">
        <v>831</v>
      </c>
      <c r="F3432" s="712"/>
      <c r="G3432" s="710">
        <v>20</v>
      </c>
      <c r="H3432" s="709" t="s">
        <v>807</v>
      </c>
      <c r="I3432" s="713" t="s">
        <v>832</v>
      </c>
      <c r="J3432" s="714" t="s">
        <v>802</v>
      </c>
      <c r="K3432" s="709">
        <v>3</v>
      </c>
      <c r="L3432" s="715">
        <f t="shared" si="103"/>
        <v>18.8</v>
      </c>
      <c r="M3432" s="716">
        <f t="shared" si="104"/>
        <v>56.400000000000006</v>
      </c>
    </row>
    <row r="3433" spans="2:13" s="645" customFormat="1" ht="21.75" customHeight="1">
      <c r="B3433" s="708">
        <v>44466</v>
      </c>
      <c r="C3433" s="709" t="s">
        <v>819</v>
      </c>
      <c r="D3433" s="710" t="s">
        <v>873</v>
      </c>
      <c r="E3433" s="711" t="s">
        <v>831</v>
      </c>
      <c r="F3433" s="712"/>
      <c r="G3433" s="710">
        <v>17</v>
      </c>
      <c r="H3433" s="709" t="s">
        <v>807</v>
      </c>
      <c r="I3433" s="713" t="s">
        <v>863</v>
      </c>
      <c r="J3433" s="714" t="s">
        <v>802</v>
      </c>
      <c r="K3433" s="709">
        <v>1</v>
      </c>
      <c r="L3433" s="715">
        <f t="shared" si="103"/>
        <v>15.98</v>
      </c>
      <c r="M3433" s="716">
        <f t="shared" si="104"/>
        <v>15.98</v>
      </c>
    </row>
    <row r="3434" spans="2:13" s="645" customFormat="1" ht="21.75" customHeight="1">
      <c r="B3434" s="708">
        <v>44466</v>
      </c>
      <c r="C3434" s="709" t="s">
        <v>819</v>
      </c>
      <c r="D3434" s="710" t="s">
        <v>873</v>
      </c>
      <c r="E3434" s="711" t="s">
        <v>831</v>
      </c>
      <c r="F3434" s="712"/>
      <c r="G3434" s="710">
        <v>17</v>
      </c>
      <c r="H3434" s="709" t="s">
        <v>807</v>
      </c>
      <c r="I3434" s="713" t="s">
        <v>857</v>
      </c>
      <c r="J3434" s="714" t="s">
        <v>802</v>
      </c>
      <c r="K3434" s="709">
        <v>7</v>
      </c>
      <c r="L3434" s="715">
        <f t="shared" si="103"/>
        <v>15.98</v>
      </c>
      <c r="M3434" s="716">
        <f t="shared" si="104"/>
        <v>111.86</v>
      </c>
    </row>
    <row r="3435" spans="2:13" s="645" customFormat="1" ht="21.75" customHeight="1">
      <c r="B3435" s="708">
        <v>44466</v>
      </c>
      <c r="C3435" s="709" t="s">
        <v>819</v>
      </c>
      <c r="D3435" s="710" t="s">
        <v>873</v>
      </c>
      <c r="E3435" s="711" t="s">
        <v>831</v>
      </c>
      <c r="F3435" s="712"/>
      <c r="G3435" s="710">
        <v>17</v>
      </c>
      <c r="H3435" s="709" t="s">
        <v>807</v>
      </c>
      <c r="I3435" s="713" t="s">
        <v>832</v>
      </c>
      <c r="J3435" s="714" t="s">
        <v>802</v>
      </c>
      <c r="K3435" s="709">
        <v>2</v>
      </c>
      <c r="L3435" s="715">
        <f t="shared" si="103"/>
        <v>15.98</v>
      </c>
      <c r="M3435" s="716">
        <f t="shared" si="104"/>
        <v>31.96</v>
      </c>
    </row>
    <row r="3436" spans="2:13" s="645" customFormat="1" ht="21.75" customHeight="1">
      <c r="B3436" s="708">
        <v>44466</v>
      </c>
      <c r="C3436" s="709" t="s">
        <v>837</v>
      </c>
      <c r="D3436" s="710" t="s">
        <v>834</v>
      </c>
      <c r="E3436" s="711" t="s">
        <v>831</v>
      </c>
      <c r="F3436" s="712"/>
      <c r="G3436" s="710">
        <v>20</v>
      </c>
      <c r="H3436" s="709" t="s">
        <v>807</v>
      </c>
      <c r="I3436" s="713" t="s">
        <v>857</v>
      </c>
      <c r="J3436" s="714" t="s">
        <v>802</v>
      </c>
      <c r="K3436" s="709">
        <v>9</v>
      </c>
      <c r="L3436" s="715">
        <f t="shared" si="103"/>
        <v>18.8</v>
      </c>
      <c r="M3436" s="716">
        <f t="shared" si="104"/>
        <v>169.20000000000002</v>
      </c>
    </row>
    <row r="3437" spans="2:13" s="645" customFormat="1" ht="21.75" customHeight="1">
      <c r="B3437" s="708">
        <v>44466</v>
      </c>
      <c r="C3437" s="709" t="s">
        <v>837</v>
      </c>
      <c r="D3437" s="710" t="s">
        <v>856</v>
      </c>
      <c r="E3437" s="711" t="s">
        <v>831</v>
      </c>
      <c r="F3437" s="712"/>
      <c r="G3437" s="710">
        <v>20</v>
      </c>
      <c r="H3437" s="709" t="s">
        <v>807</v>
      </c>
      <c r="I3437" s="713" t="s">
        <v>857</v>
      </c>
      <c r="J3437" s="714" t="s">
        <v>802</v>
      </c>
      <c r="K3437" s="709">
        <v>8</v>
      </c>
      <c r="L3437" s="715">
        <f t="shared" si="103"/>
        <v>18.8</v>
      </c>
      <c r="M3437" s="716">
        <f t="shared" si="104"/>
        <v>150.4</v>
      </c>
    </row>
    <row r="3438" spans="2:13" s="645" customFormat="1" ht="21.75" customHeight="1">
      <c r="B3438" s="708">
        <v>44466</v>
      </c>
      <c r="C3438" s="709" t="s">
        <v>837</v>
      </c>
      <c r="D3438" s="710" t="s">
        <v>855</v>
      </c>
      <c r="E3438" s="711" t="s">
        <v>831</v>
      </c>
      <c r="F3438" s="712"/>
      <c r="G3438" s="710">
        <v>20</v>
      </c>
      <c r="H3438" s="709" t="s">
        <v>807</v>
      </c>
      <c r="I3438" s="713" t="s">
        <v>857</v>
      </c>
      <c r="J3438" s="714" t="s">
        <v>802</v>
      </c>
      <c r="K3438" s="709">
        <v>8</v>
      </c>
      <c r="L3438" s="715">
        <f t="shared" si="103"/>
        <v>18.8</v>
      </c>
      <c r="M3438" s="716">
        <f t="shared" si="104"/>
        <v>150.4</v>
      </c>
    </row>
    <row r="3439" spans="2:13" s="645" customFormat="1" ht="21.75" customHeight="1">
      <c r="B3439" s="708">
        <v>44466</v>
      </c>
      <c r="C3439" s="709" t="s">
        <v>837</v>
      </c>
      <c r="D3439" s="710" t="s">
        <v>835</v>
      </c>
      <c r="E3439" s="711" t="s">
        <v>831</v>
      </c>
      <c r="F3439" s="712"/>
      <c r="G3439" s="710">
        <v>20</v>
      </c>
      <c r="H3439" s="709" t="s">
        <v>807</v>
      </c>
      <c r="I3439" s="713" t="s">
        <v>857</v>
      </c>
      <c r="J3439" s="714" t="s">
        <v>802</v>
      </c>
      <c r="K3439" s="709">
        <v>8</v>
      </c>
      <c r="L3439" s="715">
        <f t="shared" si="103"/>
        <v>18.8</v>
      </c>
      <c r="M3439" s="716">
        <f t="shared" si="104"/>
        <v>150.4</v>
      </c>
    </row>
    <row r="3440" spans="2:13" s="645" customFormat="1" ht="21.75" customHeight="1">
      <c r="B3440" s="708">
        <v>44466</v>
      </c>
      <c r="C3440" s="709" t="s">
        <v>837</v>
      </c>
      <c r="D3440" s="710" t="s">
        <v>841</v>
      </c>
      <c r="E3440" s="711" t="s">
        <v>831</v>
      </c>
      <c r="F3440" s="712"/>
      <c r="G3440" s="710">
        <v>20</v>
      </c>
      <c r="H3440" s="709" t="s">
        <v>807</v>
      </c>
      <c r="I3440" s="713" t="s">
        <v>857</v>
      </c>
      <c r="J3440" s="714" t="s">
        <v>802</v>
      </c>
      <c r="K3440" s="709">
        <v>8</v>
      </c>
      <c r="L3440" s="715">
        <f t="shared" si="103"/>
        <v>18.8</v>
      </c>
      <c r="M3440" s="716">
        <f t="shared" si="104"/>
        <v>150.4</v>
      </c>
    </row>
    <row r="3441" spans="2:13" s="645" customFormat="1" ht="21.75" customHeight="1">
      <c r="B3441" s="708">
        <v>44466</v>
      </c>
      <c r="C3441" s="709" t="s">
        <v>837</v>
      </c>
      <c r="D3441" s="710" t="s">
        <v>848</v>
      </c>
      <c r="E3441" s="711" t="s">
        <v>831</v>
      </c>
      <c r="F3441" s="712"/>
      <c r="G3441" s="710">
        <v>20</v>
      </c>
      <c r="H3441" s="709" t="s">
        <v>807</v>
      </c>
      <c r="I3441" s="713" t="s">
        <v>857</v>
      </c>
      <c r="J3441" s="714" t="s">
        <v>802</v>
      </c>
      <c r="K3441" s="709">
        <v>8</v>
      </c>
      <c r="L3441" s="715">
        <f t="shared" si="103"/>
        <v>18.8</v>
      </c>
      <c r="M3441" s="716">
        <f t="shared" si="104"/>
        <v>150.4</v>
      </c>
    </row>
    <row r="3442" spans="2:13" s="645" customFormat="1" ht="21.75" customHeight="1">
      <c r="B3442" s="708">
        <v>44466</v>
      </c>
      <c r="C3442" s="709" t="s">
        <v>837</v>
      </c>
      <c r="D3442" s="710" t="s">
        <v>845</v>
      </c>
      <c r="E3442" s="711" t="s">
        <v>831</v>
      </c>
      <c r="F3442" s="712"/>
      <c r="G3442" s="710">
        <v>17</v>
      </c>
      <c r="H3442" s="709" t="s">
        <v>807</v>
      </c>
      <c r="I3442" s="713" t="s">
        <v>857</v>
      </c>
      <c r="J3442" s="714" t="s">
        <v>802</v>
      </c>
      <c r="K3442" s="709">
        <v>8</v>
      </c>
      <c r="L3442" s="715">
        <f t="shared" si="103"/>
        <v>15.98</v>
      </c>
      <c r="M3442" s="716">
        <f t="shared" si="104"/>
        <v>127.84</v>
      </c>
    </row>
    <row r="3443" spans="2:13" s="645" customFormat="1" ht="21.75" customHeight="1">
      <c r="B3443" s="708">
        <v>44466</v>
      </c>
      <c r="C3443" s="709" t="s">
        <v>837</v>
      </c>
      <c r="D3443" s="710" t="s">
        <v>878</v>
      </c>
      <c r="E3443" s="711" t="s">
        <v>831</v>
      </c>
      <c r="F3443" s="712"/>
      <c r="G3443" s="710">
        <v>15</v>
      </c>
      <c r="H3443" s="709" t="s">
        <v>807</v>
      </c>
      <c r="I3443" s="713" t="s">
        <v>857</v>
      </c>
      <c r="J3443" s="714" t="s">
        <v>802</v>
      </c>
      <c r="K3443" s="709">
        <v>9</v>
      </c>
      <c r="L3443" s="715">
        <f t="shared" si="103"/>
        <v>14.1</v>
      </c>
      <c r="M3443" s="716">
        <f t="shared" si="104"/>
        <v>126.89999999999999</v>
      </c>
    </row>
    <row r="3444" spans="2:13" s="645" customFormat="1" ht="21.75" customHeight="1">
      <c r="B3444" s="708">
        <v>44466</v>
      </c>
      <c r="C3444" s="709" t="s">
        <v>837</v>
      </c>
      <c r="D3444" s="710" t="s">
        <v>868</v>
      </c>
      <c r="E3444" s="711" t="s">
        <v>831</v>
      </c>
      <c r="F3444" s="712"/>
      <c r="G3444" s="710">
        <v>20</v>
      </c>
      <c r="H3444" s="709" t="s">
        <v>807</v>
      </c>
      <c r="I3444" s="713" t="s">
        <v>857</v>
      </c>
      <c r="J3444" s="714" t="s">
        <v>802</v>
      </c>
      <c r="K3444" s="709">
        <v>6</v>
      </c>
      <c r="L3444" s="715">
        <f t="shared" si="103"/>
        <v>18.8</v>
      </c>
      <c r="M3444" s="716">
        <f t="shared" si="104"/>
        <v>112.80000000000001</v>
      </c>
    </row>
    <row r="3445" spans="2:13" s="645" customFormat="1" ht="21.75" customHeight="1">
      <c r="B3445" s="708">
        <v>44466</v>
      </c>
      <c r="C3445" s="709" t="s">
        <v>837</v>
      </c>
      <c r="D3445" s="710" t="s">
        <v>873</v>
      </c>
      <c r="E3445" s="711" t="s">
        <v>831</v>
      </c>
      <c r="F3445" s="712"/>
      <c r="G3445" s="710">
        <v>17</v>
      </c>
      <c r="H3445" s="709" t="s">
        <v>807</v>
      </c>
      <c r="I3445" s="713" t="s">
        <v>857</v>
      </c>
      <c r="J3445" s="714" t="s">
        <v>802</v>
      </c>
      <c r="K3445" s="709">
        <v>8</v>
      </c>
      <c r="L3445" s="715">
        <f t="shared" si="103"/>
        <v>15.98</v>
      </c>
      <c r="M3445" s="716">
        <f t="shared" si="104"/>
        <v>127.84</v>
      </c>
    </row>
    <row r="3446" spans="2:13" s="645" customFormat="1" ht="21.75" customHeight="1">
      <c r="B3446" s="661">
        <v>44467</v>
      </c>
      <c r="C3446" s="662" t="s">
        <v>819</v>
      </c>
      <c r="D3446" s="663" t="s">
        <v>849</v>
      </c>
      <c r="E3446" s="664" t="s">
        <v>831</v>
      </c>
      <c r="F3446" s="665"/>
      <c r="G3446" s="663">
        <v>20</v>
      </c>
      <c r="H3446" s="662" t="s">
        <v>807</v>
      </c>
      <c r="I3446" s="666" t="s">
        <v>863</v>
      </c>
      <c r="J3446" s="667" t="s">
        <v>805</v>
      </c>
      <c r="K3446" s="662">
        <v>8</v>
      </c>
      <c r="L3446" s="685">
        <f t="shared" si="103"/>
        <v>18.8</v>
      </c>
      <c r="M3446" s="686">
        <f t="shared" si="104"/>
        <v>150.4</v>
      </c>
    </row>
    <row r="3447" spans="2:13" s="645" customFormat="1" ht="21.75" customHeight="1">
      <c r="B3447" s="661">
        <v>44467</v>
      </c>
      <c r="C3447" s="662" t="s">
        <v>819</v>
      </c>
      <c r="D3447" s="663" t="s">
        <v>840</v>
      </c>
      <c r="E3447" s="664" t="s">
        <v>831</v>
      </c>
      <c r="F3447" s="665"/>
      <c r="G3447" s="663">
        <v>20</v>
      </c>
      <c r="H3447" s="662" t="s">
        <v>807</v>
      </c>
      <c r="I3447" s="666" t="s">
        <v>863</v>
      </c>
      <c r="J3447" s="667" t="s">
        <v>805</v>
      </c>
      <c r="K3447" s="662">
        <v>6</v>
      </c>
      <c r="L3447" s="685">
        <f t="shared" si="103"/>
        <v>18.8</v>
      </c>
      <c r="M3447" s="686">
        <f t="shared" si="104"/>
        <v>112.80000000000001</v>
      </c>
    </row>
    <row r="3448" spans="2:13" s="645" customFormat="1" ht="21.75" customHeight="1">
      <c r="B3448" s="661">
        <v>44467</v>
      </c>
      <c r="C3448" s="662" t="s">
        <v>819</v>
      </c>
      <c r="D3448" s="663" t="s">
        <v>835</v>
      </c>
      <c r="E3448" s="664" t="s">
        <v>831</v>
      </c>
      <c r="F3448" s="665"/>
      <c r="G3448" s="663">
        <v>20</v>
      </c>
      <c r="H3448" s="662" t="s">
        <v>807</v>
      </c>
      <c r="I3448" s="666" t="s">
        <v>857</v>
      </c>
      <c r="J3448" s="667" t="s">
        <v>805</v>
      </c>
      <c r="K3448" s="662">
        <v>2</v>
      </c>
      <c r="L3448" s="685">
        <f t="shared" si="103"/>
        <v>18.8</v>
      </c>
      <c r="M3448" s="686">
        <f t="shared" si="104"/>
        <v>37.6</v>
      </c>
    </row>
    <row r="3449" spans="2:13" s="645" customFormat="1" ht="21.75" customHeight="1">
      <c r="B3449" s="661">
        <v>44467</v>
      </c>
      <c r="C3449" s="662" t="s">
        <v>819</v>
      </c>
      <c r="D3449" s="663" t="s">
        <v>835</v>
      </c>
      <c r="E3449" s="664" t="s">
        <v>831</v>
      </c>
      <c r="F3449" s="665"/>
      <c r="G3449" s="663">
        <v>20</v>
      </c>
      <c r="H3449" s="662" t="s">
        <v>807</v>
      </c>
      <c r="I3449" s="666" t="s">
        <v>857</v>
      </c>
      <c r="J3449" s="667" t="s">
        <v>804</v>
      </c>
      <c r="K3449" s="662">
        <v>6</v>
      </c>
      <c r="L3449" s="685">
        <f t="shared" si="103"/>
        <v>18.8</v>
      </c>
      <c r="M3449" s="686">
        <f t="shared" si="104"/>
        <v>112.80000000000001</v>
      </c>
    </row>
    <row r="3450" spans="2:13" s="645" customFormat="1" ht="21.75" customHeight="1">
      <c r="B3450" s="661">
        <v>44467</v>
      </c>
      <c r="C3450" s="662" t="s">
        <v>819</v>
      </c>
      <c r="D3450" s="663" t="s">
        <v>841</v>
      </c>
      <c r="E3450" s="664" t="s">
        <v>831</v>
      </c>
      <c r="F3450" s="665"/>
      <c r="G3450" s="663">
        <v>20</v>
      </c>
      <c r="H3450" s="662" t="s">
        <v>807</v>
      </c>
      <c r="I3450" s="666" t="s">
        <v>857</v>
      </c>
      <c r="J3450" s="667" t="s">
        <v>805</v>
      </c>
      <c r="K3450" s="662">
        <v>8</v>
      </c>
      <c r="L3450" s="685">
        <f t="shared" si="103"/>
        <v>18.8</v>
      </c>
      <c r="M3450" s="686">
        <f t="shared" si="104"/>
        <v>150.4</v>
      </c>
    </row>
    <row r="3451" spans="2:13" s="645" customFormat="1" ht="21.75" customHeight="1">
      <c r="B3451" s="661">
        <v>44467</v>
      </c>
      <c r="C3451" s="662" t="s">
        <v>819</v>
      </c>
      <c r="D3451" s="663" t="s">
        <v>834</v>
      </c>
      <c r="E3451" s="664" t="s">
        <v>831</v>
      </c>
      <c r="F3451" s="665"/>
      <c r="G3451" s="663">
        <v>20</v>
      </c>
      <c r="H3451" s="662" t="s">
        <v>807</v>
      </c>
      <c r="I3451" s="666" t="s">
        <v>857</v>
      </c>
      <c r="J3451" s="667" t="s">
        <v>805</v>
      </c>
      <c r="K3451" s="662">
        <v>4</v>
      </c>
      <c r="L3451" s="685">
        <f t="shared" si="103"/>
        <v>18.8</v>
      </c>
      <c r="M3451" s="686">
        <f t="shared" si="104"/>
        <v>75.2</v>
      </c>
    </row>
    <row r="3452" spans="2:13" s="645" customFormat="1" ht="21.75" customHeight="1">
      <c r="B3452" s="661">
        <v>44467</v>
      </c>
      <c r="C3452" s="662" t="s">
        <v>819</v>
      </c>
      <c r="D3452" s="663" t="s">
        <v>834</v>
      </c>
      <c r="E3452" s="664" t="s">
        <v>831</v>
      </c>
      <c r="F3452" s="665"/>
      <c r="G3452" s="663">
        <v>20</v>
      </c>
      <c r="H3452" s="662" t="s">
        <v>807</v>
      </c>
      <c r="I3452" s="666" t="s">
        <v>857</v>
      </c>
      <c r="J3452" s="667" t="s">
        <v>804</v>
      </c>
      <c r="K3452" s="662">
        <v>7</v>
      </c>
      <c r="L3452" s="685">
        <f t="shared" si="103"/>
        <v>18.8</v>
      </c>
      <c r="M3452" s="686">
        <f t="shared" si="104"/>
        <v>131.6</v>
      </c>
    </row>
    <row r="3453" spans="2:13" s="645" customFormat="1" ht="21.75" customHeight="1">
      <c r="B3453" s="661">
        <v>44467</v>
      </c>
      <c r="C3453" s="662" t="s">
        <v>819</v>
      </c>
      <c r="D3453" s="663" t="s">
        <v>848</v>
      </c>
      <c r="E3453" s="664" t="s">
        <v>831</v>
      </c>
      <c r="F3453" s="665"/>
      <c r="G3453" s="663">
        <v>20</v>
      </c>
      <c r="H3453" s="662" t="s">
        <v>807</v>
      </c>
      <c r="I3453" s="666" t="s">
        <v>863</v>
      </c>
      <c r="J3453" s="667" t="s">
        <v>804</v>
      </c>
      <c r="K3453" s="662">
        <v>6</v>
      </c>
      <c r="L3453" s="685">
        <f t="shared" si="103"/>
        <v>18.8</v>
      </c>
      <c r="M3453" s="686">
        <f t="shared" si="104"/>
        <v>112.80000000000001</v>
      </c>
    </row>
    <row r="3454" spans="2:13" s="645" customFormat="1" ht="21.75" customHeight="1">
      <c r="B3454" s="661">
        <v>44467</v>
      </c>
      <c r="C3454" s="662" t="s">
        <v>819</v>
      </c>
      <c r="D3454" s="663" t="s">
        <v>848</v>
      </c>
      <c r="E3454" s="664" t="s">
        <v>831</v>
      </c>
      <c r="F3454" s="665"/>
      <c r="G3454" s="663">
        <v>20</v>
      </c>
      <c r="H3454" s="662" t="s">
        <v>807</v>
      </c>
      <c r="I3454" s="666" t="s">
        <v>863</v>
      </c>
      <c r="J3454" s="667" t="s">
        <v>805</v>
      </c>
      <c r="K3454" s="662">
        <v>1</v>
      </c>
      <c r="L3454" s="685">
        <f t="shared" si="103"/>
        <v>18.8</v>
      </c>
      <c r="M3454" s="686">
        <f t="shared" si="104"/>
        <v>18.8</v>
      </c>
    </row>
    <row r="3455" spans="2:13" s="645" customFormat="1" ht="21.75" customHeight="1">
      <c r="B3455" s="661">
        <v>44467</v>
      </c>
      <c r="C3455" s="662" t="s">
        <v>819</v>
      </c>
      <c r="D3455" s="663" t="s">
        <v>833</v>
      </c>
      <c r="E3455" s="664" t="s">
        <v>831</v>
      </c>
      <c r="F3455" s="665"/>
      <c r="G3455" s="663">
        <v>15</v>
      </c>
      <c r="H3455" s="662" t="s">
        <v>807</v>
      </c>
      <c r="I3455" s="666" t="s">
        <v>863</v>
      </c>
      <c r="J3455" s="667" t="s">
        <v>805</v>
      </c>
      <c r="K3455" s="662">
        <v>5</v>
      </c>
      <c r="L3455" s="685">
        <f t="shared" si="103"/>
        <v>14.1</v>
      </c>
      <c r="M3455" s="686">
        <f t="shared" si="104"/>
        <v>70.5</v>
      </c>
    </row>
    <row r="3456" spans="2:13" s="645" customFormat="1" ht="21.75" customHeight="1">
      <c r="B3456" s="661">
        <v>44467</v>
      </c>
      <c r="C3456" s="662" t="s">
        <v>819</v>
      </c>
      <c r="D3456" s="663" t="s">
        <v>833</v>
      </c>
      <c r="E3456" s="664" t="s">
        <v>831</v>
      </c>
      <c r="F3456" s="665"/>
      <c r="G3456" s="663">
        <v>15</v>
      </c>
      <c r="H3456" s="662" t="s">
        <v>807</v>
      </c>
      <c r="I3456" s="666" t="s">
        <v>863</v>
      </c>
      <c r="J3456" s="667" t="s">
        <v>804</v>
      </c>
      <c r="K3456" s="662">
        <v>1</v>
      </c>
      <c r="L3456" s="685">
        <f t="shared" si="103"/>
        <v>14.1</v>
      </c>
      <c r="M3456" s="686">
        <f t="shared" si="104"/>
        <v>14.1</v>
      </c>
    </row>
    <row r="3457" spans="2:13" s="645" customFormat="1" ht="21.75" customHeight="1">
      <c r="B3457" s="661">
        <v>44467</v>
      </c>
      <c r="C3457" s="662" t="s">
        <v>819</v>
      </c>
      <c r="D3457" s="663" t="s">
        <v>830</v>
      </c>
      <c r="E3457" s="664" t="s">
        <v>831</v>
      </c>
      <c r="F3457" s="665"/>
      <c r="G3457" s="663">
        <v>15</v>
      </c>
      <c r="H3457" s="662" t="s">
        <v>807</v>
      </c>
      <c r="I3457" s="666" t="s">
        <v>863</v>
      </c>
      <c r="J3457" s="667" t="s">
        <v>805</v>
      </c>
      <c r="K3457" s="662">
        <v>2</v>
      </c>
      <c r="L3457" s="685">
        <f t="shared" si="103"/>
        <v>14.1</v>
      </c>
      <c r="M3457" s="686">
        <f t="shared" si="104"/>
        <v>28.2</v>
      </c>
    </row>
    <row r="3458" spans="2:13" s="645" customFormat="1" ht="21.75" customHeight="1">
      <c r="B3458" s="661">
        <v>44467</v>
      </c>
      <c r="C3458" s="662" t="s">
        <v>819</v>
      </c>
      <c r="D3458" s="663" t="s">
        <v>830</v>
      </c>
      <c r="E3458" s="664" t="s">
        <v>831</v>
      </c>
      <c r="F3458" s="665"/>
      <c r="G3458" s="663">
        <v>15</v>
      </c>
      <c r="H3458" s="662" t="s">
        <v>807</v>
      </c>
      <c r="I3458" s="666" t="s">
        <v>863</v>
      </c>
      <c r="J3458" s="667" t="s">
        <v>804</v>
      </c>
      <c r="K3458" s="662">
        <v>2</v>
      </c>
      <c r="L3458" s="685">
        <f t="shared" si="103"/>
        <v>14.1</v>
      </c>
      <c r="M3458" s="686">
        <f t="shared" si="104"/>
        <v>28.2</v>
      </c>
    </row>
    <row r="3459" spans="2:13" s="645" customFormat="1" ht="21.75" customHeight="1">
      <c r="B3459" s="661">
        <v>44467</v>
      </c>
      <c r="C3459" s="662" t="s">
        <v>819</v>
      </c>
      <c r="D3459" s="663" t="s">
        <v>839</v>
      </c>
      <c r="E3459" s="664" t="s">
        <v>831</v>
      </c>
      <c r="F3459" s="665"/>
      <c r="G3459" s="663">
        <v>15</v>
      </c>
      <c r="H3459" s="662" t="s">
        <v>807</v>
      </c>
      <c r="I3459" s="666" t="s">
        <v>857</v>
      </c>
      <c r="J3459" s="667" t="s">
        <v>805</v>
      </c>
      <c r="K3459" s="662">
        <v>7</v>
      </c>
      <c r="L3459" s="685">
        <f t="shared" si="103"/>
        <v>14.1</v>
      </c>
      <c r="M3459" s="686">
        <f t="shared" si="104"/>
        <v>98.7</v>
      </c>
    </row>
    <row r="3460" spans="2:13" s="645" customFormat="1" ht="21.75" customHeight="1">
      <c r="B3460" s="661">
        <v>44467</v>
      </c>
      <c r="C3460" s="662" t="s">
        <v>819</v>
      </c>
      <c r="D3460" s="663" t="s">
        <v>845</v>
      </c>
      <c r="E3460" s="664" t="s">
        <v>831</v>
      </c>
      <c r="F3460" s="665"/>
      <c r="G3460" s="663">
        <v>17</v>
      </c>
      <c r="H3460" s="662" t="s">
        <v>807</v>
      </c>
      <c r="I3460" s="666" t="s">
        <v>857</v>
      </c>
      <c r="J3460" s="667" t="s">
        <v>805</v>
      </c>
      <c r="K3460" s="662">
        <v>8</v>
      </c>
      <c r="L3460" s="685">
        <f t="shared" si="103"/>
        <v>15.98</v>
      </c>
      <c r="M3460" s="686">
        <f t="shared" si="104"/>
        <v>127.84</v>
      </c>
    </row>
    <row r="3461" spans="2:13" s="645" customFormat="1" ht="21.75" customHeight="1">
      <c r="B3461" s="661">
        <v>44467</v>
      </c>
      <c r="C3461" s="662" t="s">
        <v>819</v>
      </c>
      <c r="D3461" s="663" t="s">
        <v>847</v>
      </c>
      <c r="E3461" s="664" t="s">
        <v>831</v>
      </c>
      <c r="F3461" s="665"/>
      <c r="G3461" s="663">
        <v>17</v>
      </c>
      <c r="H3461" s="662" t="s">
        <v>807</v>
      </c>
      <c r="I3461" s="666" t="s">
        <v>863</v>
      </c>
      <c r="J3461" s="667" t="s">
        <v>805</v>
      </c>
      <c r="K3461" s="662">
        <v>7</v>
      </c>
      <c r="L3461" s="685">
        <f t="shared" si="103"/>
        <v>15.98</v>
      </c>
      <c r="M3461" s="686">
        <f t="shared" si="104"/>
        <v>111.86</v>
      </c>
    </row>
    <row r="3462" spans="2:13" s="645" customFormat="1" ht="21.75" customHeight="1">
      <c r="B3462" s="661">
        <v>44467</v>
      </c>
      <c r="C3462" s="662" t="s">
        <v>819</v>
      </c>
      <c r="D3462" s="663" t="s">
        <v>856</v>
      </c>
      <c r="E3462" s="664" t="s">
        <v>831</v>
      </c>
      <c r="F3462" s="665"/>
      <c r="G3462" s="663">
        <v>20</v>
      </c>
      <c r="H3462" s="662" t="s">
        <v>807</v>
      </c>
      <c r="I3462" s="666" t="s">
        <v>857</v>
      </c>
      <c r="J3462" s="667" t="s">
        <v>805</v>
      </c>
      <c r="K3462" s="662">
        <v>2</v>
      </c>
      <c r="L3462" s="685">
        <f t="shared" si="103"/>
        <v>18.8</v>
      </c>
      <c r="M3462" s="686">
        <f t="shared" si="104"/>
        <v>37.6</v>
      </c>
    </row>
    <row r="3463" spans="2:13" s="645" customFormat="1" ht="21.75" customHeight="1">
      <c r="B3463" s="661">
        <v>44467</v>
      </c>
      <c r="C3463" s="662" t="s">
        <v>819</v>
      </c>
      <c r="D3463" s="663" t="s">
        <v>856</v>
      </c>
      <c r="E3463" s="664" t="s">
        <v>831</v>
      </c>
      <c r="F3463" s="665"/>
      <c r="G3463" s="663">
        <v>20</v>
      </c>
      <c r="H3463" s="662" t="s">
        <v>807</v>
      </c>
      <c r="I3463" s="666" t="s">
        <v>857</v>
      </c>
      <c r="J3463" s="667" t="s">
        <v>804</v>
      </c>
      <c r="K3463" s="662">
        <v>7</v>
      </c>
      <c r="L3463" s="685">
        <f t="shared" si="103"/>
        <v>18.8</v>
      </c>
      <c r="M3463" s="686">
        <f t="shared" si="104"/>
        <v>131.6</v>
      </c>
    </row>
    <row r="3464" spans="2:13" s="645" customFormat="1" ht="21.75" customHeight="1">
      <c r="B3464" s="661">
        <v>44467</v>
      </c>
      <c r="C3464" s="662" t="s">
        <v>819</v>
      </c>
      <c r="D3464" s="663" t="s">
        <v>878</v>
      </c>
      <c r="E3464" s="664" t="s">
        <v>831</v>
      </c>
      <c r="F3464" s="665"/>
      <c r="G3464" s="663">
        <v>15</v>
      </c>
      <c r="H3464" s="662" t="s">
        <v>807</v>
      </c>
      <c r="I3464" s="666" t="s">
        <v>857</v>
      </c>
      <c r="J3464" s="667" t="s">
        <v>805</v>
      </c>
      <c r="K3464" s="662">
        <v>7</v>
      </c>
      <c r="L3464" s="685">
        <f t="shared" si="103"/>
        <v>14.1</v>
      </c>
      <c r="M3464" s="686">
        <f t="shared" si="104"/>
        <v>98.7</v>
      </c>
    </row>
    <row r="3465" spans="2:13" s="645" customFormat="1" ht="21.75" customHeight="1">
      <c r="B3465" s="661">
        <v>44467</v>
      </c>
      <c r="C3465" s="662" t="s">
        <v>819</v>
      </c>
      <c r="D3465" s="663" t="s">
        <v>855</v>
      </c>
      <c r="E3465" s="664" t="s">
        <v>831</v>
      </c>
      <c r="F3465" s="665"/>
      <c r="G3465" s="663">
        <v>20</v>
      </c>
      <c r="H3465" s="662" t="s">
        <v>807</v>
      </c>
      <c r="I3465" s="666" t="s">
        <v>857</v>
      </c>
      <c r="J3465" s="667" t="s">
        <v>805</v>
      </c>
      <c r="K3465" s="662">
        <v>8</v>
      </c>
      <c r="L3465" s="685">
        <f t="shared" ref="L3465:L3528" si="105">VLOOKUP(G3465,$Q$4:$V$7,6,FALSE)</f>
        <v>18.8</v>
      </c>
      <c r="M3465" s="686">
        <f t="shared" si="104"/>
        <v>150.4</v>
      </c>
    </row>
    <row r="3466" spans="2:13" s="645" customFormat="1" ht="21.75" customHeight="1">
      <c r="B3466" s="661">
        <v>44467</v>
      </c>
      <c r="C3466" s="662" t="s">
        <v>819</v>
      </c>
      <c r="D3466" s="663" t="s">
        <v>875</v>
      </c>
      <c r="E3466" s="664" t="s">
        <v>831</v>
      </c>
      <c r="F3466" s="665"/>
      <c r="G3466" s="663">
        <v>20</v>
      </c>
      <c r="H3466" s="662" t="s">
        <v>807</v>
      </c>
      <c r="I3466" s="666" t="s">
        <v>857</v>
      </c>
      <c r="J3466" s="667" t="s">
        <v>805</v>
      </c>
      <c r="K3466" s="662">
        <v>11</v>
      </c>
      <c r="L3466" s="685">
        <f t="shared" si="105"/>
        <v>18.8</v>
      </c>
      <c r="M3466" s="686">
        <f t="shared" si="104"/>
        <v>206.8</v>
      </c>
    </row>
    <row r="3467" spans="2:13" s="645" customFormat="1" ht="21.75" customHeight="1">
      <c r="B3467" s="661">
        <v>44467</v>
      </c>
      <c r="C3467" s="662" t="s">
        <v>819</v>
      </c>
      <c r="D3467" s="663" t="s">
        <v>855</v>
      </c>
      <c r="E3467" s="664" t="s">
        <v>831</v>
      </c>
      <c r="F3467" s="665"/>
      <c r="G3467" s="663">
        <v>20</v>
      </c>
      <c r="H3467" s="662" t="s">
        <v>807</v>
      </c>
      <c r="I3467" s="666" t="s">
        <v>857</v>
      </c>
      <c r="J3467" s="667" t="s">
        <v>805</v>
      </c>
      <c r="K3467" s="662">
        <v>8</v>
      </c>
      <c r="L3467" s="685">
        <f t="shared" si="105"/>
        <v>18.8</v>
      </c>
      <c r="M3467" s="686">
        <f t="shared" si="104"/>
        <v>150.4</v>
      </c>
    </row>
    <row r="3468" spans="2:13" s="645" customFormat="1" ht="21.75" customHeight="1">
      <c r="B3468" s="661">
        <v>44467</v>
      </c>
      <c r="C3468" s="662" t="s">
        <v>819</v>
      </c>
      <c r="D3468" s="663" t="s">
        <v>867</v>
      </c>
      <c r="E3468" s="664" t="s">
        <v>831</v>
      </c>
      <c r="F3468" s="665"/>
      <c r="G3468" s="663">
        <v>20</v>
      </c>
      <c r="H3468" s="662" t="s">
        <v>807</v>
      </c>
      <c r="I3468" s="666" t="s">
        <v>863</v>
      </c>
      <c r="J3468" s="667" t="s">
        <v>805</v>
      </c>
      <c r="K3468" s="662">
        <v>4</v>
      </c>
      <c r="L3468" s="685">
        <f t="shared" si="105"/>
        <v>18.8</v>
      </c>
      <c r="M3468" s="686">
        <f t="shared" si="104"/>
        <v>75.2</v>
      </c>
    </row>
    <row r="3469" spans="2:13" s="645" customFormat="1" ht="21.75" customHeight="1">
      <c r="B3469" s="661">
        <v>44467</v>
      </c>
      <c r="C3469" s="662" t="s">
        <v>819</v>
      </c>
      <c r="D3469" s="663" t="s">
        <v>867</v>
      </c>
      <c r="E3469" s="664" t="s">
        <v>831</v>
      </c>
      <c r="F3469" s="665"/>
      <c r="G3469" s="663">
        <v>20</v>
      </c>
      <c r="H3469" s="662" t="s">
        <v>807</v>
      </c>
      <c r="I3469" s="666" t="s">
        <v>863</v>
      </c>
      <c r="J3469" s="667" t="s">
        <v>804</v>
      </c>
      <c r="K3469" s="662">
        <v>5</v>
      </c>
      <c r="L3469" s="685">
        <f t="shared" si="105"/>
        <v>18.8</v>
      </c>
      <c r="M3469" s="686">
        <f t="shared" si="104"/>
        <v>94</v>
      </c>
    </row>
    <row r="3470" spans="2:13" s="645" customFormat="1" ht="21.75" customHeight="1">
      <c r="B3470" s="661">
        <v>44467</v>
      </c>
      <c r="C3470" s="662" t="s">
        <v>819</v>
      </c>
      <c r="D3470" s="663" t="s">
        <v>876</v>
      </c>
      <c r="E3470" s="664" t="s">
        <v>831</v>
      </c>
      <c r="F3470" s="665"/>
      <c r="G3470" s="663">
        <v>20</v>
      </c>
      <c r="H3470" s="662" t="s">
        <v>807</v>
      </c>
      <c r="I3470" s="666" t="s">
        <v>857</v>
      </c>
      <c r="J3470" s="667" t="s">
        <v>805</v>
      </c>
      <c r="K3470" s="662">
        <v>10</v>
      </c>
      <c r="L3470" s="685">
        <f t="shared" si="105"/>
        <v>18.8</v>
      </c>
      <c r="M3470" s="686">
        <f t="shared" si="104"/>
        <v>188</v>
      </c>
    </row>
    <row r="3471" spans="2:13" s="645" customFormat="1" ht="21.75" customHeight="1">
      <c r="B3471" s="661">
        <v>44467</v>
      </c>
      <c r="C3471" s="662" t="s">
        <v>819</v>
      </c>
      <c r="D3471" s="663" t="s">
        <v>868</v>
      </c>
      <c r="E3471" s="664" t="s">
        <v>831</v>
      </c>
      <c r="F3471" s="665"/>
      <c r="G3471" s="663">
        <v>20</v>
      </c>
      <c r="H3471" s="662" t="s">
        <v>807</v>
      </c>
      <c r="I3471" s="666" t="s">
        <v>857</v>
      </c>
      <c r="J3471" s="667" t="s">
        <v>805</v>
      </c>
      <c r="K3471" s="662">
        <v>6</v>
      </c>
      <c r="L3471" s="685">
        <f t="shared" si="105"/>
        <v>18.8</v>
      </c>
      <c r="M3471" s="686">
        <f t="shared" si="104"/>
        <v>112.80000000000001</v>
      </c>
    </row>
    <row r="3472" spans="2:13" s="645" customFormat="1" ht="21.75" customHeight="1">
      <c r="B3472" s="708">
        <v>44467</v>
      </c>
      <c r="C3472" s="709" t="s">
        <v>819</v>
      </c>
      <c r="D3472" s="710" t="s">
        <v>849</v>
      </c>
      <c r="E3472" s="711" t="s">
        <v>831</v>
      </c>
      <c r="F3472" s="712"/>
      <c r="G3472" s="710">
        <v>20</v>
      </c>
      <c r="H3472" s="709" t="s">
        <v>807</v>
      </c>
      <c r="I3472" s="713" t="s">
        <v>863</v>
      </c>
      <c r="J3472" s="714" t="s">
        <v>802</v>
      </c>
      <c r="K3472" s="709">
        <v>1</v>
      </c>
      <c r="L3472" s="715">
        <f t="shared" si="105"/>
        <v>18.8</v>
      </c>
      <c r="M3472" s="716">
        <f t="shared" si="104"/>
        <v>18.8</v>
      </c>
    </row>
    <row r="3473" spans="2:13" s="645" customFormat="1" ht="21.75" customHeight="1">
      <c r="B3473" s="708">
        <v>44467</v>
      </c>
      <c r="C3473" s="709" t="s">
        <v>819</v>
      </c>
      <c r="D3473" s="710" t="s">
        <v>841</v>
      </c>
      <c r="E3473" s="711" t="s">
        <v>831</v>
      </c>
      <c r="F3473" s="712"/>
      <c r="G3473" s="710">
        <v>20</v>
      </c>
      <c r="H3473" s="709" t="s">
        <v>807</v>
      </c>
      <c r="I3473" s="713" t="s">
        <v>857</v>
      </c>
      <c r="J3473" s="714" t="s">
        <v>802</v>
      </c>
      <c r="K3473" s="709">
        <v>2</v>
      </c>
      <c r="L3473" s="715">
        <f t="shared" si="105"/>
        <v>18.8</v>
      </c>
      <c r="M3473" s="716">
        <f t="shared" si="104"/>
        <v>37.6</v>
      </c>
    </row>
    <row r="3474" spans="2:13" s="645" customFormat="1" ht="21.75" customHeight="1">
      <c r="B3474" s="708">
        <v>44467</v>
      </c>
      <c r="C3474" s="709" t="s">
        <v>819</v>
      </c>
      <c r="D3474" s="710" t="s">
        <v>848</v>
      </c>
      <c r="E3474" s="711" t="s">
        <v>831</v>
      </c>
      <c r="F3474" s="712"/>
      <c r="G3474" s="710">
        <v>20</v>
      </c>
      <c r="H3474" s="709" t="s">
        <v>807</v>
      </c>
      <c r="I3474" s="713" t="s">
        <v>863</v>
      </c>
      <c r="J3474" s="714" t="s">
        <v>802</v>
      </c>
      <c r="K3474" s="709">
        <v>1</v>
      </c>
      <c r="L3474" s="715">
        <f t="shared" si="105"/>
        <v>18.8</v>
      </c>
      <c r="M3474" s="716">
        <f t="shared" si="104"/>
        <v>18.8</v>
      </c>
    </row>
    <row r="3475" spans="2:13" s="645" customFormat="1" ht="21.75" customHeight="1">
      <c r="B3475" s="708">
        <v>44467</v>
      </c>
      <c r="C3475" s="709" t="s">
        <v>819</v>
      </c>
      <c r="D3475" s="710" t="s">
        <v>833</v>
      </c>
      <c r="E3475" s="711" t="s">
        <v>831</v>
      </c>
      <c r="F3475" s="712"/>
      <c r="G3475" s="710">
        <v>15</v>
      </c>
      <c r="H3475" s="709" t="s">
        <v>807</v>
      </c>
      <c r="I3475" s="713" t="s">
        <v>863</v>
      </c>
      <c r="J3475" s="714" t="s">
        <v>802</v>
      </c>
      <c r="K3475" s="709">
        <v>1</v>
      </c>
      <c r="L3475" s="715">
        <f t="shared" si="105"/>
        <v>14.1</v>
      </c>
      <c r="M3475" s="716">
        <f t="shared" si="104"/>
        <v>14.1</v>
      </c>
    </row>
    <row r="3476" spans="2:13" s="645" customFormat="1" ht="21.75" customHeight="1">
      <c r="B3476" s="708">
        <v>44467</v>
      </c>
      <c r="C3476" s="709" t="s">
        <v>819</v>
      </c>
      <c r="D3476" s="710" t="s">
        <v>830</v>
      </c>
      <c r="E3476" s="711" t="s">
        <v>831</v>
      </c>
      <c r="F3476" s="712"/>
      <c r="G3476" s="710">
        <v>15</v>
      </c>
      <c r="H3476" s="709" t="s">
        <v>807</v>
      </c>
      <c r="I3476" s="713" t="s">
        <v>863</v>
      </c>
      <c r="J3476" s="714" t="s">
        <v>802</v>
      </c>
      <c r="K3476" s="709">
        <v>1</v>
      </c>
      <c r="L3476" s="715">
        <f t="shared" si="105"/>
        <v>14.1</v>
      </c>
      <c r="M3476" s="716">
        <f t="shared" si="104"/>
        <v>14.1</v>
      </c>
    </row>
    <row r="3477" spans="2:13" s="645" customFormat="1" ht="21.75" customHeight="1">
      <c r="B3477" s="708">
        <v>44467</v>
      </c>
      <c r="C3477" s="709" t="s">
        <v>819</v>
      </c>
      <c r="D3477" s="710" t="s">
        <v>839</v>
      </c>
      <c r="E3477" s="711" t="s">
        <v>831</v>
      </c>
      <c r="F3477" s="712"/>
      <c r="G3477" s="710">
        <v>15</v>
      </c>
      <c r="H3477" s="709" t="s">
        <v>807</v>
      </c>
      <c r="I3477" s="713" t="s">
        <v>857</v>
      </c>
      <c r="J3477" s="714" t="s">
        <v>802</v>
      </c>
      <c r="K3477" s="709">
        <v>2</v>
      </c>
      <c r="L3477" s="715">
        <f t="shared" si="105"/>
        <v>14.1</v>
      </c>
      <c r="M3477" s="716">
        <f t="shared" si="104"/>
        <v>28.2</v>
      </c>
    </row>
    <row r="3478" spans="2:13" s="645" customFormat="1" ht="21.75" customHeight="1">
      <c r="B3478" s="708">
        <v>44467</v>
      </c>
      <c r="C3478" s="709" t="s">
        <v>819</v>
      </c>
      <c r="D3478" s="710" t="s">
        <v>845</v>
      </c>
      <c r="E3478" s="711" t="s">
        <v>831</v>
      </c>
      <c r="F3478" s="712"/>
      <c r="G3478" s="710">
        <v>17</v>
      </c>
      <c r="H3478" s="709" t="s">
        <v>807</v>
      </c>
      <c r="I3478" s="713" t="s">
        <v>857</v>
      </c>
      <c r="J3478" s="714" t="s">
        <v>802</v>
      </c>
      <c r="K3478" s="709">
        <v>1</v>
      </c>
      <c r="L3478" s="715">
        <f t="shared" si="105"/>
        <v>15.98</v>
      </c>
      <c r="M3478" s="716">
        <f t="shared" si="104"/>
        <v>15.98</v>
      </c>
    </row>
    <row r="3479" spans="2:13" s="645" customFormat="1" ht="21.75" customHeight="1">
      <c r="B3479" s="708">
        <v>44467</v>
      </c>
      <c r="C3479" s="709" t="s">
        <v>819</v>
      </c>
      <c r="D3479" s="710" t="s">
        <v>847</v>
      </c>
      <c r="E3479" s="711" t="s">
        <v>831</v>
      </c>
      <c r="F3479" s="712"/>
      <c r="G3479" s="710">
        <v>17</v>
      </c>
      <c r="H3479" s="709" t="s">
        <v>807</v>
      </c>
      <c r="I3479" s="713" t="s">
        <v>863</v>
      </c>
      <c r="J3479" s="714" t="s">
        <v>802</v>
      </c>
      <c r="K3479" s="709">
        <v>1</v>
      </c>
      <c r="L3479" s="715">
        <f t="shared" si="105"/>
        <v>15.98</v>
      </c>
      <c r="M3479" s="716">
        <f t="shared" si="104"/>
        <v>15.98</v>
      </c>
    </row>
    <row r="3480" spans="2:13" s="645" customFormat="1" ht="21.75" customHeight="1">
      <c r="B3480" s="708">
        <v>44467</v>
      </c>
      <c r="C3480" s="709" t="s">
        <v>819</v>
      </c>
      <c r="D3480" s="710" t="s">
        <v>878</v>
      </c>
      <c r="E3480" s="711" t="s">
        <v>831</v>
      </c>
      <c r="F3480" s="712"/>
      <c r="G3480" s="710">
        <v>15</v>
      </c>
      <c r="H3480" s="709" t="s">
        <v>807</v>
      </c>
      <c r="I3480" s="713" t="s">
        <v>857</v>
      </c>
      <c r="J3480" s="714" t="s">
        <v>802</v>
      </c>
      <c r="K3480" s="709">
        <v>1</v>
      </c>
      <c r="L3480" s="715">
        <f t="shared" si="105"/>
        <v>14.1</v>
      </c>
      <c r="M3480" s="716">
        <f t="shared" si="104"/>
        <v>14.1</v>
      </c>
    </row>
    <row r="3481" spans="2:13" s="645" customFormat="1" ht="21.75" customHeight="1">
      <c r="B3481" s="708">
        <v>44467</v>
      </c>
      <c r="C3481" s="709" t="s">
        <v>837</v>
      </c>
      <c r="D3481" s="710" t="s">
        <v>834</v>
      </c>
      <c r="E3481" s="711" t="s">
        <v>831</v>
      </c>
      <c r="F3481" s="712"/>
      <c r="G3481" s="710">
        <v>20</v>
      </c>
      <c r="H3481" s="709" t="s">
        <v>807</v>
      </c>
      <c r="I3481" s="713" t="s">
        <v>857</v>
      </c>
      <c r="J3481" s="714" t="s">
        <v>802</v>
      </c>
      <c r="K3481" s="709">
        <v>9</v>
      </c>
      <c r="L3481" s="715">
        <f t="shared" si="105"/>
        <v>18.8</v>
      </c>
      <c r="M3481" s="716">
        <f t="shared" si="104"/>
        <v>169.20000000000002</v>
      </c>
    </row>
    <row r="3482" spans="2:13" s="645" customFormat="1" ht="21.75" customHeight="1">
      <c r="B3482" s="708">
        <v>44467</v>
      </c>
      <c r="C3482" s="709" t="s">
        <v>837</v>
      </c>
      <c r="D3482" s="710" t="s">
        <v>856</v>
      </c>
      <c r="E3482" s="711" t="s">
        <v>831</v>
      </c>
      <c r="F3482" s="712"/>
      <c r="G3482" s="710">
        <v>20</v>
      </c>
      <c r="H3482" s="709" t="s">
        <v>807</v>
      </c>
      <c r="I3482" s="713" t="s">
        <v>857</v>
      </c>
      <c r="J3482" s="714" t="s">
        <v>802</v>
      </c>
      <c r="K3482" s="709">
        <v>9</v>
      </c>
      <c r="L3482" s="715">
        <f t="shared" si="105"/>
        <v>18.8</v>
      </c>
      <c r="M3482" s="716">
        <f t="shared" si="104"/>
        <v>169.20000000000002</v>
      </c>
    </row>
    <row r="3483" spans="2:13" s="645" customFormat="1" ht="21.75" customHeight="1">
      <c r="B3483" s="708">
        <v>44467</v>
      </c>
      <c r="C3483" s="709" t="s">
        <v>837</v>
      </c>
      <c r="D3483" s="710" t="s">
        <v>855</v>
      </c>
      <c r="E3483" s="711" t="s">
        <v>831</v>
      </c>
      <c r="F3483" s="712"/>
      <c r="G3483" s="710">
        <v>20</v>
      </c>
      <c r="H3483" s="709" t="s">
        <v>807</v>
      </c>
      <c r="I3483" s="713" t="s">
        <v>857</v>
      </c>
      <c r="J3483" s="714" t="s">
        <v>802</v>
      </c>
      <c r="K3483" s="709">
        <v>9</v>
      </c>
      <c r="L3483" s="715">
        <f t="shared" si="105"/>
        <v>18.8</v>
      </c>
      <c r="M3483" s="716">
        <f t="shared" si="104"/>
        <v>169.20000000000002</v>
      </c>
    </row>
    <row r="3484" spans="2:13" s="645" customFormat="1" ht="21.75" customHeight="1">
      <c r="B3484" s="708">
        <v>44467</v>
      </c>
      <c r="C3484" s="709" t="s">
        <v>837</v>
      </c>
      <c r="D3484" s="710" t="s">
        <v>835</v>
      </c>
      <c r="E3484" s="711" t="s">
        <v>831</v>
      </c>
      <c r="F3484" s="712"/>
      <c r="G3484" s="710">
        <v>20</v>
      </c>
      <c r="H3484" s="709" t="s">
        <v>807</v>
      </c>
      <c r="I3484" s="713" t="s">
        <v>857</v>
      </c>
      <c r="J3484" s="714" t="s">
        <v>802</v>
      </c>
      <c r="K3484" s="709">
        <v>8</v>
      </c>
      <c r="L3484" s="715">
        <f t="shared" si="105"/>
        <v>18.8</v>
      </c>
      <c r="M3484" s="716">
        <f t="shared" si="104"/>
        <v>150.4</v>
      </c>
    </row>
    <row r="3485" spans="2:13" s="645" customFormat="1" ht="21.75" customHeight="1">
      <c r="B3485" s="708">
        <v>44467</v>
      </c>
      <c r="C3485" s="709" t="s">
        <v>837</v>
      </c>
      <c r="D3485" s="710" t="s">
        <v>841</v>
      </c>
      <c r="E3485" s="711" t="s">
        <v>831</v>
      </c>
      <c r="F3485" s="712"/>
      <c r="G3485" s="710">
        <v>20</v>
      </c>
      <c r="H3485" s="709" t="s">
        <v>807</v>
      </c>
      <c r="I3485" s="713" t="s">
        <v>857</v>
      </c>
      <c r="J3485" s="714" t="s">
        <v>802</v>
      </c>
      <c r="K3485" s="709">
        <v>9</v>
      </c>
      <c r="L3485" s="715">
        <f t="shared" si="105"/>
        <v>18.8</v>
      </c>
      <c r="M3485" s="716">
        <f t="shared" si="104"/>
        <v>169.20000000000002</v>
      </c>
    </row>
    <row r="3486" spans="2:13" s="645" customFormat="1" ht="21.75" customHeight="1">
      <c r="B3486" s="708">
        <v>44467</v>
      </c>
      <c r="C3486" s="709" t="s">
        <v>837</v>
      </c>
      <c r="D3486" s="710" t="s">
        <v>848</v>
      </c>
      <c r="E3486" s="711" t="s">
        <v>831</v>
      </c>
      <c r="F3486" s="712"/>
      <c r="G3486" s="710">
        <v>20</v>
      </c>
      <c r="H3486" s="709" t="s">
        <v>807</v>
      </c>
      <c r="I3486" s="713" t="s">
        <v>857</v>
      </c>
      <c r="J3486" s="714" t="s">
        <v>802</v>
      </c>
      <c r="K3486" s="709">
        <v>9</v>
      </c>
      <c r="L3486" s="715">
        <f t="shared" si="105"/>
        <v>18.8</v>
      </c>
      <c r="M3486" s="716">
        <f t="shared" si="104"/>
        <v>169.20000000000002</v>
      </c>
    </row>
    <row r="3487" spans="2:13" s="645" customFormat="1" ht="21.75" customHeight="1">
      <c r="B3487" s="708">
        <v>44467</v>
      </c>
      <c r="C3487" s="709" t="s">
        <v>837</v>
      </c>
      <c r="D3487" s="710" t="s">
        <v>845</v>
      </c>
      <c r="E3487" s="711" t="s">
        <v>831</v>
      </c>
      <c r="F3487" s="712"/>
      <c r="G3487" s="710">
        <v>17</v>
      </c>
      <c r="H3487" s="709" t="s">
        <v>807</v>
      </c>
      <c r="I3487" s="713" t="s">
        <v>857</v>
      </c>
      <c r="J3487" s="714" t="s">
        <v>802</v>
      </c>
      <c r="K3487" s="709">
        <v>9</v>
      </c>
      <c r="L3487" s="715">
        <f t="shared" si="105"/>
        <v>15.98</v>
      </c>
      <c r="M3487" s="716">
        <f t="shared" si="104"/>
        <v>143.82</v>
      </c>
    </row>
    <row r="3488" spans="2:13" s="645" customFormat="1" ht="21.75" customHeight="1">
      <c r="B3488" s="708">
        <v>44467</v>
      </c>
      <c r="C3488" s="709" t="s">
        <v>837</v>
      </c>
      <c r="D3488" s="710" t="s">
        <v>878</v>
      </c>
      <c r="E3488" s="711" t="s">
        <v>831</v>
      </c>
      <c r="F3488" s="712"/>
      <c r="G3488" s="710">
        <v>15</v>
      </c>
      <c r="H3488" s="709" t="s">
        <v>807</v>
      </c>
      <c r="I3488" s="713" t="s">
        <v>857</v>
      </c>
      <c r="J3488" s="714" t="s">
        <v>802</v>
      </c>
      <c r="K3488" s="709">
        <v>8</v>
      </c>
      <c r="L3488" s="715">
        <f t="shared" si="105"/>
        <v>14.1</v>
      </c>
      <c r="M3488" s="716">
        <f t="shared" si="104"/>
        <v>112.8</v>
      </c>
    </row>
    <row r="3489" spans="2:13" s="645" customFormat="1" ht="21.75" customHeight="1">
      <c r="B3489" s="708">
        <v>44467</v>
      </c>
      <c r="C3489" s="709" t="s">
        <v>837</v>
      </c>
      <c r="D3489" s="710" t="s">
        <v>868</v>
      </c>
      <c r="E3489" s="711" t="s">
        <v>831</v>
      </c>
      <c r="F3489" s="712"/>
      <c r="G3489" s="710">
        <v>20</v>
      </c>
      <c r="H3489" s="709" t="s">
        <v>807</v>
      </c>
      <c r="I3489" s="713" t="s">
        <v>857</v>
      </c>
      <c r="J3489" s="714" t="s">
        <v>802</v>
      </c>
      <c r="K3489" s="709">
        <v>9</v>
      </c>
      <c r="L3489" s="715">
        <f t="shared" si="105"/>
        <v>18.8</v>
      </c>
      <c r="M3489" s="716">
        <f t="shared" si="104"/>
        <v>169.20000000000002</v>
      </c>
    </row>
    <row r="3490" spans="2:13" s="645" customFormat="1" ht="21.75" customHeight="1">
      <c r="B3490" s="708">
        <v>44467</v>
      </c>
      <c r="C3490" s="709" t="s">
        <v>837</v>
      </c>
      <c r="D3490" s="710" t="s">
        <v>873</v>
      </c>
      <c r="E3490" s="711" t="s">
        <v>831</v>
      </c>
      <c r="F3490" s="712"/>
      <c r="G3490" s="710">
        <v>17</v>
      </c>
      <c r="H3490" s="709" t="s">
        <v>807</v>
      </c>
      <c r="I3490" s="713" t="s">
        <v>857</v>
      </c>
      <c r="J3490" s="714" t="s">
        <v>802</v>
      </c>
      <c r="K3490" s="709">
        <v>9</v>
      </c>
      <c r="L3490" s="715">
        <f t="shared" si="105"/>
        <v>15.98</v>
      </c>
      <c r="M3490" s="716">
        <f t="shared" si="104"/>
        <v>143.82</v>
      </c>
    </row>
    <row r="3491" spans="2:13" s="645" customFormat="1" ht="21.75" customHeight="1">
      <c r="B3491" s="661">
        <v>44468</v>
      </c>
      <c r="C3491" s="662" t="s">
        <v>819</v>
      </c>
      <c r="D3491" s="663" t="s">
        <v>849</v>
      </c>
      <c r="E3491" s="664" t="s">
        <v>831</v>
      </c>
      <c r="F3491" s="665"/>
      <c r="G3491" s="663">
        <v>20</v>
      </c>
      <c r="H3491" s="662" t="s">
        <v>807</v>
      </c>
      <c r="I3491" s="666" t="s">
        <v>863</v>
      </c>
      <c r="J3491" s="667" t="s">
        <v>804</v>
      </c>
      <c r="K3491" s="662">
        <v>1</v>
      </c>
      <c r="L3491" s="685">
        <f t="shared" si="105"/>
        <v>18.8</v>
      </c>
      <c r="M3491" s="686">
        <f t="shared" si="104"/>
        <v>18.8</v>
      </c>
    </row>
    <row r="3492" spans="2:13" s="645" customFormat="1" ht="21.75" customHeight="1">
      <c r="B3492" s="661">
        <v>44468</v>
      </c>
      <c r="C3492" s="662" t="s">
        <v>819</v>
      </c>
      <c r="D3492" s="663" t="s">
        <v>835</v>
      </c>
      <c r="E3492" s="664" t="s">
        <v>831</v>
      </c>
      <c r="F3492" s="665"/>
      <c r="G3492" s="663">
        <v>20</v>
      </c>
      <c r="H3492" s="662" t="s">
        <v>807</v>
      </c>
      <c r="I3492" s="666" t="s">
        <v>832</v>
      </c>
      <c r="J3492" s="667" t="s">
        <v>804</v>
      </c>
      <c r="K3492" s="662">
        <v>1</v>
      </c>
      <c r="L3492" s="685">
        <f t="shared" si="105"/>
        <v>18.8</v>
      </c>
      <c r="M3492" s="686">
        <f t="shared" si="104"/>
        <v>18.8</v>
      </c>
    </row>
    <row r="3493" spans="2:13" s="645" customFormat="1" ht="21.75" customHeight="1">
      <c r="B3493" s="661">
        <v>44468</v>
      </c>
      <c r="C3493" s="662" t="s">
        <v>819</v>
      </c>
      <c r="D3493" s="663" t="s">
        <v>835</v>
      </c>
      <c r="E3493" s="664" t="s">
        <v>831</v>
      </c>
      <c r="F3493" s="665"/>
      <c r="G3493" s="663">
        <v>20</v>
      </c>
      <c r="H3493" s="662" t="s">
        <v>807</v>
      </c>
      <c r="I3493" s="666" t="s">
        <v>863</v>
      </c>
      <c r="J3493" s="667" t="s">
        <v>804</v>
      </c>
      <c r="K3493" s="662">
        <v>2</v>
      </c>
      <c r="L3493" s="685">
        <f t="shared" si="105"/>
        <v>18.8</v>
      </c>
      <c r="M3493" s="686">
        <f t="shared" si="104"/>
        <v>37.6</v>
      </c>
    </row>
    <row r="3494" spans="2:13" s="645" customFormat="1" ht="21.75" customHeight="1">
      <c r="B3494" s="661">
        <v>44468</v>
      </c>
      <c r="C3494" s="662" t="s">
        <v>819</v>
      </c>
      <c r="D3494" s="663" t="s">
        <v>835</v>
      </c>
      <c r="E3494" s="664" t="s">
        <v>831</v>
      </c>
      <c r="F3494" s="665"/>
      <c r="G3494" s="663">
        <v>20</v>
      </c>
      <c r="H3494" s="662" t="s">
        <v>807</v>
      </c>
      <c r="I3494" s="666" t="s">
        <v>832</v>
      </c>
      <c r="J3494" s="667" t="s">
        <v>805</v>
      </c>
      <c r="K3494" s="662">
        <v>1</v>
      </c>
      <c r="L3494" s="685">
        <f t="shared" si="105"/>
        <v>18.8</v>
      </c>
      <c r="M3494" s="686">
        <f t="shared" si="104"/>
        <v>18.8</v>
      </c>
    </row>
    <row r="3495" spans="2:13" s="645" customFormat="1" ht="21.75" customHeight="1">
      <c r="B3495" s="661">
        <v>44468</v>
      </c>
      <c r="C3495" s="662" t="s">
        <v>819</v>
      </c>
      <c r="D3495" s="663" t="s">
        <v>835</v>
      </c>
      <c r="E3495" s="664" t="s">
        <v>831</v>
      </c>
      <c r="F3495" s="665"/>
      <c r="G3495" s="663">
        <v>20</v>
      </c>
      <c r="H3495" s="662" t="s">
        <v>807</v>
      </c>
      <c r="I3495" s="666" t="s">
        <v>863</v>
      </c>
      <c r="J3495" s="667" t="s">
        <v>805</v>
      </c>
      <c r="K3495" s="662">
        <v>1</v>
      </c>
      <c r="L3495" s="685">
        <f t="shared" si="105"/>
        <v>18.8</v>
      </c>
      <c r="M3495" s="686">
        <f t="shared" ref="M3495:M3558" si="106">L3495*K3495</f>
        <v>18.8</v>
      </c>
    </row>
    <row r="3496" spans="2:13" s="645" customFormat="1" ht="21.75" customHeight="1">
      <c r="B3496" s="661">
        <v>44468</v>
      </c>
      <c r="C3496" s="662" t="s">
        <v>819</v>
      </c>
      <c r="D3496" s="663" t="s">
        <v>841</v>
      </c>
      <c r="E3496" s="664" t="s">
        <v>831</v>
      </c>
      <c r="F3496" s="665"/>
      <c r="G3496" s="663">
        <v>20</v>
      </c>
      <c r="H3496" s="662" t="s">
        <v>807</v>
      </c>
      <c r="I3496" s="666" t="s">
        <v>832</v>
      </c>
      <c r="J3496" s="667" t="s">
        <v>804</v>
      </c>
      <c r="K3496" s="662">
        <v>1</v>
      </c>
      <c r="L3496" s="685">
        <f t="shared" si="105"/>
        <v>18.8</v>
      </c>
      <c r="M3496" s="686">
        <f t="shared" si="106"/>
        <v>18.8</v>
      </c>
    </row>
    <row r="3497" spans="2:13" s="645" customFormat="1" ht="21.75" customHeight="1">
      <c r="B3497" s="661">
        <v>44468</v>
      </c>
      <c r="C3497" s="662" t="s">
        <v>819</v>
      </c>
      <c r="D3497" s="663" t="s">
        <v>834</v>
      </c>
      <c r="E3497" s="664" t="s">
        <v>831</v>
      </c>
      <c r="F3497" s="665"/>
      <c r="G3497" s="663">
        <v>20</v>
      </c>
      <c r="H3497" s="662" t="s">
        <v>807</v>
      </c>
      <c r="I3497" s="666" t="s">
        <v>863</v>
      </c>
      <c r="J3497" s="667" t="s">
        <v>804</v>
      </c>
      <c r="K3497" s="662">
        <v>1</v>
      </c>
      <c r="L3497" s="685">
        <f t="shared" si="105"/>
        <v>18.8</v>
      </c>
      <c r="M3497" s="686">
        <f t="shared" si="106"/>
        <v>18.8</v>
      </c>
    </row>
    <row r="3498" spans="2:13" s="645" customFormat="1" ht="21.75" customHeight="1">
      <c r="B3498" s="661">
        <v>44468</v>
      </c>
      <c r="C3498" s="662" t="s">
        <v>819</v>
      </c>
      <c r="D3498" s="663" t="s">
        <v>834</v>
      </c>
      <c r="E3498" s="664" t="s">
        <v>831</v>
      </c>
      <c r="F3498" s="665"/>
      <c r="G3498" s="663">
        <v>20</v>
      </c>
      <c r="H3498" s="662" t="s">
        <v>807</v>
      </c>
      <c r="I3498" s="666" t="s">
        <v>832</v>
      </c>
      <c r="J3498" s="667" t="s">
        <v>804</v>
      </c>
      <c r="K3498" s="662">
        <v>1</v>
      </c>
      <c r="L3498" s="685">
        <f t="shared" si="105"/>
        <v>18.8</v>
      </c>
      <c r="M3498" s="686">
        <f t="shared" si="106"/>
        <v>18.8</v>
      </c>
    </row>
    <row r="3499" spans="2:13" s="645" customFormat="1" ht="21.75" customHeight="1">
      <c r="B3499" s="661">
        <v>44468</v>
      </c>
      <c r="C3499" s="662" t="s">
        <v>819</v>
      </c>
      <c r="D3499" s="663" t="s">
        <v>848</v>
      </c>
      <c r="E3499" s="664" t="s">
        <v>831</v>
      </c>
      <c r="F3499" s="665"/>
      <c r="G3499" s="663">
        <v>20</v>
      </c>
      <c r="H3499" s="662" t="s">
        <v>807</v>
      </c>
      <c r="I3499" s="666" t="s">
        <v>863</v>
      </c>
      <c r="J3499" s="667" t="s">
        <v>805</v>
      </c>
      <c r="K3499" s="662">
        <v>1</v>
      </c>
      <c r="L3499" s="685">
        <f t="shared" si="105"/>
        <v>18.8</v>
      </c>
      <c r="M3499" s="686">
        <f t="shared" si="106"/>
        <v>18.8</v>
      </c>
    </row>
    <row r="3500" spans="2:13" s="645" customFormat="1" ht="21.75" customHeight="1">
      <c r="B3500" s="661">
        <v>44468</v>
      </c>
      <c r="C3500" s="662" t="s">
        <v>819</v>
      </c>
      <c r="D3500" s="663" t="s">
        <v>848</v>
      </c>
      <c r="E3500" s="664" t="s">
        <v>831</v>
      </c>
      <c r="F3500" s="665"/>
      <c r="G3500" s="663">
        <v>20</v>
      </c>
      <c r="H3500" s="662" t="s">
        <v>807</v>
      </c>
      <c r="I3500" s="666" t="s">
        <v>863</v>
      </c>
      <c r="J3500" s="667" t="s">
        <v>804</v>
      </c>
      <c r="K3500" s="662">
        <v>1</v>
      </c>
      <c r="L3500" s="685">
        <f t="shared" si="105"/>
        <v>18.8</v>
      </c>
      <c r="M3500" s="686">
        <f t="shared" si="106"/>
        <v>18.8</v>
      </c>
    </row>
    <row r="3501" spans="2:13" s="645" customFormat="1" ht="21.75" customHeight="1">
      <c r="B3501" s="661">
        <v>44468</v>
      </c>
      <c r="C3501" s="662" t="s">
        <v>819</v>
      </c>
      <c r="D3501" s="663" t="s">
        <v>830</v>
      </c>
      <c r="E3501" s="664" t="s">
        <v>831</v>
      </c>
      <c r="F3501" s="665"/>
      <c r="G3501" s="663">
        <v>15</v>
      </c>
      <c r="H3501" s="662" t="s">
        <v>807</v>
      </c>
      <c r="I3501" s="666" t="s">
        <v>863</v>
      </c>
      <c r="J3501" s="667" t="s">
        <v>804</v>
      </c>
      <c r="K3501" s="662">
        <v>2</v>
      </c>
      <c r="L3501" s="685">
        <f t="shared" si="105"/>
        <v>14.1</v>
      </c>
      <c r="M3501" s="686">
        <f t="shared" si="106"/>
        <v>28.2</v>
      </c>
    </row>
    <row r="3502" spans="2:13" s="645" customFormat="1" ht="21.75" customHeight="1">
      <c r="B3502" s="661">
        <v>44468</v>
      </c>
      <c r="C3502" s="662" t="s">
        <v>819</v>
      </c>
      <c r="D3502" s="663" t="s">
        <v>839</v>
      </c>
      <c r="E3502" s="664" t="s">
        <v>831</v>
      </c>
      <c r="F3502" s="665"/>
      <c r="G3502" s="663">
        <v>15</v>
      </c>
      <c r="H3502" s="662" t="s">
        <v>807</v>
      </c>
      <c r="I3502" s="666" t="s">
        <v>863</v>
      </c>
      <c r="J3502" s="667" t="s">
        <v>805</v>
      </c>
      <c r="K3502" s="662">
        <v>1</v>
      </c>
      <c r="L3502" s="685">
        <f t="shared" si="105"/>
        <v>14.1</v>
      </c>
      <c r="M3502" s="686">
        <f t="shared" si="106"/>
        <v>14.1</v>
      </c>
    </row>
    <row r="3503" spans="2:13" s="645" customFormat="1" ht="21.75" customHeight="1">
      <c r="B3503" s="661">
        <v>44468</v>
      </c>
      <c r="C3503" s="662" t="s">
        <v>819</v>
      </c>
      <c r="D3503" s="663" t="s">
        <v>839</v>
      </c>
      <c r="E3503" s="664" t="s">
        <v>831</v>
      </c>
      <c r="F3503" s="665"/>
      <c r="G3503" s="663">
        <v>15</v>
      </c>
      <c r="H3503" s="662" t="s">
        <v>807</v>
      </c>
      <c r="I3503" s="666" t="s">
        <v>863</v>
      </c>
      <c r="J3503" s="667" t="s">
        <v>804</v>
      </c>
      <c r="K3503" s="662">
        <v>1</v>
      </c>
      <c r="L3503" s="685">
        <f t="shared" si="105"/>
        <v>14.1</v>
      </c>
      <c r="M3503" s="686">
        <f t="shared" si="106"/>
        <v>14.1</v>
      </c>
    </row>
    <row r="3504" spans="2:13" s="645" customFormat="1" ht="21.75" customHeight="1">
      <c r="B3504" s="661">
        <v>44468</v>
      </c>
      <c r="C3504" s="662" t="s">
        <v>819</v>
      </c>
      <c r="D3504" s="663" t="s">
        <v>845</v>
      </c>
      <c r="E3504" s="664" t="s">
        <v>831</v>
      </c>
      <c r="F3504" s="665"/>
      <c r="G3504" s="663">
        <v>17</v>
      </c>
      <c r="H3504" s="662" t="s">
        <v>807</v>
      </c>
      <c r="I3504" s="666" t="s">
        <v>863</v>
      </c>
      <c r="J3504" s="667" t="s">
        <v>804</v>
      </c>
      <c r="K3504" s="662">
        <v>2</v>
      </c>
      <c r="L3504" s="685">
        <f t="shared" si="105"/>
        <v>15.98</v>
      </c>
      <c r="M3504" s="686">
        <f t="shared" si="106"/>
        <v>31.96</v>
      </c>
    </row>
    <row r="3505" spans="2:13" s="645" customFormat="1" ht="21.75" customHeight="1">
      <c r="B3505" s="661">
        <v>44468</v>
      </c>
      <c r="C3505" s="662" t="s">
        <v>819</v>
      </c>
      <c r="D3505" s="663" t="s">
        <v>845</v>
      </c>
      <c r="E3505" s="664" t="s">
        <v>831</v>
      </c>
      <c r="F3505" s="665"/>
      <c r="G3505" s="663">
        <v>17</v>
      </c>
      <c r="H3505" s="662" t="s">
        <v>807</v>
      </c>
      <c r="I3505" s="666" t="s">
        <v>832</v>
      </c>
      <c r="J3505" s="667" t="s">
        <v>805</v>
      </c>
      <c r="K3505" s="662">
        <v>2</v>
      </c>
      <c r="L3505" s="685">
        <f t="shared" si="105"/>
        <v>15.98</v>
      </c>
      <c r="M3505" s="686">
        <f t="shared" si="106"/>
        <v>31.96</v>
      </c>
    </row>
    <row r="3506" spans="2:13" s="645" customFormat="1" ht="21.75" customHeight="1">
      <c r="B3506" s="661">
        <v>44468</v>
      </c>
      <c r="C3506" s="662" t="s">
        <v>819</v>
      </c>
      <c r="D3506" s="663" t="s">
        <v>856</v>
      </c>
      <c r="E3506" s="664" t="s">
        <v>831</v>
      </c>
      <c r="F3506" s="665"/>
      <c r="G3506" s="663">
        <v>20</v>
      </c>
      <c r="H3506" s="662" t="s">
        <v>807</v>
      </c>
      <c r="I3506" s="666" t="s">
        <v>832</v>
      </c>
      <c r="J3506" s="667" t="s">
        <v>804</v>
      </c>
      <c r="K3506" s="662">
        <v>3</v>
      </c>
      <c r="L3506" s="685">
        <f t="shared" si="105"/>
        <v>18.8</v>
      </c>
      <c r="M3506" s="686">
        <f t="shared" si="106"/>
        <v>56.400000000000006</v>
      </c>
    </row>
    <row r="3507" spans="2:13" s="645" customFormat="1" ht="21.75" customHeight="1">
      <c r="B3507" s="661">
        <v>44468</v>
      </c>
      <c r="C3507" s="662" t="s">
        <v>819</v>
      </c>
      <c r="D3507" s="663" t="s">
        <v>856</v>
      </c>
      <c r="E3507" s="664" t="s">
        <v>831</v>
      </c>
      <c r="F3507" s="665"/>
      <c r="G3507" s="663">
        <v>20</v>
      </c>
      <c r="H3507" s="662" t="s">
        <v>807</v>
      </c>
      <c r="I3507" s="666" t="s">
        <v>863</v>
      </c>
      <c r="J3507" s="667" t="s">
        <v>804</v>
      </c>
      <c r="K3507" s="662">
        <v>2</v>
      </c>
      <c r="L3507" s="685">
        <f t="shared" si="105"/>
        <v>18.8</v>
      </c>
      <c r="M3507" s="686">
        <f t="shared" si="106"/>
        <v>37.6</v>
      </c>
    </row>
    <row r="3508" spans="2:13" s="645" customFormat="1" ht="21.75" customHeight="1">
      <c r="B3508" s="661">
        <v>44468</v>
      </c>
      <c r="C3508" s="662" t="s">
        <v>819</v>
      </c>
      <c r="D3508" s="663" t="s">
        <v>878</v>
      </c>
      <c r="E3508" s="664" t="s">
        <v>831</v>
      </c>
      <c r="F3508" s="665"/>
      <c r="G3508" s="663">
        <v>15</v>
      </c>
      <c r="H3508" s="662" t="s">
        <v>807</v>
      </c>
      <c r="I3508" s="666" t="s">
        <v>832</v>
      </c>
      <c r="J3508" s="667" t="s">
        <v>804</v>
      </c>
      <c r="K3508" s="662">
        <v>3</v>
      </c>
      <c r="L3508" s="685">
        <f t="shared" si="105"/>
        <v>14.1</v>
      </c>
      <c r="M3508" s="686">
        <f t="shared" si="106"/>
        <v>42.3</v>
      </c>
    </row>
    <row r="3509" spans="2:13" s="645" customFormat="1" ht="21.75" customHeight="1">
      <c r="B3509" s="661">
        <v>44468</v>
      </c>
      <c r="C3509" s="662" t="s">
        <v>819</v>
      </c>
      <c r="D3509" s="663" t="s">
        <v>878</v>
      </c>
      <c r="E3509" s="664" t="s">
        <v>831</v>
      </c>
      <c r="F3509" s="665"/>
      <c r="G3509" s="663">
        <v>15</v>
      </c>
      <c r="H3509" s="662" t="s">
        <v>807</v>
      </c>
      <c r="I3509" s="666" t="s">
        <v>863</v>
      </c>
      <c r="J3509" s="667" t="s">
        <v>804</v>
      </c>
      <c r="K3509" s="662">
        <v>2</v>
      </c>
      <c r="L3509" s="685">
        <f t="shared" si="105"/>
        <v>14.1</v>
      </c>
      <c r="M3509" s="686">
        <f t="shared" si="106"/>
        <v>28.2</v>
      </c>
    </row>
    <row r="3510" spans="2:13" s="645" customFormat="1" ht="21.75" customHeight="1">
      <c r="B3510" s="661">
        <v>44468</v>
      </c>
      <c r="C3510" s="662" t="s">
        <v>819</v>
      </c>
      <c r="D3510" s="663" t="s">
        <v>867</v>
      </c>
      <c r="E3510" s="664" t="s">
        <v>831</v>
      </c>
      <c r="F3510" s="665"/>
      <c r="G3510" s="663">
        <v>20</v>
      </c>
      <c r="H3510" s="662" t="s">
        <v>807</v>
      </c>
      <c r="I3510" s="666" t="s">
        <v>863</v>
      </c>
      <c r="J3510" s="667" t="s">
        <v>804</v>
      </c>
      <c r="K3510" s="662">
        <v>1</v>
      </c>
      <c r="L3510" s="685">
        <f t="shared" si="105"/>
        <v>18.8</v>
      </c>
      <c r="M3510" s="686">
        <f t="shared" si="106"/>
        <v>18.8</v>
      </c>
    </row>
    <row r="3511" spans="2:13" s="645" customFormat="1" ht="21.75" customHeight="1">
      <c r="B3511" s="661">
        <v>44468</v>
      </c>
      <c r="C3511" s="662" t="s">
        <v>819</v>
      </c>
      <c r="D3511" s="663" t="s">
        <v>868</v>
      </c>
      <c r="E3511" s="664" t="s">
        <v>831</v>
      </c>
      <c r="F3511" s="665"/>
      <c r="G3511" s="663">
        <v>20</v>
      </c>
      <c r="H3511" s="662" t="s">
        <v>807</v>
      </c>
      <c r="I3511" s="666" t="s">
        <v>832</v>
      </c>
      <c r="J3511" s="667" t="s">
        <v>805</v>
      </c>
      <c r="K3511" s="662">
        <v>1</v>
      </c>
      <c r="L3511" s="685">
        <f t="shared" si="105"/>
        <v>18.8</v>
      </c>
      <c r="M3511" s="686">
        <f t="shared" si="106"/>
        <v>18.8</v>
      </c>
    </row>
    <row r="3512" spans="2:13" s="645" customFormat="1" ht="21.75" customHeight="1">
      <c r="B3512" s="661">
        <v>44468</v>
      </c>
      <c r="C3512" s="662" t="s">
        <v>819</v>
      </c>
      <c r="D3512" s="663" t="s">
        <v>870</v>
      </c>
      <c r="E3512" s="664" t="s">
        <v>831</v>
      </c>
      <c r="F3512" s="665"/>
      <c r="G3512" s="663">
        <v>20</v>
      </c>
      <c r="H3512" s="662" t="s">
        <v>807</v>
      </c>
      <c r="I3512" s="666" t="s">
        <v>832</v>
      </c>
      <c r="J3512" s="667" t="s">
        <v>805</v>
      </c>
      <c r="K3512" s="662">
        <v>1</v>
      </c>
      <c r="L3512" s="685">
        <f t="shared" si="105"/>
        <v>18.8</v>
      </c>
      <c r="M3512" s="686">
        <f t="shared" si="106"/>
        <v>18.8</v>
      </c>
    </row>
    <row r="3513" spans="2:13" s="645" customFormat="1" ht="21.75" customHeight="1">
      <c r="B3513" s="661">
        <v>44468</v>
      </c>
      <c r="C3513" s="662" t="s">
        <v>819</v>
      </c>
      <c r="D3513" s="663" t="s">
        <v>873</v>
      </c>
      <c r="E3513" s="664" t="s">
        <v>831</v>
      </c>
      <c r="F3513" s="665"/>
      <c r="G3513" s="663">
        <v>20</v>
      </c>
      <c r="H3513" s="662" t="s">
        <v>807</v>
      </c>
      <c r="I3513" s="666" t="s">
        <v>832</v>
      </c>
      <c r="J3513" s="667" t="s">
        <v>805</v>
      </c>
      <c r="K3513" s="662">
        <v>1</v>
      </c>
      <c r="L3513" s="685">
        <f t="shared" si="105"/>
        <v>18.8</v>
      </c>
      <c r="M3513" s="686">
        <f t="shared" si="106"/>
        <v>18.8</v>
      </c>
    </row>
    <row r="3514" spans="2:13" s="645" customFormat="1" ht="21.75" customHeight="1">
      <c r="B3514" s="661">
        <v>44468</v>
      </c>
      <c r="C3514" s="662" t="s">
        <v>819</v>
      </c>
      <c r="D3514" s="663" t="s">
        <v>873</v>
      </c>
      <c r="E3514" s="664" t="s">
        <v>831</v>
      </c>
      <c r="F3514" s="665"/>
      <c r="G3514" s="663">
        <v>20</v>
      </c>
      <c r="H3514" s="662" t="s">
        <v>807</v>
      </c>
      <c r="I3514" s="666" t="s">
        <v>832</v>
      </c>
      <c r="J3514" s="667" t="s">
        <v>804</v>
      </c>
      <c r="K3514" s="662">
        <v>1</v>
      </c>
      <c r="L3514" s="685">
        <f t="shared" si="105"/>
        <v>18.8</v>
      </c>
      <c r="M3514" s="686">
        <f t="shared" si="106"/>
        <v>18.8</v>
      </c>
    </row>
    <row r="3515" spans="2:13" s="645" customFormat="1" ht="21.75" customHeight="1">
      <c r="B3515" s="661">
        <v>44468</v>
      </c>
      <c r="C3515" s="662" t="s">
        <v>819</v>
      </c>
      <c r="D3515" s="663" t="s">
        <v>873</v>
      </c>
      <c r="E3515" s="664" t="s">
        <v>831</v>
      </c>
      <c r="F3515" s="665"/>
      <c r="G3515" s="663">
        <v>20</v>
      </c>
      <c r="H3515" s="662" t="s">
        <v>807</v>
      </c>
      <c r="I3515" s="666" t="s">
        <v>863</v>
      </c>
      <c r="J3515" s="667" t="s">
        <v>804</v>
      </c>
      <c r="K3515" s="662">
        <v>2</v>
      </c>
      <c r="L3515" s="685">
        <f t="shared" si="105"/>
        <v>18.8</v>
      </c>
      <c r="M3515" s="686">
        <f t="shared" si="106"/>
        <v>37.6</v>
      </c>
    </row>
    <row r="3516" spans="2:13" s="645" customFormat="1" ht="21.75" customHeight="1">
      <c r="B3516" s="708">
        <v>44468</v>
      </c>
      <c r="C3516" s="709" t="s">
        <v>819</v>
      </c>
      <c r="D3516" s="710" t="s">
        <v>849</v>
      </c>
      <c r="E3516" s="711" t="s">
        <v>831</v>
      </c>
      <c r="F3516" s="712"/>
      <c r="G3516" s="710">
        <v>20</v>
      </c>
      <c r="H3516" s="709" t="s">
        <v>807</v>
      </c>
      <c r="I3516" s="713" t="s">
        <v>863</v>
      </c>
      <c r="J3516" s="714" t="s">
        <v>802</v>
      </c>
      <c r="K3516" s="709">
        <v>5</v>
      </c>
      <c r="L3516" s="715">
        <f t="shared" si="105"/>
        <v>18.8</v>
      </c>
      <c r="M3516" s="716">
        <f t="shared" si="106"/>
        <v>94</v>
      </c>
    </row>
    <row r="3517" spans="2:13" s="645" customFormat="1" ht="21.75" customHeight="1">
      <c r="B3517" s="708">
        <v>44468</v>
      </c>
      <c r="C3517" s="709" t="s">
        <v>819</v>
      </c>
      <c r="D3517" s="710" t="s">
        <v>835</v>
      </c>
      <c r="E3517" s="711" t="s">
        <v>831</v>
      </c>
      <c r="F3517" s="712"/>
      <c r="G3517" s="710">
        <v>20</v>
      </c>
      <c r="H3517" s="709" t="s">
        <v>807</v>
      </c>
      <c r="I3517" s="713" t="s">
        <v>832</v>
      </c>
      <c r="J3517" s="714" t="s">
        <v>802</v>
      </c>
      <c r="K3517" s="709">
        <v>1</v>
      </c>
      <c r="L3517" s="715">
        <f t="shared" si="105"/>
        <v>18.8</v>
      </c>
      <c r="M3517" s="716">
        <f t="shared" si="106"/>
        <v>18.8</v>
      </c>
    </row>
    <row r="3518" spans="2:13" s="645" customFormat="1" ht="21.75" customHeight="1">
      <c r="B3518" s="708">
        <v>44468</v>
      </c>
      <c r="C3518" s="709" t="s">
        <v>819</v>
      </c>
      <c r="D3518" s="710" t="s">
        <v>834</v>
      </c>
      <c r="E3518" s="711" t="s">
        <v>831</v>
      </c>
      <c r="F3518" s="712"/>
      <c r="G3518" s="710">
        <v>20</v>
      </c>
      <c r="H3518" s="709" t="s">
        <v>807</v>
      </c>
      <c r="I3518" s="713" t="s">
        <v>832</v>
      </c>
      <c r="J3518" s="714" t="s">
        <v>802</v>
      </c>
      <c r="K3518" s="709">
        <v>2</v>
      </c>
      <c r="L3518" s="715">
        <f t="shared" si="105"/>
        <v>18.8</v>
      </c>
      <c r="M3518" s="716">
        <f t="shared" si="106"/>
        <v>37.6</v>
      </c>
    </row>
    <row r="3519" spans="2:13" s="645" customFormat="1" ht="21.75" customHeight="1">
      <c r="B3519" s="708">
        <v>44468</v>
      </c>
      <c r="C3519" s="709" t="s">
        <v>819</v>
      </c>
      <c r="D3519" s="710" t="s">
        <v>848</v>
      </c>
      <c r="E3519" s="711" t="s">
        <v>831</v>
      </c>
      <c r="F3519" s="712"/>
      <c r="G3519" s="710">
        <v>20</v>
      </c>
      <c r="H3519" s="709" t="s">
        <v>807</v>
      </c>
      <c r="I3519" s="713" t="s">
        <v>863</v>
      </c>
      <c r="J3519" s="714" t="s">
        <v>802</v>
      </c>
      <c r="K3519" s="709">
        <v>2</v>
      </c>
      <c r="L3519" s="715">
        <f t="shared" si="105"/>
        <v>18.8</v>
      </c>
      <c r="M3519" s="716">
        <f t="shared" si="106"/>
        <v>37.6</v>
      </c>
    </row>
    <row r="3520" spans="2:13" s="645" customFormat="1" ht="21.75" customHeight="1">
      <c r="B3520" s="708">
        <v>44468</v>
      </c>
      <c r="C3520" s="709" t="s">
        <v>819</v>
      </c>
      <c r="D3520" s="710" t="s">
        <v>833</v>
      </c>
      <c r="E3520" s="711" t="s">
        <v>831</v>
      </c>
      <c r="F3520" s="712"/>
      <c r="G3520" s="710">
        <v>15</v>
      </c>
      <c r="H3520" s="709" t="s">
        <v>807</v>
      </c>
      <c r="I3520" s="713" t="s">
        <v>863</v>
      </c>
      <c r="J3520" s="714" t="s">
        <v>802</v>
      </c>
      <c r="K3520" s="709">
        <v>2</v>
      </c>
      <c r="L3520" s="715">
        <f t="shared" si="105"/>
        <v>14.1</v>
      </c>
      <c r="M3520" s="716">
        <f t="shared" si="106"/>
        <v>28.2</v>
      </c>
    </row>
    <row r="3521" spans="2:13" s="645" customFormat="1" ht="21.75" customHeight="1">
      <c r="B3521" s="708">
        <v>44468</v>
      </c>
      <c r="C3521" s="709" t="s">
        <v>819</v>
      </c>
      <c r="D3521" s="710" t="s">
        <v>839</v>
      </c>
      <c r="E3521" s="711" t="s">
        <v>831</v>
      </c>
      <c r="F3521" s="712"/>
      <c r="G3521" s="710">
        <v>15</v>
      </c>
      <c r="H3521" s="709" t="s">
        <v>807</v>
      </c>
      <c r="I3521" s="713" t="s">
        <v>863</v>
      </c>
      <c r="J3521" s="714" t="s">
        <v>802</v>
      </c>
      <c r="K3521" s="709">
        <v>3</v>
      </c>
      <c r="L3521" s="715">
        <f t="shared" si="105"/>
        <v>14.1</v>
      </c>
      <c r="M3521" s="716">
        <f t="shared" si="106"/>
        <v>42.3</v>
      </c>
    </row>
    <row r="3522" spans="2:13" s="645" customFormat="1" ht="21.75" customHeight="1">
      <c r="B3522" s="708">
        <v>44468</v>
      </c>
      <c r="C3522" s="709" t="s">
        <v>819</v>
      </c>
      <c r="D3522" s="710" t="s">
        <v>845</v>
      </c>
      <c r="E3522" s="711" t="s">
        <v>831</v>
      </c>
      <c r="F3522" s="712"/>
      <c r="G3522" s="710">
        <v>17</v>
      </c>
      <c r="H3522" s="709" t="s">
        <v>807</v>
      </c>
      <c r="I3522" s="713" t="s">
        <v>863</v>
      </c>
      <c r="J3522" s="714" t="s">
        <v>802</v>
      </c>
      <c r="K3522" s="709">
        <v>1</v>
      </c>
      <c r="L3522" s="715">
        <f t="shared" si="105"/>
        <v>15.98</v>
      </c>
      <c r="M3522" s="716">
        <f t="shared" si="106"/>
        <v>15.98</v>
      </c>
    </row>
    <row r="3523" spans="2:13" s="645" customFormat="1" ht="21.75" customHeight="1">
      <c r="B3523" s="708">
        <v>44468</v>
      </c>
      <c r="C3523" s="709" t="s">
        <v>819</v>
      </c>
      <c r="D3523" s="710" t="s">
        <v>847</v>
      </c>
      <c r="E3523" s="711" t="s">
        <v>831</v>
      </c>
      <c r="F3523" s="712"/>
      <c r="G3523" s="710">
        <v>17</v>
      </c>
      <c r="H3523" s="709" t="s">
        <v>807</v>
      </c>
      <c r="I3523" s="713" t="s">
        <v>863</v>
      </c>
      <c r="J3523" s="714" t="s">
        <v>802</v>
      </c>
      <c r="K3523" s="709">
        <v>1</v>
      </c>
      <c r="L3523" s="715">
        <f t="shared" si="105"/>
        <v>15.98</v>
      </c>
      <c r="M3523" s="716">
        <f t="shared" si="106"/>
        <v>15.98</v>
      </c>
    </row>
    <row r="3524" spans="2:13" s="645" customFormat="1" ht="21.75" customHeight="1">
      <c r="B3524" s="708">
        <v>44468</v>
      </c>
      <c r="C3524" s="709" t="s">
        <v>819</v>
      </c>
      <c r="D3524" s="710" t="s">
        <v>878</v>
      </c>
      <c r="E3524" s="711" t="s">
        <v>831</v>
      </c>
      <c r="F3524" s="712"/>
      <c r="G3524" s="710">
        <v>15</v>
      </c>
      <c r="H3524" s="709" t="s">
        <v>807</v>
      </c>
      <c r="I3524" s="713" t="s">
        <v>863</v>
      </c>
      <c r="J3524" s="714" t="s">
        <v>802</v>
      </c>
      <c r="K3524" s="709">
        <v>1</v>
      </c>
      <c r="L3524" s="715">
        <f t="shared" si="105"/>
        <v>14.1</v>
      </c>
      <c r="M3524" s="716">
        <f t="shared" si="106"/>
        <v>14.1</v>
      </c>
    </row>
    <row r="3525" spans="2:13" s="645" customFormat="1" ht="21.75" customHeight="1">
      <c r="B3525" s="708">
        <v>44468</v>
      </c>
      <c r="C3525" s="709" t="s">
        <v>819</v>
      </c>
      <c r="D3525" s="710" t="s">
        <v>855</v>
      </c>
      <c r="E3525" s="711" t="s">
        <v>831</v>
      </c>
      <c r="F3525" s="712"/>
      <c r="G3525" s="710">
        <v>20</v>
      </c>
      <c r="H3525" s="709" t="s">
        <v>807</v>
      </c>
      <c r="I3525" s="713" t="s">
        <v>832</v>
      </c>
      <c r="J3525" s="714" t="s">
        <v>802</v>
      </c>
      <c r="K3525" s="709">
        <v>4</v>
      </c>
      <c r="L3525" s="715">
        <f t="shared" si="105"/>
        <v>18.8</v>
      </c>
      <c r="M3525" s="716">
        <f t="shared" si="106"/>
        <v>75.2</v>
      </c>
    </row>
    <row r="3526" spans="2:13" s="645" customFormat="1" ht="21.75" customHeight="1">
      <c r="B3526" s="708">
        <v>44468</v>
      </c>
      <c r="C3526" s="709" t="s">
        <v>819</v>
      </c>
      <c r="D3526" s="710" t="s">
        <v>855</v>
      </c>
      <c r="E3526" s="711" t="s">
        <v>831</v>
      </c>
      <c r="F3526" s="712"/>
      <c r="G3526" s="710">
        <v>20</v>
      </c>
      <c r="H3526" s="709" t="s">
        <v>807</v>
      </c>
      <c r="I3526" s="713" t="s">
        <v>863</v>
      </c>
      <c r="J3526" s="714" t="s">
        <v>802</v>
      </c>
      <c r="K3526" s="709">
        <v>1</v>
      </c>
      <c r="L3526" s="715">
        <f t="shared" si="105"/>
        <v>18.8</v>
      </c>
      <c r="M3526" s="716">
        <f t="shared" si="106"/>
        <v>18.8</v>
      </c>
    </row>
    <row r="3527" spans="2:13" s="645" customFormat="1" ht="21.75" customHeight="1">
      <c r="B3527" s="708">
        <v>44468</v>
      </c>
      <c r="C3527" s="709" t="s">
        <v>819</v>
      </c>
      <c r="D3527" s="710" t="s">
        <v>867</v>
      </c>
      <c r="E3527" s="711" t="s">
        <v>831</v>
      </c>
      <c r="F3527" s="712"/>
      <c r="G3527" s="710">
        <v>20</v>
      </c>
      <c r="H3527" s="709" t="s">
        <v>807</v>
      </c>
      <c r="I3527" s="713" t="s">
        <v>863</v>
      </c>
      <c r="J3527" s="714" t="s">
        <v>802</v>
      </c>
      <c r="K3527" s="709">
        <v>3</v>
      </c>
      <c r="L3527" s="715">
        <f t="shared" si="105"/>
        <v>18.8</v>
      </c>
      <c r="M3527" s="716">
        <f t="shared" si="106"/>
        <v>56.400000000000006</v>
      </c>
    </row>
    <row r="3528" spans="2:13" s="645" customFormat="1" ht="21.75" customHeight="1">
      <c r="B3528" s="708">
        <v>44468</v>
      </c>
      <c r="C3528" s="709" t="s">
        <v>819</v>
      </c>
      <c r="D3528" s="710" t="s">
        <v>868</v>
      </c>
      <c r="E3528" s="711" t="s">
        <v>831</v>
      </c>
      <c r="F3528" s="712"/>
      <c r="G3528" s="710">
        <v>20</v>
      </c>
      <c r="H3528" s="709" t="s">
        <v>807</v>
      </c>
      <c r="I3528" s="713" t="s">
        <v>832</v>
      </c>
      <c r="J3528" s="714" t="s">
        <v>802</v>
      </c>
      <c r="K3528" s="709">
        <v>3</v>
      </c>
      <c r="L3528" s="715">
        <f t="shared" si="105"/>
        <v>18.8</v>
      </c>
      <c r="M3528" s="716">
        <f t="shared" si="106"/>
        <v>56.400000000000006</v>
      </c>
    </row>
    <row r="3529" spans="2:13" s="645" customFormat="1" ht="21.75" customHeight="1">
      <c r="B3529" s="708">
        <v>44468</v>
      </c>
      <c r="C3529" s="709" t="s">
        <v>819</v>
      </c>
      <c r="D3529" s="710" t="s">
        <v>868</v>
      </c>
      <c r="E3529" s="711" t="s">
        <v>831</v>
      </c>
      <c r="F3529" s="712"/>
      <c r="G3529" s="710">
        <v>20</v>
      </c>
      <c r="H3529" s="709" t="s">
        <v>807</v>
      </c>
      <c r="I3529" s="713" t="s">
        <v>857</v>
      </c>
      <c r="J3529" s="714" t="s">
        <v>802</v>
      </c>
      <c r="K3529" s="709">
        <v>2</v>
      </c>
      <c r="L3529" s="715">
        <f t="shared" ref="L3529:L3592" si="107">VLOOKUP(G3529,$Q$4:$V$7,6,FALSE)</f>
        <v>18.8</v>
      </c>
      <c r="M3529" s="716">
        <f t="shared" si="106"/>
        <v>37.6</v>
      </c>
    </row>
    <row r="3530" spans="2:13" s="645" customFormat="1" ht="21.75" customHeight="1">
      <c r="B3530" s="708">
        <v>44468</v>
      </c>
      <c r="C3530" s="709" t="s">
        <v>819</v>
      </c>
      <c r="D3530" s="710" t="s">
        <v>870</v>
      </c>
      <c r="E3530" s="711" t="s">
        <v>831</v>
      </c>
      <c r="F3530" s="712"/>
      <c r="G3530" s="710">
        <v>20</v>
      </c>
      <c r="H3530" s="709" t="s">
        <v>807</v>
      </c>
      <c r="I3530" s="713" t="s">
        <v>863</v>
      </c>
      <c r="J3530" s="714" t="s">
        <v>802</v>
      </c>
      <c r="K3530" s="709">
        <v>4</v>
      </c>
      <c r="L3530" s="715">
        <f t="shared" si="107"/>
        <v>18.8</v>
      </c>
      <c r="M3530" s="716">
        <f t="shared" si="106"/>
        <v>75.2</v>
      </c>
    </row>
    <row r="3531" spans="2:13" s="645" customFormat="1" ht="21.75" customHeight="1">
      <c r="B3531" s="708">
        <v>44468</v>
      </c>
      <c r="C3531" s="709" t="s">
        <v>819</v>
      </c>
      <c r="D3531" s="710" t="s">
        <v>873</v>
      </c>
      <c r="E3531" s="711" t="s">
        <v>831</v>
      </c>
      <c r="F3531" s="712"/>
      <c r="G3531" s="710">
        <v>20</v>
      </c>
      <c r="H3531" s="709" t="s">
        <v>807</v>
      </c>
      <c r="I3531" s="713" t="s">
        <v>863</v>
      </c>
      <c r="J3531" s="714" t="s">
        <v>802</v>
      </c>
      <c r="K3531" s="709">
        <v>1</v>
      </c>
      <c r="L3531" s="715">
        <f t="shared" si="107"/>
        <v>18.8</v>
      </c>
      <c r="M3531" s="716">
        <f t="shared" si="106"/>
        <v>18.8</v>
      </c>
    </row>
    <row r="3532" spans="2:13" s="645" customFormat="1" ht="21.75" customHeight="1">
      <c r="B3532" s="708">
        <v>44468</v>
      </c>
      <c r="C3532" s="709" t="s">
        <v>837</v>
      </c>
      <c r="D3532" s="710" t="s">
        <v>855</v>
      </c>
      <c r="E3532" s="711" t="s">
        <v>831</v>
      </c>
      <c r="F3532" s="712"/>
      <c r="G3532" s="710">
        <v>20</v>
      </c>
      <c r="H3532" s="709" t="s">
        <v>807</v>
      </c>
      <c r="I3532" s="713" t="s">
        <v>832</v>
      </c>
      <c r="J3532" s="714" t="s">
        <v>802</v>
      </c>
      <c r="K3532" s="709">
        <v>1</v>
      </c>
      <c r="L3532" s="715">
        <f t="shared" si="107"/>
        <v>18.8</v>
      </c>
      <c r="M3532" s="716">
        <f t="shared" si="106"/>
        <v>18.8</v>
      </c>
    </row>
    <row r="3533" spans="2:13" s="645" customFormat="1" ht="21.75" customHeight="1">
      <c r="B3533" s="708">
        <v>44468</v>
      </c>
      <c r="C3533" s="709" t="s">
        <v>837</v>
      </c>
      <c r="D3533" s="710" t="s">
        <v>848</v>
      </c>
      <c r="E3533" s="711" t="s">
        <v>831</v>
      </c>
      <c r="F3533" s="712"/>
      <c r="G3533" s="710">
        <v>20</v>
      </c>
      <c r="H3533" s="709" t="s">
        <v>807</v>
      </c>
      <c r="I3533" s="713" t="s">
        <v>832</v>
      </c>
      <c r="J3533" s="714" t="s">
        <v>802</v>
      </c>
      <c r="K3533" s="709">
        <v>1</v>
      </c>
      <c r="L3533" s="715">
        <f t="shared" si="107"/>
        <v>18.8</v>
      </c>
      <c r="M3533" s="716">
        <f t="shared" si="106"/>
        <v>18.8</v>
      </c>
    </row>
    <row r="3534" spans="2:13" s="645" customFormat="1" ht="21.75" customHeight="1">
      <c r="B3534" s="717">
        <v>44468</v>
      </c>
      <c r="C3534" s="718" t="s">
        <v>819</v>
      </c>
      <c r="D3534" s="719" t="s">
        <v>847</v>
      </c>
      <c r="E3534" s="720" t="s">
        <v>831</v>
      </c>
      <c r="F3534" s="721"/>
      <c r="G3534" s="719">
        <v>17</v>
      </c>
      <c r="H3534" s="718" t="s">
        <v>806</v>
      </c>
      <c r="I3534" s="722" t="s">
        <v>890</v>
      </c>
      <c r="J3534" s="723" t="s">
        <v>892</v>
      </c>
      <c r="K3534" s="718">
        <v>6</v>
      </c>
      <c r="L3534" s="724">
        <f t="shared" si="107"/>
        <v>15.98</v>
      </c>
      <c r="M3534" s="725">
        <f t="shared" si="106"/>
        <v>95.88</v>
      </c>
    </row>
    <row r="3535" spans="2:13" s="645" customFormat="1" ht="21.75" customHeight="1">
      <c r="B3535" s="717">
        <v>44468</v>
      </c>
      <c r="C3535" s="718" t="s">
        <v>819</v>
      </c>
      <c r="D3535" s="719" t="s">
        <v>856</v>
      </c>
      <c r="E3535" s="720" t="s">
        <v>831</v>
      </c>
      <c r="F3535" s="721"/>
      <c r="G3535" s="719">
        <v>20</v>
      </c>
      <c r="H3535" s="718" t="s">
        <v>806</v>
      </c>
      <c r="I3535" s="722" t="s">
        <v>890</v>
      </c>
      <c r="J3535" s="723" t="s">
        <v>892</v>
      </c>
      <c r="K3535" s="718">
        <v>1</v>
      </c>
      <c r="L3535" s="724">
        <f t="shared" si="107"/>
        <v>18.8</v>
      </c>
      <c r="M3535" s="725">
        <f t="shared" si="106"/>
        <v>18.8</v>
      </c>
    </row>
    <row r="3536" spans="2:13" s="645" customFormat="1" ht="21.75" customHeight="1">
      <c r="B3536" s="717">
        <v>44468</v>
      </c>
      <c r="C3536" s="718" t="s">
        <v>819</v>
      </c>
      <c r="D3536" s="719" t="s">
        <v>873</v>
      </c>
      <c r="E3536" s="720" t="s">
        <v>831</v>
      </c>
      <c r="F3536" s="721"/>
      <c r="G3536" s="719">
        <v>20</v>
      </c>
      <c r="H3536" s="718" t="s">
        <v>806</v>
      </c>
      <c r="I3536" s="722" t="s">
        <v>890</v>
      </c>
      <c r="J3536" s="723" t="s">
        <v>892</v>
      </c>
      <c r="K3536" s="718">
        <v>4</v>
      </c>
      <c r="L3536" s="724">
        <f t="shared" si="107"/>
        <v>18.8</v>
      </c>
      <c r="M3536" s="725">
        <f t="shared" si="106"/>
        <v>75.2</v>
      </c>
    </row>
    <row r="3537" spans="2:13" s="645" customFormat="1" ht="21.75" customHeight="1">
      <c r="B3537" s="661">
        <v>44469</v>
      </c>
      <c r="C3537" s="662" t="s">
        <v>819</v>
      </c>
      <c r="D3537" s="663" t="s">
        <v>835</v>
      </c>
      <c r="E3537" s="664" t="s">
        <v>831</v>
      </c>
      <c r="F3537" s="665"/>
      <c r="G3537" s="663">
        <v>20</v>
      </c>
      <c r="H3537" s="662" t="s">
        <v>807</v>
      </c>
      <c r="I3537" s="666" t="s">
        <v>863</v>
      </c>
      <c r="J3537" s="667" t="s">
        <v>865</v>
      </c>
      <c r="K3537" s="662">
        <v>1</v>
      </c>
      <c r="L3537" s="685">
        <f t="shared" si="107"/>
        <v>18.8</v>
      </c>
      <c r="M3537" s="686">
        <f t="shared" si="106"/>
        <v>18.8</v>
      </c>
    </row>
    <row r="3538" spans="2:13" s="645" customFormat="1" ht="21.75" customHeight="1">
      <c r="B3538" s="661">
        <v>44469</v>
      </c>
      <c r="C3538" s="662" t="s">
        <v>819</v>
      </c>
      <c r="D3538" s="663" t="s">
        <v>841</v>
      </c>
      <c r="E3538" s="664" t="s">
        <v>831</v>
      </c>
      <c r="F3538" s="665"/>
      <c r="G3538" s="663">
        <v>20</v>
      </c>
      <c r="H3538" s="662" t="s">
        <v>807</v>
      </c>
      <c r="I3538" s="666" t="s">
        <v>863</v>
      </c>
      <c r="J3538" s="667" t="s">
        <v>865</v>
      </c>
      <c r="K3538" s="662">
        <v>2</v>
      </c>
      <c r="L3538" s="685">
        <f t="shared" si="107"/>
        <v>18.8</v>
      </c>
      <c r="M3538" s="686">
        <f t="shared" si="106"/>
        <v>37.6</v>
      </c>
    </row>
    <row r="3539" spans="2:13" s="645" customFormat="1" ht="21.75" customHeight="1">
      <c r="B3539" s="661">
        <v>44469</v>
      </c>
      <c r="C3539" s="662" t="s">
        <v>819</v>
      </c>
      <c r="D3539" s="663" t="s">
        <v>848</v>
      </c>
      <c r="E3539" s="664" t="s">
        <v>831</v>
      </c>
      <c r="F3539" s="665"/>
      <c r="G3539" s="663">
        <v>20</v>
      </c>
      <c r="H3539" s="662" t="s">
        <v>807</v>
      </c>
      <c r="I3539" s="666" t="s">
        <v>863</v>
      </c>
      <c r="J3539" s="667" t="s">
        <v>865</v>
      </c>
      <c r="K3539" s="662">
        <v>3</v>
      </c>
      <c r="L3539" s="685">
        <f t="shared" si="107"/>
        <v>18.8</v>
      </c>
      <c r="M3539" s="686">
        <f t="shared" si="106"/>
        <v>56.400000000000006</v>
      </c>
    </row>
    <row r="3540" spans="2:13" s="645" customFormat="1" ht="21.75" customHeight="1">
      <c r="B3540" s="661">
        <v>44469</v>
      </c>
      <c r="C3540" s="662" t="s">
        <v>819</v>
      </c>
      <c r="D3540" s="663" t="s">
        <v>836</v>
      </c>
      <c r="E3540" s="664" t="s">
        <v>831</v>
      </c>
      <c r="F3540" s="665"/>
      <c r="G3540" s="663">
        <v>20</v>
      </c>
      <c r="H3540" s="662" t="s">
        <v>807</v>
      </c>
      <c r="I3540" s="666" t="s">
        <v>863</v>
      </c>
      <c r="J3540" s="667" t="s">
        <v>865</v>
      </c>
      <c r="K3540" s="662">
        <v>1</v>
      </c>
      <c r="L3540" s="685">
        <f t="shared" si="107"/>
        <v>18.8</v>
      </c>
      <c r="M3540" s="686">
        <f t="shared" si="106"/>
        <v>18.8</v>
      </c>
    </row>
    <row r="3541" spans="2:13" s="645" customFormat="1" ht="21.75" customHeight="1">
      <c r="B3541" s="661">
        <v>44469</v>
      </c>
      <c r="C3541" s="662" t="s">
        <v>819</v>
      </c>
      <c r="D3541" s="663" t="s">
        <v>830</v>
      </c>
      <c r="E3541" s="664" t="s">
        <v>831</v>
      </c>
      <c r="F3541" s="665"/>
      <c r="G3541" s="663">
        <v>15</v>
      </c>
      <c r="H3541" s="662" t="s">
        <v>807</v>
      </c>
      <c r="I3541" s="666" t="s">
        <v>863</v>
      </c>
      <c r="J3541" s="667" t="s">
        <v>865</v>
      </c>
      <c r="K3541" s="662">
        <v>2</v>
      </c>
      <c r="L3541" s="685">
        <f t="shared" si="107"/>
        <v>14.1</v>
      </c>
      <c r="M3541" s="686">
        <f t="shared" si="106"/>
        <v>28.2</v>
      </c>
    </row>
    <row r="3542" spans="2:13" s="645" customFormat="1" ht="21.75" customHeight="1">
      <c r="B3542" s="661">
        <v>44469</v>
      </c>
      <c r="C3542" s="662" t="s">
        <v>819</v>
      </c>
      <c r="D3542" s="663" t="s">
        <v>839</v>
      </c>
      <c r="E3542" s="664" t="s">
        <v>831</v>
      </c>
      <c r="F3542" s="665"/>
      <c r="G3542" s="663">
        <v>15</v>
      </c>
      <c r="H3542" s="662" t="s">
        <v>807</v>
      </c>
      <c r="I3542" s="666" t="s">
        <v>863</v>
      </c>
      <c r="J3542" s="667" t="s">
        <v>865</v>
      </c>
      <c r="K3542" s="662">
        <v>3</v>
      </c>
      <c r="L3542" s="685">
        <f t="shared" si="107"/>
        <v>14.1</v>
      </c>
      <c r="M3542" s="686">
        <f t="shared" si="106"/>
        <v>42.3</v>
      </c>
    </row>
    <row r="3543" spans="2:13" s="645" customFormat="1" ht="21.75" customHeight="1">
      <c r="B3543" s="661">
        <v>44469</v>
      </c>
      <c r="C3543" s="662" t="s">
        <v>819</v>
      </c>
      <c r="D3543" s="663" t="s">
        <v>847</v>
      </c>
      <c r="E3543" s="664" t="s">
        <v>831</v>
      </c>
      <c r="F3543" s="665"/>
      <c r="G3543" s="663">
        <v>17</v>
      </c>
      <c r="H3543" s="662" t="s">
        <v>807</v>
      </c>
      <c r="I3543" s="666" t="s">
        <v>863</v>
      </c>
      <c r="J3543" s="667" t="s">
        <v>865</v>
      </c>
      <c r="K3543" s="662">
        <v>2</v>
      </c>
      <c r="L3543" s="685">
        <f t="shared" si="107"/>
        <v>15.98</v>
      </c>
      <c r="M3543" s="686">
        <f t="shared" si="106"/>
        <v>31.96</v>
      </c>
    </row>
    <row r="3544" spans="2:13" s="645" customFormat="1" ht="21.75" customHeight="1">
      <c r="B3544" s="661">
        <v>44469</v>
      </c>
      <c r="C3544" s="662" t="s">
        <v>819</v>
      </c>
      <c r="D3544" s="663" t="s">
        <v>856</v>
      </c>
      <c r="E3544" s="664" t="s">
        <v>831</v>
      </c>
      <c r="F3544" s="665"/>
      <c r="G3544" s="663">
        <v>20</v>
      </c>
      <c r="H3544" s="662" t="s">
        <v>807</v>
      </c>
      <c r="I3544" s="666" t="s">
        <v>832</v>
      </c>
      <c r="J3544" s="667" t="s">
        <v>865</v>
      </c>
      <c r="K3544" s="662">
        <v>1</v>
      </c>
      <c r="L3544" s="685">
        <f t="shared" si="107"/>
        <v>18.8</v>
      </c>
      <c r="M3544" s="686">
        <f t="shared" si="106"/>
        <v>18.8</v>
      </c>
    </row>
    <row r="3545" spans="2:13" s="645" customFormat="1" ht="21.75" customHeight="1">
      <c r="B3545" s="661">
        <v>44469</v>
      </c>
      <c r="C3545" s="662" t="s">
        <v>819</v>
      </c>
      <c r="D3545" s="663" t="s">
        <v>856</v>
      </c>
      <c r="E3545" s="664" t="s">
        <v>831</v>
      </c>
      <c r="F3545" s="665"/>
      <c r="G3545" s="663">
        <v>20</v>
      </c>
      <c r="H3545" s="662" t="s">
        <v>807</v>
      </c>
      <c r="I3545" s="666" t="s">
        <v>805</v>
      </c>
      <c r="J3545" s="667" t="s">
        <v>865</v>
      </c>
      <c r="K3545" s="662">
        <v>1</v>
      </c>
      <c r="L3545" s="685">
        <f t="shared" si="107"/>
        <v>18.8</v>
      </c>
      <c r="M3545" s="686">
        <f t="shared" si="106"/>
        <v>18.8</v>
      </c>
    </row>
    <row r="3546" spans="2:13" s="645" customFormat="1" ht="21.75" customHeight="1">
      <c r="B3546" s="661">
        <v>44469</v>
      </c>
      <c r="C3546" s="662" t="s">
        <v>819</v>
      </c>
      <c r="D3546" s="663" t="s">
        <v>878</v>
      </c>
      <c r="E3546" s="664" t="s">
        <v>831</v>
      </c>
      <c r="F3546" s="665"/>
      <c r="G3546" s="663">
        <v>15</v>
      </c>
      <c r="H3546" s="662" t="s">
        <v>807</v>
      </c>
      <c r="I3546" s="666" t="s">
        <v>863</v>
      </c>
      <c r="J3546" s="667" t="s">
        <v>865</v>
      </c>
      <c r="K3546" s="662">
        <v>1</v>
      </c>
      <c r="L3546" s="685">
        <f t="shared" si="107"/>
        <v>14.1</v>
      </c>
      <c r="M3546" s="686">
        <f t="shared" si="106"/>
        <v>14.1</v>
      </c>
    </row>
    <row r="3547" spans="2:13" s="645" customFormat="1" ht="21.75" customHeight="1">
      <c r="B3547" s="661">
        <v>44469</v>
      </c>
      <c r="C3547" s="662" t="s">
        <v>819</v>
      </c>
      <c r="D3547" s="663" t="s">
        <v>867</v>
      </c>
      <c r="E3547" s="664" t="s">
        <v>831</v>
      </c>
      <c r="F3547" s="665"/>
      <c r="G3547" s="663">
        <v>20</v>
      </c>
      <c r="H3547" s="662" t="s">
        <v>807</v>
      </c>
      <c r="I3547" s="666" t="s">
        <v>863</v>
      </c>
      <c r="J3547" s="667" t="s">
        <v>865</v>
      </c>
      <c r="K3547" s="662">
        <v>2</v>
      </c>
      <c r="L3547" s="685">
        <f t="shared" si="107"/>
        <v>18.8</v>
      </c>
      <c r="M3547" s="686">
        <f t="shared" si="106"/>
        <v>37.6</v>
      </c>
    </row>
    <row r="3548" spans="2:13" s="645" customFormat="1" ht="21.75" customHeight="1">
      <c r="B3548" s="661">
        <v>44469</v>
      </c>
      <c r="C3548" s="662" t="s">
        <v>819</v>
      </c>
      <c r="D3548" s="663" t="s">
        <v>873</v>
      </c>
      <c r="E3548" s="664" t="s">
        <v>831</v>
      </c>
      <c r="F3548" s="665"/>
      <c r="G3548" s="663">
        <v>20</v>
      </c>
      <c r="H3548" s="662" t="s">
        <v>807</v>
      </c>
      <c r="I3548" s="666" t="s">
        <v>863</v>
      </c>
      <c r="J3548" s="667" t="s">
        <v>865</v>
      </c>
      <c r="K3548" s="662">
        <v>2</v>
      </c>
      <c r="L3548" s="685">
        <f t="shared" si="107"/>
        <v>18.8</v>
      </c>
      <c r="M3548" s="686">
        <f t="shared" si="106"/>
        <v>37.6</v>
      </c>
    </row>
    <row r="3549" spans="2:13" s="645" customFormat="1" ht="21.75" customHeight="1">
      <c r="B3549" s="661">
        <v>44469</v>
      </c>
      <c r="C3549" s="662" t="s">
        <v>819</v>
      </c>
      <c r="D3549" s="663" t="s">
        <v>873</v>
      </c>
      <c r="E3549" s="664" t="s">
        <v>831</v>
      </c>
      <c r="F3549" s="665"/>
      <c r="G3549" s="663">
        <v>20</v>
      </c>
      <c r="H3549" s="662" t="s">
        <v>807</v>
      </c>
      <c r="I3549" s="666" t="s">
        <v>805</v>
      </c>
      <c r="J3549" s="667" t="s">
        <v>865</v>
      </c>
      <c r="K3549" s="662">
        <v>1</v>
      </c>
      <c r="L3549" s="685">
        <f t="shared" si="107"/>
        <v>18.8</v>
      </c>
      <c r="M3549" s="686">
        <f t="shared" si="106"/>
        <v>18.8</v>
      </c>
    </row>
    <row r="3550" spans="2:13" s="645" customFormat="1" ht="21.75" customHeight="1">
      <c r="B3550" s="708">
        <v>44469</v>
      </c>
      <c r="C3550" s="709" t="s">
        <v>819</v>
      </c>
      <c r="D3550" s="710" t="s">
        <v>840</v>
      </c>
      <c r="E3550" s="711" t="s">
        <v>831</v>
      </c>
      <c r="F3550" s="712"/>
      <c r="G3550" s="710">
        <v>20</v>
      </c>
      <c r="H3550" s="709" t="s">
        <v>807</v>
      </c>
      <c r="I3550" s="713" t="s">
        <v>832</v>
      </c>
      <c r="J3550" s="714" t="s">
        <v>802</v>
      </c>
      <c r="K3550" s="709">
        <v>7</v>
      </c>
      <c r="L3550" s="715">
        <f t="shared" si="107"/>
        <v>18.8</v>
      </c>
      <c r="M3550" s="716">
        <f t="shared" si="106"/>
        <v>131.6</v>
      </c>
    </row>
    <row r="3551" spans="2:13" s="645" customFormat="1" ht="21.75" customHeight="1">
      <c r="B3551" s="708">
        <v>44469</v>
      </c>
      <c r="C3551" s="709" t="s">
        <v>819</v>
      </c>
      <c r="D3551" s="710" t="s">
        <v>835</v>
      </c>
      <c r="E3551" s="711" t="s">
        <v>831</v>
      </c>
      <c r="F3551" s="712"/>
      <c r="G3551" s="710">
        <v>20</v>
      </c>
      <c r="H3551" s="709" t="s">
        <v>807</v>
      </c>
      <c r="I3551" s="713" t="s">
        <v>832</v>
      </c>
      <c r="J3551" s="714" t="s">
        <v>802</v>
      </c>
      <c r="K3551" s="709">
        <v>8</v>
      </c>
      <c r="L3551" s="715">
        <f t="shared" si="107"/>
        <v>18.8</v>
      </c>
      <c r="M3551" s="716">
        <f t="shared" si="106"/>
        <v>150.4</v>
      </c>
    </row>
    <row r="3552" spans="2:13" s="645" customFormat="1" ht="21.75" customHeight="1">
      <c r="B3552" s="708">
        <v>44469</v>
      </c>
      <c r="C3552" s="709" t="s">
        <v>819</v>
      </c>
      <c r="D3552" s="710" t="s">
        <v>834</v>
      </c>
      <c r="E3552" s="711" t="s">
        <v>831</v>
      </c>
      <c r="F3552" s="712"/>
      <c r="G3552" s="710">
        <v>20</v>
      </c>
      <c r="H3552" s="709" t="s">
        <v>807</v>
      </c>
      <c r="I3552" s="713" t="s">
        <v>832</v>
      </c>
      <c r="J3552" s="714" t="s">
        <v>802</v>
      </c>
      <c r="K3552" s="709">
        <v>5</v>
      </c>
      <c r="L3552" s="715">
        <f t="shared" si="107"/>
        <v>18.8</v>
      </c>
      <c r="M3552" s="716">
        <f t="shared" si="106"/>
        <v>94</v>
      </c>
    </row>
    <row r="3553" spans="2:13" s="645" customFormat="1" ht="21.75" customHeight="1">
      <c r="B3553" s="708">
        <v>44469</v>
      </c>
      <c r="C3553" s="709" t="s">
        <v>819</v>
      </c>
      <c r="D3553" s="710" t="s">
        <v>856</v>
      </c>
      <c r="E3553" s="711" t="s">
        <v>831</v>
      </c>
      <c r="F3553" s="712"/>
      <c r="G3553" s="710">
        <v>20</v>
      </c>
      <c r="H3553" s="709" t="s">
        <v>807</v>
      </c>
      <c r="I3553" s="713" t="s">
        <v>832</v>
      </c>
      <c r="J3553" s="714" t="s">
        <v>802</v>
      </c>
      <c r="K3553" s="709">
        <v>6</v>
      </c>
      <c r="L3553" s="715">
        <f t="shared" si="107"/>
        <v>18.8</v>
      </c>
      <c r="M3553" s="716">
        <f t="shared" si="106"/>
        <v>112.80000000000001</v>
      </c>
    </row>
    <row r="3554" spans="2:13" s="645" customFormat="1" ht="21.75" customHeight="1">
      <c r="B3554" s="708">
        <v>44469</v>
      </c>
      <c r="C3554" s="709" t="s">
        <v>819</v>
      </c>
      <c r="D3554" s="710" t="s">
        <v>876</v>
      </c>
      <c r="E3554" s="711" t="s">
        <v>831</v>
      </c>
      <c r="F3554" s="712"/>
      <c r="G3554" s="710">
        <v>20</v>
      </c>
      <c r="H3554" s="709" t="s">
        <v>807</v>
      </c>
      <c r="I3554" s="713" t="s">
        <v>832</v>
      </c>
      <c r="J3554" s="714" t="s">
        <v>802</v>
      </c>
      <c r="K3554" s="709">
        <v>7</v>
      </c>
      <c r="L3554" s="715">
        <f t="shared" si="107"/>
        <v>18.8</v>
      </c>
      <c r="M3554" s="716">
        <f t="shared" si="106"/>
        <v>131.6</v>
      </c>
    </row>
    <row r="3555" spans="2:13" s="645" customFormat="1" ht="21.75" customHeight="1">
      <c r="B3555" s="708">
        <v>44469</v>
      </c>
      <c r="C3555" s="709" t="s">
        <v>837</v>
      </c>
      <c r="D3555" s="710" t="s">
        <v>849</v>
      </c>
      <c r="E3555" s="711" t="s">
        <v>831</v>
      </c>
      <c r="F3555" s="712"/>
      <c r="G3555" s="710">
        <v>20</v>
      </c>
      <c r="H3555" s="709" t="s">
        <v>807</v>
      </c>
      <c r="I3555" s="713" t="s">
        <v>863</v>
      </c>
      <c r="J3555" s="714" t="s">
        <v>802</v>
      </c>
      <c r="K3555" s="709">
        <v>10</v>
      </c>
      <c r="L3555" s="715">
        <f t="shared" si="107"/>
        <v>18.8</v>
      </c>
      <c r="M3555" s="716">
        <f t="shared" si="106"/>
        <v>188</v>
      </c>
    </row>
    <row r="3556" spans="2:13" s="645" customFormat="1" ht="21.75" customHeight="1">
      <c r="B3556" s="708">
        <v>44469</v>
      </c>
      <c r="C3556" s="709" t="s">
        <v>837</v>
      </c>
      <c r="D3556" s="710" t="s">
        <v>834</v>
      </c>
      <c r="E3556" s="711" t="s">
        <v>831</v>
      </c>
      <c r="F3556" s="712"/>
      <c r="G3556" s="710">
        <v>20</v>
      </c>
      <c r="H3556" s="709" t="s">
        <v>807</v>
      </c>
      <c r="I3556" s="713" t="s">
        <v>863</v>
      </c>
      <c r="J3556" s="714" t="s">
        <v>802</v>
      </c>
      <c r="K3556" s="709">
        <v>10</v>
      </c>
      <c r="L3556" s="715">
        <f t="shared" si="107"/>
        <v>18.8</v>
      </c>
      <c r="M3556" s="716">
        <f t="shared" si="106"/>
        <v>188</v>
      </c>
    </row>
    <row r="3557" spans="2:13" s="645" customFormat="1" ht="21.75" customHeight="1">
      <c r="B3557" s="708">
        <v>44469</v>
      </c>
      <c r="C3557" s="709" t="s">
        <v>837</v>
      </c>
      <c r="D3557" s="710" t="s">
        <v>835</v>
      </c>
      <c r="E3557" s="711" t="s">
        <v>831</v>
      </c>
      <c r="F3557" s="712"/>
      <c r="G3557" s="710">
        <v>20</v>
      </c>
      <c r="H3557" s="709" t="s">
        <v>807</v>
      </c>
      <c r="I3557" s="713" t="s">
        <v>857</v>
      </c>
      <c r="J3557" s="714" t="s">
        <v>802</v>
      </c>
      <c r="K3557" s="709">
        <v>10</v>
      </c>
      <c r="L3557" s="715">
        <f t="shared" si="107"/>
        <v>18.8</v>
      </c>
      <c r="M3557" s="716">
        <f t="shared" si="106"/>
        <v>188</v>
      </c>
    </row>
    <row r="3558" spans="2:13" s="645" customFormat="1" ht="21.75" customHeight="1">
      <c r="B3558" s="708">
        <v>44469</v>
      </c>
      <c r="C3558" s="709" t="s">
        <v>837</v>
      </c>
      <c r="D3558" s="710" t="s">
        <v>841</v>
      </c>
      <c r="E3558" s="711" t="s">
        <v>831</v>
      </c>
      <c r="F3558" s="712"/>
      <c r="G3558" s="710">
        <v>20</v>
      </c>
      <c r="H3558" s="709" t="s">
        <v>807</v>
      </c>
      <c r="I3558" s="713" t="s">
        <v>863</v>
      </c>
      <c r="J3558" s="714" t="s">
        <v>802</v>
      </c>
      <c r="K3558" s="709">
        <v>10</v>
      </c>
      <c r="L3558" s="715">
        <f t="shared" si="107"/>
        <v>18.8</v>
      </c>
      <c r="M3558" s="716">
        <f t="shared" si="106"/>
        <v>188</v>
      </c>
    </row>
    <row r="3559" spans="2:13" s="645" customFormat="1" ht="21.75" customHeight="1">
      <c r="B3559" s="708">
        <v>44469</v>
      </c>
      <c r="C3559" s="709" t="s">
        <v>837</v>
      </c>
      <c r="D3559" s="710" t="s">
        <v>848</v>
      </c>
      <c r="E3559" s="711" t="s">
        <v>831</v>
      </c>
      <c r="F3559" s="712"/>
      <c r="G3559" s="710">
        <v>20</v>
      </c>
      <c r="H3559" s="709" t="s">
        <v>807</v>
      </c>
      <c r="I3559" s="713" t="s">
        <v>863</v>
      </c>
      <c r="J3559" s="714" t="s">
        <v>802</v>
      </c>
      <c r="K3559" s="709">
        <v>10</v>
      </c>
      <c r="L3559" s="715">
        <f t="shared" si="107"/>
        <v>18.8</v>
      </c>
      <c r="M3559" s="716">
        <f t="shared" ref="M3559:M3622" si="108">L3559*K3559</f>
        <v>188</v>
      </c>
    </row>
    <row r="3560" spans="2:13" s="645" customFormat="1" ht="21.75" customHeight="1">
      <c r="B3560" s="708">
        <v>44469</v>
      </c>
      <c r="C3560" s="709" t="s">
        <v>837</v>
      </c>
      <c r="D3560" s="710" t="s">
        <v>839</v>
      </c>
      <c r="E3560" s="711" t="s">
        <v>831</v>
      </c>
      <c r="F3560" s="712"/>
      <c r="G3560" s="710">
        <v>15</v>
      </c>
      <c r="H3560" s="709" t="s">
        <v>807</v>
      </c>
      <c r="I3560" s="713" t="s">
        <v>863</v>
      </c>
      <c r="J3560" s="714" t="s">
        <v>802</v>
      </c>
      <c r="K3560" s="709">
        <v>10</v>
      </c>
      <c r="L3560" s="715">
        <f t="shared" si="107"/>
        <v>14.1</v>
      </c>
      <c r="M3560" s="716">
        <f t="shared" si="108"/>
        <v>141</v>
      </c>
    </row>
    <row r="3561" spans="2:13" s="645" customFormat="1" ht="21.75" customHeight="1">
      <c r="B3561" s="708">
        <v>44469</v>
      </c>
      <c r="C3561" s="709" t="s">
        <v>837</v>
      </c>
      <c r="D3561" s="710" t="s">
        <v>845</v>
      </c>
      <c r="E3561" s="711" t="s">
        <v>831</v>
      </c>
      <c r="F3561" s="712"/>
      <c r="G3561" s="710">
        <v>17</v>
      </c>
      <c r="H3561" s="709" t="s">
        <v>807</v>
      </c>
      <c r="I3561" s="713" t="s">
        <v>863</v>
      </c>
      <c r="J3561" s="714" t="s">
        <v>802</v>
      </c>
      <c r="K3561" s="709">
        <v>11</v>
      </c>
      <c r="L3561" s="715">
        <f t="shared" si="107"/>
        <v>15.98</v>
      </c>
      <c r="M3561" s="716">
        <f t="shared" si="108"/>
        <v>175.78</v>
      </c>
    </row>
    <row r="3562" spans="2:13" s="645" customFormat="1" ht="21.75" customHeight="1">
      <c r="B3562" s="708">
        <v>44469</v>
      </c>
      <c r="C3562" s="709" t="s">
        <v>837</v>
      </c>
      <c r="D3562" s="710" t="s">
        <v>856</v>
      </c>
      <c r="E3562" s="711" t="s">
        <v>831</v>
      </c>
      <c r="F3562" s="712"/>
      <c r="G3562" s="710">
        <v>20</v>
      </c>
      <c r="H3562" s="709" t="s">
        <v>807</v>
      </c>
      <c r="I3562" s="713" t="s">
        <v>863</v>
      </c>
      <c r="J3562" s="714" t="s">
        <v>802</v>
      </c>
      <c r="K3562" s="709">
        <v>10</v>
      </c>
      <c r="L3562" s="715">
        <f t="shared" si="107"/>
        <v>18.8</v>
      </c>
      <c r="M3562" s="716">
        <f t="shared" si="108"/>
        <v>188</v>
      </c>
    </row>
    <row r="3563" spans="2:13" s="645" customFormat="1" ht="21.75" customHeight="1">
      <c r="B3563" s="708">
        <v>44469</v>
      </c>
      <c r="C3563" s="709" t="s">
        <v>837</v>
      </c>
      <c r="D3563" s="710" t="s">
        <v>855</v>
      </c>
      <c r="E3563" s="711" t="s">
        <v>831</v>
      </c>
      <c r="F3563" s="712"/>
      <c r="G3563" s="710">
        <v>20</v>
      </c>
      <c r="H3563" s="709" t="s">
        <v>807</v>
      </c>
      <c r="I3563" s="713" t="s">
        <v>857</v>
      </c>
      <c r="J3563" s="714" t="s">
        <v>802</v>
      </c>
      <c r="K3563" s="709">
        <v>10</v>
      </c>
      <c r="L3563" s="715">
        <f t="shared" si="107"/>
        <v>18.8</v>
      </c>
      <c r="M3563" s="716">
        <f t="shared" si="108"/>
        <v>188</v>
      </c>
    </row>
    <row r="3564" spans="2:13" s="645" customFormat="1" ht="21.75" customHeight="1">
      <c r="B3564" s="708">
        <v>44469</v>
      </c>
      <c r="C3564" s="709" t="s">
        <v>837</v>
      </c>
      <c r="D3564" s="710" t="s">
        <v>868</v>
      </c>
      <c r="E3564" s="711" t="s">
        <v>831</v>
      </c>
      <c r="F3564" s="712"/>
      <c r="G3564" s="710">
        <v>20</v>
      </c>
      <c r="H3564" s="709" t="s">
        <v>807</v>
      </c>
      <c r="I3564" s="713" t="s">
        <v>863</v>
      </c>
      <c r="J3564" s="714" t="s">
        <v>802</v>
      </c>
      <c r="K3564" s="709">
        <v>11</v>
      </c>
      <c r="L3564" s="715">
        <f t="shared" si="107"/>
        <v>18.8</v>
      </c>
      <c r="M3564" s="716">
        <f t="shared" si="108"/>
        <v>206.8</v>
      </c>
    </row>
    <row r="3565" spans="2:13" s="645" customFormat="1" ht="21.75" customHeight="1">
      <c r="B3565" s="708">
        <v>44469</v>
      </c>
      <c r="C3565" s="709" t="s">
        <v>837</v>
      </c>
      <c r="D3565" s="710" t="s">
        <v>873</v>
      </c>
      <c r="E3565" s="711" t="s">
        <v>831</v>
      </c>
      <c r="F3565" s="712"/>
      <c r="G3565" s="710">
        <v>20</v>
      </c>
      <c r="H3565" s="709" t="s">
        <v>807</v>
      </c>
      <c r="I3565" s="713" t="s">
        <v>857</v>
      </c>
      <c r="J3565" s="714" t="s">
        <v>802</v>
      </c>
      <c r="K3565" s="709">
        <v>10</v>
      </c>
      <c r="L3565" s="715">
        <f t="shared" si="107"/>
        <v>18.8</v>
      </c>
      <c r="M3565" s="716">
        <f t="shared" si="108"/>
        <v>188</v>
      </c>
    </row>
    <row r="3566" spans="2:13" s="645" customFormat="1" ht="21.75" customHeight="1">
      <c r="B3566" s="661">
        <v>44470</v>
      </c>
      <c r="C3566" s="662" t="s">
        <v>819</v>
      </c>
      <c r="D3566" s="663" t="s">
        <v>840</v>
      </c>
      <c r="E3566" s="664" t="s">
        <v>831</v>
      </c>
      <c r="F3566" s="665"/>
      <c r="G3566" s="663">
        <v>20</v>
      </c>
      <c r="H3566" s="662" t="s">
        <v>807</v>
      </c>
      <c r="I3566" s="666" t="s">
        <v>861</v>
      </c>
      <c r="J3566" s="667" t="s">
        <v>805</v>
      </c>
      <c r="K3566" s="662">
        <v>1</v>
      </c>
      <c r="L3566" s="685">
        <f t="shared" si="107"/>
        <v>18.8</v>
      </c>
      <c r="M3566" s="686">
        <f t="shared" si="108"/>
        <v>18.8</v>
      </c>
    </row>
    <row r="3567" spans="2:13" s="645" customFormat="1" ht="21.75" customHeight="1">
      <c r="B3567" s="661">
        <v>44470</v>
      </c>
      <c r="C3567" s="662" t="s">
        <v>819</v>
      </c>
      <c r="D3567" s="663" t="s">
        <v>835</v>
      </c>
      <c r="E3567" s="664" t="s">
        <v>831</v>
      </c>
      <c r="F3567" s="665"/>
      <c r="G3567" s="663">
        <v>20</v>
      </c>
      <c r="H3567" s="662" t="s">
        <v>807</v>
      </c>
      <c r="I3567" s="666" t="s">
        <v>863</v>
      </c>
      <c r="J3567" s="667" t="s">
        <v>804</v>
      </c>
      <c r="K3567" s="662">
        <v>3</v>
      </c>
      <c r="L3567" s="685">
        <f t="shared" si="107"/>
        <v>18.8</v>
      </c>
      <c r="M3567" s="686">
        <f t="shared" si="108"/>
        <v>56.400000000000006</v>
      </c>
    </row>
    <row r="3568" spans="2:13" s="645" customFormat="1" ht="21.75" customHeight="1">
      <c r="B3568" s="661">
        <v>44470</v>
      </c>
      <c r="C3568" s="662" t="s">
        <v>819</v>
      </c>
      <c r="D3568" s="663" t="s">
        <v>835</v>
      </c>
      <c r="E3568" s="664" t="s">
        <v>831</v>
      </c>
      <c r="F3568" s="665"/>
      <c r="G3568" s="663">
        <v>20</v>
      </c>
      <c r="H3568" s="662" t="s">
        <v>807</v>
      </c>
      <c r="I3568" s="666" t="s">
        <v>863</v>
      </c>
      <c r="J3568" s="667" t="s">
        <v>805</v>
      </c>
      <c r="K3568" s="662">
        <v>3</v>
      </c>
      <c r="L3568" s="685">
        <f t="shared" si="107"/>
        <v>18.8</v>
      </c>
      <c r="M3568" s="686">
        <f t="shared" si="108"/>
        <v>56.400000000000006</v>
      </c>
    </row>
    <row r="3569" spans="2:13" s="645" customFormat="1" ht="21.75" customHeight="1">
      <c r="B3569" s="661">
        <v>44470</v>
      </c>
      <c r="C3569" s="662" t="s">
        <v>819</v>
      </c>
      <c r="D3569" s="663" t="s">
        <v>835</v>
      </c>
      <c r="E3569" s="664" t="s">
        <v>831</v>
      </c>
      <c r="F3569" s="665"/>
      <c r="G3569" s="663">
        <v>20</v>
      </c>
      <c r="H3569" s="662" t="s">
        <v>807</v>
      </c>
      <c r="I3569" s="666" t="s">
        <v>861</v>
      </c>
      <c r="J3569" s="667" t="s">
        <v>805</v>
      </c>
      <c r="K3569" s="662">
        <v>2</v>
      </c>
      <c r="L3569" s="685">
        <f t="shared" si="107"/>
        <v>18.8</v>
      </c>
      <c r="M3569" s="686">
        <f t="shared" si="108"/>
        <v>37.6</v>
      </c>
    </row>
    <row r="3570" spans="2:13" s="645" customFormat="1" ht="21.75" customHeight="1">
      <c r="B3570" s="661">
        <v>44470</v>
      </c>
      <c r="C3570" s="662" t="s">
        <v>819</v>
      </c>
      <c r="D3570" s="663" t="s">
        <v>841</v>
      </c>
      <c r="E3570" s="664" t="s">
        <v>831</v>
      </c>
      <c r="F3570" s="665"/>
      <c r="G3570" s="663">
        <v>20</v>
      </c>
      <c r="H3570" s="662" t="s">
        <v>807</v>
      </c>
      <c r="I3570" s="666" t="s">
        <v>861</v>
      </c>
      <c r="J3570" s="667" t="s">
        <v>805</v>
      </c>
      <c r="K3570" s="662">
        <v>4</v>
      </c>
      <c r="L3570" s="685">
        <f t="shared" si="107"/>
        <v>18.8</v>
      </c>
      <c r="M3570" s="686">
        <f t="shared" si="108"/>
        <v>75.2</v>
      </c>
    </row>
    <row r="3571" spans="2:13" s="645" customFormat="1" ht="21.75" customHeight="1">
      <c r="B3571" s="661">
        <v>44470</v>
      </c>
      <c r="C3571" s="662" t="s">
        <v>819</v>
      </c>
      <c r="D3571" s="663" t="s">
        <v>834</v>
      </c>
      <c r="E3571" s="664" t="s">
        <v>831</v>
      </c>
      <c r="F3571" s="665"/>
      <c r="G3571" s="663">
        <v>20</v>
      </c>
      <c r="H3571" s="662" t="s">
        <v>807</v>
      </c>
      <c r="I3571" s="666" t="s">
        <v>863</v>
      </c>
      <c r="J3571" s="667" t="s">
        <v>805</v>
      </c>
      <c r="K3571" s="662">
        <v>3</v>
      </c>
      <c r="L3571" s="685">
        <f t="shared" si="107"/>
        <v>18.8</v>
      </c>
      <c r="M3571" s="686">
        <f t="shared" si="108"/>
        <v>56.400000000000006</v>
      </c>
    </row>
    <row r="3572" spans="2:13" s="645" customFormat="1" ht="21.75" customHeight="1">
      <c r="B3572" s="661">
        <v>44470</v>
      </c>
      <c r="C3572" s="662" t="s">
        <v>819</v>
      </c>
      <c r="D3572" s="663" t="s">
        <v>834</v>
      </c>
      <c r="E3572" s="664" t="s">
        <v>831</v>
      </c>
      <c r="F3572" s="665"/>
      <c r="G3572" s="663">
        <v>20</v>
      </c>
      <c r="H3572" s="662" t="s">
        <v>807</v>
      </c>
      <c r="I3572" s="666" t="s">
        <v>861</v>
      </c>
      <c r="J3572" s="667" t="s">
        <v>805</v>
      </c>
      <c r="K3572" s="662">
        <v>1</v>
      </c>
      <c r="L3572" s="685">
        <f t="shared" si="107"/>
        <v>18.8</v>
      </c>
      <c r="M3572" s="686">
        <f t="shared" si="108"/>
        <v>18.8</v>
      </c>
    </row>
    <row r="3573" spans="2:13" s="645" customFormat="1" ht="21.75" customHeight="1">
      <c r="B3573" s="661">
        <v>44470</v>
      </c>
      <c r="C3573" s="662" t="s">
        <v>819</v>
      </c>
      <c r="D3573" s="663" t="s">
        <v>848</v>
      </c>
      <c r="E3573" s="664" t="s">
        <v>831</v>
      </c>
      <c r="F3573" s="665"/>
      <c r="G3573" s="663">
        <v>20</v>
      </c>
      <c r="H3573" s="662" t="s">
        <v>807</v>
      </c>
      <c r="I3573" s="666" t="s">
        <v>863</v>
      </c>
      <c r="J3573" s="667" t="s">
        <v>805</v>
      </c>
      <c r="K3573" s="662">
        <v>1</v>
      </c>
      <c r="L3573" s="685">
        <f t="shared" si="107"/>
        <v>18.8</v>
      </c>
      <c r="M3573" s="686">
        <f t="shared" si="108"/>
        <v>18.8</v>
      </c>
    </row>
    <row r="3574" spans="2:13" s="645" customFormat="1" ht="21.75" customHeight="1">
      <c r="B3574" s="661">
        <v>44470</v>
      </c>
      <c r="C3574" s="662" t="s">
        <v>819</v>
      </c>
      <c r="D3574" s="663" t="s">
        <v>848</v>
      </c>
      <c r="E3574" s="664" t="s">
        <v>831</v>
      </c>
      <c r="F3574" s="665"/>
      <c r="G3574" s="663">
        <v>20</v>
      </c>
      <c r="H3574" s="662" t="s">
        <v>807</v>
      </c>
      <c r="I3574" s="666" t="s">
        <v>863</v>
      </c>
      <c r="J3574" s="667" t="s">
        <v>804</v>
      </c>
      <c r="K3574" s="662">
        <v>2</v>
      </c>
      <c r="L3574" s="685">
        <f t="shared" si="107"/>
        <v>18.8</v>
      </c>
      <c r="M3574" s="686">
        <f t="shared" si="108"/>
        <v>37.6</v>
      </c>
    </row>
    <row r="3575" spans="2:13" s="645" customFormat="1" ht="21.75" customHeight="1">
      <c r="B3575" s="661">
        <v>44470</v>
      </c>
      <c r="C3575" s="662" t="s">
        <v>819</v>
      </c>
      <c r="D3575" s="663" t="s">
        <v>848</v>
      </c>
      <c r="E3575" s="664" t="s">
        <v>831</v>
      </c>
      <c r="F3575" s="665"/>
      <c r="G3575" s="663">
        <v>20</v>
      </c>
      <c r="H3575" s="662" t="s">
        <v>807</v>
      </c>
      <c r="I3575" s="666" t="s">
        <v>861</v>
      </c>
      <c r="J3575" s="667" t="s">
        <v>805</v>
      </c>
      <c r="K3575" s="662">
        <v>3</v>
      </c>
      <c r="L3575" s="685">
        <f t="shared" si="107"/>
        <v>18.8</v>
      </c>
      <c r="M3575" s="686">
        <f t="shared" si="108"/>
        <v>56.400000000000006</v>
      </c>
    </row>
    <row r="3576" spans="2:13" s="645" customFormat="1" ht="21.75" customHeight="1">
      <c r="B3576" s="661">
        <v>44470</v>
      </c>
      <c r="C3576" s="662" t="s">
        <v>819</v>
      </c>
      <c r="D3576" s="663" t="s">
        <v>836</v>
      </c>
      <c r="E3576" s="664" t="s">
        <v>831</v>
      </c>
      <c r="F3576" s="665"/>
      <c r="G3576" s="663">
        <v>20</v>
      </c>
      <c r="H3576" s="662" t="s">
        <v>807</v>
      </c>
      <c r="I3576" s="666" t="s">
        <v>863</v>
      </c>
      <c r="J3576" s="667" t="s">
        <v>805</v>
      </c>
      <c r="K3576" s="662">
        <v>3</v>
      </c>
      <c r="L3576" s="685">
        <f t="shared" si="107"/>
        <v>18.8</v>
      </c>
      <c r="M3576" s="686">
        <f t="shared" si="108"/>
        <v>56.400000000000006</v>
      </c>
    </row>
    <row r="3577" spans="2:13" s="645" customFormat="1" ht="21.75" customHeight="1">
      <c r="B3577" s="661">
        <v>44470</v>
      </c>
      <c r="C3577" s="662" t="s">
        <v>819</v>
      </c>
      <c r="D3577" s="663" t="s">
        <v>833</v>
      </c>
      <c r="E3577" s="664" t="s">
        <v>831</v>
      </c>
      <c r="F3577" s="665"/>
      <c r="G3577" s="663">
        <v>15</v>
      </c>
      <c r="H3577" s="662" t="s">
        <v>807</v>
      </c>
      <c r="I3577" s="666" t="s">
        <v>863</v>
      </c>
      <c r="J3577" s="667" t="s">
        <v>805</v>
      </c>
      <c r="K3577" s="662">
        <v>2</v>
      </c>
      <c r="L3577" s="685">
        <f t="shared" si="107"/>
        <v>14.1</v>
      </c>
      <c r="M3577" s="686">
        <f t="shared" si="108"/>
        <v>28.2</v>
      </c>
    </row>
    <row r="3578" spans="2:13" s="645" customFormat="1" ht="21.75" customHeight="1">
      <c r="B3578" s="661">
        <v>44470</v>
      </c>
      <c r="C3578" s="662" t="s">
        <v>819</v>
      </c>
      <c r="D3578" s="663" t="s">
        <v>830</v>
      </c>
      <c r="E3578" s="664" t="s">
        <v>831</v>
      </c>
      <c r="F3578" s="665"/>
      <c r="G3578" s="663">
        <v>15</v>
      </c>
      <c r="H3578" s="662" t="s">
        <v>807</v>
      </c>
      <c r="I3578" s="666" t="s">
        <v>863</v>
      </c>
      <c r="J3578" s="667" t="s">
        <v>805</v>
      </c>
      <c r="K3578" s="662">
        <v>3</v>
      </c>
      <c r="L3578" s="685">
        <f t="shared" si="107"/>
        <v>14.1</v>
      </c>
      <c r="M3578" s="686">
        <f t="shared" si="108"/>
        <v>42.3</v>
      </c>
    </row>
    <row r="3579" spans="2:13" s="645" customFormat="1" ht="21.75" customHeight="1">
      <c r="B3579" s="661">
        <v>44470</v>
      </c>
      <c r="C3579" s="662" t="s">
        <v>819</v>
      </c>
      <c r="D3579" s="663" t="s">
        <v>830</v>
      </c>
      <c r="E3579" s="664" t="s">
        <v>831</v>
      </c>
      <c r="F3579" s="665"/>
      <c r="G3579" s="663">
        <v>15</v>
      </c>
      <c r="H3579" s="662" t="s">
        <v>807</v>
      </c>
      <c r="I3579" s="666" t="s">
        <v>861</v>
      </c>
      <c r="J3579" s="667" t="s">
        <v>805</v>
      </c>
      <c r="K3579" s="662">
        <v>1</v>
      </c>
      <c r="L3579" s="685">
        <f t="shared" si="107"/>
        <v>14.1</v>
      </c>
      <c r="M3579" s="686">
        <f t="shared" si="108"/>
        <v>14.1</v>
      </c>
    </row>
    <row r="3580" spans="2:13" s="645" customFormat="1" ht="21.75" customHeight="1">
      <c r="B3580" s="661">
        <v>44470</v>
      </c>
      <c r="C3580" s="662" t="s">
        <v>819</v>
      </c>
      <c r="D3580" s="663" t="s">
        <v>839</v>
      </c>
      <c r="E3580" s="664" t="s">
        <v>831</v>
      </c>
      <c r="F3580" s="665"/>
      <c r="G3580" s="663">
        <v>15</v>
      </c>
      <c r="H3580" s="662" t="s">
        <v>807</v>
      </c>
      <c r="I3580" s="666" t="s">
        <v>863</v>
      </c>
      <c r="J3580" s="667" t="s">
        <v>804</v>
      </c>
      <c r="K3580" s="662">
        <v>2</v>
      </c>
      <c r="L3580" s="685">
        <f t="shared" si="107"/>
        <v>14.1</v>
      </c>
      <c r="M3580" s="686">
        <f t="shared" si="108"/>
        <v>28.2</v>
      </c>
    </row>
    <row r="3581" spans="2:13" s="645" customFormat="1" ht="21.75" customHeight="1">
      <c r="B3581" s="661">
        <v>44470</v>
      </c>
      <c r="C3581" s="662" t="s">
        <v>819</v>
      </c>
      <c r="D3581" s="663" t="s">
        <v>839</v>
      </c>
      <c r="E3581" s="664" t="s">
        <v>831</v>
      </c>
      <c r="F3581" s="665"/>
      <c r="G3581" s="663">
        <v>15</v>
      </c>
      <c r="H3581" s="662" t="s">
        <v>807</v>
      </c>
      <c r="I3581" s="666" t="s">
        <v>863</v>
      </c>
      <c r="J3581" s="667" t="s">
        <v>805</v>
      </c>
      <c r="K3581" s="662">
        <v>1</v>
      </c>
      <c r="L3581" s="685">
        <f t="shared" si="107"/>
        <v>14.1</v>
      </c>
      <c r="M3581" s="686">
        <f t="shared" si="108"/>
        <v>14.1</v>
      </c>
    </row>
    <row r="3582" spans="2:13" s="645" customFormat="1" ht="21.75" customHeight="1">
      <c r="B3582" s="661">
        <v>44470</v>
      </c>
      <c r="C3582" s="662" t="s">
        <v>819</v>
      </c>
      <c r="D3582" s="663" t="s">
        <v>845</v>
      </c>
      <c r="E3582" s="664" t="s">
        <v>831</v>
      </c>
      <c r="F3582" s="665"/>
      <c r="G3582" s="663">
        <v>17</v>
      </c>
      <c r="H3582" s="662" t="s">
        <v>807</v>
      </c>
      <c r="I3582" s="666" t="s">
        <v>863</v>
      </c>
      <c r="J3582" s="667" t="s">
        <v>805</v>
      </c>
      <c r="K3582" s="662">
        <v>3</v>
      </c>
      <c r="L3582" s="685">
        <f t="shared" si="107"/>
        <v>15.98</v>
      </c>
      <c r="M3582" s="686">
        <f t="shared" si="108"/>
        <v>47.94</v>
      </c>
    </row>
    <row r="3583" spans="2:13" s="645" customFormat="1" ht="21.75" customHeight="1">
      <c r="B3583" s="661">
        <v>44470</v>
      </c>
      <c r="C3583" s="662" t="s">
        <v>819</v>
      </c>
      <c r="D3583" s="663" t="s">
        <v>845</v>
      </c>
      <c r="E3583" s="664" t="s">
        <v>831</v>
      </c>
      <c r="F3583" s="665"/>
      <c r="G3583" s="663">
        <v>17</v>
      </c>
      <c r="H3583" s="662" t="s">
        <v>807</v>
      </c>
      <c r="I3583" s="666" t="s">
        <v>861</v>
      </c>
      <c r="J3583" s="667" t="s">
        <v>805</v>
      </c>
      <c r="K3583" s="662">
        <v>1</v>
      </c>
      <c r="L3583" s="685">
        <f t="shared" si="107"/>
        <v>15.98</v>
      </c>
      <c r="M3583" s="686">
        <f t="shared" si="108"/>
        <v>15.98</v>
      </c>
    </row>
    <row r="3584" spans="2:13" s="645" customFormat="1" ht="21.75" customHeight="1">
      <c r="B3584" s="661">
        <v>44470</v>
      </c>
      <c r="C3584" s="662" t="s">
        <v>819</v>
      </c>
      <c r="D3584" s="663" t="s">
        <v>847</v>
      </c>
      <c r="E3584" s="664" t="s">
        <v>831</v>
      </c>
      <c r="F3584" s="665"/>
      <c r="G3584" s="663">
        <v>17</v>
      </c>
      <c r="H3584" s="662" t="s">
        <v>807</v>
      </c>
      <c r="I3584" s="666" t="s">
        <v>863</v>
      </c>
      <c r="J3584" s="667" t="s">
        <v>805</v>
      </c>
      <c r="K3584" s="662">
        <v>2</v>
      </c>
      <c r="L3584" s="685">
        <f t="shared" si="107"/>
        <v>15.98</v>
      </c>
      <c r="M3584" s="686">
        <f t="shared" si="108"/>
        <v>31.96</v>
      </c>
    </row>
    <row r="3585" spans="2:13" s="645" customFormat="1" ht="21.75" customHeight="1">
      <c r="B3585" s="661">
        <v>44470</v>
      </c>
      <c r="C3585" s="662" t="s">
        <v>819</v>
      </c>
      <c r="D3585" s="663" t="s">
        <v>856</v>
      </c>
      <c r="E3585" s="664" t="s">
        <v>831</v>
      </c>
      <c r="F3585" s="665"/>
      <c r="G3585" s="663">
        <v>20</v>
      </c>
      <c r="H3585" s="662" t="s">
        <v>807</v>
      </c>
      <c r="I3585" s="666" t="s">
        <v>861</v>
      </c>
      <c r="J3585" s="667" t="s">
        <v>805</v>
      </c>
      <c r="K3585" s="662">
        <v>4</v>
      </c>
      <c r="L3585" s="685">
        <f t="shared" si="107"/>
        <v>18.8</v>
      </c>
      <c r="M3585" s="686">
        <f t="shared" si="108"/>
        <v>75.2</v>
      </c>
    </row>
    <row r="3586" spans="2:13" s="645" customFormat="1" ht="21.75" customHeight="1">
      <c r="B3586" s="661">
        <v>44470</v>
      </c>
      <c r="C3586" s="662" t="s">
        <v>819</v>
      </c>
      <c r="D3586" s="663" t="s">
        <v>867</v>
      </c>
      <c r="E3586" s="664" t="s">
        <v>831</v>
      </c>
      <c r="F3586" s="665"/>
      <c r="G3586" s="663">
        <v>20</v>
      </c>
      <c r="H3586" s="662" t="s">
        <v>807</v>
      </c>
      <c r="I3586" s="666" t="s">
        <v>863</v>
      </c>
      <c r="J3586" s="667" t="s">
        <v>805</v>
      </c>
      <c r="K3586" s="662">
        <v>1</v>
      </c>
      <c r="L3586" s="685">
        <f t="shared" si="107"/>
        <v>18.8</v>
      </c>
      <c r="M3586" s="686">
        <f t="shared" si="108"/>
        <v>18.8</v>
      </c>
    </row>
    <row r="3587" spans="2:13" s="645" customFormat="1" ht="21.75" customHeight="1">
      <c r="B3587" s="661">
        <v>44470</v>
      </c>
      <c r="C3587" s="662" t="s">
        <v>819</v>
      </c>
      <c r="D3587" s="663" t="s">
        <v>868</v>
      </c>
      <c r="E3587" s="664" t="s">
        <v>831</v>
      </c>
      <c r="F3587" s="665"/>
      <c r="G3587" s="663">
        <v>20</v>
      </c>
      <c r="H3587" s="662" t="s">
        <v>807</v>
      </c>
      <c r="I3587" s="666" t="s">
        <v>863</v>
      </c>
      <c r="J3587" s="667" t="s">
        <v>805</v>
      </c>
      <c r="K3587" s="662">
        <v>3</v>
      </c>
      <c r="L3587" s="685">
        <f t="shared" si="107"/>
        <v>18.8</v>
      </c>
      <c r="M3587" s="686">
        <f t="shared" si="108"/>
        <v>56.400000000000006</v>
      </c>
    </row>
    <row r="3588" spans="2:13" s="645" customFormat="1" ht="21.75" customHeight="1">
      <c r="B3588" s="661">
        <v>44470</v>
      </c>
      <c r="C3588" s="662" t="s">
        <v>819</v>
      </c>
      <c r="D3588" s="663" t="s">
        <v>870</v>
      </c>
      <c r="E3588" s="664" t="s">
        <v>831</v>
      </c>
      <c r="F3588" s="665"/>
      <c r="G3588" s="663">
        <v>20</v>
      </c>
      <c r="H3588" s="662" t="s">
        <v>807</v>
      </c>
      <c r="I3588" s="666" t="s">
        <v>863</v>
      </c>
      <c r="J3588" s="667" t="s">
        <v>805</v>
      </c>
      <c r="K3588" s="662">
        <v>4</v>
      </c>
      <c r="L3588" s="685">
        <f t="shared" si="107"/>
        <v>18.8</v>
      </c>
      <c r="M3588" s="686">
        <f t="shared" si="108"/>
        <v>75.2</v>
      </c>
    </row>
    <row r="3589" spans="2:13" s="645" customFormat="1" ht="21.75" customHeight="1">
      <c r="B3589" s="661">
        <v>44470</v>
      </c>
      <c r="C3589" s="662" t="s">
        <v>819</v>
      </c>
      <c r="D3589" s="663" t="s">
        <v>873</v>
      </c>
      <c r="E3589" s="664" t="s">
        <v>831</v>
      </c>
      <c r="F3589" s="665"/>
      <c r="G3589" s="663">
        <v>20</v>
      </c>
      <c r="H3589" s="662" t="s">
        <v>807</v>
      </c>
      <c r="I3589" s="666" t="s">
        <v>863</v>
      </c>
      <c r="J3589" s="667" t="s">
        <v>805</v>
      </c>
      <c r="K3589" s="662">
        <v>1</v>
      </c>
      <c r="L3589" s="685">
        <f t="shared" si="107"/>
        <v>18.8</v>
      </c>
      <c r="M3589" s="686">
        <f t="shared" si="108"/>
        <v>18.8</v>
      </c>
    </row>
    <row r="3590" spans="2:13" s="645" customFormat="1" ht="21.75" customHeight="1">
      <c r="B3590" s="661">
        <v>44470</v>
      </c>
      <c r="C3590" s="662" t="s">
        <v>837</v>
      </c>
      <c r="D3590" s="663" t="s">
        <v>834</v>
      </c>
      <c r="E3590" s="664" t="s">
        <v>831</v>
      </c>
      <c r="F3590" s="665"/>
      <c r="G3590" s="663">
        <v>20</v>
      </c>
      <c r="H3590" s="662" t="s">
        <v>807</v>
      </c>
      <c r="I3590" s="666" t="s">
        <v>861</v>
      </c>
      <c r="J3590" s="667" t="s">
        <v>805</v>
      </c>
      <c r="K3590" s="662">
        <v>10</v>
      </c>
      <c r="L3590" s="685">
        <f t="shared" si="107"/>
        <v>18.8</v>
      </c>
      <c r="M3590" s="686">
        <f t="shared" si="108"/>
        <v>188</v>
      </c>
    </row>
    <row r="3591" spans="2:13" s="645" customFormat="1" ht="21.75" customHeight="1">
      <c r="B3591" s="661">
        <v>44470</v>
      </c>
      <c r="C3591" s="662" t="s">
        <v>837</v>
      </c>
      <c r="D3591" s="663" t="s">
        <v>856</v>
      </c>
      <c r="E3591" s="664" t="s">
        <v>831</v>
      </c>
      <c r="F3591" s="665"/>
      <c r="G3591" s="663">
        <v>20</v>
      </c>
      <c r="H3591" s="662" t="s">
        <v>807</v>
      </c>
      <c r="I3591" s="666" t="s">
        <v>861</v>
      </c>
      <c r="J3591" s="667" t="s">
        <v>805</v>
      </c>
      <c r="K3591" s="662">
        <v>9</v>
      </c>
      <c r="L3591" s="685">
        <f t="shared" si="107"/>
        <v>18.8</v>
      </c>
      <c r="M3591" s="686">
        <f t="shared" si="108"/>
        <v>169.20000000000002</v>
      </c>
    </row>
    <row r="3592" spans="2:13" s="645" customFormat="1" ht="21.75" customHeight="1">
      <c r="B3592" s="661">
        <v>44470</v>
      </c>
      <c r="C3592" s="662" t="s">
        <v>837</v>
      </c>
      <c r="D3592" s="663" t="s">
        <v>856</v>
      </c>
      <c r="E3592" s="664" t="s">
        <v>831</v>
      </c>
      <c r="F3592" s="665"/>
      <c r="G3592" s="663">
        <v>20</v>
      </c>
      <c r="H3592" s="662" t="s">
        <v>807</v>
      </c>
      <c r="I3592" s="666" t="s">
        <v>863</v>
      </c>
      <c r="J3592" s="667" t="s">
        <v>805</v>
      </c>
      <c r="K3592" s="662">
        <v>1</v>
      </c>
      <c r="L3592" s="685">
        <f t="shared" si="107"/>
        <v>18.8</v>
      </c>
      <c r="M3592" s="686">
        <f t="shared" si="108"/>
        <v>18.8</v>
      </c>
    </row>
    <row r="3593" spans="2:13" s="645" customFormat="1" ht="21.75" customHeight="1">
      <c r="B3593" s="661">
        <v>44470</v>
      </c>
      <c r="C3593" s="662" t="s">
        <v>837</v>
      </c>
      <c r="D3593" s="663" t="s">
        <v>855</v>
      </c>
      <c r="E3593" s="664" t="s">
        <v>831</v>
      </c>
      <c r="F3593" s="665"/>
      <c r="G3593" s="663">
        <v>20</v>
      </c>
      <c r="H3593" s="662" t="s">
        <v>807</v>
      </c>
      <c r="I3593" s="666" t="s">
        <v>861</v>
      </c>
      <c r="J3593" s="667" t="s">
        <v>805</v>
      </c>
      <c r="K3593" s="662">
        <v>10</v>
      </c>
      <c r="L3593" s="685">
        <f t="shared" ref="L3593:L3656" si="109">VLOOKUP(G3593,$Q$4:$V$7,6,FALSE)</f>
        <v>18.8</v>
      </c>
      <c r="M3593" s="686">
        <f t="shared" si="108"/>
        <v>188</v>
      </c>
    </row>
    <row r="3594" spans="2:13" s="645" customFormat="1" ht="21.75" customHeight="1">
      <c r="B3594" s="661">
        <v>44470</v>
      </c>
      <c r="C3594" s="662" t="s">
        <v>837</v>
      </c>
      <c r="D3594" s="663" t="s">
        <v>835</v>
      </c>
      <c r="E3594" s="664" t="s">
        <v>831</v>
      </c>
      <c r="F3594" s="665"/>
      <c r="G3594" s="663">
        <v>20</v>
      </c>
      <c r="H3594" s="662" t="s">
        <v>807</v>
      </c>
      <c r="I3594" s="666" t="s">
        <v>861</v>
      </c>
      <c r="J3594" s="667" t="s">
        <v>805</v>
      </c>
      <c r="K3594" s="662">
        <v>9</v>
      </c>
      <c r="L3594" s="685">
        <f t="shared" si="109"/>
        <v>18.8</v>
      </c>
      <c r="M3594" s="686">
        <f t="shared" si="108"/>
        <v>169.20000000000002</v>
      </c>
    </row>
    <row r="3595" spans="2:13" s="645" customFormat="1" ht="21.75" customHeight="1">
      <c r="B3595" s="661">
        <v>44470</v>
      </c>
      <c r="C3595" s="662" t="s">
        <v>837</v>
      </c>
      <c r="D3595" s="663" t="s">
        <v>835</v>
      </c>
      <c r="E3595" s="664" t="s">
        <v>831</v>
      </c>
      <c r="F3595" s="665"/>
      <c r="G3595" s="663">
        <v>20</v>
      </c>
      <c r="H3595" s="662" t="s">
        <v>807</v>
      </c>
      <c r="I3595" s="666" t="s">
        <v>857</v>
      </c>
      <c r="J3595" s="667" t="s">
        <v>805</v>
      </c>
      <c r="K3595" s="662">
        <v>1</v>
      </c>
      <c r="L3595" s="685">
        <f t="shared" si="109"/>
        <v>18.8</v>
      </c>
      <c r="M3595" s="686">
        <f t="shared" si="108"/>
        <v>18.8</v>
      </c>
    </row>
    <row r="3596" spans="2:13" s="645" customFormat="1" ht="21.75" customHeight="1">
      <c r="B3596" s="661">
        <v>44470</v>
      </c>
      <c r="C3596" s="662" t="s">
        <v>837</v>
      </c>
      <c r="D3596" s="663" t="s">
        <v>841</v>
      </c>
      <c r="E3596" s="664" t="s">
        <v>831</v>
      </c>
      <c r="F3596" s="665"/>
      <c r="G3596" s="663">
        <v>20</v>
      </c>
      <c r="H3596" s="662" t="s">
        <v>807</v>
      </c>
      <c r="I3596" s="666" t="s">
        <v>861</v>
      </c>
      <c r="J3596" s="667" t="s">
        <v>805</v>
      </c>
      <c r="K3596" s="662">
        <v>9</v>
      </c>
      <c r="L3596" s="685">
        <f t="shared" si="109"/>
        <v>18.8</v>
      </c>
      <c r="M3596" s="686">
        <f t="shared" si="108"/>
        <v>169.20000000000002</v>
      </c>
    </row>
    <row r="3597" spans="2:13" s="645" customFormat="1" ht="21.75" customHeight="1">
      <c r="B3597" s="661">
        <v>44470</v>
      </c>
      <c r="C3597" s="662" t="s">
        <v>837</v>
      </c>
      <c r="D3597" s="663" t="s">
        <v>841</v>
      </c>
      <c r="E3597" s="664" t="s">
        <v>831</v>
      </c>
      <c r="F3597" s="665"/>
      <c r="G3597" s="663">
        <v>20</v>
      </c>
      <c r="H3597" s="662" t="s">
        <v>807</v>
      </c>
      <c r="I3597" s="666" t="s">
        <v>863</v>
      </c>
      <c r="J3597" s="667" t="s">
        <v>805</v>
      </c>
      <c r="K3597" s="662">
        <v>1</v>
      </c>
      <c r="L3597" s="685">
        <f t="shared" si="109"/>
        <v>18.8</v>
      </c>
      <c r="M3597" s="686">
        <f t="shared" si="108"/>
        <v>18.8</v>
      </c>
    </row>
    <row r="3598" spans="2:13" s="645" customFormat="1" ht="21.75" customHeight="1">
      <c r="B3598" s="661">
        <v>44470</v>
      </c>
      <c r="C3598" s="662" t="s">
        <v>837</v>
      </c>
      <c r="D3598" s="663" t="s">
        <v>839</v>
      </c>
      <c r="E3598" s="664" t="s">
        <v>831</v>
      </c>
      <c r="F3598" s="665"/>
      <c r="G3598" s="663">
        <v>15</v>
      </c>
      <c r="H3598" s="662" t="s">
        <v>807</v>
      </c>
      <c r="I3598" s="666" t="s">
        <v>861</v>
      </c>
      <c r="J3598" s="667" t="s">
        <v>805</v>
      </c>
      <c r="K3598" s="662">
        <v>4</v>
      </c>
      <c r="L3598" s="685">
        <f t="shared" si="109"/>
        <v>14.1</v>
      </c>
      <c r="M3598" s="686">
        <f t="shared" si="108"/>
        <v>56.4</v>
      </c>
    </row>
    <row r="3599" spans="2:13" s="645" customFormat="1" ht="21.75" customHeight="1">
      <c r="B3599" s="661">
        <v>44470</v>
      </c>
      <c r="C3599" s="662" t="s">
        <v>837</v>
      </c>
      <c r="D3599" s="663" t="s">
        <v>847</v>
      </c>
      <c r="E3599" s="664" t="s">
        <v>831</v>
      </c>
      <c r="F3599" s="665"/>
      <c r="G3599" s="663">
        <v>17</v>
      </c>
      <c r="H3599" s="662" t="s">
        <v>807</v>
      </c>
      <c r="I3599" s="666" t="s">
        <v>861</v>
      </c>
      <c r="J3599" s="667" t="s">
        <v>805</v>
      </c>
      <c r="K3599" s="662">
        <v>2</v>
      </c>
      <c r="L3599" s="685">
        <f t="shared" si="109"/>
        <v>15.98</v>
      </c>
      <c r="M3599" s="686">
        <f t="shared" si="108"/>
        <v>31.96</v>
      </c>
    </row>
    <row r="3600" spans="2:13" s="645" customFormat="1" ht="21.75" customHeight="1">
      <c r="B3600" s="661">
        <v>44470</v>
      </c>
      <c r="C3600" s="662" t="s">
        <v>837</v>
      </c>
      <c r="D3600" s="663" t="s">
        <v>847</v>
      </c>
      <c r="E3600" s="664" t="s">
        <v>831</v>
      </c>
      <c r="F3600" s="665"/>
      <c r="G3600" s="663">
        <v>17</v>
      </c>
      <c r="H3600" s="662" t="s">
        <v>807</v>
      </c>
      <c r="I3600" s="666" t="s">
        <v>863</v>
      </c>
      <c r="J3600" s="667" t="s">
        <v>805</v>
      </c>
      <c r="K3600" s="662">
        <v>1</v>
      </c>
      <c r="L3600" s="685">
        <f t="shared" si="109"/>
        <v>15.98</v>
      </c>
      <c r="M3600" s="686">
        <f t="shared" si="108"/>
        <v>15.98</v>
      </c>
    </row>
    <row r="3601" spans="2:13" s="645" customFormat="1" ht="21.75" customHeight="1">
      <c r="B3601" s="661">
        <v>44470</v>
      </c>
      <c r="C3601" s="662" t="s">
        <v>837</v>
      </c>
      <c r="D3601" s="663" t="s">
        <v>878</v>
      </c>
      <c r="E3601" s="664" t="s">
        <v>831</v>
      </c>
      <c r="F3601" s="665"/>
      <c r="G3601" s="663">
        <v>15</v>
      </c>
      <c r="H3601" s="662" t="s">
        <v>807</v>
      </c>
      <c r="I3601" s="666" t="s">
        <v>861</v>
      </c>
      <c r="J3601" s="667" t="s">
        <v>805</v>
      </c>
      <c r="K3601" s="662">
        <v>4</v>
      </c>
      <c r="L3601" s="685">
        <f t="shared" si="109"/>
        <v>14.1</v>
      </c>
      <c r="M3601" s="686">
        <f t="shared" si="108"/>
        <v>56.4</v>
      </c>
    </row>
    <row r="3602" spans="2:13" s="645" customFormat="1" ht="21.75" customHeight="1">
      <c r="B3602" s="661">
        <v>44470</v>
      </c>
      <c r="C3602" s="662" t="s">
        <v>837</v>
      </c>
      <c r="D3602" s="663" t="s">
        <v>870</v>
      </c>
      <c r="E3602" s="664" t="s">
        <v>831</v>
      </c>
      <c r="F3602" s="665"/>
      <c r="G3602" s="663">
        <v>20</v>
      </c>
      <c r="H3602" s="662" t="s">
        <v>807</v>
      </c>
      <c r="I3602" s="666" t="s">
        <v>863</v>
      </c>
      <c r="J3602" s="667" t="s">
        <v>805</v>
      </c>
      <c r="K3602" s="662">
        <v>9</v>
      </c>
      <c r="L3602" s="685">
        <f t="shared" si="109"/>
        <v>18.8</v>
      </c>
      <c r="M3602" s="686">
        <f t="shared" si="108"/>
        <v>169.20000000000002</v>
      </c>
    </row>
    <row r="3603" spans="2:13" s="645" customFormat="1" ht="21.75" customHeight="1">
      <c r="B3603" s="661">
        <v>44470</v>
      </c>
      <c r="C3603" s="662" t="s">
        <v>837</v>
      </c>
      <c r="D3603" s="663" t="s">
        <v>870</v>
      </c>
      <c r="E3603" s="664" t="s">
        <v>831</v>
      </c>
      <c r="F3603" s="665"/>
      <c r="G3603" s="663">
        <v>20</v>
      </c>
      <c r="H3603" s="662" t="s">
        <v>807</v>
      </c>
      <c r="I3603" s="666" t="s">
        <v>861</v>
      </c>
      <c r="J3603" s="667" t="s">
        <v>805</v>
      </c>
      <c r="K3603" s="662">
        <v>1</v>
      </c>
      <c r="L3603" s="685">
        <f t="shared" si="109"/>
        <v>18.8</v>
      </c>
      <c r="M3603" s="686">
        <f t="shared" si="108"/>
        <v>18.8</v>
      </c>
    </row>
    <row r="3604" spans="2:13" s="645" customFormat="1" ht="21.75" customHeight="1">
      <c r="B3604" s="661">
        <v>44470</v>
      </c>
      <c r="C3604" s="662" t="s">
        <v>837</v>
      </c>
      <c r="D3604" s="663" t="s">
        <v>873</v>
      </c>
      <c r="E3604" s="664" t="s">
        <v>831</v>
      </c>
      <c r="F3604" s="665"/>
      <c r="G3604" s="663">
        <v>20</v>
      </c>
      <c r="H3604" s="662" t="s">
        <v>807</v>
      </c>
      <c r="I3604" s="666" t="s">
        <v>861</v>
      </c>
      <c r="J3604" s="667" t="s">
        <v>805</v>
      </c>
      <c r="K3604" s="662">
        <v>6</v>
      </c>
      <c r="L3604" s="685">
        <f t="shared" si="109"/>
        <v>18.8</v>
      </c>
      <c r="M3604" s="686">
        <f t="shared" si="108"/>
        <v>112.80000000000001</v>
      </c>
    </row>
    <row r="3605" spans="2:13" s="645" customFormat="1" ht="21.75" customHeight="1">
      <c r="B3605" s="661">
        <v>44470</v>
      </c>
      <c r="C3605" s="662" t="s">
        <v>819</v>
      </c>
      <c r="D3605" s="663" t="s">
        <v>849</v>
      </c>
      <c r="E3605" s="664" t="s">
        <v>831</v>
      </c>
      <c r="F3605" s="665"/>
      <c r="G3605" s="663">
        <v>20</v>
      </c>
      <c r="H3605" s="662" t="s">
        <v>807</v>
      </c>
      <c r="I3605" s="666" t="s">
        <v>863</v>
      </c>
      <c r="J3605" s="667" t="s">
        <v>865</v>
      </c>
      <c r="K3605" s="662">
        <v>1</v>
      </c>
      <c r="L3605" s="685">
        <f t="shared" si="109"/>
        <v>18.8</v>
      </c>
      <c r="M3605" s="686">
        <f t="shared" si="108"/>
        <v>18.8</v>
      </c>
    </row>
    <row r="3606" spans="2:13" s="645" customFormat="1" ht="21.75" customHeight="1">
      <c r="B3606" s="661">
        <v>44470</v>
      </c>
      <c r="C3606" s="662" t="s">
        <v>819</v>
      </c>
      <c r="D3606" s="663" t="s">
        <v>841</v>
      </c>
      <c r="E3606" s="664" t="s">
        <v>831</v>
      </c>
      <c r="F3606" s="665"/>
      <c r="G3606" s="663">
        <v>20</v>
      </c>
      <c r="H3606" s="662" t="s">
        <v>807</v>
      </c>
      <c r="I3606" s="666" t="s">
        <v>863</v>
      </c>
      <c r="J3606" s="667" t="s">
        <v>865</v>
      </c>
      <c r="K3606" s="662">
        <v>7</v>
      </c>
      <c r="L3606" s="685">
        <f t="shared" si="109"/>
        <v>18.8</v>
      </c>
      <c r="M3606" s="686">
        <f t="shared" si="108"/>
        <v>131.6</v>
      </c>
    </row>
    <row r="3607" spans="2:13" s="645" customFormat="1" ht="21.75" customHeight="1">
      <c r="B3607" s="661">
        <v>44470</v>
      </c>
      <c r="C3607" s="662" t="s">
        <v>819</v>
      </c>
      <c r="D3607" s="663" t="s">
        <v>834</v>
      </c>
      <c r="E3607" s="664" t="s">
        <v>831</v>
      </c>
      <c r="F3607" s="665"/>
      <c r="G3607" s="663">
        <v>20</v>
      </c>
      <c r="H3607" s="662" t="s">
        <v>807</v>
      </c>
      <c r="I3607" s="666" t="s">
        <v>861</v>
      </c>
      <c r="J3607" s="667" t="s">
        <v>865</v>
      </c>
      <c r="K3607" s="662">
        <v>4</v>
      </c>
      <c r="L3607" s="685">
        <f t="shared" si="109"/>
        <v>18.8</v>
      </c>
      <c r="M3607" s="686">
        <f t="shared" si="108"/>
        <v>75.2</v>
      </c>
    </row>
    <row r="3608" spans="2:13" s="645" customFormat="1" ht="21.75" customHeight="1">
      <c r="B3608" s="661">
        <v>44470</v>
      </c>
      <c r="C3608" s="662" t="s">
        <v>819</v>
      </c>
      <c r="D3608" s="663" t="s">
        <v>833</v>
      </c>
      <c r="E3608" s="664" t="s">
        <v>831</v>
      </c>
      <c r="F3608" s="665"/>
      <c r="G3608" s="663">
        <v>15</v>
      </c>
      <c r="H3608" s="662" t="s">
        <v>807</v>
      </c>
      <c r="I3608" s="666" t="s">
        <v>863</v>
      </c>
      <c r="J3608" s="667" t="s">
        <v>865</v>
      </c>
      <c r="K3608" s="662">
        <v>4</v>
      </c>
      <c r="L3608" s="685">
        <f t="shared" si="109"/>
        <v>14.1</v>
      </c>
      <c r="M3608" s="686">
        <f t="shared" si="108"/>
        <v>56.4</v>
      </c>
    </row>
    <row r="3609" spans="2:13" s="645" customFormat="1" ht="21.75" customHeight="1">
      <c r="B3609" s="661">
        <v>44470</v>
      </c>
      <c r="C3609" s="662" t="s">
        <v>819</v>
      </c>
      <c r="D3609" s="663" t="s">
        <v>839</v>
      </c>
      <c r="E3609" s="664" t="s">
        <v>831</v>
      </c>
      <c r="F3609" s="665"/>
      <c r="G3609" s="663">
        <v>15</v>
      </c>
      <c r="H3609" s="662" t="s">
        <v>807</v>
      </c>
      <c r="I3609" s="666" t="s">
        <v>805</v>
      </c>
      <c r="J3609" s="667" t="s">
        <v>865</v>
      </c>
      <c r="K3609" s="662">
        <v>6</v>
      </c>
      <c r="L3609" s="685">
        <f t="shared" si="109"/>
        <v>14.1</v>
      </c>
      <c r="M3609" s="686">
        <f t="shared" si="108"/>
        <v>84.6</v>
      </c>
    </row>
    <row r="3610" spans="2:13" s="645" customFormat="1" ht="21.75" customHeight="1">
      <c r="B3610" s="661">
        <v>44470</v>
      </c>
      <c r="C3610" s="662" t="s">
        <v>819</v>
      </c>
      <c r="D3610" s="663" t="s">
        <v>845</v>
      </c>
      <c r="E3610" s="664" t="s">
        <v>831</v>
      </c>
      <c r="F3610" s="665"/>
      <c r="G3610" s="663">
        <v>17</v>
      </c>
      <c r="H3610" s="662" t="s">
        <v>807</v>
      </c>
      <c r="I3610" s="666" t="s">
        <v>863</v>
      </c>
      <c r="J3610" s="667" t="s">
        <v>865</v>
      </c>
      <c r="K3610" s="662">
        <v>1</v>
      </c>
      <c r="L3610" s="685">
        <f t="shared" si="109"/>
        <v>15.98</v>
      </c>
      <c r="M3610" s="686">
        <f t="shared" si="108"/>
        <v>15.98</v>
      </c>
    </row>
    <row r="3611" spans="2:13" s="645" customFormat="1" ht="21.75" customHeight="1">
      <c r="B3611" s="661">
        <v>44470</v>
      </c>
      <c r="C3611" s="662" t="s">
        <v>819</v>
      </c>
      <c r="D3611" s="663" t="s">
        <v>845</v>
      </c>
      <c r="E3611" s="664" t="s">
        <v>831</v>
      </c>
      <c r="F3611" s="665"/>
      <c r="G3611" s="663">
        <v>17</v>
      </c>
      <c r="H3611" s="662" t="s">
        <v>807</v>
      </c>
      <c r="I3611" s="666" t="s">
        <v>861</v>
      </c>
      <c r="J3611" s="667" t="s">
        <v>865</v>
      </c>
      <c r="K3611" s="662">
        <v>1</v>
      </c>
      <c r="L3611" s="685">
        <f t="shared" si="109"/>
        <v>15.98</v>
      </c>
      <c r="M3611" s="686">
        <f t="shared" si="108"/>
        <v>15.98</v>
      </c>
    </row>
    <row r="3612" spans="2:13" s="645" customFormat="1" ht="21.75" customHeight="1">
      <c r="B3612" s="661">
        <v>44470</v>
      </c>
      <c r="C3612" s="662" t="s">
        <v>819</v>
      </c>
      <c r="D3612" s="663" t="s">
        <v>847</v>
      </c>
      <c r="E3612" s="664" t="s">
        <v>831</v>
      </c>
      <c r="F3612" s="665"/>
      <c r="G3612" s="663">
        <v>17</v>
      </c>
      <c r="H3612" s="662" t="s">
        <v>807</v>
      </c>
      <c r="I3612" s="666" t="s">
        <v>863</v>
      </c>
      <c r="J3612" s="667" t="s">
        <v>865</v>
      </c>
      <c r="K3612" s="662">
        <v>3</v>
      </c>
      <c r="L3612" s="685">
        <f t="shared" si="109"/>
        <v>15.98</v>
      </c>
      <c r="M3612" s="686">
        <f t="shared" si="108"/>
        <v>47.94</v>
      </c>
    </row>
    <row r="3613" spans="2:13" s="645" customFormat="1" ht="21.75" customHeight="1">
      <c r="B3613" s="661">
        <v>44470</v>
      </c>
      <c r="C3613" s="662" t="s">
        <v>819</v>
      </c>
      <c r="D3613" s="663" t="s">
        <v>856</v>
      </c>
      <c r="E3613" s="664" t="s">
        <v>831</v>
      </c>
      <c r="F3613" s="665"/>
      <c r="G3613" s="663">
        <v>20</v>
      </c>
      <c r="H3613" s="662" t="s">
        <v>807</v>
      </c>
      <c r="I3613" s="666" t="s">
        <v>863</v>
      </c>
      <c r="J3613" s="667" t="s">
        <v>865</v>
      </c>
      <c r="K3613" s="662">
        <v>3</v>
      </c>
      <c r="L3613" s="685">
        <f t="shared" si="109"/>
        <v>18.8</v>
      </c>
      <c r="M3613" s="686">
        <f t="shared" si="108"/>
        <v>56.400000000000006</v>
      </c>
    </row>
    <row r="3614" spans="2:13" s="645" customFormat="1" ht="21.75" customHeight="1">
      <c r="B3614" s="661">
        <v>44470</v>
      </c>
      <c r="C3614" s="662" t="s">
        <v>819</v>
      </c>
      <c r="D3614" s="663" t="s">
        <v>878</v>
      </c>
      <c r="E3614" s="664" t="s">
        <v>831</v>
      </c>
      <c r="F3614" s="665"/>
      <c r="G3614" s="663">
        <v>15</v>
      </c>
      <c r="H3614" s="662" t="s">
        <v>807</v>
      </c>
      <c r="I3614" s="666" t="s">
        <v>863</v>
      </c>
      <c r="J3614" s="667" t="s">
        <v>865</v>
      </c>
      <c r="K3614" s="662">
        <v>3</v>
      </c>
      <c r="L3614" s="685">
        <f t="shared" si="109"/>
        <v>14.1</v>
      </c>
      <c r="M3614" s="686">
        <f t="shared" si="108"/>
        <v>42.3</v>
      </c>
    </row>
    <row r="3615" spans="2:13" s="645" customFormat="1" ht="21.75" customHeight="1">
      <c r="B3615" s="661">
        <v>44470</v>
      </c>
      <c r="C3615" s="662" t="s">
        <v>819</v>
      </c>
      <c r="D3615" s="663" t="s">
        <v>867</v>
      </c>
      <c r="E3615" s="664" t="s">
        <v>831</v>
      </c>
      <c r="F3615" s="665"/>
      <c r="G3615" s="663">
        <v>20</v>
      </c>
      <c r="H3615" s="662" t="s">
        <v>807</v>
      </c>
      <c r="I3615" s="666" t="s">
        <v>863</v>
      </c>
      <c r="J3615" s="667" t="s">
        <v>865</v>
      </c>
      <c r="K3615" s="662">
        <v>1</v>
      </c>
      <c r="L3615" s="685">
        <f t="shared" si="109"/>
        <v>18.8</v>
      </c>
      <c r="M3615" s="686">
        <f t="shared" si="108"/>
        <v>18.8</v>
      </c>
    </row>
    <row r="3616" spans="2:13" s="645" customFormat="1" ht="21.75" customHeight="1">
      <c r="B3616" s="661">
        <v>44470</v>
      </c>
      <c r="C3616" s="662" t="s">
        <v>819</v>
      </c>
      <c r="D3616" s="663" t="s">
        <v>876</v>
      </c>
      <c r="E3616" s="664" t="s">
        <v>831</v>
      </c>
      <c r="F3616" s="665"/>
      <c r="G3616" s="663">
        <v>20</v>
      </c>
      <c r="H3616" s="662" t="s">
        <v>807</v>
      </c>
      <c r="I3616" s="666" t="s">
        <v>863</v>
      </c>
      <c r="J3616" s="667" t="s">
        <v>865</v>
      </c>
      <c r="K3616" s="662">
        <v>10</v>
      </c>
      <c r="L3616" s="685">
        <f t="shared" si="109"/>
        <v>18.8</v>
      </c>
      <c r="M3616" s="686">
        <f t="shared" si="108"/>
        <v>188</v>
      </c>
    </row>
    <row r="3617" spans="2:15" s="645" customFormat="1" ht="21.75" customHeight="1">
      <c r="B3617" s="661">
        <v>44470</v>
      </c>
      <c r="C3617" s="662" t="s">
        <v>819</v>
      </c>
      <c r="D3617" s="663" t="s">
        <v>870</v>
      </c>
      <c r="E3617" s="664" t="s">
        <v>831</v>
      </c>
      <c r="F3617" s="665"/>
      <c r="G3617" s="663">
        <v>20</v>
      </c>
      <c r="H3617" s="662" t="s">
        <v>807</v>
      </c>
      <c r="I3617" s="666" t="s">
        <v>863</v>
      </c>
      <c r="J3617" s="667" t="s">
        <v>865</v>
      </c>
      <c r="K3617" s="662">
        <v>1</v>
      </c>
      <c r="L3617" s="685">
        <f t="shared" si="109"/>
        <v>18.8</v>
      </c>
      <c r="M3617" s="686">
        <f t="shared" si="108"/>
        <v>18.8</v>
      </c>
    </row>
    <row r="3618" spans="2:15" s="645" customFormat="1" ht="21.75" customHeight="1">
      <c r="B3618" s="708">
        <v>44470</v>
      </c>
      <c r="C3618" s="709" t="s">
        <v>819</v>
      </c>
      <c r="D3618" s="710" t="s">
        <v>834</v>
      </c>
      <c r="E3618" s="711" t="s">
        <v>831</v>
      </c>
      <c r="F3618" s="712"/>
      <c r="G3618" s="710">
        <v>20</v>
      </c>
      <c r="H3618" s="709" t="s">
        <v>807</v>
      </c>
      <c r="I3618" s="713" t="s">
        <v>863</v>
      </c>
      <c r="J3618" s="714" t="s">
        <v>802</v>
      </c>
      <c r="K3618" s="709">
        <v>1</v>
      </c>
      <c r="L3618" s="715">
        <f t="shared" si="109"/>
        <v>18.8</v>
      </c>
      <c r="M3618" s="716">
        <f t="shared" si="108"/>
        <v>18.8</v>
      </c>
    </row>
    <row r="3619" spans="2:15" s="645" customFormat="1" ht="21.75" customHeight="1">
      <c r="B3619" s="708">
        <v>44470</v>
      </c>
      <c r="C3619" s="709" t="s">
        <v>819</v>
      </c>
      <c r="D3619" s="710" t="s">
        <v>848</v>
      </c>
      <c r="E3619" s="711" t="s">
        <v>831</v>
      </c>
      <c r="F3619" s="712"/>
      <c r="G3619" s="710">
        <v>20</v>
      </c>
      <c r="H3619" s="709" t="s">
        <v>807</v>
      </c>
      <c r="I3619" s="713" t="s">
        <v>863</v>
      </c>
      <c r="J3619" s="714" t="s">
        <v>802</v>
      </c>
      <c r="K3619" s="709">
        <v>2</v>
      </c>
      <c r="L3619" s="715">
        <f t="shared" si="109"/>
        <v>18.8</v>
      </c>
      <c r="M3619" s="716">
        <f t="shared" si="108"/>
        <v>37.6</v>
      </c>
    </row>
    <row r="3620" spans="2:15" s="645" customFormat="1" ht="21.75" customHeight="1">
      <c r="B3620" s="708">
        <v>44470</v>
      </c>
      <c r="C3620" s="709" t="s">
        <v>819</v>
      </c>
      <c r="D3620" s="710" t="s">
        <v>830</v>
      </c>
      <c r="E3620" s="711" t="s">
        <v>831</v>
      </c>
      <c r="F3620" s="712"/>
      <c r="G3620" s="710">
        <v>15</v>
      </c>
      <c r="H3620" s="709" t="s">
        <v>807</v>
      </c>
      <c r="I3620" s="713" t="s">
        <v>863</v>
      </c>
      <c r="J3620" s="714" t="s">
        <v>802</v>
      </c>
      <c r="K3620" s="709">
        <v>3</v>
      </c>
      <c r="L3620" s="715">
        <f t="shared" si="109"/>
        <v>14.1</v>
      </c>
      <c r="M3620" s="716">
        <f t="shared" si="108"/>
        <v>42.3</v>
      </c>
    </row>
    <row r="3621" spans="2:15" s="645" customFormat="1" ht="21.75" customHeight="1">
      <c r="B3621" s="708">
        <v>44470</v>
      </c>
      <c r="C3621" s="709" t="s">
        <v>819</v>
      </c>
      <c r="D3621" s="710" t="s">
        <v>839</v>
      </c>
      <c r="E3621" s="711" t="s">
        <v>831</v>
      </c>
      <c r="F3621" s="712"/>
      <c r="G3621" s="710">
        <v>15</v>
      </c>
      <c r="H3621" s="709" t="s">
        <v>807</v>
      </c>
      <c r="I3621" s="713" t="s">
        <v>863</v>
      </c>
      <c r="J3621" s="714" t="s">
        <v>802</v>
      </c>
      <c r="K3621" s="709">
        <v>1</v>
      </c>
      <c r="L3621" s="715">
        <f t="shared" si="109"/>
        <v>14.1</v>
      </c>
      <c r="M3621" s="716">
        <f t="shared" si="108"/>
        <v>14.1</v>
      </c>
    </row>
    <row r="3622" spans="2:15" s="645" customFormat="1" ht="21.75" customHeight="1">
      <c r="B3622" s="708">
        <v>44470</v>
      </c>
      <c r="C3622" s="709" t="s">
        <v>819</v>
      </c>
      <c r="D3622" s="710" t="s">
        <v>847</v>
      </c>
      <c r="E3622" s="711" t="s">
        <v>831</v>
      </c>
      <c r="F3622" s="712"/>
      <c r="G3622" s="710">
        <v>17</v>
      </c>
      <c r="H3622" s="709" t="s">
        <v>807</v>
      </c>
      <c r="I3622" s="713" t="s">
        <v>863</v>
      </c>
      <c r="J3622" s="714" t="s">
        <v>802</v>
      </c>
      <c r="K3622" s="709">
        <v>1</v>
      </c>
      <c r="L3622" s="715">
        <f t="shared" si="109"/>
        <v>15.98</v>
      </c>
      <c r="M3622" s="716">
        <f t="shared" si="108"/>
        <v>15.98</v>
      </c>
    </row>
    <row r="3623" spans="2:15" s="645" customFormat="1" ht="21.75" customHeight="1">
      <c r="B3623" s="708">
        <v>44470</v>
      </c>
      <c r="C3623" s="709" t="s">
        <v>819</v>
      </c>
      <c r="D3623" s="710" t="s">
        <v>867</v>
      </c>
      <c r="E3623" s="711" t="s">
        <v>831</v>
      </c>
      <c r="F3623" s="712"/>
      <c r="G3623" s="710">
        <v>20</v>
      </c>
      <c r="H3623" s="709" t="s">
        <v>807</v>
      </c>
      <c r="I3623" s="713" t="s">
        <v>863</v>
      </c>
      <c r="J3623" s="714" t="s">
        <v>802</v>
      </c>
      <c r="K3623" s="709">
        <v>1</v>
      </c>
      <c r="L3623" s="715">
        <f t="shared" si="109"/>
        <v>18.8</v>
      </c>
      <c r="M3623" s="716">
        <f t="shared" ref="M3623:M3686" si="110">L3623*K3623</f>
        <v>18.8</v>
      </c>
    </row>
    <row r="3624" spans="2:15" s="645" customFormat="1" ht="21.75" customHeight="1">
      <c r="B3624" s="708">
        <v>44470</v>
      </c>
      <c r="C3624" s="709" t="s">
        <v>819</v>
      </c>
      <c r="D3624" s="710" t="s">
        <v>868</v>
      </c>
      <c r="E3624" s="711" t="s">
        <v>831</v>
      </c>
      <c r="F3624" s="712"/>
      <c r="G3624" s="710">
        <v>20</v>
      </c>
      <c r="H3624" s="709" t="s">
        <v>807</v>
      </c>
      <c r="I3624" s="713" t="s">
        <v>863</v>
      </c>
      <c r="J3624" s="714" t="s">
        <v>802</v>
      </c>
      <c r="K3624" s="709">
        <v>1</v>
      </c>
      <c r="L3624" s="715">
        <f t="shared" si="109"/>
        <v>18.8</v>
      </c>
      <c r="M3624" s="716">
        <f t="shared" si="110"/>
        <v>18.8</v>
      </c>
      <c r="O3624" s="693"/>
    </row>
    <row r="3625" spans="2:15" s="645" customFormat="1" ht="21.75" customHeight="1">
      <c r="B3625" s="717">
        <v>44470</v>
      </c>
      <c r="C3625" s="718" t="s">
        <v>819</v>
      </c>
      <c r="D3625" s="719" t="s">
        <v>847</v>
      </c>
      <c r="E3625" s="720" t="s">
        <v>831</v>
      </c>
      <c r="F3625" s="721"/>
      <c r="G3625" s="719">
        <v>17</v>
      </c>
      <c r="H3625" s="718" t="s">
        <v>806</v>
      </c>
      <c r="I3625" s="722" t="s">
        <v>890</v>
      </c>
      <c r="J3625" s="723" t="s">
        <v>892</v>
      </c>
      <c r="K3625" s="718">
        <v>8</v>
      </c>
      <c r="L3625" s="724">
        <f t="shared" si="109"/>
        <v>15.98</v>
      </c>
      <c r="M3625" s="725">
        <f t="shared" si="110"/>
        <v>127.84</v>
      </c>
      <c r="O3625" s="693"/>
    </row>
    <row r="3626" spans="2:15" s="645" customFormat="1" ht="21.75" customHeight="1">
      <c r="B3626" s="717">
        <v>44470</v>
      </c>
      <c r="C3626" s="718" t="s">
        <v>819</v>
      </c>
      <c r="D3626" s="719" t="s">
        <v>873</v>
      </c>
      <c r="E3626" s="720" t="s">
        <v>831</v>
      </c>
      <c r="F3626" s="721"/>
      <c r="G3626" s="719">
        <v>20</v>
      </c>
      <c r="H3626" s="718" t="s">
        <v>806</v>
      </c>
      <c r="I3626" s="722" t="s">
        <v>890</v>
      </c>
      <c r="J3626" s="723" t="s">
        <v>892</v>
      </c>
      <c r="K3626" s="718">
        <v>17</v>
      </c>
      <c r="L3626" s="724">
        <f t="shared" si="109"/>
        <v>18.8</v>
      </c>
      <c r="M3626" s="725">
        <f t="shared" si="110"/>
        <v>319.60000000000002</v>
      </c>
      <c r="O3626" s="693"/>
    </row>
    <row r="3627" spans="2:15" s="645" customFormat="1" ht="21.75" customHeight="1">
      <c r="B3627" s="717">
        <v>44470</v>
      </c>
      <c r="C3627" s="718" t="s">
        <v>837</v>
      </c>
      <c r="D3627" s="719" t="s">
        <v>839</v>
      </c>
      <c r="E3627" s="720" t="s">
        <v>831</v>
      </c>
      <c r="F3627" s="721"/>
      <c r="G3627" s="719">
        <v>15</v>
      </c>
      <c r="H3627" s="718" t="s">
        <v>806</v>
      </c>
      <c r="I3627" s="722" t="s">
        <v>890</v>
      </c>
      <c r="J3627" s="723" t="s">
        <v>892</v>
      </c>
      <c r="K3627" s="718">
        <v>16</v>
      </c>
      <c r="L3627" s="724">
        <f t="shared" si="109"/>
        <v>14.1</v>
      </c>
      <c r="M3627" s="725">
        <f t="shared" si="110"/>
        <v>225.6</v>
      </c>
      <c r="O3627" s="693"/>
    </row>
    <row r="3628" spans="2:15" s="645" customFormat="1" ht="21.75" customHeight="1">
      <c r="B3628" s="717">
        <v>44470</v>
      </c>
      <c r="C3628" s="718" t="s">
        <v>837</v>
      </c>
      <c r="D3628" s="719" t="s">
        <v>878</v>
      </c>
      <c r="E3628" s="720" t="s">
        <v>831</v>
      </c>
      <c r="F3628" s="721"/>
      <c r="G3628" s="719">
        <v>15</v>
      </c>
      <c r="H3628" s="718" t="s">
        <v>806</v>
      </c>
      <c r="I3628" s="722" t="s">
        <v>890</v>
      </c>
      <c r="J3628" s="723" t="s">
        <v>892</v>
      </c>
      <c r="K3628" s="718">
        <v>17</v>
      </c>
      <c r="L3628" s="724">
        <f t="shared" si="109"/>
        <v>14.1</v>
      </c>
      <c r="M3628" s="725">
        <f t="shared" si="110"/>
        <v>239.7</v>
      </c>
      <c r="O3628" s="693"/>
    </row>
    <row r="3629" spans="2:15" s="645" customFormat="1" ht="21.75" customHeight="1">
      <c r="B3629" s="661">
        <v>44471</v>
      </c>
      <c r="C3629" s="662" t="s">
        <v>819</v>
      </c>
      <c r="D3629" s="663" t="s">
        <v>840</v>
      </c>
      <c r="E3629" s="664" t="s">
        <v>831</v>
      </c>
      <c r="F3629" s="665"/>
      <c r="G3629" s="663">
        <v>20</v>
      </c>
      <c r="H3629" s="662" t="s">
        <v>807</v>
      </c>
      <c r="I3629" s="666" t="s">
        <v>863</v>
      </c>
      <c r="J3629" s="667" t="s">
        <v>805</v>
      </c>
      <c r="K3629" s="662">
        <v>4</v>
      </c>
      <c r="L3629" s="685">
        <f t="shared" si="109"/>
        <v>18.8</v>
      </c>
      <c r="M3629" s="686">
        <f t="shared" si="110"/>
        <v>75.2</v>
      </c>
      <c r="O3629" s="693"/>
    </row>
    <row r="3630" spans="2:15" s="645" customFormat="1" ht="21.75" customHeight="1">
      <c r="B3630" s="661">
        <v>44471</v>
      </c>
      <c r="C3630" s="662" t="s">
        <v>819</v>
      </c>
      <c r="D3630" s="663" t="s">
        <v>835</v>
      </c>
      <c r="E3630" s="664" t="s">
        <v>831</v>
      </c>
      <c r="F3630" s="665"/>
      <c r="G3630" s="663">
        <v>20</v>
      </c>
      <c r="H3630" s="662" t="s">
        <v>807</v>
      </c>
      <c r="I3630" s="666" t="s">
        <v>863</v>
      </c>
      <c r="J3630" s="667" t="s">
        <v>805</v>
      </c>
      <c r="K3630" s="662">
        <v>2</v>
      </c>
      <c r="L3630" s="685">
        <f t="shared" si="109"/>
        <v>18.8</v>
      </c>
      <c r="M3630" s="686">
        <f t="shared" si="110"/>
        <v>37.6</v>
      </c>
      <c r="O3630" s="693"/>
    </row>
    <row r="3631" spans="2:15" s="645" customFormat="1" ht="21.75" customHeight="1">
      <c r="B3631" s="661">
        <v>44471</v>
      </c>
      <c r="C3631" s="662" t="s">
        <v>819</v>
      </c>
      <c r="D3631" s="663" t="s">
        <v>835</v>
      </c>
      <c r="E3631" s="664" t="s">
        <v>831</v>
      </c>
      <c r="F3631" s="665"/>
      <c r="G3631" s="663">
        <v>20</v>
      </c>
      <c r="H3631" s="662" t="s">
        <v>807</v>
      </c>
      <c r="I3631" s="666" t="s">
        <v>863</v>
      </c>
      <c r="J3631" s="667" t="s">
        <v>804</v>
      </c>
      <c r="K3631" s="662">
        <v>6</v>
      </c>
      <c r="L3631" s="685">
        <f t="shared" si="109"/>
        <v>18.8</v>
      </c>
      <c r="M3631" s="686">
        <f t="shared" si="110"/>
        <v>112.80000000000001</v>
      </c>
      <c r="O3631" s="693"/>
    </row>
    <row r="3632" spans="2:15" s="645" customFormat="1" ht="21.75" customHeight="1">
      <c r="B3632" s="661">
        <v>44471</v>
      </c>
      <c r="C3632" s="662" t="s">
        <v>819</v>
      </c>
      <c r="D3632" s="663" t="s">
        <v>841</v>
      </c>
      <c r="E3632" s="664" t="s">
        <v>831</v>
      </c>
      <c r="F3632" s="665"/>
      <c r="G3632" s="663">
        <v>20</v>
      </c>
      <c r="H3632" s="662" t="s">
        <v>807</v>
      </c>
      <c r="I3632" s="666" t="s">
        <v>863</v>
      </c>
      <c r="J3632" s="667" t="s">
        <v>804</v>
      </c>
      <c r="K3632" s="662">
        <v>1</v>
      </c>
      <c r="L3632" s="685">
        <f t="shared" si="109"/>
        <v>18.8</v>
      </c>
      <c r="M3632" s="686">
        <f t="shared" si="110"/>
        <v>18.8</v>
      </c>
      <c r="O3632" s="693"/>
    </row>
    <row r="3633" spans="2:15" s="645" customFormat="1" ht="21.75" customHeight="1">
      <c r="B3633" s="661">
        <v>44471</v>
      </c>
      <c r="C3633" s="662" t="s">
        <v>819</v>
      </c>
      <c r="D3633" s="663" t="s">
        <v>841</v>
      </c>
      <c r="E3633" s="664" t="s">
        <v>831</v>
      </c>
      <c r="F3633" s="665"/>
      <c r="G3633" s="663">
        <v>20</v>
      </c>
      <c r="H3633" s="662" t="s">
        <v>807</v>
      </c>
      <c r="I3633" s="666" t="s">
        <v>863</v>
      </c>
      <c r="J3633" s="667" t="s">
        <v>805</v>
      </c>
      <c r="K3633" s="662">
        <v>4</v>
      </c>
      <c r="L3633" s="685">
        <f t="shared" si="109"/>
        <v>18.8</v>
      </c>
      <c r="M3633" s="686">
        <f t="shared" si="110"/>
        <v>75.2</v>
      </c>
      <c r="O3633" s="693"/>
    </row>
    <row r="3634" spans="2:15" s="645" customFormat="1" ht="21.75" customHeight="1">
      <c r="B3634" s="661">
        <v>44471</v>
      </c>
      <c r="C3634" s="662" t="s">
        <v>819</v>
      </c>
      <c r="D3634" s="663" t="s">
        <v>834</v>
      </c>
      <c r="E3634" s="664" t="s">
        <v>831</v>
      </c>
      <c r="F3634" s="665"/>
      <c r="G3634" s="663">
        <v>20</v>
      </c>
      <c r="H3634" s="662" t="s">
        <v>807</v>
      </c>
      <c r="I3634" s="666" t="s">
        <v>863</v>
      </c>
      <c r="J3634" s="667" t="s">
        <v>804</v>
      </c>
      <c r="K3634" s="662">
        <v>5</v>
      </c>
      <c r="L3634" s="685">
        <f t="shared" si="109"/>
        <v>18.8</v>
      </c>
      <c r="M3634" s="686">
        <f t="shared" si="110"/>
        <v>94</v>
      </c>
      <c r="O3634" s="693"/>
    </row>
    <row r="3635" spans="2:15" s="645" customFormat="1" ht="21.75" customHeight="1">
      <c r="B3635" s="661">
        <v>44471</v>
      </c>
      <c r="C3635" s="662" t="s">
        <v>819</v>
      </c>
      <c r="D3635" s="663" t="s">
        <v>834</v>
      </c>
      <c r="E3635" s="664" t="s">
        <v>831</v>
      </c>
      <c r="F3635" s="665"/>
      <c r="G3635" s="663">
        <v>20</v>
      </c>
      <c r="H3635" s="662" t="s">
        <v>807</v>
      </c>
      <c r="I3635" s="666" t="s">
        <v>863</v>
      </c>
      <c r="J3635" s="667" t="s">
        <v>805</v>
      </c>
      <c r="K3635" s="662">
        <v>1</v>
      </c>
      <c r="L3635" s="685">
        <f t="shared" si="109"/>
        <v>18.8</v>
      </c>
      <c r="M3635" s="686">
        <f t="shared" si="110"/>
        <v>18.8</v>
      </c>
      <c r="O3635" s="693"/>
    </row>
    <row r="3636" spans="2:15" s="645" customFormat="1" ht="21.75" customHeight="1">
      <c r="B3636" s="661">
        <v>44471</v>
      </c>
      <c r="C3636" s="662" t="s">
        <v>819</v>
      </c>
      <c r="D3636" s="663" t="s">
        <v>848</v>
      </c>
      <c r="E3636" s="664" t="s">
        <v>831</v>
      </c>
      <c r="F3636" s="665"/>
      <c r="G3636" s="663">
        <v>20</v>
      </c>
      <c r="H3636" s="662" t="s">
        <v>807</v>
      </c>
      <c r="I3636" s="666" t="s">
        <v>863</v>
      </c>
      <c r="J3636" s="667" t="s">
        <v>805</v>
      </c>
      <c r="K3636" s="662">
        <v>8</v>
      </c>
      <c r="L3636" s="685">
        <f t="shared" si="109"/>
        <v>18.8</v>
      </c>
      <c r="M3636" s="686">
        <f t="shared" si="110"/>
        <v>150.4</v>
      </c>
      <c r="O3636" s="693"/>
    </row>
    <row r="3637" spans="2:15" s="645" customFormat="1" ht="21.75" customHeight="1">
      <c r="B3637" s="661">
        <v>44471</v>
      </c>
      <c r="C3637" s="662" t="s">
        <v>819</v>
      </c>
      <c r="D3637" s="663" t="s">
        <v>836</v>
      </c>
      <c r="E3637" s="664" t="s">
        <v>831</v>
      </c>
      <c r="F3637" s="665"/>
      <c r="G3637" s="663">
        <v>20</v>
      </c>
      <c r="H3637" s="662" t="s">
        <v>807</v>
      </c>
      <c r="I3637" s="666" t="s">
        <v>863</v>
      </c>
      <c r="J3637" s="667" t="s">
        <v>805</v>
      </c>
      <c r="K3637" s="662">
        <v>4</v>
      </c>
      <c r="L3637" s="685">
        <f t="shared" si="109"/>
        <v>18.8</v>
      </c>
      <c r="M3637" s="686">
        <f t="shared" si="110"/>
        <v>75.2</v>
      </c>
      <c r="O3637" s="693"/>
    </row>
    <row r="3638" spans="2:15" s="645" customFormat="1" ht="21.75" customHeight="1">
      <c r="B3638" s="661">
        <v>44471</v>
      </c>
      <c r="C3638" s="662" t="s">
        <v>819</v>
      </c>
      <c r="D3638" s="663" t="s">
        <v>833</v>
      </c>
      <c r="E3638" s="664" t="s">
        <v>831</v>
      </c>
      <c r="F3638" s="665"/>
      <c r="G3638" s="663">
        <v>15</v>
      </c>
      <c r="H3638" s="662" t="s">
        <v>807</v>
      </c>
      <c r="I3638" s="666" t="s">
        <v>863</v>
      </c>
      <c r="J3638" s="667" t="s">
        <v>805</v>
      </c>
      <c r="K3638" s="662">
        <v>6</v>
      </c>
      <c r="L3638" s="685">
        <f t="shared" si="109"/>
        <v>14.1</v>
      </c>
      <c r="M3638" s="686">
        <f t="shared" si="110"/>
        <v>84.6</v>
      </c>
      <c r="O3638" s="693"/>
    </row>
    <row r="3639" spans="2:15" s="645" customFormat="1" ht="21.75" customHeight="1">
      <c r="B3639" s="661">
        <v>44471</v>
      </c>
      <c r="C3639" s="662" t="s">
        <v>819</v>
      </c>
      <c r="D3639" s="663" t="s">
        <v>833</v>
      </c>
      <c r="E3639" s="664" t="s">
        <v>831</v>
      </c>
      <c r="F3639" s="665"/>
      <c r="G3639" s="663">
        <v>15</v>
      </c>
      <c r="H3639" s="662" t="s">
        <v>807</v>
      </c>
      <c r="I3639" s="666" t="s">
        <v>861</v>
      </c>
      <c r="J3639" s="667" t="s">
        <v>805</v>
      </c>
      <c r="K3639" s="662">
        <v>1</v>
      </c>
      <c r="L3639" s="685">
        <f t="shared" si="109"/>
        <v>14.1</v>
      </c>
      <c r="M3639" s="686">
        <f t="shared" si="110"/>
        <v>14.1</v>
      </c>
      <c r="O3639" s="693"/>
    </row>
    <row r="3640" spans="2:15" s="645" customFormat="1" ht="21.75" customHeight="1">
      <c r="B3640" s="661">
        <v>44471</v>
      </c>
      <c r="C3640" s="662" t="s">
        <v>819</v>
      </c>
      <c r="D3640" s="663" t="s">
        <v>830</v>
      </c>
      <c r="E3640" s="664" t="s">
        <v>831</v>
      </c>
      <c r="F3640" s="665"/>
      <c r="G3640" s="663">
        <v>15</v>
      </c>
      <c r="H3640" s="662" t="s">
        <v>807</v>
      </c>
      <c r="I3640" s="666" t="s">
        <v>863</v>
      </c>
      <c r="J3640" s="667" t="s">
        <v>804</v>
      </c>
      <c r="K3640" s="662">
        <v>1</v>
      </c>
      <c r="L3640" s="685">
        <f t="shared" si="109"/>
        <v>14.1</v>
      </c>
      <c r="M3640" s="686">
        <f t="shared" si="110"/>
        <v>14.1</v>
      </c>
      <c r="O3640" s="693"/>
    </row>
    <row r="3641" spans="2:15" s="645" customFormat="1" ht="21.75" customHeight="1">
      <c r="B3641" s="661">
        <v>44471</v>
      </c>
      <c r="C3641" s="662" t="s">
        <v>819</v>
      </c>
      <c r="D3641" s="663" t="s">
        <v>830</v>
      </c>
      <c r="E3641" s="664" t="s">
        <v>831</v>
      </c>
      <c r="F3641" s="665"/>
      <c r="G3641" s="663">
        <v>15</v>
      </c>
      <c r="H3641" s="662" t="s">
        <v>807</v>
      </c>
      <c r="I3641" s="666" t="s">
        <v>863</v>
      </c>
      <c r="J3641" s="667" t="s">
        <v>805</v>
      </c>
      <c r="K3641" s="662">
        <v>1</v>
      </c>
      <c r="L3641" s="685">
        <f t="shared" si="109"/>
        <v>14.1</v>
      </c>
      <c r="M3641" s="686">
        <f t="shared" si="110"/>
        <v>14.1</v>
      </c>
      <c r="O3641" s="693"/>
    </row>
    <row r="3642" spans="2:15" s="645" customFormat="1" ht="21.75" customHeight="1">
      <c r="B3642" s="661">
        <v>44471</v>
      </c>
      <c r="C3642" s="662" t="s">
        <v>819</v>
      </c>
      <c r="D3642" s="663" t="s">
        <v>839</v>
      </c>
      <c r="E3642" s="664" t="s">
        <v>831</v>
      </c>
      <c r="F3642" s="665"/>
      <c r="G3642" s="663">
        <v>15</v>
      </c>
      <c r="H3642" s="662" t="s">
        <v>807</v>
      </c>
      <c r="I3642" s="666" t="s">
        <v>863</v>
      </c>
      <c r="J3642" s="667" t="s">
        <v>804</v>
      </c>
      <c r="K3642" s="662">
        <v>9</v>
      </c>
      <c r="L3642" s="685">
        <f t="shared" si="109"/>
        <v>14.1</v>
      </c>
      <c r="M3642" s="686">
        <f t="shared" si="110"/>
        <v>126.89999999999999</v>
      </c>
      <c r="O3642" s="693"/>
    </row>
    <row r="3643" spans="2:15" s="645" customFormat="1" ht="21.75" customHeight="1">
      <c r="B3643" s="661">
        <v>44471</v>
      </c>
      <c r="C3643" s="662" t="s">
        <v>819</v>
      </c>
      <c r="D3643" s="663" t="s">
        <v>839</v>
      </c>
      <c r="E3643" s="664" t="s">
        <v>831</v>
      </c>
      <c r="F3643" s="665"/>
      <c r="G3643" s="663">
        <v>15</v>
      </c>
      <c r="H3643" s="662" t="s">
        <v>807</v>
      </c>
      <c r="I3643" s="666" t="s">
        <v>863</v>
      </c>
      <c r="J3643" s="667" t="s">
        <v>805</v>
      </c>
      <c r="K3643" s="662">
        <v>1</v>
      </c>
      <c r="L3643" s="685">
        <f t="shared" si="109"/>
        <v>14.1</v>
      </c>
      <c r="M3643" s="686">
        <f t="shared" si="110"/>
        <v>14.1</v>
      </c>
      <c r="O3643" s="693"/>
    </row>
    <row r="3644" spans="2:15" s="645" customFormat="1" ht="21.75" customHeight="1">
      <c r="B3644" s="661">
        <v>44471</v>
      </c>
      <c r="C3644" s="662" t="s">
        <v>819</v>
      </c>
      <c r="D3644" s="663" t="s">
        <v>845</v>
      </c>
      <c r="E3644" s="664" t="s">
        <v>831</v>
      </c>
      <c r="F3644" s="665"/>
      <c r="G3644" s="663">
        <v>17</v>
      </c>
      <c r="H3644" s="662" t="s">
        <v>807</v>
      </c>
      <c r="I3644" s="666" t="s">
        <v>863</v>
      </c>
      <c r="J3644" s="667" t="s">
        <v>805</v>
      </c>
      <c r="K3644" s="662">
        <v>5</v>
      </c>
      <c r="L3644" s="685">
        <f t="shared" si="109"/>
        <v>15.98</v>
      </c>
      <c r="M3644" s="686">
        <f t="shared" si="110"/>
        <v>79.900000000000006</v>
      </c>
      <c r="O3644" s="693"/>
    </row>
    <row r="3645" spans="2:15" s="645" customFormat="1" ht="21.75" customHeight="1">
      <c r="B3645" s="661">
        <v>44471</v>
      </c>
      <c r="C3645" s="662" t="s">
        <v>819</v>
      </c>
      <c r="D3645" s="663" t="s">
        <v>847</v>
      </c>
      <c r="E3645" s="664" t="s">
        <v>831</v>
      </c>
      <c r="F3645" s="665"/>
      <c r="G3645" s="663">
        <v>17</v>
      </c>
      <c r="H3645" s="662" t="s">
        <v>807</v>
      </c>
      <c r="I3645" s="666" t="s">
        <v>863</v>
      </c>
      <c r="J3645" s="667" t="s">
        <v>804</v>
      </c>
      <c r="K3645" s="662">
        <v>7</v>
      </c>
      <c r="L3645" s="685">
        <f t="shared" si="109"/>
        <v>15.98</v>
      </c>
      <c r="M3645" s="686">
        <f t="shared" si="110"/>
        <v>111.86</v>
      </c>
      <c r="O3645" s="693"/>
    </row>
    <row r="3646" spans="2:15" s="645" customFormat="1" ht="21.75" customHeight="1">
      <c r="B3646" s="661">
        <v>44471</v>
      </c>
      <c r="C3646" s="662" t="s">
        <v>819</v>
      </c>
      <c r="D3646" s="663" t="s">
        <v>847</v>
      </c>
      <c r="E3646" s="664" t="s">
        <v>831</v>
      </c>
      <c r="F3646" s="665"/>
      <c r="G3646" s="663">
        <v>17</v>
      </c>
      <c r="H3646" s="662" t="s">
        <v>807</v>
      </c>
      <c r="I3646" s="666" t="s">
        <v>863</v>
      </c>
      <c r="J3646" s="667" t="s">
        <v>805</v>
      </c>
      <c r="K3646" s="662">
        <v>4</v>
      </c>
      <c r="L3646" s="685">
        <f t="shared" si="109"/>
        <v>15.98</v>
      </c>
      <c r="M3646" s="686">
        <f t="shared" si="110"/>
        <v>63.92</v>
      </c>
      <c r="O3646" s="693"/>
    </row>
    <row r="3647" spans="2:15" s="645" customFormat="1" ht="21.75" customHeight="1">
      <c r="B3647" s="661">
        <v>44471</v>
      </c>
      <c r="C3647" s="662" t="s">
        <v>819</v>
      </c>
      <c r="D3647" s="663" t="s">
        <v>856</v>
      </c>
      <c r="E3647" s="664" t="s">
        <v>831</v>
      </c>
      <c r="F3647" s="665"/>
      <c r="G3647" s="663">
        <v>20</v>
      </c>
      <c r="H3647" s="662" t="s">
        <v>807</v>
      </c>
      <c r="I3647" s="666" t="s">
        <v>863</v>
      </c>
      <c r="J3647" s="667" t="s">
        <v>804</v>
      </c>
      <c r="K3647" s="662">
        <v>1</v>
      </c>
      <c r="L3647" s="685">
        <f t="shared" si="109"/>
        <v>18.8</v>
      </c>
      <c r="M3647" s="686">
        <f t="shared" si="110"/>
        <v>18.8</v>
      </c>
      <c r="O3647" s="693"/>
    </row>
    <row r="3648" spans="2:15" s="645" customFormat="1" ht="21.75" customHeight="1">
      <c r="B3648" s="661">
        <v>44471</v>
      </c>
      <c r="C3648" s="662" t="s">
        <v>819</v>
      </c>
      <c r="D3648" s="663" t="s">
        <v>856</v>
      </c>
      <c r="E3648" s="664" t="s">
        <v>831</v>
      </c>
      <c r="F3648" s="665"/>
      <c r="G3648" s="663">
        <v>20</v>
      </c>
      <c r="H3648" s="662" t="s">
        <v>807</v>
      </c>
      <c r="I3648" s="666" t="s">
        <v>863</v>
      </c>
      <c r="J3648" s="667" t="s">
        <v>805</v>
      </c>
      <c r="K3648" s="662">
        <v>4</v>
      </c>
      <c r="L3648" s="685">
        <f t="shared" si="109"/>
        <v>18.8</v>
      </c>
      <c r="M3648" s="686">
        <f t="shared" si="110"/>
        <v>75.2</v>
      </c>
      <c r="O3648" s="693"/>
    </row>
    <row r="3649" spans="2:15" s="645" customFormat="1" ht="21.75" customHeight="1">
      <c r="B3649" s="661">
        <v>44471</v>
      </c>
      <c r="C3649" s="662" t="s">
        <v>819</v>
      </c>
      <c r="D3649" s="663" t="s">
        <v>878</v>
      </c>
      <c r="E3649" s="664" t="s">
        <v>831</v>
      </c>
      <c r="F3649" s="665"/>
      <c r="G3649" s="663">
        <v>15</v>
      </c>
      <c r="H3649" s="662" t="s">
        <v>807</v>
      </c>
      <c r="I3649" s="666" t="s">
        <v>863</v>
      </c>
      <c r="J3649" s="667" t="s">
        <v>805</v>
      </c>
      <c r="K3649" s="662">
        <v>6</v>
      </c>
      <c r="L3649" s="685">
        <f t="shared" si="109"/>
        <v>14.1</v>
      </c>
      <c r="M3649" s="686">
        <f t="shared" si="110"/>
        <v>84.6</v>
      </c>
      <c r="O3649" s="693"/>
    </row>
    <row r="3650" spans="2:15" s="645" customFormat="1" ht="21.75" customHeight="1">
      <c r="B3650" s="661">
        <v>44471</v>
      </c>
      <c r="C3650" s="662" t="s">
        <v>819</v>
      </c>
      <c r="D3650" s="663" t="s">
        <v>855</v>
      </c>
      <c r="E3650" s="664" t="s">
        <v>831</v>
      </c>
      <c r="F3650" s="665"/>
      <c r="G3650" s="663">
        <v>20</v>
      </c>
      <c r="H3650" s="662" t="s">
        <v>807</v>
      </c>
      <c r="I3650" s="666" t="s">
        <v>863</v>
      </c>
      <c r="J3650" s="667" t="s">
        <v>805</v>
      </c>
      <c r="K3650" s="662">
        <v>5</v>
      </c>
      <c r="L3650" s="685">
        <f t="shared" si="109"/>
        <v>18.8</v>
      </c>
      <c r="M3650" s="686">
        <f t="shared" si="110"/>
        <v>94</v>
      </c>
      <c r="O3650" s="693"/>
    </row>
    <row r="3651" spans="2:15" s="645" customFormat="1" ht="21.75" customHeight="1">
      <c r="B3651" s="661">
        <v>44471</v>
      </c>
      <c r="C3651" s="662" t="s">
        <v>819</v>
      </c>
      <c r="D3651" s="663" t="s">
        <v>875</v>
      </c>
      <c r="E3651" s="664" t="s">
        <v>831</v>
      </c>
      <c r="F3651" s="665"/>
      <c r="G3651" s="663">
        <v>20</v>
      </c>
      <c r="H3651" s="662" t="s">
        <v>807</v>
      </c>
      <c r="I3651" s="666" t="s">
        <v>863</v>
      </c>
      <c r="J3651" s="667" t="s">
        <v>805</v>
      </c>
      <c r="K3651" s="662">
        <v>4</v>
      </c>
      <c r="L3651" s="685">
        <f t="shared" si="109"/>
        <v>18.8</v>
      </c>
      <c r="M3651" s="686">
        <f t="shared" si="110"/>
        <v>75.2</v>
      </c>
      <c r="O3651" s="693"/>
    </row>
    <row r="3652" spans="2:15" s="645" customFormat="1" ht="21.75" customHeight="1">
      <c r="B3652" s="661">
        <v>44471</v>
      </c>
      <c r="C3652" s="662" t="s">
        <v>819</v>
      </c>
      <c r="D3652" s="663" t="s">
        <v>875</v>
      </c>
      <c r="E3652" s="664" t="s">
        <v>831</v>
      </c>
      <c r="F3652" s="665"/>
      <c r="G3652" s="663">
        <v>20</v>
      </c>
      <c r="H3652" s="662" t="s">
        <v>807</v>
      </c>
      <c r="I3652" s="666" t="s">
        <v>863</v>
      </c>
      <c r="J3652" s="667" t="s">
        <v>804</v>
      </c>
      <c r="K3652" s="662">
        <v>1</v>
      </c>
      <c r="L3652" s="685">
        <f t="shared" si="109"/>
        <v>18.8</v>
      </c>
      <c r="M3652" s="686">
        <f t="shared" si="110"/>
        <v>18.8</v>
      </c>
      <c r="O3652" s="693"/>
    </row>
    <row r="3653" spans="2:15" s="645" customFormat="1" ht="21.75" customHeight="1">
      <c r="B3653" s="661">
        <v>44471</v>
      </c>
      <c r="C3653" s="662" t="s">
        <v>819</v>
      </c>
      <c r="D3653" s="663" t="s">
        <v>867</v>
      </c>
      <c r="E3653" s="664" t="s">
        <v>831</v>
      </c>
      <c r="F3653" s="665"/>
      <c r="G3653" s="663">
        <v>20</v>
      </c>
      <c r="H3653" s="662" t="s">
        <v>807</v>
      </c>
      <c r="I3653" s="666" t="s">
        <v>861</v>
      </c>
      <c r="J3653" s="667" t="s">
        <v>804</v>
      </c>
      <c r="K3653" s="662">
        <v>1</v>
      </c>
      <c r="L3653" s="685">
        <f t="shared" si="109"/>
        <v>18.8</v>
      </c>
      <c r="M3653" s="686">
        <f t="shared" si="110"/>
        <v>18.8</v>
      </c>
      <c r="O3653" s="693"/>
    </row>
    <row r="3654" spans="2:15" s="645" customFormat="1" ht="21.75" customHeight="1">
      <c r="B3654" s="661">
        <v>44471</v>
      </c>
      <c r="C3654" s="662" t="s">
        <v>819</v>
      </c>
      <c r="D3654" s="663" t="s">
        <v>867</v>
      </c>
      <c r="E3654" s="664" t="s">
        <v>831</v>
      </c>
      <c r="F3654" s="665"/>
      <c r="G3654" s="663">
        <v>20</v>
      </c>
      <c r="H3654" s="662" t="s">
        <v>807</v>
      </c>
      <c r="I3654" s="666" t="s">
        <v>863</v>
      </c>
      <c r="J3654" s="667" t="s">
        <v>804</v>
      </c>
      <c r="K3654" s="662">
        <v>3</v>
      </c>
      <c r="L3654" s="685">
        <f t="shared" si="109"/>
        <v>18.8</v>
      </c>
      <c r="M3654" s="686">
        <f t="shared" si="110"/>
        <v>56.400000000000006</v>
      </c>
      <c r="O3654" s="693"/>
    </row>
    <row r="3655" spans="2:15" s="645" customFormat="1" ht="21.75" customHeight="1">
      <c r="B3655" s="661">
        <v>44471</v>
      </c>
      <c r="C3655" s="662" t="s">
        <v>819</v>
      </c>
      <c r="D3655" s="663" t="s">
        <v>876</v>
      </c>
      <c r="E3655" s="664" t="s">
        <v>831</v>
      </c>
      <c r="F3655" s="665"/>
      <c r="G3655" s="663">
        <v>20</v>
      </c>
      <c r="H3655" s="662" t="s">
        <v>807</v>
      </c>
      <c r="I3655" s="666" t="s">
        <v>863</v>
      </c>
      <c r="J3655" s="667" t="s">
        <v>804</v>
      </c>
      <c r="K3655" s="662">
        <v>3</v>
      </c>
      <c r="L3655" s="685">
        <f t="shared" si="109"/>
        <v>18.8</v>
      </c>
      <c r="M3655" s="686">
        <f t="shared" si="110"/>
        <v>56.400000000000006</v>
      </c>
      <c r="O3655" s="693"/>
    </row>
    <row r="3656" spans="2:15" s="645" customFormat="1" ht="21.75" customHeight="1">
      <c r="B3656" s="661">
        <v>44471</v>
      </c>
      <c r="C3656" s="662" t="s">
        <v>819</v>
      </c>
      <c r="D3656" s="663" t="s">
        <v>868</v>
      </c>
      <c r="E3656" s="664" t="s">
        <v>831</v>
      </c>
      <c r="F3656" s="665"/>
      <c r="G3656" s="663">
        <v>20</v>
      </c>
      <c r="H3656" s="662" t="s">
        <v>807</v>
      </c>
      <c r="I3656" s="666" t="s">
        <v>863</v>
      </c>
      <c r="J3656" s="667" t="s">
        <v>805</v>
      </c>
      <c r="K3656" s="662">
        <v>2</v>
      </c>
      <c r="L3656" s="685">
        <f t="shared" si="109"/>
        <v>18.8</v>
      </c>
      <c r="M3656" s="686">
        <f t="shared" si="110"/>
        <v>37.6</v>
      </c>
      <c r="O3656" s="693"/>
    </row>
    <row r="3657" spans="2:15" s="645" customFormat="1" ht="21.75" customHeight="1">
      <c r="B3657" s="661">
        <v>44471</v>
      </c>
      <c r="C3657" s="662" t="s">
        <v>819</v>
      </c>
      <c r="D3657" s="663" t="s">
        <v>868</v>
      </c>
      <c r="E3657" s="664" t="s">
        <v>831</v>
      </c>
      <c r="F3657" s="665"/>
      <c r="G3657" s="663">
        <v>20</v>
      </c>
      <c r="H3657" s="662" t="s">
        <v>807</v>
      </c>
      <c r="I3657" s="666" t="s">
        <v>863</v>
      </c>
      <c r="J3657" s="667" t="s">
        <v>804</v>
      </c>
      <c r="K3657" s="662">
        <v>1</v>
      </c>
      <c r="L3657" s="685">
        <f t="shared" ref="L3657:L3720" si="111">VLOOKUP(G3657,$Q$4:$V$7,6,FALSE)</f>
        <v>18.8</v>
      </c>
      <c r="M3657" s="686">
        <f t="shared" si="110"/>
        <v>18.8</v>
      </c>
      <c r="O3657" s="693"/>
    </row>
    <row r="3658" spans="2:15" s="645" customFormat="1" ht="21.75" customHeight="1">
      <c r="B3658" s="661">
        <v>44471</v>
      </c>
      <c r="C3658" s="662" t="s">
        <v>819</v>
      </c>
      <c r="D3658" s="663" t="s">
        <v>873</v>
      </c>
      <c r="E3658" s="664" t="s">
        <v>831</v>
      </c>
      <c r="F3658" s="665"/>
      <c r="G3658" s="663">
        <v>20</v>
      </c>
      <c r="H3658" s="662" t="s">
        <v>807</v>
      </c>
      <c r="I3658" s="666" t="s">
        <v>863</v>
      </c>
      <c r="J3658" s="667" t="s">
        <v>805</v>
      </c>
      <c r="K3658" s="662">
        <v>6</v>
      </c>
      <c r="L3658" s="685">
        <f t="shared" si="111"/>
        <v>18.8</v>
      </c>
      <c r="M3658" s="686">
        <f t="shared" si="110"/>
        <v>112.80000000000001</v>
      </c>
      <c r="O3658" s="693"/>
    </row>
    <row r="3659" spans="2:15" s="645" customFormat="1" ht="21.75" customHeight="1">
      <c r="B3659" s="661">
        <v>44471</v>
      </c>
      <c r="C3659" s="662" t="s">
        <v>837</v>
      </c>
      <c r="D3659" s="663" t="s">
        <v>834</v>
      </c>
      <c r="E3659" s="664" t="s">
        <v>831</v>
      </c>
      <c r="F3659" s="665"/>
      <c r="G3659" s="663">
        <v>20</v>
      </c>
      <c r="H3659" s="662" t="s">
        <v>807</v>
      </c>
      <c r="I3659" s="666" t="s">
        <v>857</v>
      </c>
      <c r="J3659" s="667" t="s">
        <v>805</v>
      </c>
      <c r="K3659" s="662">
        <v>2</v>
      </c>
      <c r="L3659" s="685">
        <f t="shared" si="111"/>
        <v>18.8</v>
      </c>
      <c r="M3659" s="686">
        <f t="shared" si="110"/>
        <v>37.6</v>
      </c>
      <c r="O3659" s="693"/>
    </row>
    <row r="3660" spans="2:15" s="645" customFormat="1" ht="21.75" customHeight="1">
      <c r="B3660" s="661">
        <v>44471</v>
      </c>
      <c r="C3660" s="662" t="s">
        <v>837</v>
      </c>
      <c r="D3660" s="663" t="s">
        <v>856</v>
      </c>
      <c r="E3660" s="664" t="s">
        <v>831</v>
      </c>
      <c r="F3660" s="665"/>
      <c r="G3660" s="663">
        <v>20</v>
      </c>
      <c r="H3660" s="662" t="s">
        <v>807</v>
      </c>
      <c r="I3660" s="666" t="s">
        <v>857</v>
      </c>
      <c r="J3660" s="667" t="s">
        <v>805</v>
      </c>
      <c r="K3660" s="662">
        <v>1</v>
      </c>
      <c r="L3660" s="685">
        <f t="shared" si="111"/>
        <v>18.8</v>
      </c>
      <c r="M3660" s="686">
        <f t="shared" si="110"/>
        <v>18.8</v>
      </c>
      <c r="O3660" s="693"/>
    </row>
    <row r="3661" spans="2:15" s="645" customFormat="1" ht="21.75" customHeight="1">
      <c r="B3661" s="661">
        <v>44471</v>
      </c>
      <c r="C3661" s="662" t="s">
        <v>837</v>
      </c>
      <c r="D3661" s="663" t="s">
        <v>855</v>
      </c>
      <c r="E3661" s="664" t="s">
        <v>831</v>
      </c>
      <c r="F3661" s="665"/>
      <c r="G3661" s="663">
        <v>20</v>
      </c>
      <c r="H3661" s="662" t="s">
        <v>807</v>
      </c>
      <c r="I3661" s="666" t="s">
        <v>857</v>
      </c>
      <c r="J3661" s="667" t="s">
        <v>805</v>
      </c>
      <c r="K3661" s="662">
        <v>1</v>
      </c>
      <c r="L3661" s="685">
        <f t="shared" si="111"/>
        <v>18.8</v>
      </c>
      <c r="M3661" s="686">
        <f t="shared" si="110"/>
        <v>18.8</v>
      </c>
      <c r="O3661" s="693"/>
    </row>
    <row r="3662" spans="2:15" s="645" customFormat="1" ht="21.75" customHeight="1">
      <c r="B3662" s="661">
        <v>44471</v>
      </c>
      <c r="C3662" s="662" t="s">
        <v>837</v>
      </c>
      <c r="D3662" s="663" t="s">
        <v>840</v>
      </c>
      <c r="E3662" s="664" t="s">
        <v>831</v>
      </c>
      <c r="F3662" s="665"/>
      <c r="G3662" s="663">
        <v>20</v>
      </c>
      <c r="H3662" s="662" t="s">
        <v>807</v>
      </c>
      <c r="I3662" s="666" t="s">
        <v>857</v>
      </c>
      <c r="J3662" s="667" t="s">
        <v>805</v>
      </c>
      <c r="K3662" s="662">
        <v>1</v>
      </c>
      <c r="L3662" s="685">
        <f t="shared" si="111"/>
        <v>18.8</v>
      </c>
      <c r="M3662" s="686">
        <f t="shared" si="110"/>
        <v>18.8</v>
      </c>
      <c r="O3662" s="693"/>
    </row>
    <row r="3663" spans="2:15" s="645" customFormat="1" ht="21.75" customHeight="1">
      <c r="B3663" s="661">
        <v>44471</v>
      </c>
      <c r="C3663" s="662" t="s">
        <v>837</v>
      </c>
      <c r="D3663" s="663" t="s">
        <v>835</v>
      </c>
      <c r="E3663" s="664" t="s">
        <v>831</v>
      </c>
      <c r="F3663" s="665"/>
      <c r="G3663" s="663">
        <v>20</v>
      </c>
      <c r="H3663" s="662" t="s">
        <v>807</v>
      </c>
      <c r="I3663" s="666" t="s">
        <v>857</v>
      </c>
      <c r="J3663" s="667" t="s">
        <v>805</v>
      </c>
      <c r="K3663" s="662">
        <v>1</v>
      </c>
      <c r="L3663" s="685">
        <f t="shared" si="111"/>
        <v>18.8</v>
      </c>
      <c r="M3663" s="686">
        <f t="shared" si="110"/>
        <v>18.8</v>
      </c>
      <c r="O3663" s="693"/>
    </row>
    <row r="3664" spans="2:15" s="645" customFormat="1" ht="21.75" customHeight="1">
      <c r="B3664" s="661">
        <v>44471</v>
      </c>
      <c r="C3664" s="662" t="s">
        <v>837</v>
      </c>
      <c r="D3664" s="663" t="s">
        <v>841</v>
      </c>
      <c r="E3664" s="664" t="s">
        <v>831</v>
      </c>
      <c r="F3664" s="665"/>
      <c r="G3664" s="663">
        <v>20</v>
      </c>
      <c r="H3664" s="662" t="s">
        <v>807</v>
      </c>
      <c r="I3664" s="666" t="s">
        <v>857</v>
      </c>
      <c r="J3664" s="667" t="s">
        <v>805</v>
      </c>
      <c r="K3664" s="662">
        <v>1</v>
      </c>
      <c r="L3664" s="685">
        <f t="shared" si="111"/>
        <v>18.8</v>
      </c>
      <c r="M3664" s="686">
        <f t="shared" si="110"/>
        <v>18.8</v>
      </c>
      <c r="O3664" s="693"/>
    </row>
    <row r="3665" spans="2:15" s="645" customFormat="1" ht="21.75" customHeight="1">
      <c r="B3665" s="661">
        <v>44471</v>
      </c>
      <c r="C3665" s="662" t="s">
        <v>837</v>
      </c>
      <c r="D3665" s="663" t="s">
        <v>848</v>
      </c>
      <c r="E3665" s="664" t="s">
        <v>831</v>
      </c>
      <c r="F3665" s="665"/>
      <c r="G3665" s="663">
        <v>20</v>
      </c>
      <c r="H3665" s="662" t="s">
        <v>807</v>
      </c>
      <c r="I3665" s="666" t="s">
        <v>857</v>
      </c>
      <c r="J3665" s="667" t="s">
        <v>805</v>
      </c>
      <c r="K3665" s="662">
        <v>2</v>
      </c>
      <c r="L3665" s="685">
        <f t="shared" si="111"/>
        <v>18.8</v>
      </c>
      <c r="M3665" s="686">
        <f t="shared" si="110"/>
        <v>37.6</v>
      </c>
      <c r="O3665" s="693"/>
    </row>
    <row r="3666" spans="2:15" s="645" customFormat="1" ht="21.75" customHeight="1">
      <c r="B3666" s="661">
        <v>44471</v>
      </c>
      <c r="C3666" s="662" t="s">
        <v>837</v>
      </c>
      <c r="D3666" s="663" t="s">
        <v>845</v>
      </c>
      <c r="E3666" s="664" t="s">
        <v>831</v>
      </c>
      <c r="F3666" s="665"/>
      <c r="G3666" s="663">
        <v>17</v>
      </c>
      <c r="H3666" s="662" t="s">
        <v>807</v>
      </c>
      <c r="I3666" s="666" t="s">
        <v>857</v>
      </c>
      <c r="J3666" s="667" t="s">
        <v>805</v>
      </c>
      <c r="K3666" s="662">
        <v>1</v>
      </c>
      <c r="L3666" s="685">
        <f t="shared" si="111"/>
        <v>15.98</v>
      </c>
      <c r="M3666" s="686">
        <f t="shared" si="110"/>
        <v>15.98</v>
      </c>
      <c r="O3666" s="693"/>
    </row>
    <row r="3667" spans="2:15" s="645" customFormat="1" ht="21.75" customHeight="1">
      <c r="B3667" s="661">
        <v>44471</v>
      </c>
      <c r="C3667" s="662" t="s">
        <v>837</v>
      </c>
      <c r="D3667" s="663" t="s">
        <v>878</v>
      </c>
      <c r="E3667" s="664" t="s">
        <v>831</v>
      </c>
      <c r="F3667" s="665"/>
      <c r="G3667" s="663">
        <v>15</v>
      </c>
      <c r="H3667" s="662" t="s">
        <v>807</v>
      </c>
      <c r="I3667" s="666" t="s">
        <v>857</v>
      </c>
      <c r="J3667" s="667" t="s">
        <v>805</v>
      </c>
      <c r="K3667" s="662">
        <v>1</v>
      </c>
      <c r="L3667" s="685">
        <f t="shared" si="111"/>
        <v>14.1</v>
      </c>
      <c r="M3667" s="686">
        <f t="shared" si="110"/>
        <v>14.1</v>
      </c>
      <c r="O3667" s="693"/>
    </row>
    <row r="3668" spans="2:15" s="645" customFormat="1" ht="21.75" customHeight="1">
      <c r="B3668" s="661">
        <v>44471</v>
      </c>
      <c r="C3668" s="662" t="s">
        <v>837</v>
      </c>
      <c r="D3668" s="663" t="s">
        <v>870</v>
      </c>
      <c r="E3668" s="664" t="s">
        <v>831</v>
      </c>
      <c r="F3668" s="665"/>
      <c r="G3668" s="663">
        <v>20</v>
      </c>
      <c r="H3668" s="662" t="s">
        <v>807</v>
      </c>
      <c r="I3668" s="666" t="s">
        <v>857</v>
      </c>
      <c r="J3668" s="667" t="s">
        <v>805</v>
      </c>
      <c r="K3668" s="662">
        <v>2</v>
      </c>
      <c r="L3668" s="685">
        <f t="shared" si="111"/>
        <v>18.8</v>
      </c>
      <c r="M3668" s="686">
        <f t="shared" si="110"/>
        <v>37.6</v>
      </c>
      <c r="O3668" s="693"/>
    </row>
    <row r="3669" spans="2:15" s="645" customFormat="1" ht="21.75" customHeight="1">
      <c r="B3669" s="661">
        <v>44471</v>
      </c>
      <c r="C3669" s="662" t="s">
        <v>837</v>
      </c>
      <c r="D3669" s="663" t="s">
        <v>873</v>
      </c>
      <c r="E3669" s="664" t="s">
        <v>831</v>
      </c>
      <c r="F3669" s="665"/>
      <c r="G3669" s="663">
        <v>20</v>
      </c>
      <c r="H3669" s="662" t="s">
        <v>807</v>
      </c>
      <c r="I3669" s="666" t="s">
        <v>857</v>
      </c>
      <c r="J3669" s="667" t="s">
        <v>805</v>
      </c>
      <c r="K3669" s="662">
        <v>1</v>
      </c>
      <c r="L3669" s="685">
        <f t="shared" si="111"/>
        <v>18.8</v>
      </c>
      <c r="M3669" s="686">
        <f t="shared" si="110"/>
        <v>18.8</v>
      </c>
      <c r="O3669" s="693"/>
    </row>
    <row r="3670" spans="2:15" s="645" customFormat="1" ht="21.75" customHeight="1">
      <c r="B3670" s="708">
        <v>44471</v>
      </c>
      <c r="C3670" s="709" t="s">
        <v>837</v>
      </c>
      <c r="D3670" s="710" t="s">
        <v>834</v>
      </c>
      <c r="E3670" s="711" t="s">
        <v>831</v>
      </c>
      <c r="F3670" s="712"/>
      <c r="G3670" s="710">
        <v>20</v>
      </c>
      <c r="H3670" s="709" t="s">
        <v>807</v>
      </c>
      <c r="I3670" s="713" t="s">
        <v>857</v>
      </c>
      <c r="J3670" s="714" t="s">
        <v>802</v>
      </c>
      <c r="K3670" s="709">
        <v>7</v>
      </c>
      <c r="L3670" s="715">
        <f t="shared" si="111"/>
        <v>18.8</v>
      </c>
      <c r="M3670" s="716">
        <f t="shared" si="110"/>
        <v>131.6</v>
      </c>
      <c r="O3670" s="693"/>
    </row>
    <row r="3671" spans="2:15" s="645" customFormat="1" ht="21.75" customHeight="1">
      <c r="B3671" s="708">
        <v>44471</v>
      </c>
      <c r="C3671" s="709" t="s">
        <v>837</v>
      </c>
      <c r="D3671" s="710" t="s">
        <v>856</v>
      </c>
      <c r="E3671" s="711" t="s">
        <v>831</v>
      </c>
      <c r="F3671" s="712"/>
      <c r="G3671" s="710">
        <v>20</v>
      </c>
      <c r="H3671" s="709" t="s">
        <v>807</v>
      </c>
      <c r="I3671" s="713" t="s">
        <v>857</v>
      </c>
      <c r="J3671" s="714" t="s">
        <v>802</v>
      </c>
      <c r="K3671" s="709">
        <v>7</v>
      </c>
      <c r="L3671" s="715">
        <f t="shared" si="111"/>
        <v>18.8</v>
      </c>
      <c r="M3671" s="716">
        <f t="shared" si="110"/>
        <v>131.6</v>
      </c>
      <c r="O3671" s="693"/>
    </row>
    <row r="3672" spans="2:15" s="645" customFormat="1" ht="21.75" customHeight="1">
      <c r="B3672" s="708">
        <v>44471</v>
      </c>
      <c r="C3672" s="709" t="s">
        <v>837</v>
      </c>
      <c r="D3672" s="710" t="s">
        <v>855</v>
      </c>
      <c r="E3672" s="711" t="s">
        <v>831</v>
      </c>
      <c r="F3672" s="712"/>
      <c r="G3672" s="710">
        <v>20</v>
      </c>
      <c r="H3672" s="709" t="s">
        <v>807</v>
      </c>
      <c r="I3672" s="713" t="s">
        <v>857</v>
      </c>
      <c r="J3672" s="714" t="s">
        <v>802</v>
      </c>
      <c r="K3672" s="709">
        <v>8</v>
      </c>
      <c r="L3672" s="715">
        <f t="shared" si="111"/>
        <v>18.8</v>
      </c>
      <c r="M3672" s="716">
        <f t="shared" si="110"/>
        <v>150.4</v>
      </c>
      <c r="O3672" s="693"/>
    </row>
    <row r="3673" spans="2:15" s="645" customFormat="1" ht="21.75" customHeight="1">
      <c r="B3673" s="708">
        <v>44471</v>
      </c>
      <c r="C3673" s="709" t="s">
        <v>837</v>
      </c>
      <c r="D3673" s="710" t="s">
        <v>840</v>
      </c>
      <c r="E3673" s="711" t="s">
        <v>831</v>
      </c>
      <c r="F3673" s="712"/>
      <c r="G3673" s="710">
        <v>20</v>
      </c>
      <c r="H3673" s="709" t="s">
        <v>807</v>
      </c>
      <c r="I3673" s="713" t="s">
        <v>857</v>
      </c>
      <c r="J3673" s="714" t="s">
        <v>802</v>
      </c>
      <c r="K3673" s="709">
        <v>7</v>
      </c>
      <c r="L3673" s="715">
        <f t="shared" si="111"/>
        <v>18.8</v>
      </c>
      <c r="M3673" s="716">
        <f t="shared" si="110"/>
        <v>131.6</v>
      </c>
      <c r="O3673" s="693"/>
    </row>
    <row r="3674" spans="2:15" s="645" customFormat="1" ht="21.75" customHeight="1">
      <c r="B3674" s="708">
        <v>44471</v>
      </c>
      <c r="C3674" s="709" t="s">
        <v>837</v>
      </c>
      <c r="D3674" s="710" t="s">
        <v>835</v>
      </c>
      <c r="E3674" s="711" t="s">
        <v>831</v>
      </c>
      <c r="F3674" s="712"/>
      <c r="G3674" s="710">
        <v>20</v>
      </c>
      <c r="H3674" s="709" t="s">
        <v>807</v>
      </c>
      <c r="I3674" s="713" t="s">
        <v>857</v>
      </c>
      <c r="J3674" s="714" t="s">
        <v>802</v>
      </c>
      <c r="K3674" s="709">
        <v>7</v>
      </c>
      <c r="L3674" s="715">
        <f t="shared" si="111"/>
        <v>18.8</v>
      </c>
      <c r="M3674" s="716">
        <f t="shared" si="110"/>
        <v>131.6</v>
      </c>
      <c r="O3674" s="693"/>
    </row>
    <row r="3675" spans="2:15" s="645" customFormat="1" ht="21.75" customHeight="1">
      <c r="B3675" s="708">
        <v>44471</v>
      </c>
      <c r="C3675" s="709" t="s">
        <v>837</v>
      </c>
      <c r="D3675" s="710" t="s">
        <v>841</v>
      </c>
      <c r="E3675" s="711" t="s">
        <v>831</v>
      </c>
      <c r="F3675" s="712"/>
      <c r="G3675" s="710">
        <v>20</v>
      </c>
      <c r="H3675" s="709" t="s">
        <v>807</v>
      </c>
      <c r="I3675" s="713" t="s">
        <v>857</v>
      </c>
      <c r="J3675" s="714" t="s">
        <v>802</v>
      </c>
      <c r="K3675" s="709">
        <v>7</v>
      </c>
      <c r="L3675" s="715">
        <f t="shared" si="111"/>
        <v>18.8</v>
      </c>
      <c r="M3675" s="716">
        <f t="shared" si="110"/>
        <v>131.6</v>
      </c>
      <c r="O3675" s="693"/>
    </row>
    <row r="3676" spans="2:15" s="645" customFormat="1" ht="21.75" customHeight="1">
      <c r="B3676" s="708">
        <v>44471</v>
      </c>
      <c r="C3676" s="709" t="s">
        <v>837</v>
      </c>
      <c r="D3676" s="710" t="s">
        <v>848</v>
      </c>
      <c r="E3676" s="711" t="s">
        <v>831</v>
      </c>
      <c r="F3676" s="712"/>
      <c r="G3676" s="710">
        <v>20</v>
      </c>
      <c r="H3676" s="709" t="s">
        <v>807</v>
      </c>
      <c r="I3676" s="713" t="s">
        <v>857</v>
      </c>
      <c r="J3676" s="714" t="s">
        <v>802</v>
      </c>
      <c r="K3676" s="709">
        <v>7</v>
      </c>
      <c r="L3676" s="715">
        <f t="shared" si="111"/>
        <v>18.8</v>
      </c>
      <c r="M3676" s="716">
        <f t="shared" si="110"/>
        <v>131.6</v>
      </c>
      <c r="O3676" s="693"/>
    </row>
    <row r="3677" spans="2:15" s="645" customFormat="1" ht="21.75" customHeight="1">
      <c r="B3677" s="708">
        <v>44471</v>
      </c>
      <c r="C3677" s="709" t="s">
        <v>837</v>
      </c>
      <c r="D3677" s="710" t="s">
        <v>845</v>
      </c>
      <c r="E3677" s="711" t="s">
        <v>831</v>
      </c>
      <c r="F3677" s="712"/>
      <c r="G3677" s="710">
        <v>17</v>
      </c>
      <c r="H3677" s="709" t="s">
        <v>807</v>
      </c>
      <c r="I3677" s="713" t="s">
        <v>857</v>
      </c>
      <c r="J3677" s="714" t="s">
        <v>802</v>
      </c>
      <c r="K3677" s="709">
        <v>7</v>
      </c>
      <c r="L3677" s="715">
        <f t="shared" si="111"/>
        <v>15.98</v>
      </c>
      <c r="M3677" s="716">
        <f t="shared" si="110"/>
        <v>111.86</v>
      </c>
      <c r="O3677" s="693"/>
    </row>
    <row r="3678" spans="2:15" s="645" customFormat="1" ht="21.75" customHeight="1">
      <c r="B3678" s="708">
        <v>44471</v>
      </c>
      <c r="C3678" s="709" t="s">
        <v>837</v>
      </c>
      <c r="D3678" s="710" t="s">
        <v>878</v>
      </c>
      <c r="E3678" s="711" t="s">
        <v>831</v>
      </c>
      <c r="F3678" s="712"/>
      <c r="G3678" s="710">
        <v>15</v>
      </c>
      <c r="H3678" s="709" t="s">
        <v>807</v>
      </c>
      <c r="I3678" s="713" t="s">
        <v>857</v>
      </c>
      <c r="J3678" s="714" t="s">
        <v>802</v>
      </c>
      <c r="K3678" s="709">
        <v>8</v>
      </c>
      <c r="L3678" s="715">
        <f t="shared" si="111"/>
        <v>14.1</v>
      </c>
      <c r="M3678" s="716">
        <f t="shared" si="110"/>
        <v>112.8</v>
      </c>
      <c r="O3678" s="693"/>
    </row>
    <row r="3679" spans="2:15" s="645" customFormat="1" ht="21.75" customHeight="1">
      <c r="B3679" s="708">
        <v>44471</v>
      </c>
      <c r="C3679" s="709" t="s">
        <v>837</v>
      </c>
      <c r="D3679" s="710" t="s">
        <v>870</v>
      </c>
      <c r="E3679" s="711" t="s">
        <v>831</v>
      </c>
      <c r="F3679" s="712"/>
      <c r="G3679" s="710">
        <v>20</v>
      </c>
      <c r="H3679" s="709" t="s">
        <v>807</v>
      </c>
      <c r="I3679" s="713" t="s">
        <v>857</v>
      </c>
      <c r="J3679" s="714" t="s">
        <v>802</v>
      </c>
      <c r="K3679" s="709">
        <v>6</v>
      </c>
      <c r="L3679" s="715">
        <f t="shared" si="111"/>
        <v>18.8</v>
      </c>
      <c r="M3679" s="716">
        <f t="shared" si="110"/>
        <v>112.80000000000001</v>
      </c>
      <c r="O3679" s="693"/>
    </row>
    <row r="3680" spans="2:15" s="645" customFormat="1" ht="21.75" customHeight="1">
      <c r="B3680" s="708">
        <v>44471</v>
      </c>
      <c r="C3680" s="709" t="s">
        <v>837</v>
      </c>
      <c r="D3680" s="710" t="s">
        <v>873</v>
      </c>
      <c r="E3680" s="711" t="s">
        <v>831</v>
      </c>
      <c r="F3680" s="712"/>
      <c r="G3680" s="710">
        <v>20</v>
      </c>
      <c r="H3680" s="709" t="s">
        <v>807</v>
      </c>
      <c r="I3680" s="713" t="s">
        <v>857</v>
      </c>
      <c r="J3680" s="714" t="s">
        <v>802</v>
      </c>
      <c r="K3680" s="709">
        <v>7</v>
      </c>
      <c r="L3680" s="715">
        <f t="shared" si="111"/>
        <v>18.8</v>
      </c>
      <c r="M3680" s="716">
        <f t="shared" si="110"/>
        <v>131.6</v>
      </c>
      <c r="O3680" s="693"/>
    </row>
    <row r="3681" spans="2:15" s="645" customFormat="1" ht="21.75" customHeight="1">
      <c r="B3681" s="661">
        <v>44472</v>
      </c>
      <c r="C3681" s="662" t="s">
        <v>819</v>
      </c>
      <c r="D3681" s="663" t="s">
        <v>835</v>
      </c>
      <c r="E3681" s="664" t="s">
        <v>831</v>
      </c>
      <c r="F3681" s="665"/>
      <c r="G3681" s="663">
        <v>20</v>
      </c>
      <c r="H3681" s="662" t="s">
        <v>807</v>
      </c>
      <c r="I3681" s="666" t="s">
        <v>859</v>
      </c>
      <c r="J3681" s="667" t="s">
        <v>805</v>
      </c>
      <c r="K3681" s="662">
        <v>3</v>
      </c>
      <c r="L3681" s="685">
        <f t="shared" si="111"/>
        <v>18.8</v>
      </c>
      <c r="M3681" s="686">
        <f t="shared" si="110"/>
        <v>56.400000000000006</v>
      </c>
      <c r="O3681" s="693"/>
    </row>
    <row r="3682" spans="2:15" s="645" customFormat="1" ht="21.75" customHeight="1">
      <c r="B3682" s="661">
        <v>44472</v>
      </c>
      <c r="C3682" s="662" t="s">
        <v>819</v>
      </c>
      <c r="D3682" s="663" t="s">
        <v>841</v>
      </c>
      <c r="E3682" s="664" t="s">
        <v>831</v>
      </c>
      <c r="F3682" s="665"/>
      <c r="G3682" s="663">
        <v>20</v>
      </c>
      <c r="H3682" s="662" t="s">
        <v>807</v>
      </c>
      <c r="I3682" s="666" t="s">
        <v>859</v>
      </c>
      <c r="J3682" s="667" t="s">
        <v>805</v>
      </c>
      <c r="K3682" s="662">
        <v>2</v>
      </c>
      <c r="L3682" s="685">
        <f t="shared" si="111"/>
        <v>18.8</v>
      </c>
      <c r="M3682" s="686">
        <f t="shared" si="110"/>
        <v>37.6</v>
      </c>
      <c r="O3682" s="693"/>
    </row>
    <row r="3683" spans="2:15" s="645" customFormat="1" ht="21.75" customHeight="1">
      <c r="B3683" s="661">
        <v>44472</v>
      </c>
      <c r="C3683" s="662" t="s">
        <v>819</v>
      </c>
      <c r="D3683" s="663" t="s">
        <v>834</v>
      </c>
      <c r="E3683" s="664" t="s">
        <v>831</v>
      </c>
      <c r="F3683" s="665"/>
      <c r="G3683" s="663">
        <v>20</v>
      </c>
      <c r="H3683" s="662" t="s">
        <v>807</v>
      </c>
      <c r="I3683" s="666" t="s">
        <v>859</v>
      </c>
      <c r="J3683" s="667" t="s">
        <v>805</v>
      </c>
      <c r="K3683" s="662">
        <v>5</v>
      </c>
      <c r="L3683" s="685">
        <f t="shared" si="111"/>
        <v>18.8</v>
      </c>
      <c r="M3683" s="686">
        <f t="shared" si="110"/>
        <v>94</v>
      </c>
      <c r="O3683" s="693"/>
    </row>
    <row r="3684" spans="2:15" s="645" customFormat="1" ht="21.75" customHeight="1">
      <c r="B3684" s="661">
        <v>44472</v>
      </c>
      <c r="C3684" s="662" t="s">
        <v>819</v>
      </c>
      <c r="D3684" s="663" t="s">
        <v>848</v>
      </c>
      <c r="E3684" s="664" t="s">
        <v>831</v>
      </c>
      <c r="F3684" s="665"/>
      <c r="G3684" s="663">
        <v>20</v>
      </c>
      <c r="H3684" s="662" t="s">
        <v>807</v>
      </c>
      <c r="I3684" s="666" t="s">
        <v>863</v>
      </c>
      <c r="J3684" s="667" t="s">
        <v>805</v>
      </c>
      <c r="K3684" s="662">
        <v>1</v>
      </c>
      <c r="L3684" s="685">
        <f t="shared" si="111"/>
        <v>18.8</v>
      </c>
      <c r="M3684" s="686">
        <f t="shared" si="110"/>
        <v>18.8</v>
      </c>
      <c r="O3684" s="693"/>
    </row>
    <row r="3685" spans="2:15" s="645" customFormat="1" ht="21.75" customHeight="1">
      <c r="B3685" s="661">
        <v>44472</v>
      </c>
      <c r="C3685" s="662" t="s">
        <v>819</v>
      </c>
      <c r="D3685" s="663" t="s">
        <v>848</v>
      </c>
      <c r="E3685" s="664" t="s">
        <v>831</v>
      </c>
      <c r="F3685" s="665"/>
      <c r="G3685" s="663">
        <v>20</v>
      </c>
      <c r="H3685" s="662" t="s">
        <v>807</v>
      </c>
      <c r="I3685" s="666" t="s">
        <v>859</v>
      </c>
      <c r="J3685" s="667" t="s">
        <v>805</v>
      </c>
      <c r="K3685" s="662">
        <v>4</v>
      </c>
      <c r="L3685" s="685">
        <f t="shared" si="111"/>
        <v>18.8</v>
      </c>
      <c r="M3685" s="686">
        <f t="shared" si="110"/>
        <v>75.2</v>
      </c>
      <c r="O3685" s="693"/>
    </row>
    <row r="3686" spans="2:15" s="645" customFormat="1" ht="21.75" customHeight="1">
      <c r="B3686" s="661">
        <v>44472</v>
      </c>
      <c r="C3686" s="662" t="s">
        <v>819</v>
      </c>
      <c r="D3686" s="663" t="s">
        <v>848</v>
      </c>
      <c r="E3686" s="664" t="s">
        <v>831</v>
      </c>
      <c r="F3686" s="665"/>
      <c r="G3686" s="663">
        <v>20</v>
      </c>
      <c r="H3686" s="662" t="s">
        <v>807</v>
      </c>
      <c r="I3686" s="666" t="s">
        <v>859</v>
      </c>
      <c r="J3686" s="667" t="s">
        <v>804</v>
      </c>
      <c r="K3686" s="662">
        <v>1</v>
      </c>
      <c r="L3686" s="685">
        <f t="shared" si="111"/>
        <v>18.8</v>
      </c>
      <c r="M3686" s="686">
        <f t="shared" si="110"/>
        <v>18.8</v>
      </c>
      <c r="O3686" s="693"/>
    </row>
    <row r="3687" spans="2:15" s="645" customFormat="1" ht="21.75" customHeight="1">
      <c r="B3687" s="661">
        <v>44472</v>
      </c>
      <c r="C3687" s="662" t="s">
        <v>819</v>
      </c>
      <c r="D3687" s="663" t="s">
        <v>836</v>
      </c>
      <c r="E3687" s="664" t="s">
        <v>831</v>
      </c>
      <c r="F3687" s="665"/>
      <c r="G3687" s="663">
        <v>20</v>
      </c>
      <c r="H3687" s="662" t="s">
        <v>807</v>
      </c>
      <c r="I3687" s="666" t="s">
        <v>859</v>
      </c>
      <c r="J3687" s="667" t="s">
        <v>805</v>
      </c>
      <c r="K3687" s="662">
        <v>1</v>
      </c>
      <c r="L3687" s="685">
        <f t="shared" si="111"/>
        <v>18.8</v>
      </c>
      <c r="M3687" s="686">
        <f t="shared" ref="M3687:M3750" si="112">L3687*K3687</f>
        <v>18.8</v>
      </c>
      <c r="O3687" s="693"/>
    </row>
    <row r="3688" spans="2:15" s="645" customFormat="1" ht="21.75" customHeight="1">
      <c r="B3688" s="661">
        <v>44472</v>
      </c>
      <c r="C3688" s="662" t="s">
        <v>819</v>
      </c>
      <c r="D3688" s="663" t="s">
        <v>833</v>
      </c>
      <c r="E3688" s="664" t="s">
        <v>831</v>
      </c>
      <c r="F3688" s="665"/>
      <c r="G3688" s="663">
        <v>15</v>
      </c>
      <c r="H3688" s="662" t="s">
        <v>807</v>
      </c>
      <c r="I3688" s="666" t="s">
        <v>859</v>
      </c>
      <c r="J3688" s="667" t="s">
        <v>805</v>
      </c>
      <c r="K3688" s="662">
        <v>9</v>
      </c>
      <c r="L3688" s="685">
        <f t="shared" si="111"/>
        <v>14.1</v>
      </c>
      <c r="M3688" s="686">
        <f t="shared" si="112"/>
        <v>126.89999999999999</v>
      </c>
      <c r="O3688" s="693"/>
    </row>
    <row r="3689" spans="2:15" s="645" customFormat="1" ht="21.75" customHeight="1">
      <c r="B3689" s="661">
        <v>44472</v>
      </c>
      <c r="C3689" s="662" t="s">
        <v>819</v>
      </c>
      <c r="D3689" s="663" t="s">
        <v>830</v>
      </c>
      <c r="E3689" s="664" t="s">
        <v>831</v>
      </c>
      <c r="F3689" s="665"/>
      <c r="G3689" s="663">
        <v>15</v>
      </c>
      <c r="H3689" s="662" t="s">
        <v>807</v>
      </c>
      <c r="I3689" s="666" t="s">
        <v>805</v>
      </c>
      <c r="J3689" s="667" t="s">
        <v>805</v>
      </c>
      <c r="K3689" s="662">
        <v>7</v>
      </c>
      <c r="L3689" s="685">
        <f t="shared" si="111"/>
        <v>14.1</v>
      </c>
      <c r="M3689" s="686">
        <f t="shared" si="112"/>
        <v>98.7</v>
      </c>
      <c r="O3689" s="693"/>
    </row>
    <row r="3690" spans="2:15" s="645" customFormat="1" ht="21.75" customHeight="1">
      <c r="B3690" s="661">
        <v>44472</v>
      </c>
      <c r="C3690" s="662" t="s">
        <v>819</v>
      </c>
      <c r="D3690" s="663" t="s">
        <v>839</v>
      </c>
      <c r="E3690" s="664" t="s">
        <v>831</v>
      </c>
      <c r="F3690" s="665"/>
      <c r="G3690" s="663">
        <v>15</v>
      </c>
      <c r="H3690" s="662" t="s">
        <v>807</v>
      </c>
      <c r="I3690" s="666" t="s">
        <v>863</v>
      </c>
      <c r="J3690" s="667" t="s">
        <v>805</v>
      </c>
      <c r="K3690" s="662">
        <v>1</v>
      </c>
      <c r="L3690" s="685">
        <f t="shared" si="111"/>
        <v>14.1</v>
      </c>
      <c r="M3690" s="686">
        <f t="shared" si="112"/>
        <v>14.1</v>
      </c>
      <c r="O3690" s="693"/>
    </row>
    <row r="3691" spans="2:15" s="645" customFormat="1" ht="21.75" customHeight="1">
      <c r="B3691" s="661">
        <v>44472</v>
      </c>
      <c r="C3691" s="662" t="s">
        <v>819</v>
      </c>
      <c r="D3691" s="663" t="s">
        <v>839</v>
      </c>
      <c r="E3691" s="664" t="s">
        <v>831</v>
      </c>
      <c r="F3691" s="665"/>
      <c r="G3691" s="663">
        <v>15</v>
      </c>
      <c r="H3691" s="662" t="s">
        <v>807</v>
      </c>
      <c r="I3691" s="666" t="s">
        <v>859</v>
      </c>
      <c r="J3691" s="667" t="s">
        <v>805</v>
      </c>
      <c r="K3691" s="662">
        <v>5</v>
      </c>
      <c r="L3691" s="685">
        <f t="shared" si="111"/>
        <v>14.1</v>
      </c>
      <c r="M3691" s="686">
        <f t="shared" si="112"/>
        <v>70.5</v>
      </c>
      <c r="O3691" s="693"/>
    </row>
    <row r="3692" spans="2:15" s="645" customFormat="1" ht="21.75" customHeight="1">
      <c r="B3692" s="661">
        <v>44472</v>
      </c>
      <c r="C3692" s="662" t="s">
        <v>819</v>
      </c>
      <c r="D3692" s="663" t="s">
        <v>839</v>
      </c>
      <c r="E3692" s="664" t="s">
        <v>831</v>
      </c>
      <c r="F3692" s="665"/>
      <c r="G3692" s="663">
        <v>15</v>
      </c>
      <c r="H3692" s="662" t="s">
        <v>807</v>
      </c>
      <c r="I3692" s="666" t="s">
        <v>859</v>
      </c>
      <c r="J3692" s="667" t="s">
        <v>804</v>
      </c>
      <c r="K3692" s="662">
        <v>1</v>
      </c>
      <c r="L3692" s="685">
        <f t="shared" si="111"/>
        <v>14.1</v>
      </c>
      <c r="M3692" s="686">
        <f t="shared" si="112"/>
        <v>14.1</v>
      </c>
      <c r="O3692" s="693"/>
    </row>
    <row r="3693" spans="2:15" s="645" customFormat="1" ht="21.75" customHeight="1">
      <c r="B3693" s="661">
        <v>44472</v>
      </c>
      <c r="C3693" s="662" t="s">
        <v>819</v>
      </c>
      <c r="D3693" s="663" t="s">
        <v>845</v>
      </c>
      <c r="E3693" s="664" t="s">
        <v>831</v>
      </c>
      <c r="F3693" s="665"/>
      <c r="G3693" s="663">
        <v>17</v>
      </c>
      <c r="H3693" s="662" t="s">
        <v>807</v>
      </c>
      <c r="I3693" s="666" t="s">
        <v>859</v>
      </c>
      <c r="J3693" s="667" t="s">
        <v>804</v>
      </c>
      <c r="K3693" s="662">
        <v>3</v>
      </c>
      <c r="L3693" s="685">
        <f t="shared" si="111"/>
        <v>15.98</v>
      </c>
      <c r="M3693" s="686">
        <f t="shared" si="112"/>
        <v>47.94</v>
      </c>
      <c r="O3693" s="693"/>
    </row>
    <row r="3694" spans="2:15" s="645" customFormat="1" ht="21.75" customHeight="1">
      <c r="B3694" s="661">
        <v>44472</v>
      </c>
      <c r="C3694" s="662" t="s">
        <v>819</v>
      </c>
      <c r="D3694" s="663" t="s">
        <v>845</v>
      </c>
      <c r="E3694" s="664" t="s">
        <v>831</v>
      </c>
      <c r="F3694" s="665"/>
      <c r="G3694" s="663">
        <v>17</v>
      </c>
      <c r="H3694" s="662" t="s">
        <v>807</v>
      </c>
      <c r="I3694" s="666" t="s">
        <v>859</v>
      </c>
      <c r="J3694" s="667" t="s">
        <v>805</v>
      </c>
      <c r="K3694" s="662">
        <v>6</v>
      </c>
      <c r="L3694" s="685">
        <f t="shared" si="111"/>
        <v>15.98</v>
      </c>
      <c r="M3694" s="686">
        <f t="shared" si="112"/>
        <v>95.88</v>
      </c>
      <c r="O3694" s="693"/>
    </row>
    <row r="3695" spans="2:15" s="645" customFormat="1" ht="21.75" customHeight="1">
      <c r="B3695" s="661">
        <v>44472</v>
      </c>
      <c r="C3695" s="662" t="s">
        <v>819</v>
      </c>
      <c r="D3695" s="663" t="s">
        <v>847</v>
      </c>
      <c r="E3695" s="664" t="s">
        <v>831</v>
      </c>
      <c r="F3695" s="665"/>
      <c r="G3695" s="663">
        <v>17</v>
      </c>
      <c r="H3695" s="662" t="s">
        <v>807</v>
      </c>
      <c r="I3695" s="666" t="s">
        <v>859</v>
      </c>
      <c r="J3695" s="667" t="s">
        <v>804</v>
      </c>
      <c r="K3695" s="662">
        <v>4</v>
      </c>
      <c r="L3695" s="685">
        <f t="shared" si="111"/>
        <v>15.98</v>
      </c>
      <c r="M3695" s="686">
        <f t="shared" si="112"/>
        <v>63.92</v>
      </c>
      <c r="O3695" s="693"/>
    </row>
    <row r="3696" spans="2:15" s="645" customFormat="1" ht="21.75" customHeight="1">
      <c r="B3696" s="661">
        <v>44472</v>
      </c>
      <c r="C3696" s="662" t="s">
        <v>819</v>
      </c>
      <c r="D3696" s="663" t="s">
        <v>847</v>
      </c>
      <c r="E3696" s="664" t="s">
        <v>831</v>
      </c>
      <c r="F3696" s="665"/>
      <c r="G3696" s="663">
        <v>17</v>
      </c>
      <c r="H3696" s="662" t="s">
        <v>807</v>
      </c>
      <c r="I3696" s="666" t="s">
        <v>859</v>
      </c>
      <c r="J3696" s="667" t="s">
        <v>805</v>
      </c>
      <c r="K3696" s="662">
        <v>4</v>
      </c>
      <c r="L3696" s="685">
        <f t="shared" si="111"/>
        <v>15.98</v>
      </c>
      <c r="M3696" s="686">
        <f t="shared" si="112"/>
        <v>63.92</v>
      </c>
      <c r="O3696" s="693"/>
    </row>
    <row r="3697" spans="2:15" s="645" customFormat="1" ht="21.75" customHeight="1">
      <c r="B3697" s="661">
        <v>44472</v>
      </c>
      <c r="C3697" s="662" t="s">
        <v>819</v>
      </c>
      <c r="D3697" s="663" t="s">
        <v>856</v>
      </c>
      <c r="E3697" s="664" t="s">
        <v>831</v>
      </c>
      <c r="F3697" s="665"/>
      <c r="G3697" s="663">
        <v>20</v>
      </c>
      <c r="H3697" s="662" t="s">
        <v>807</v>
      </c>
      <c r="I3697" s="666" t="s">
        <v>857</v>
      </c>
      <c r="J3697" s="667" t="s">
        <v>805</v>
      </c>
      <c r="K3697" s="662">
        <v>6</v>
      </c>
      <c r="L3697" s="685">
        <f t="shared" si="111"/>
        <v>18.8</v>
      </c>
      <c r="M3697" s="686">
        <f t="shared" si="112"/>
        <v>112.80000000000001</v>
      </c>
      <c r="O3697" s="693"/>
    </row>
    <row r="3698" spans="2:15" s="645" customFormat="1" ht="21.75" customHeight="1">
      <c r="B3698" s="661">
        <v>44472</v>
      </c>
      <c r="C3698" s="662" t="s">
        <v>819</v>
      </c>
      <c r="D3698" s="663" t="s">
        <v>878</v>
      </c>
      <c r="E3698" s="664" t="s">
        <v>831</v>
      </c>
      <c r="F3698" s="665"/>
      <c r="G3698" s="663">
        <v>15</v>
      </c>
      <c r="H3698" s="662" t="s">
        <v>807</v>
      </c>
      <c r="I3698" s="666" t="s">
        <v>859</v>
      </c>
      <c r="J3698" s="667" t="s">
        <v>805</v>
      </c>
      <c r="K3698" s="662">
        <v>1</v>
      </c>
      <c r="L3698" s="685">
        <f t="shared" si="111"/>
        <v>14.1</v>
      </c>
      <c r="M3698" s="686">
        <f t="shared" si="112"/>
        <v>14.1</v>
      </c>
      <c r="O3698" s="693"/>
    </row>
    <row r="3699" spans="2:15" s="645" customFormat="1" ht="21.75" customHeight="1">
      <c r="B3699" s="661">
        <v>44472</v>
      </c>
      <c r="C3699" s="662" t="s">
        <v>819</v>
      </c>
      <c r="D3699" s="663" t="s">
        <v>878</v>
      </c>
      <c r="E3699" s="664" t="s">
        <v>831</v>
      </c>
      <c r="F3699" s="665"/>
      <c r="G3699" s="663">
        <v>15</v>
      </c>
      <c r="H3699" s="662" t="s">
        <v>807</v>
      </c>
      <c r="I3699" s="666" t="s">
        <v>859</v>
      </c>
      <c r="J3699" s="667" t="s">
        <v>804</v>
      </c>
      <c r="K3699" s="662">
        <v>2</v>
      </c>
      <c r="L3699" s="685">
        <f t="shared" si="111"/>
        <v>14.1</v>
      </c>
      <c r="M3699" s="686">
        <f t="shared" si="112"/>
        <v>28.2</v>
      </c>
      <c r="O3699" s="693"/>
    </row>
    <row r="3700" spans="2:15" s="645" customFormat="1" ht="21.75" customHeight="1">
      <c r="B3700" s="661">
        <v>44472</v>
      </c>
      <c r="C3700" s="662" t="s">
        <v>819</v>
      </c>
      <c r="D3700" s="663" t="s">
        <v>855</v>
      </c>
      <c r="E3700" s="664" t="s">
        <v>831</v>
      </c>
      <c r="F3700" s="665"/>
      <c r="G3700" s="663">
        <v>20</v>
      </c>
      <c r="H3700" s="662" t="s">
        <v>807</v>
      </c>
      <c r="I3700" s="666" t="s">
        <v>859</v>
      </c>
      <c r="J3700" s="667" t="s">
        <v>804</v>
      </c>
      <c r="K3700" s="662">
        <v>5</v>
      </c>
      <c r="L3700" s="685">
        <f t="shared" si="111"/>
        <v>18.8</v>
      </c>
      <c r="M3700" s="686">
        <f t="shared" si="112"/>
        <v>94</v>
      </c>
      <c r="O3700" s="693"/>
    </row>
    <row r="3701" spans="2:15" s="645" customFormat="1" ht="21.75" customHeight="1">
      <c r="B3701" s="661">
        <v>44472</v>
      </c>
      <c r="C3701" s="662" t="s">
        <v>819</v>
      </c>
      <c r="D3701" s="663" t="s">
        <v>855</v>
      </c>
      <c r="E3701" s="664" t="s">
        <v>831</v>
      </c>
      <c r="F3701" s="665"/>
      <c r="G3701" s="663">
        <v>20</v>
      </c>
      <c r="H3701" s="662" t="s">
        <v>807</v>
      </c>
      <c r="I3701" s="666" t="s">
        <v>859</v>
      </c>
      <c r="J3701" s="667" t="s">
        <v>805</v>
      </c>
      <c r="K3701" s="662">
        <v>5</v>
      </c>
      <c r="L3701" s="685">
        <f t="shared" si="111"/>
        <v>18.8</v>
      </c>
      <c r="M3701" s="686">
        <f t="shared" si="112"/>
        <v>94</v>
      </c>
      <c r="O3701" s="693"/>
    </row>
    <row r="3702" spans="2:15" s="645" customFormat="1" ht="21.75" customHeight="1">
      <c r="B3702" s="661">
        <v>44472</v>
      </c>
      <c r="C3702" s="662" t="s">
        <v>819</v>
      </c>
      <c r="D3702" s="663" t="s">
        <v>875</v>
      </c>
      <c r="E3702" s="664" t="s">
        <v>831</v>
      </c>
      <c r="F3702" s="665"/>
      <c r="G3702" s="663">
        <v>20</v>
      </c>
      <c r="H3702" s="662" t="s">
        <v>807</v>
      </c>
      <c r="I3702" s="666" t="s">
        <v>859</v>
      </c>
      <c r="J3702" s="667" t="s">
        <v>804</v>
      </c>
      <c r="K3702" s="662">
        <v>3</v>
      </c>
      <c r="L3702" s="685">
        <f t="shared" si="111"/>
        <v>18.8</v>
      </c>
      <c r="M3702" s="686">
        <f t="shared" si="112"/>
        <v>56.400000000000006</v>
      </c>
      <c r="O3702" s="693"/>
    </row>
    <row r="3703" spans="2:15" s="645" customFormat="1" ht="21.75" customHeight="1">
      <c r="B3703" s="661">
        <v>44472</v>
      </c>
      <c r="C3703" s="662" t="s">
        <v>819</v>
      </c>
      <c r="D3703" s="663" t="s">
        <v>875</v>
      </c>
      <c r="E3703" s="664" t="s">
        <v>831</v>
      </c>
      <c r="F3703" s="665"/>
      <c r="G3703" s="663">
        <v>20</v>
      </c>
      <c r="H3703" s="662" t="s">
        <v>807</v>
      </c>
      <c r="I3703" s="666" t="s">
        <v>859</v>
      </c>
      <c r="J3703" s="667" t="s">
        <v>805</v>
      </c>
      <c r="K3703" s="662">
        <v>3</v>
      </c>
      <c r="L3703" s="685">
        <f t="shared" si="111"/>
        <v>18.8</v>
      </c>
      <c r="M3703" s="686">
        <f t="shared" si="112"/>
        <v>56.400000000000006</v>
      </c>
      <c r="O3703" s="693"/>
    </row>
    <row r="3704" spans="2:15" s="645" customFormat="1" ht="21.75" customHeight="1">
      <c r="B3704" s="661">
        <v>44472</v>
      </c>
      <c r="C3704" s="662" t="s">
        <v>819</v>
      </c>
      <c r="D3704" s="663" t="s">
        <v>867</v>
      </c>
      <c r="E3704" s="664" t="s">
        <v>831</v>
      </c>
      <c r="F3704" s="665"/>
      <c r="G3704" s="663">
        <v>20</v>
      </c>
      <c r="H3704" s="662" t="s">
        <v>807</v>
      </c>
      <c r="I3704" s="666" t="s">
        <v>859</v>
      </c>
      <c r="J3704" s="667" t="s">
        <v>805</v>
      </c>
      <c r="K3704" s="662">
        <v>4</v>
      </c>
      <c r="L3704" s="685">
        <f t="shared" si="111"/>
        <v>18.8</v>
      </c>
      <c r="M3704" s="686">
        <f t="shared" si="112"/>
        <v>75.2</v>
      </c>
      <c r="O3704" s="693"/>
    </row>
    <row r="3705" spans="2:15" s="645" customFormat="1" ht="21.75" customHeight="1">
      <c r="B3705" s="661">
        <v>44472</v>
      </c>
      <c r="C3705" s="662" t="s">
        <v>819</v>
      </c>
      <c r="D3705" s="663" t="s">
        <v>876</v>
      </c>
      <c r="E3705" s="664" t="s">
        <v>831</v>
      </c>
      <c r="F3705" s="665"/>
      <c r="G3705" s="663">
        <v>20</v>
      </c>
      <c r="H3705" s="662" t="s">
        <v>807</v>
      </c>
      <c r="I3705" s="666" t="s">
        <v>859</v>
      </c>
      <c r="J3705" s="667" t="s">
        <v>805</v>
      </c>
      <c r="K3705" s="662">
        <v>8</v>
      </c>
      <c r="L3705" s="685">
        <f t="shared" si="111"/>
        <v>18.8</v>
      </c>
      <c r="M3705" s="686">
        <f t="shared" si="112"/>
        <v>150.4</v>
      </c>
      <c r="O3705" s="693"/>
    </row>
    <row r="3706" spans="2:15" s="645" customFormat="1" ht="21.75" customHeight="1">
      <c r="B3706" s="661">
        <v>44472</v>
      </c>
      <c r="C3706" s="662" t="s">
        <v>819</v>
      </c>
      <c r="D3706" s="663" t="s">
        <v>868</v>
      </c>
      <c r="E3706" s="664" t="s">
        <v>831</v>
      </c>
      <c r="F3706" s="665"/>
      <c r="G3706" s="663">
        <v>20</v>
      </c>
      <c r="H3706" s="662" t="s">
        <v>807</v>
      </c>
      <c r="I3706" s="666" t="s">
        <v>859</v>
      </c>
      <c r="J3706" s="667" t="s">
        <v>805</v>
      </c>
      <c r="K3706" s="662">
        <v>5</v>
      </c>
      <c r="L3706" s="685">
        <f t="shared" si="111"/>
        <v>18.8</v>
      </c>
      <c r="M3706" s="686">
        <f t="shared" si="112"/>
        <v>94</v>
      </c>
      <c r="O3706" s="693"/>
    </row>
    <row r="3707" spans="2:15" s="645" customFormat="1" ht="21.75" customHeight="1">
      <c r="B3707" s="661">
        <v>44472</v>
      </c>
      <c r="C3707" s="662" t="s">
        <v>819</v>
      </c>
      <c r="D3707" s="663" t="s">
        <v>873</v>
      </c>
      <c r="E3707" s="664" t="s">
        <v>831</v>
      </c>
      <c r="F3707" s="665"/>
      <c r="G3707" s="663">
        <v>20</v>
      </c>
      <c r="H3707" s="662" t="s">
        <v>807</v>
      </c>
      <c r="I3707" s="666" t="s">
        <v>859</v>
      </c>
      <c r="J3707" s="667" t="s">
        <v>805</v>
      </c>
      <c r="K3707" s="662">
        <v>8</v>
      </c>
      <c r="L3707" s="685">
        <f t="shared" si="111"/>
        <v>18.8</v>
      </c>
      <c r="M3707" s="686">
        <f t="shared" si="112"/>
        <v>150.4</v>
      </c>
      <c r="O3707" s="693"/>
    </row>
    <row r="3708" spans="2:15" s="645" customFormat="1" ht="21.75" customHeight="1">
      <c r="B3708" s="661">
        <v>44472</v>
      </c>
      <c r="C3708" s="662" t="s">
        <v>837</v>
      </c>
      <c r="D3708" s="663" t="s">
        <v>834</v>
      </c>
      <c r="E3708" s="664" t="s">
        <v>831</v>
      </c>
      <c r="F3708" s="665"/>
      <c r="G3708" s="663">
        <v>20</v>
      </c>
      <c r="H3708" s="662" t="s">
        <v>807</v>
      </c>
      <c r="I3708" s="666" t="s">
        <v>857</v>
      </c>
      <c r="J3708" s="667" t="s">
        <v>805</v>
      </c>
      <c r="K3708" s="662">
        <v>8</v>
      </c>
      <c r="L3708" s="685">
        <f t="shared" si="111"/>
        <v>18.8</v>
      </c>
      <c r="M3708" s="686">
        <f t="shared" si="112"/>
        <v>150.4</v>
      </c>
      <c r="O3708" s="693"/>
    </row>
    <row r="3709" spans="2:15" s="645" customFormat="1" ht="21.75" customHeight="1">
      <c r="B3709" s="661">
        <v>44472</v>
      </c>
      <c r="C3709" s="662" t="s">
        <v>837</v>
      </c>
      <c r="D3709" s="663" t="s">
        <v>856</v>
      </c>
      <c r="E3709" s="664" t="s">
        <v>831</v>
      </c>
      <c r="F3709" s="665"/>
      <c r="G3709" s="663">
        <v>20</v>
      </c>
      <c r="H3709" s="662" t="s">
        <v>807</v>
      </c>
      <c r="I3709" s="666" t="s">
        <v>857</v>
      </c>
      <c r="J3709" s="667" t="s">
        <v>805</v>
      </c>
      <c r="K3709" s="662">
        <v>1</v>
      </c>
      <c r="L3709" s="685">
        <f t="shared" si="111"/>
        <v>18.8</v>
      </c>
      <c r="M3709" s="686">
        <f t="shared" si="112"/>
        <v>18.8</v>
      </c>
      <c r="O3709" s="693"/>
    </row>
    <row r="3710" spans="2:15" s="645" customFormat="1" ht="21.75" customHeight="1">
      <c r="B3710" s="661">
        <v>44472</v>
      </c>
      <c r="C3710" s="662" t="s">
        <v>837</v>
      </c>
      <c r="D3710" s="663" t="s">
        <v>855</v>
      </c>
      <c r="E3710" s="664" t="s">
        <v>831</v>
      </c>
      <c r="F3710" s="665"/>
      <c r="G3710" s="663">
        <v>20</v>
      </c>
      <c r="H3710" s="662" t="s">
        <v>807</v>
      </c>
      <c r="I3710" s="666" t="s">
        <v>857</v>
      </c>
      <c r="J3710" s="667" t="s">
        <v>805</v>
      </c>
      <c r="K3710" s="662">
        <v>1</v>
      </c>
      <c r="L3710" s="685">
        <f t="shared" si="111"/>
        <v>18.8</v>
      </c>
      <c r="M3710" s="686">
        <f t="shared" si="112"/>
        <v>18.8</v>
      </c>
      <c r="O3710" s="693"/>
    </row>
    <row r="3711" spans="2:15" s="645" customFormat="1" ht="21.75" customHeight="1">
      <c r="B3711" s="661">
        <v>44472</v>
      </c>
      <c r="C3711" s="662" t="s">
        <v>837</v>
      </c>
      <c r="D3711" s="663" t="s">
        <v>835</v>
      </c>
      <c r="E3711" s="664" t="s">
        <v>831</v>
      </c>
      <c r="F3711" s="665"/>
      <c r="G3711" s="663">
        <v>20</v>
      </c>
      <c r="H3711" s="662" t="s">
        <v>807</v>
      </c>
      <c r="I3711" s="666" t="s">
        <v>857</v>
      </c>
      <c r="J3711" s="667" t="s">
        <v>805</v>
      </c>
      <c r="K3711" s="662">
        <v>1</v>
      </c>
      <c r="L3711" s="685">
        <f t="shared" si="111"/>
        <v>18.8</v>
      </c>
      <c r="M3711" s="686">
        <f t="shared" si="112"/>
        <v>18.8</v>
      </c>
      <c r="O3711" s="693"/>
    </row>
    <row r="3712" spans="2:15" s="645" customFormat="1" ht="21.75" customHeight="1">
      <c r="B3712" s="661">
        <v>44472</v>
      </c>
      <c r="C3712" s="662" t="s">
        <v>837</v>
      </c>
      <c r="D3712" s="663" t="s">
        <v>841</v>
      </c>
      <c r="E3712" s="664" t="s">
        <v>831</v>
      </c>
      <c r="F3712" s="665"/>
      <c r="G3712" s="663">
        <v>20</v>
      </c>
      <c r="H3712" s="662" t="s">
        <v>807</v>
      </c>
      <c r="I3712" s="666" t="s">
        <v>857</v>
      </c>
      <c r="J3712" s="667" t="s">
        <v>805</v>
      </c>
      <c r="K3712" s="662">
        <v>8</v>
      </c>
      <c r="L3712" s="685">
        <f t="shared" si="111"/>
        <v>18.8</v>
      </c>
      <c r="M3712" s="686">
        <f t="shared" si="112"/>
        <v>150.4</v>
      </c>
      <c r="O3712" s="693"/>
    </row>
    <row r="3713" spans="2:15" s="645" customFormat="1" ht="21.75" customHeight="1">
      <c r="B3713" s="661">
        <v>44472</v>
      </c>
      <c r="C3713" s="662" t="s">
        <v>837</v>
      </c>
      <c r="D3713" s="663" t="s">
        <v>848</v>
      </c>
      <c r="E3713" s="664" t="s">
        <v>831</v>
      </c>
      <c r="F3713" s="665"/>
      <c r="G3713" s="663">
        <v>20</v>
      </c>
      <c r="H3713" s="662" t="s">
        <v>807</v>
      </c>
      <c r="I3713" s="666" t="s">
        <v>857</v>
      </c>
      <c r="J3713" s="667" t="s">
        <v>805</v>
      </c>
      <c r="K3713" s="662">
        <v>4</v>
      </c>
      <c r="L3713" s="685">
        <f t="shared" si="111"/>
        <v>18.8</v>
      </c>
      <c r="M3713" s="686">
        <f t="shared" si="112"/>
        <v>75.2</v>
      </c>
      <c r="O3713" s="693"/>
    </row>
    <row r="3714" spans="2:15" s="645" customFormat="1" ht="21.75" customHeight="1">
      <c r="B3714" s="661">
        <v>44472</v>
      </c>
      <c r="C3714" s="662" t="s">
        <v>837</v>
      </c>
      <c r="D3714" s="663" t="s">
        <v>845</v>
      </c>
      <c r="E3714" s="664" t="s">
        <v>831</v>
      </c>
      <c r="F3714" s="665"/>
      <c r="G3714" s="663">
        <v>17</v>
      </c>
      <c r="H3714" s="662" t="s">
        <v>807</v>
      </c>
      <c r="I3714" s="666" t="s">
        <v>857</v>
      </c>
      <c r="J3714" s="667" t="s">
        <v>805</v>
      </c>
      <c r="K3714" s="662">
        <v>7</v>
      </c>
      <c r="L3714" s="685">
        <f t="shared" si="111"/>
        <v>15.98</v>
      </c>
      <c r="M3714" s="686">
        <f t="shared" si="112"/>
        <v>111.86</v>
      </c>
      <c r="O3714" s="693"/>
    </row>
    <row r="3715" spans="2:15" s="645" customFormat="1" ht="21.75" customHeight="1">
      <c r="B3715" s="661">
        <v>44472</v>
      </c>
      <c r="C3715" s="662" t="s">
        <v>837</v>
      </c>
      <c r="D3715" s="663" t="s">
        <v>878</v>
      </c>
      <c r="E3715" s="664" t="s">
        <v>831</v>
      </c>
      <c r="F3715" s="665"/>
      <c r="G3715" s="663">
        <v>15</v>
      </c>
      <c r="H3715" s="662" t="s">
        <v>807</v>
      </c>
      <c r="I3715" s="666" t="s">
        <v>857</v>
      </c>
      <c r="J3715" s="667" t="s">
        <v>805</v>
      </c>
      <c r="K3715" s="662">
        <v>8</v>
      </c>
      <c r="L3715" s="685">
        <f t="shared" si="111"/>
        <v>14.1</v>
      </c>
      <c r="M3715" s="686">
        <f t="shared" si="112"/>
        <v>112.8</v>
      </c>
      <c r="O3715" s="693"/>
    </row>
    <row r="3716" spans="2:15" s="645" customFormat="1" ht="21.75" customHeight="1">
      <c r="B3716" s="661">
        <v>44472</v>
      </c>
      <c r="C3716" s="662" t="s">
        <v>837</v>
      </c>
      <c r="D3716" s="663" t="s">
        <v>875</v>
      </c>
      <c r="E3716" s="664" t="s">
        <v>831</v>
      </c>
      <c r="F3716" s="665"/>
      <c r="G3716" s="663">
        <v>20</v>
      </c>
      <c r="H3716" s="662" t="s">
        <v>807</v>
      </c>
      <c r="I3716" s="666" t="s">
        <v>857</v>
      </c>
      <c r="J3716" s="667" t="s">
        <v>805</v>
      </c>
      <c r="K3716" s="662">
        <v>1</v>
      </c>
      <c r="L3716" s="685">
        <f t="shared" si="111"/>
        <v>18.8</v>
      </c>
      <c r="M3716" s="686">
        <f t="shared" si="112"/>
        <v>18.8</v>
      </c>
      <c r="O3716" s="693"/>
    </row>
    <row r="3717" spans="2:15" s="645" customFormat="1" ht="21.75" customHeight="1">
      <c r="B3717" s="661">
        <v>44472</v>
      </c>
      <c r="C3717" s="662" t="s">
        <v>837</v>
      </c>
      <c r="D3717" s="663" t="s">
        <v>870</v>
      </c>
      <c r="E3717" s="664" t="s">
        <v>831</v>
      </c>
      <c r="F3717" s="665"/>
      <c r="G3717" s="663">
        <v>20</v>
      </c>
      <c r="H3717" s="662" t="s">
        <v>807</v>
      </c>
      <c r="I3717" s="666" t="s">
        <v>857</v>
      </c>
      <c r="J3717" s="667" t="s">
        <v>805</v>
      </c>
      <c r="K3717" s="662">
        <v>7</v>
      </c>
      <c r="L3717" s="685">
        <f t="shared" si="111"/>
        <v>18.8</v>
      </c>
      <c r="M3717" s="686">
        <f t="shared" si="112"/>
        <v>131.6</v>
      </c>
      <c r="O3717" s="693"/>
    </row>
    <row r="3718" spans="2:15" s="645" customFormat="1" ht="21.75" customHeight="1">
      <c r="B3718" s="708">
        <v>44472</v>
      </c>
      <c r="C3718" s="709" t="s">
        <v>819</v>
      </c>
      <c r="D3718" s="710" t="s">
        <v>841</v>
      </c>
      <c r="E3718" s="711" t="s">
        <v>831</v>
      </c>
      <c r="F3718" s="712"/>
      <c r="G3718" s="710">
        <v>20</v>
      </c>
      <c r="H3718" s="709" t="s">
        <v>807</v>
      </c>
      <c r="I3718" s="713" t="s">
        <v>859</v>
      </c>
      <c r="J3718" s="714" t="s">
        <v>802</v>
      </c>
      <c r="K3718" s="709">
        <v>2</v>
      </c>
      <c r="L3718" s="715">
        <f t="shared" si="111"/>
        <v>18.8</v>
      </c>
      <c r="M3718" s="716">
        <f t="shared" si="112"/>
        <v>37.6</v>
      </c>
      <c r="O3718" s="693"/>
    </row>
    <row r="3719" spans="2:15" s="645" customFormat="1" ht="21.75" customHeight="1">
      <c r="B3719" s="708">
        <v>44472</v>
      </c>
      <c r="C3719" s="709" t="s">
        <v>819</v>
      </c>
      <c r="D3719" s="710" t="s">
        <v>834</v>
      </c>
      <c r="E3719" s="711" t="s">
        <v>831</v>
      </c>
      <c r="F3719" s="712"/>
      <c r="G3719" s="710">
        <v>20</v>
      </c>
      <c r="H3719" s="709" t="s">
        <v>807</v>
      </c>
      <c r="I3719" s="713" t="s">
        <v>859</v>
      </c>
      <c r="J3719" s="714" t="s">
        <v>802</v>
      </c>
      <c r="K3719" s="709">
        <v>3</v>
      </c>
      <c r="L3719" s="715">
        <f t="shared" si="111"/>
        <v>18.8</v>
      </c>
      <c r="M3719" s="716">
        <f t="shared" si="112"/>
        <v>56.400000000000006</v>
      </c>
      <c r="O3719" s="693"/>
    </row>
    <row r="3720" spans="2:15" s="645" customFormat="1" ht="21.75" customHeight="1">
      <c r="B3720" s="708">
        <v>44472</v>
      </c>
      <c r="C3720" s="709" t="s">
        <v>819</v>
      </c>
      <c r="D3720" s="710" t="s">
        <v>834</v>
      </c>
      <c r="E3720" s="711" t="s">
        <v>831</v>
      </c>
      <c r="F3720" s="712"/>
      <c r="G3720" s="710">
        <v>20</v>
      </c>
      <c r="H3720" s="709" t="s">
        <v>807</v>
      </c>
      <c r="I3720" s="713" t="s">
        <v>857</v>
      </c>
      <c r="J3720" s="714" t="s">
        <v>802</v>
      </c>
      <c r="K3720" s="709">
        <v>1</v>
      </c>
      <c r="L3720" s="715">
        <f t="shared" si="111"/>
        <v>18.8</v>
      </c>
      <c r="M3720" s="716">
        <f t="shared" si="112"/>
        <v>18.8</v>
      </c>
      <c r="O3720" s="693"/>
    </row>
    <row r="3721" spans="2:15" s="645" customFormat="1" ht="21.75" customHeight="1">
      <c r="B3721" s="708">
        <v>44472</v>
      </c>
      <c r="C3721" s="709" t="s">
        <v>819</v>
      </c>
      <c r="D3721" s="710" t="s">
        <v>848</v>
      </c>
      <c r="E3721" s="711" t="s">
        <v>831</v>
      </c>
      <c r="F3721" s="712"/>
      <c r="G3721" s="710">
        <v>20</v>
      </c>
      <c r="H3721" s="709" t="s">
        <v>807</v>
      </c>
      <c r="I3721" s="713" t="s">
        <v>859</v>
      </c>
      <c r="J3721" s="714" t="s">
        <v>802</v>
      </c>
      <c r="K3721" s="709">
        <v>4</v>
      </c>
      <c r="L3721" s="715">
        <f t="shared" ref="L3721:L3784" si="113">VLOOKUP(G3721,$Q$4:$V$7,6,FALSE)</f>
        <v>18.8</v>
      </c>
      <c r="M3721" s="716">
        <f t="shared" si="112"/>
        <v>75.2</v>
      </c>
      <c r="O3721" s="693"/>
    </row>
    <row r="3722" spans="2:15" s="645" customFormat="1" ht="21.75" customHeight="1">
      <c r="B3722" s="708">
        <v>44472</v>
      </c>
      <c r="C3722" s="709" t="s">
        <v>819</v>
      </c>
      <c r="D3722" s="710" t="s">
        <v>833</v>
      </c>
      <c r="E3722" s="711" t="s">
        <v>831</v>
      </c>
      <c r="F3722" s="712"/>
      <c r="G3722" s="710">
        <v>15</v>
      </c>
      <c r="H3722" s="709" t="s">
        <v>807</v>
      </c>
      <c r="I3722" s="713" t="s">
        <v>859</v>
      </c>
      <c r="J3722" s="714" t="s">
        <v>802</v>
      </c>
      <c r="K3722" s="709">
        <v>2</v>
      </c>
      <c r="L3722" s="715">
        <f t="shared" si="113"/>
        <v>14.1</v>
      </c>
      <c r="M3722" s="716">
        <f t="shared" si="112"/>
        <v>28.2</v>
      </c>
      <c r="O3722" s="693"/>
    </row>
    <row r="3723" spans="2:15" s="645" customFormat="1" ht="21.75" customHeight="1">
      <c r="B3723" s="708">
        <v>44472</v>
      </c>
      <c r="C3723" s="709" t="s">
        <v>819</v>
      </c>
      <c r="D3723" s="710" t="s">
        <v>845</v>
      </c>
      <c r="E3723" s="711" t="s">
        <v>831</v>
      </c>
      <c r="F3723" s="712"/>
      <c r="G3723" s="710">
        <v>17</v>
      </c>
      <c r="H3723" s="709" t="s">
        <v>807</v>
      </c>
      <c r="I3723" s="713" t="s">
        <v>859</v>
      </c>
      <c r="J3723" s="714" t="s">
        <v>802</v>
      </c>
      <c r="K3723" s="709">
        <v>2</v>
      </c>
      <c r="L3723" s="715">
        <f t="shared" si="113"/>
        <v>15.98</v>
      </c>
      <c r="M3723" s="716">
        <f t="shared" si="112"/>
        <v>31.96</v>
      </c>
      <c r="O3723" s="693"/>
    </row>
    <row r="3724" spans="2:15" s="645" customFormat="1" ht="21.75" customHeight="1">
      <c r="B3724" s="708">
        <v>44472</v>
      </c>
      <c r="C3724" s="709" t="s">
        <v>819</v>
      </c>
      <c r="D3724" s="710" t="s">
        <v>847</v>
      </c>
      <c r="E3724" s="711" t="s">
        <v>831</v>
      </c>
      <c r="F3724" s="712"/>
      <c r="G3724" s="710">
        <v>17</v>
      </c>
      <c r="H3724" s="709" t="s">
        <v>807</v>
      </c>
      <c r="I3724" s="713" t="s">
        <v>859</v>
      </c>
      <c r="J3724" s="714" t="s">
        <v>802</v>
      </c>
      <c r="K3724" s="709">
        <v>1</v>
      </c>
      <c r="L3724" s="715">
        <f t="shared" si="113"/>
        <v>15.98</v>
      </c>
      <c r="M3724" s="716">
        <f t="shared" si="112"/>
        <v>15.98</v>
      </c>
      <c r="O3724" s="693"/>
    </row>
    <row r="3725" spans="2:15" s="645" customFormat="1" ht="21.75" customHeight="1">
      <c r="B3725" s="708">
        <v>44472</v>
      </c>
      <c r="C3725" s="709" t="s">
        <v>819</v>
      </c>
      <c r="D3725" s="710" t="s">
        <v>878</v>
      </c>
      <c r="E3725" s="711" t="s">
        <v>831</v>
      </c>
      <c r="F3725" s="712"/>
      <c r="G3725" s="710">
        <v>15</v>
      </c>
      <c r="H3725" s="709" t="s">
        <v>807</v>
      </c>
      <c r="I3725" s="713" t="s">
        <v>857</v>
      </c>
      <c r="J3725" s="714" t="s">
        <v>802</v>
      </c>
      <c r="K3725" s="709">
        <v>1</v>
      </c>
      <c r="L3725" s="715">
        <f t="shared" si="113"/>
        <v>14.1</v>
      </c>
      <c r="M3725" s="716">
        <f t="shared" si="112"/>
        <v>14.1</v>
      </c>
      <c r="O3725" s="693"/>
    </row>
    <row r="3726" spans="2:15" s="645" customFormat="1" ht="21.75" customHeight="1">
      <c r="B3726" s="708">
        <v>44472</v>
      </c>
      <c r="C3726" s="709" t="s">
        <v>819</v>
      </c>
      <c r="D3726" s="710" t="s">
        <v>875</v>
      </c>
      <c r="E3726" s="711" t="s">
        <v>831</v>
      </c>
      <c r="F3726" s="712"/>
      <c r="G3726" s="710">
        <v>20</v>
      </c>
      <c r="H3726" s="709" t="s">
        <v>807</v>
      </c>
      <c r="I3726" s="713" t="s">
        <v>859</v>
      </c>
      <c r="J3726" s="714" t="s">
        <v>802</v>
      </c>
      <c r="K3726" s="709">
        <v>1</v>
      </c>
      <c r="L3726" s="715">
        <f t="shared" si="113"/>
        <v>18.8</v>
      </c>
      <c r="M3726" s="716">
        <f t="shared" si="112"/>
        <v>18.8</v>
      </c>
      <c r="O3726" s="693"/>
    </row>
    <row r="3727" spans="2:15" s="645" customFormat="1" ht="21.75" customHeight="1">
      <c r="B3727" s="708">
        <v>44472</v>
      </c>
      <c r="C3727" s="709" t="s">
        <v>819</v>
      </c>
      <c r="D3727" s="710" t="s">
        <v>875</v>
      </c>
      <c r="E3727" s="711" t="s">
        <v>831</v>
      </c>
      <c r="F3727" s="712"/>
      <c r="G3727" s="710">
        <v>20</v>
      </c>
      <c r="H3727" s="709" t="s">
        <v>807</v>
      </c>
      <c r="I3727" s="713" t="s">
        <v>857</v>
      </c>
      <c r="J3727" s="714" t="s">
        <v>802</v>
      </c>
      <c r="K3727" s="709">
        <v>1</v>
      </c>
      <c r="L3727" s="715">
        <f t="shared" si="113"/>
        <v>18.8</v>
      </c>
      <c r="M3727" s="716">
        <f t="shared" si="112"/>
        <v>18.8</v>
      </c>
      <c r="O3727" s="693"/>
    </row>
    <row r="3728" spans="2:15" s="645" customFormat="1" ht="21.75" customHeight="1">
      <c r="B3728" s="708">
        <v>44472</v>
      </c>
      <c r="C3728" s="709" t="s">
        <v>819</v>
      </c>
      <c r="D3728" s="710" t="s">
        <v>876</v>
      </c>
      <c r="E3728" s="711" t="s">
        <v>831</v>
      </c>
      <c r="F3728" s="712"/>
      <c r="G3728" s="710">
        <v>20</v>
      </c>
      <c r="H3728" s="709" t="s">
        <v>807</v>
      </c>
      <c r="I3728" s="713" t="s">
        <v>859</v>
      </c>
      <c r="J3728" s="714" t="s">
        <v>802</v>
      </c>
      <c r="K3728" s="709">
        <v>1</v>
      </c>
      <c r="L3728" s="715">
        <f t="shared" si="113"/>
        <v>18.8</v>
      </c>
      <c r="M3728" s="716">
        <f t="shared" si="112"/>
        <v>18.8</v>
      </c>
      <c r="O3728" s="693"/>
    </row>
    <row r="3729" spans="2:15" s="645" customFormat="1" ht="21.75" customHeight="1">
      <c r="B3729" s="708">
        <v>44472</v>
      </c>
      <c r="C3729" s="709" t="s">
        <v>819</v>
      </c>
      <c r="D3729" s="710" t="s">
        <v>868</v>
      </c>
      <c r="E3729" s="711" t="s">
        <v>831</v>
      </c>
      <c r="F3729" s="712"/>
      <c r="G3729" s="710">
        <v>20</v>
      </c>
      <c r="H3729" s="709" t="s">
        <v>807</v>
      </c>
      <c r="I3729" s="713" t="s">
        <v>859</v>
      </c>
      <c r="J3729" s="714" t="s">
        <v>802</v>
      </c>
      <c r="K3729" s="709">
        <v>3</v>
      </c>
      <c r="L3729" s="715">
        <f t="shared" si="113"/>
        <v>18.8</v>
      </c>
      <c r="M3729" s="716">
        <f t="shared" si="112"/>
        <v>56.400000000000006</v>
      </c>
      <c r="O3729" s="693"/>
    </row>
    <row r="3730" spans="2:15" s="645" customFormat="1" ht="21.75" customHeight="1">
      <c r="B3730" s="708">
        <v>44472</v>
      </c>
      <c r="C3730" s="709" t="s">
        <v>819</v>
      </c>
      <c r="D3730" s="710" t="s">
        <v>868</v>
      </c>
      <c r="E3730" s="711" t="s">
        <v>831</v>
      </c>
      <c r="F3730" s="712"/>
      <c r="G3730" s="710">
        <v>20</v>
      </c>
      <c r="H3730" s="709" t="s">
        <v>807</v>
      </c>
      <c r="I3730" s="713" t="s">
        <v>857</v>
      </c>
      <c r="J3730" s="714" t="s">
        <v>802</v>
      </c>
      <c r="K3730" s="709">
        <v>1</v>
      </c>
      <c r="L3730" s="715">
        <f t="shared" si="113"/>
        <v>18.8</v>
      </c>
      <c r="M3730" s="716">
        <f t="shared" si="112"/>
        <v>18.8</v>
      </c>
      <c r="O3730" s="693"/>
    </row>
    <row r="3731" spans="2:15" s="645" customFormat="1" ht="21.75" customHeight="1">
      <c r="B3731" s="708">
        <v>44472</v>
      </c>
      <c r="C3731" s="709" t="s">
        <v>819</v>
      </c>
      <c r="D3731" s="710" t="s">
        <v>873</v>
      </c>
      <c r="E3731" s="711" t="s">
        <v>831</v>
      </c>
      <c r="F3731" s="712"/>
      <c r="G3731" s="710">
        <v>20</v>
      </c>
      <c r="H3731" s="709" t="s">
        <v>807</v>
      </c>
      <c r="I3731" s="713" t="s">
        <v>863</v>
      </c>
      <c r="J3731" s="714" t="s">
        <v>802</v>
      </c>
      <c r="K3731" s="709">
        <v>4</v>
      </c>
      <c r="L3731" s="715">
        <f t="shared" si="113"/>
        <v>18.8</v>
      </c>
      <c r="M3731" s="716">
        <f t="shared" si="112"/>
        <v>75.2</v>
      </c>
      <c r="O3731" s="693"/>
    </row>
    <row r="3732" spans="2:15" s="645" customFormat="1" ht="21.75" customHeight="1">
      <c r="B3732" s="708">
        <v>44472</v>
      </c>
      <c r="C3732" s="709" t="s">
        <v>837</v>
      </c>
      <c r="D3732" s="710" t="s">
        <v>856</v>
      </c>
      <c r="E3732" s="711" t="s">
        <v>831</v>
      </c>
      <c r="F3732" s="712"/>
      <c r="G3732" s="710">
        <v>20</v>
      </c>
      <c r="H3732" s="709" t="s">
        <v>807</v>
      </c>
      <c r="I3732" s="713" t="s">
        <v>857</v>
      </c>
      <c r="J3732" s="714" t="s">
        <v>802</v>
      </c>
      <c r="K3732" s="709">
        <v>6</v>
      </c>
      <c r="L3732" s="715">
        <f t="shared" si="113"/>
        <v>18.8</v>
      </c>
      <c r="M3732" s="716">
        <f t="shared" si="112"/>
        <v>112.80000000000001</v>
      </c>
      <c r="O3732" s="693"/>
    </row>
    <row r="3733" spans="2:15" s="645" customFormat="1" ht="21.75" customHeight="1">
      <c r="B3733" s="708">
        <v>44472</v>
      </c>
      <c r="C3733" s="709" t="s">
        <v>837</v>
      </c>
      <c r="D3733" s="710" t="s">
        <v>855</v>
      </c>
      <c r="E3733" s="711" t="s">
        <v>831</v>
      </c>
      <c r="F3733" s="712"/>
      <c r="G3733" s="710">
        <v>20</v>
      </c>
      <c r="H3733" s="709" t="s">
        <v>807</v>
      </c>
      <c r="I3733" s="713" t="s">
        <v>857</v>
      </c>
      <c r="J3733" s="714" t="s">
        <v>802</v>
      </c>
      <c r="K3733" s="709">
        <v>7</v>
      </c>
      <c r="L3733" s="715">
        <f t="shared" si="113"/>
        <v>18.8</v>
      </c>
      <c r="M3733" s="716">
        <f t="shared" si="112"/>
        <v>131.6</v>
      </c>
      <c r="O3733" s="693"/>
    </row>
    <row r="3734" spans="2:15" s="645" customFormat="1" ht="21.75" customHeight="1">
      <c r="B3734" s="708">
        <v>44472</v>
      </c>
      <c r="C3734" s="709" t="s">
        <v>837</v>
      </c>
      <c r="D3734" s="710" t="s">
        <v>835</v>
      </c>
      <c r="E3734" s="711" t="s">
        <v>831</v>
      </c>
      <c r="F3734" s="712"/>
      <c r="G3734" s="710">
        <v>20</v>
      </c>
      <c r="H3734" s="709" t="s">
        <v>807</v>
      </c>
      <c r="I3734" s="713" t="s">
        <v>857</v>
      </c>
      <c r="J3734" s="714" t="s">
        <v>802</v>
      </c>
      <c r="K3734" s="709">
        <v>7</v>
      </c>
      <c r="L3734" s="715">
        <f t="shared" si="113"/>
        <v>18.8</v>
      </c>
      <c r="M3734" s="716">
        <f t="shared" si="112"/>
        <v>131.6</v>
      </c>
      <c r="O3734" s="693"/>
    </row>
    <row r="3735" spans="2:15" s="645" customFormat="1" ht="21.75" customHeight="1">
      <c r="B3735" s="708">
        <v>44472</v>
      </c>
      <c r="C3735" s="709" t="s">
        <v>837</v>
      </c>
      <c r="D3735" s="710" t="s">
        <v>848</v>
      </c>
      <c r="E3735" s="711" t="s">
        <v>831</v>
      </c>
      <c r="F3735" s="712"/>
      <c r="G3735" s="710">
        <v>20</v>
      </c>
      <c r="H3735" s="709" t="s">
        <v>807</v>
      </c>
      <c r="I3735" s="713" t="s">
        <v>857</v>
      </c>
      <c r="J3735" s="714" t="s">
        <v>802</v>
      </c>
      <c r="K3735" s="709">
        <v>5</v>
      </c>
      <c r="L3735" s="715">
        <f t="shared" si="113"/>
        <v>18.8</v>
      </c>
      <c r="M3735" s="716">
        <f t="shared" si="112"/>
        <v>94</v>
      </c>
      <c r="O3735" s="693"/>
    </row>
    <row r="3736" spans="2:15" s="645" customFormat="1" ht="21.75" customHeight="1">
      <c r="B3736" s="708">
        <v>44472</v>
      </c>
      <c r="C3736" s="709" t="s">
        <v>837</v>
      </c>
      <c r="D3736" s="710" t="s">
        <v>845</v>
      </c>
      <c r="E3736" s="711" t="s">
        <v>831</v>
      </c>
      <c r="F3736" s="712"/>
      <c r="G3736" s="710">
        <v>17</v>
      </c>
      <c r="H3736" s="709" t="s">
        <v>807</v>
      </c>
      <c r="I3736" s="713" t="s">
        <v>857</v>
      </c>
      <c r="J3736" s="714" t="s">
        <v>802</v>
      </c>
      <c r="K3736" s="709">
        <v>1</v>
      </c>
      <c r="L3736" s="715">
        <f t="shared" si="113"/>
        <v>15.98</v>
      </c>
      <c r="M3736" s="716">
        <f t="shared" si="112"/>
        <v>15.98</v>
      </c>
      <c r="O3736" s="693"/>
    </row>
    <row r="3737" spans="2:15" s="645" customFormat="1" ht="21.75" customHeight="1">
      <c r="B3737" s="708">
        <v>44472</v>
      </c>
      <c r="C3737" s="709" t="s">
        <v>837</v>
      </c>
      <c r="D3737" s="710" t="s">
        <v>875</v>
      </c>
      <c r="E3737" s="711" t="s">
        <v>831</v>
      </c>
      <c r="F3737" s="712"/>
      <c r="G3737" s="710">
        <v>20</v>
      </c>
      <c r="H3737" s="709" t="s">
        <v>807</v>
      </c>
      <c r="I3737" s="713" t="s">
        <v>857</v>
      </c>
      <c r="J3737" s="714" t="s">
        <v>802</v>
      </c>
      <c r="K3737" s="709">
        <v>7</v>
      </c>
      <c r="L3737" s="715">
        <f t="shared" si="113"/>
        <v>18.8</v>
      </c>
      <c r="M3737" s="716">
        <f t="shared" si="112"/>
        <v>131.6</v>
      </c>
      <c r="O3737" s="693"/>
    </row>
    <row r="3738" spans="2:15" s="645" customFormat="1" ht="21.75" customHeight="1">
      <c r="B3738" s="708">
        <v>44472</v>
      </c>
      <c r="C3738" s="709" t="s">
        <v>837</v>
      </c>
      <c r="D3738" s="710" t="s">
        <v>873</v>
      </c>
      <c r="E3738" s="711" t="s">
        <v>831</v>
      </c>
      <c r="F3738" s="712"/>
      <c r="G3738" s="710">
        <v>20</v>
      </c>
      <c r="H3738" s="709" t="s">
        <v>807</v>
      </c>
      <c r="I3738" s="713" t="s">
        <v>857</v>
      </c>
      <c r="J3738" s="714" t="s">
        <v>802</v>
      </c>
      <c r="K3738" s="709">
        <v>8</v>
      </c>
      <c r="L3738" s="715">
        <f t="shared" si="113"/>
        <v>18.8</v>
      </c>
      <c r="M3738" s="716">
        <f t="shared" si="112"/>
        <v>150.4</v>
      </c>
      <c r="O3738" s="693"/>
    </row>
    <row r="3739" spans="2:15" s="645" customFormat="1" ht="21.75" customHeight="1">
      <c r="B3739" s="661">
        <v>44473</v>
      </c>
      <c r="C3739" s="662" t="s">
        <v>819</v>
      </c>
      <c r="D3739" s="663" t="s">
        <v>840</v>
      </c>
      <c r="E3739" s="664" t="s">
        <v>831</v>
      </c>
      <c r="F3739" s="665"/>
      <c r="G3739" s="663">
        <v>20</v>
      </c>
      <c r="H3739" s="662" t="s">
        <v>807</v>
      </c>
      <c r="I3739" s="666" t="s">
        <v>859</v>
      </c>
      <c r="J3739" s="667" t="s">
        <v>805</v>
      </c>
      <c r="K3739" s="662">
        <v>7</v>
      </c>
      <c r="L3739" s="685">
        <f t="shared" si="113"/>
        <v>18.8</v>
      </c>
      <c r="M3739" s="686">
        <f t="shared" si="112"/>
        <v>131.6</v>
      </c>
      <c r="O3739" s="693"/>
    </row>
    <row r="3740" spans="2:15" s="645" customFormat="1" ht="21.75" customHeight="1">
      <c r="B3740" s="661">
        <v>44473</v>
      </c>
      <c r="C3740" s="662" t="s">
        <v>819</v>
      </c>
      <c r="D3740" s="663" t="s">
        <v>835</v>
      </c>
      <c r="E3740" s="664" t="s">
        <v>831</v>
      </c>
      <c r="F3740" s="665"/>
      <c r="G3740" s="663">
        <v>20</v>
      </c>
      <c r="H3740" s="662" t="s">
        <v>807</v>
      </c>
      <c r="I3740" s="666" t="s">
        <v>859</v>
      </c>
      <c r="J3740" s="667" t="s">
        <v>805</v>
      </c>
      <c r="K3740" s="662">
        <v>1</v>
      </c>
      <c r="L3740" s="685">
        <f t="shared" si="113"/>
        <v>18.8</v>
      </c>
      <c r="M3740" s="686">
        <f t="shared" si="112"/>
        <v>18.8</v>
      </c>
      <c r="O3740" s="693"/>
    </row>
    <row r="3741" spans="2:15" s="645" customFormat="1" ht="21.75" customHeight="1">
      <c r="B3741" s="661">
        <v>44473</v>
      </c>
      <c r="C3741" s="662" t="s">
        <v>819</v>
      </c>
      <c r="D3741" s="663" t="s">
        <v>835</v>
      </c>
      <c r="E3741" s="664" t="s">
        <v>831</v>
      </c>
      <c r="F3741" s="665"/>
      <c r="G3741" s="663">
        <v>20</v>
      </c>
      <c r="H3741" s="662" t="s">
        <v>807</v>
      </c>
      <c r="I3741" s="666" t="s">
        <v>857</v>
      </c>
      <c r="J3741" s="667" t="s">
        <v>805</v>
      </c>
      <c r="K3741" s="662">
        <v>1</v>
      </c>
      <c r="L3741" s="685">
        <f t="shared" si="113"/>
        <v>18.8</v>
      </c>
      <c r="M3741" s="686">
        <f t="shared" si="112"/>
        <v>18.8</v>
      </c>
      <c r="O3741" s="693"/>
    </row>
    <row r="3742" spans="2:15" s="645" customFormat="1" ht="21.75" customHeight="1">
      <c r="B3742" s="661">
        <v>44473</v>
      </c>
      <c r="C3742" s="662" t="s">
        <v>819</v>
      </c>
      <c r="D3742" s="663" t="s">
        <v>841</v>
      </c>
      <c r="E3742" s="664" t="s">
        <v>831</v>
      </c>
      <c r="F3742" s="665"/>
      <c r="G3742" s="663">
        <v>20</v>
      </c>
      <c r="H3742" s="662" t="s">
        <v>807</v>
      </c>
      <c r="I3742" s="666" t="s">
        <v>859</v>
      </c>
      <c r="J3742" s="667" t="s">
        <v>805</v>
      </c>
      <c r="K3742" s="662">
        <v>1</v>
      </c>
      <c r="L3742" s="685">
        <f t="shared" si="113"/>
        <v>18.8</v>
      </c>
      <c r="M3742" s="686">
        <f t="shared" si="112"/>
        <v>18.8</v>
      </c>
      <c r="O3742" s="693"/>
    </row>
    <row r="3743" spans="2:15" s="645" customFormat="1" ht="21.75" customHeight="1">
      <c r="B3743" s="661">
        <v>44473</v>
      </c>
      <c r="C3743" s="662" t="s">
        <v>819</v>
      </c>
      <c r="D3743" s="663" t="s">
        <v>834</v>
      </c>
      <c r="E3743" s="664" t="s">
        <v>831</v>
      </c>
      <c r="F3743" s="665"/>
      <c r="G3743" s="663">
        <v>20</v>
      </c>
      <c r="H3743" s="662" t="s">
        <v>807</v>
      </c>
      <c r="I3743" s="666" t="s">
        <v>859</v>
      </c>
      <c r="J3743" s="667" t="s">
        <v>805</v>
      </c>
      <c r="K3743" s="662">
        <v>1</v>
      </c>
      <c r="L3743" s="685">
        <f t="shared" si="113"/>
        <v>18.8</v>
      </c>
      <c r="M3743" s="686">
        <f t="shared" si="112"/>
        <v>18.8</v>
      </c>
      <c r="O3743" s="693"/>
    </row>
    <row r="3744" spans="2:15" s="645" customFormat="1" ht="21.75" customHeight="1">
      <c r="B3744" s="661">
        <v>44473</v>
      </c>
      <c r="C3744" s="662" t="s">
        <v>819</v>
      </c>
      <c r="D3744" s="663" t="s">
        <v>834</v>
      </c>
      <c r="E3744" s="664" t="s">
        <v>831</v>
      </c>
      <c r="F3744" s="665"/>
      <c r="G3744" s="663">
        <v>20</v>
      </c>
      <c r="H3744" s="662" t="s">
        <v>807</v>
      </c>
      <c r="I3744" s="666" t="s">
        <v>857</v>
      </c>
      <c r="J3744" s="667" t="s">
        <v>804</v>
      </c>
      <c r="K3744" s="662">
        <v>1</v>
      </c>
      <c r="L3744" s="685">
        <f t="shared" si="113"/>
        <v>18.8</v>
      </c>
      <c r="M3744" s="686">
        <f t="shared" si="112"/>
        <v>18.8</v>
      </c>
      <c r="O3744" s="693"/>
    </row>
    <row r="3745" spans="2:15" s="645" customFormat="1" ht="21.75" customHeight="1">
      <c r="B3745" s="661">
        <v>44473</v>
      </c>
      <c r="C3745" s="662" t="s">
        <v>819</v>
      </c>
      <c r="D3745" s="663" t="s">
        <v>833</v>
      </c>
      <c r="E3745" s="664" t="s">
        <v>831</v>
      </c>
      <c r="F3745" s="665"/>
      <c r="G3745" s="663">
        <v>15</v>
      </c>
      <c r="H3745" s="662" t="s">
        <v>807</v>
      </c>
      <c r="I3745" s="666" t="s">
        <v>859</v>
      </c>
      <c r="J3745" s="667" t="s">
        <v>805</v>
      </c>
      <c r="K3745" s="662">
        <v>2</v>
      </c>
      <c r="L3745" s="685">
        <f t="shared" si="113"/>
        <v>14.1</v>
      </c>
      <c r="M3745" s="686">
        <f t="shared" si="112"/>
        <v>28.2</v>
      </c>
      <c r="O3745" s="693"/>
    </row>
    <row r="3746" spans="2:15" s="645" customFormat="1" ht="21.75" customHeight="1">
      <c r="B3746" s="661">
        <v>44473</v>
      </c>
      <c r="C3746" s="662" t="s">
        <v>819</v>
      </c>
      <c r="D3746" s="663" t="s">
        <v>833</v>
      </c>
      <c r="E3746" s="664" t="s">
        <v>831</v>
      </c>
      <c r="F3746" s="665"/>
      <c r="G3746" s="663">
        <v>15</v>
      </c>
      <c r="H3746" s="662" t="s">
        <v>807</v>
      </c>
      <c r="I3746" s="666" t="s">
        <v>863</v>
      </c>
      <c r="J3746" s="667" t="s">
        <v>804</v>
      </c>
      <c r="K3746" s="662">
        <v>1</v>
      </c>
      <c r="L3746" s="685">
        <f t="shared" si="113"/>
        <v>14.1</v>
      </c>
      <c r="M3746" s="686">
        <f t="shared" si="112"/>
        <v>14.1</v>
      </c>
      <c r="O3746" s="693"/>
    </row>
    <row r="3747" spans="2:15" s="645" customFormat="1" ht="21.75" customHeight="1">
      <c r="B3747" s="661">
        <v>44473</v>
      </c>
      <c r="C3747" s="662" t="s">
        <v>819</v>
      </c>
      <c r="D3747" s="663" t="s">
        <v>833</v>
      </c>
      <c r="E3747" s="664" t="s">
        <v>831</v>
      </c>
      <c r="F3747" s="665"/>
      <c r="G3747" s="663">
        <v>15</v>
      </c>
      <c r="H3747" s="662" t="s">
        <v>807</v>
      </c>
      <c r="I3747" s="666" t="s">
        <v>857</v>
      </c>
      <c r="J3747" s="667" t="s">
        <v>805</v>
      </c>
      <c r="K3747" s="662">
        <v>2</v>
      </c>
      <c r="L3747" s="685">
        <f t="shared" si="113"/>
        <v>14.1</v>
      </c>
      <c r="M3747" s="686">
        <f t="shared" si="112"/>
        <v>28.2</v>
      </c>
      <c r="O3747" s="693"/>
    </row>
    <row r="3748" spans="2:15" s="645" customFormat="1" ht="21.75" customHeight="1">
      <c r="B3748" s="661">
        <v>44473</v>
      </c>
      <c r="C3748" s="662" t="s">
        <v>819</v>
      </c>
      <c r="D3748" s="663" t="s">
        <v>833</v>
      </c>
      <c r="E3748" s="664" t="s">
        <v>831</v>
      </c>
      <c r="F3748" s="665"/>
      <c r="G3748" s="663">
        <v>15</v>
      </c>
      <c r="H3748" s="662" t="s">
        <v>807</v>
      </c>
      <c r="I3748" s="666" t="s">
        <v>857</v>
      </c>
      <c r="J3748" s="667" t="s">
        <v>804</v>
      </c>
      <c r="K3748" s="662">
        <v>1</v>
      </c>
      <c r="L3748" s="685">
        <f t="shared" si="113"/>
        <v>14.1</v>
      </c>
      <c r="M3748" s="686">
        <f t="shared" si="112"/>
        <v>14.1</v>
      </c>
      <c r="O3748" s="693"/>
    </row>
    <row r="3749" spans="2:15" s="645" customFormat="1" ht="21.75" customHeight="1">
      <c r="B3749" s="661">
        <v>44473</v>
      </c>
      <c r="C3749" s="662" t="s">
        <v>819</v>
      </c>
      <c r="D3749" s="663" t="s">
        <v>839</v>
      </c>
      <c r="E3749" s="664" t="s">
        <v>831</v>
      </c>
      <c r="F3749" s="665"/>
      <c r="G3749" s="663">
        <v>15</v>
      </c>
      <c r="H3749" s="662" t="s">
        <v>807</v>
      </c>
      <c r="I3749" s="666" t="s">
        <v>859</v>
      </c>
      <c r="J3749" s="667" t="s">
        <v>805</v>
      </c>
      <c r="K3749" s="662">
        <v>3</v>
      </c>
      <c r="L3749" s="685">
        <f t="shared" si="113"/>
        <v>14.1</v>
      </c>
      <c r="M3749" s="686">
        <f t="shared" si="112"/>
        <v>42.3</v>
      </c>
      <c r="O3749" s="693"/>
    </row>
    <row r="3750" spans="2:15" s="645" customFormat="1" ht="21.75" customHeight="1">
      <c r="B3750" s="661">
        <v>44473</v>
      </c>
      <c r="C3750" s="662" t="s">
        <v>819</v>
      </c>
      <c r="D3750" s="663" t="s">
        <v>845</v>
      </c>
      <c r="E3750" s="664" t="s">
        <v>831</v>
      </c>
      <c r="F3750" s="665"/>
      <c r="G3750" s="663">
        <v>17</v>
      </c>
      <c r="H3750" s="662" t="s">
        <v>807</v>
      </c>
      <c r="I3750" s="666" t="s">
        <v>859</v>
      </c>
      <c r="J3750" s="667" t="s">
        <v>805</v>
      </c>
      <c r="K3750" s="662">
        <v>1</v>
      </c>
      <c r="L3750" s="685">
        <f t="shared" si="113"/>
        <v>15.98</v>
      </c>
      <c r="M3750" s="686">
        <f t="shared" si="112"/>
        <v>15.98</v>
      </c>
      <c r="O3750" s="693"/>
    </row>
    <row r="3751" spans="2:15" s="645" customFormat="1" ht="21.75" customHeight="1">
      <c r="B3751" s="661">
        <v>44473</v>
      </c>
      <c r="C3751" s="662" t="s">
        <v>819</v>
      </c>
      <c r="D3751" s="663" t="s">
        <v>845</v>
      </c>
      <c r="E3751" s="664" t="s">
        <v>831</v>
      </c>
      <c r="F3751" s="665"/>
      <c r="G3751" s="663">
        <v>17</v>
      </c>
      <c r="H3751" s="662" t="s">
        <v>807</v>
      </c>
      <c r="I3751" s="666" t="s">
        <v>857</v>
      </c>
      <c r="J3751" s="667" t="s">
        <v>805</v>
      </c>
      <c r="K3751" s="662">
        <v>1</v>
      </c>
      <c r="L3751" s="685">
        <f t="shared" si="113"/>
        <v>15.98</v>
      </c>
      <c r="M3751" s="686">
        <f t="shared" ref="M3751:M3814" si="114">L3751*K3751</f>
        <v>15.98</v>
      </c>
      <c r="O3751" s="693"/>
    </row>
    <row r="3752" spans="2:15" s="645" customFormat="1" ht="21.75" customHeight="1">
      <c r="B3752" s="661">
        <v>44473</v>
      </c>
      <c r="C3752" s="662" t="s">
        <v>819</v>
      </c>
      <c r="D3752" s="663" t="s">
        <v>847</v>
      </c>
      <c r="E3752" s="664" t="s">
        <v>831</v>
      </c>
      <c r="F3752" s="665"/>
      <c r="G3752" s="663">
        <v>17</v>
      </c>
      <c r="H3752" s="662" t="s">
        <v>807</v>
      </c>
      <c r="I3752" s="666" t="s">
        <v>859</v>
      </c>
      <c r="J3752" s="667" t="s">
        <v>805</v>
      </c>
      <c r="K3752" s="662">
        <v>2</v>
      </c>
      <c r="L3752" s="685">
        <f t="shared" si="113"/>
        <v>15.98</v>
      </c>
      <c r="M3752" s="686">
        <f t="shared" si="114"/>
        <v>31.96</v>
      </c>
      <c r="O3752" s="693"/>
    </row>
    <row r="3753" spans="2:15" s="645" customFormat="1" ht="21.75" customHeight="1">
      <c r="B3753" s="661">
        <v>44473</v>
      </c>
      <c r="C3753" s="662" t="s">
        <v>819</v>
      </c>
      <c r="D3753" s="663" t="s">
        <v>856</v>
      </c>
      <c r="E3753" s="664" t="s">
        <v>831</v>
      </c>
      <c r="F3753" s="665"/>
      <c r="G3753" s="663">
        <v>20</v>
      </c>
      <c r="H3753" s="662" t="s">
        <v>807</v>
      </c>
      <c r="I3753" s="666" t="s">
        <v>859</v>
      </c>
      <c r="J3753" s="667" t="s">
        <v>805</v>
      </c>
      <c r="K3753" s="662">
        <v>3</v>
      </c>
      <c r="L3753" s="685">
        <f t="shared" si="113"/>
        <v>18.8</v>
      </c>
      <c r="M3753" s="686">
        <f t="shared" si="114"/>
        <v>56.400000000000006</v>
      </c>
      <c r="O3753" s="693"/>
    </row>
    <row r="3754" spans="2:15" s="645" customFormat="1" ht="21.75" customHeight="1">
      <c r="B3754" s="661">
        <v>44473</v>
      </c>
      <c r="C3754" s="662" t="s">
        <v>819</v>
      </c>
      <c r="D3754" s="663" t="s">
        <v>855</v>
      </c>
      <c r="E3754" s="664" t="s">
        <v>831</v>
      </c>
      <c r="F3754" s="665"/>
      <c r="G3754" s="663">
        <v>20</v>
      </c>
      <c r="H3754" s="662" t="s">
        <v>807</v>
      </c>
      <c r="I3754" s="666" t="s">
        <v>859</v>
      </c>
      <c r="J3754" s="667" t="s">
        <v>805</v>
      </c>
      <c r="K3754" s="662">
        <v>2</v>
      </c>
      <c r="L3754" s="685">
        <f t="shared" si="113"/>
        <v>18.8</v>
      </c>
      <c r="M3754" s="686">
        <f t="shared" si="114"/>
        <v>37.6</v>
      </c>
      <c r="O3754" s="693"/>
    </row>
    <row r="3755" spans="2:15" s="645" customFormat="1" ht="21.75" customHeight="1">
      <c r="B3755" s="661">
        <v>44473</v>
      </c>
      <c r="C3755" s="662" t="s">
        <v>819</v>
      </c>
      <c r="D3755" s="663" t="s">
        <v>855</v>
      </c>
      <c r="E3755" s="664" t="s">
        <v>831</v>
      </c>
      <c r="F3755" s="665"/>
      <c r="G3755" s="663">
        <v>20</v>
      </c>
      <c r="H3755" s="662" t="s">
        <v>807</v>
      </c>
      <c r="I3755" s="666" t="s">
        <v>857</v>
      </c>
      <c r="J3755" s="667" t="s">
        <v>805</v>
      </c>
      <c r="K3755" s="662">
        <v>1</v>
      </c>
      <c r="L3755" s="685">
        <f t="shared" si="113"/>
        <v>18.8</v>
      </c>
      <c r="M3755" s="686">
        <f t="shared" si="114"/>
        <v>18.8</v>
      </c>
      <c r="O3755" s="693"/>
    </row>
    <row r="3756" spans="2:15" s="645" customFormat="1" ht="21.75" customHeight="1">
      <c r="B3756" s="661">
        <v>44473</v>
      </c>
      <c r="C3756" s="662" t="s">
        <v>819</v>
      </c>
      <c r="D3756" s="663" t="s">
        <v>875</v>
      </c>
      <c r="E3756" s="664" t="s">
        <v>831</v>
      </c>
      <c r="F3756" s="665"/>
      <c r="G3756" s="663">
        <v>20</v>
      </c>
      <c r="H3756" s="662" t="s">
        <v>807</v>
      </c>
      <c r="I3756" s="666" t="s">
        <v>857</v>
      </c>
      <c r="J3756" s="667" t="s">
        <v>805</v>
      </c>
      <c r="K3756" s="662">
        <v>2</v>
      </c>
      <c r="L3756" s="685">
        <f t="shared" si="113"/>
        <v>18.8</v>
      </c>
      <c r="M3756" s="686">
        <f t="shared" si="114"/>
        <v>37.6</v>
      </c>
      <c r="O3756" s="693"/>
    </row>
    <row r="3757" spans="2:15" s="645" customFormat="1" ht="21.75" customHeight="1">
      <c r="B3757" s="661">
        <v>44473</v>
      </c>
      <c r="C3757" s="662" t="s">
        <v>819</v>
      </c>
      <c r="D3757" s="663" t="s">
        <v>876</v>
      </c>
      <c r="E3757" s="664" t="s">
        <v>831</v>
      </c>
      <c r="F3757" s="665"/>
      <c r="G3757" s="663">
        <v>20</v>
      </c>
      <c r="H3757" s="662" t="s">
        <v>807</v>
      </c>
      <c r="I3757" s="666" t="s">
        <v>859</v>
      </c>
      <c r="J3757" s="667" t="s">
        <v>805</v>
      </c>
      <c r="K3757" s="662">
        <v>1</v>
      </c>
      <c r="L3757" s="685">
        <f t="shared" si="113"/>
        <v>18.8</v>
      </c>
      <c r="M3757" s="686">
        <f t="shared" si="114"/>
        <v>18.8</v>
      </c>
      <c r="O3757" s="693"/>
    </row>
    <row r="3758" spans="2:15" s="645" customFormat="1" ht="21.75" customHeight="1">
      <c r="B3758" s="661">
        <v>44473</v>
      </c>
      <c r="C3758" s="662" t="s">
        <v>819</v>
      </c>
      <c r="D3758" s="663" t="s">
        <v>868</v>
      </c>
      <c r="E3758" s="664" t="s">
        <v>831</v>
      </c>
      <c r="F3758" s="665"/>
      <c r="G3758" s="663">
        <v>20</v>
      </c>
      <c r="H3758" s="662" t="s">
        <v>807</v>
      </c>
      <c r="I3758" s="666" t="s">
        <v>859</v>
      </c>
      <c r="J3758" s="667" t="s">
        <v>805</v>
      </c>
      <c r="K3758" s="662">
        <v>5</v>
      </c>
      <c r="L3758" s="685">
        <f t="shared" si="113"/>
        <v>18.8</v>
      </c>
      <c r="M3758" s="686">
        <f t="shared" si="114"/>
        <v>94</v>
      </c>
      <c r="O3758" s="693"/>
    </row>
    <row r="3759" spans="2:15" s="645" customFormat="1" ht="21.75" customHeight="1">
      <c r="B3759" s="661">
        <v>44473</v>
      </c>
      <c r="C3759" s="662" t="s">
        <v>819</v>
      </c>
      <c r="D3759" s="663" t="s">
        <v>868</v>
      </c>
      <c r="E3759" s="664" t="s">
        <v>831</v>
      </c>
      <c r="F3759" s="665"/>
      <c r="G3759" s="663">
        <v>20</v>
      </c>
      <c r="H3759" s="662" t="s">
        <v>807</v>
      </c>
      <c r="I3759" s="666" t="s">
        <v>857</v>
      </c>
      <c r="J3759" s="667" t="s">
        <v>805</v>
      </c>
      <c r="K3759" s="662">
        <v>2</v>
      </c>
      <c r="L3759" s="685">
        <f t="shared" si="113"/>
        <v>18.8</v>
      </c>
      <c r="M3759" s="686">
        <f t="shared" si="114"/>
        <v>37.6</v>
      </c>
      <c r="O3759" s="693"/>
    </row>
    <row r="3760" spans="2:15" s="645" customFormat="1" ht="21.75" customHeight="1">
      <c r="B3760" s="661">
        <v>44473</v>
      </c>
      <c r="C3760" s="662" t="s">
        <v>819</v>
      </c>
      <c r="D3760" s="663" t="s">
        <v>873</v>
      </c>
      <c r="E3760" s="664" t="s">
        <v>831</v>
      </c>
      <c r="F3760" s="665"/>
      <c r="G3760" s="663">
        <v>17</v>
      </c>
      <c r="H3760" s="662" t="s">
        <v>807</v>
      </c>
      <c r="I3760" s="666" t="s">
        <v>859</v>
      </c>
      <c r="J3760" s="667" t="s">
        <v>805</v>
      </c>
      <c r="K3760" s="662">
        <v>2</v>
      </c>
      <c r="L3760" s="685">
        <f t="shared" si="113"/>
        <v>15.98</v>
      </c>
      <c r="M3760" s="686">
        <f t="shared" si="114"/>
        <v>31.96</v>
      </c>
      <c r="O3760" s="693"/>
    </row>
    <row r="3761" spans="2:15" s="645" customFormat="1" ht="21.75" customHeight="1">
      <c r="B3761" s="661">
        <v>44473</v>
      </c>
      <c r="C3761" s="662" t="s">
        <v>837</v>
      </c>
      <c r="D3761" s="663" t="s">
        <v>834</v>
      </c>
      <c r="E3761" s="664" t="s">
        <v>831</v>
      </c>
      <c r="F3761" s="665"/>
      <c r="G3761" s="663">
        <v>20</v>
      </c>
      <c r="H3761" s="662" t="s">
        <v>807</v>
      </c>
      <c r="I3761" s="666" t="s">
        <v>859</v>
      </c>
      <c r="J3761" s="667" t="s">
        <v>805</v>
      </c>
      <c r="K3761" s="662">
        <v>1</v>
      </c>
      <c r="L3761" s="685">
        <f t="shared" si="113"/>
        <v>18.8</v>
      </c>
      <c r="M3761" s="686">
        <f t="shared" si="114"/>
        <v>18.8</v>
      </c>
      <c r="O3761" s="693"/>
    </row>
    <row r="3762" spans="2:15" s="645" customFormat="1" ht="21.75" customHeight="1">
      <c r="B3762" s="661">
        <v>44473</v>
      </c>
      <c r="C3762" s="662" t="s">
        <v>837</v>
      </c>
      <c r="D3762" s="663" t="s">
        <v>856</v>
      </c>
      <c r="E3762" s="664" t="s">
        <v>831</v>
      </c>
      <c r="F3762" s="665"/>
      <c r="G3762" s="663">
        <v>20</v>
      </c>
      <c r="H3762" s="662" t="s">
        <v>807</v>
      </c>
      <c r="I3762" s="666" t="s">
        <v>857</v>
      </c>
      <c r="J3762" s="667" t="s">
        <v>805</v>
      </c>
      <c r="K3762" s="662">
        <v>5</v>
      </c>
      <c r="L3762" s="685">
        <f t="shared" si="113"/>
        <v>18.8</v>
      </c>
      <c r="M3762" s="686">
        <f t="shared" si="114"/>
        <v>94</v>
      </c>
      <c r="O3762" s="693"/>
    </row>
    <row r="3763" spans="2:15" s="645" customFormat="1" ht="21.75" customHeight="1">
      <c r="B3763" s="661">
        <v>44473</v>
      </c>
      <c r="C3763" s="662" t="s">
        <v>837</v>
      </c>
      <c r="D3763" s="663" t="s">
        <v>855</v>
      </c>
      <c r="E3763" s="664" t="s">
        <v>831</v>
      </c>
      <c r="F3763" s="665"/>
      <c r="G3763" s="663">
        <v>20</v>
      </c>
      <c r="H3763" s="662" t="s">
        <v>807</v>
      </c>
      <c r="I3763" s="666" t="s">
        <v>857</v>
      </c>
      <c r="J3763" s="667" t="s">
        <v>805</v>
      </c>
      <c r="K3763" s="662">
        <v>3</v>
      </c>
      <c r="L3763" s="685">
        <f t="shared" si="113"/>
        <v>18.8</v>
      </c>
      <c r="M3763" s="686">
        <f t="shared" si="114"/>
        <v>56.400000000000006</v>
      </c>
      <c r="O3763" s="693"/>
    </row>
    <row r="3764" spans="2:15" s="645" customFormat="1" ht="21.75" customHeight="1">
      <c r="B3764" s="661">
        <v>44473</v>
      </c>
      <c r="C3764" s="662" t="s">
        <v>837</v>
      </c>
      <c r="D3764" s="663" t="s">
        <v>855</v>
      </c>
      <c r="E3764" s="664" t="s">
        <v>831</v>
      </c>
      <c r="F3764" s="665"/>
      <c r="G3764" s="663">
        <v>20</v>
      </c>
      <c r="H3764" s="662" t="s">
        <v>807</v>
      </c>
      <c r="I3764" s="666" t="s">
        <v>859</v>
      </c>
      <c r="J3764" s="667" t="s">
        <v>805</v>
      </c>
      <c r="K3764" s="662">
        <v>1</v>
      </c>
      <c r="L3764" s="685">
        <f t="shared" si="113"/>
        <v>18.8</v>
      </c>
      <c r="M3764" s="686">
        <f t="shared" si="114"/>
        <v>18.8</v>
      </c>
      <c r="O3764" s="693"/>
    </row>
    <row r="3765" spans="2:15" s="645" customFormat="1" ht="21.75" customHeight="1">
      <c r="B3765" s="661">
        <v>44473</v>
      </c>
      <c r="C3765" s="662" t="s">
        <v>837</v>
      </c>
      <c r="D3765" s="663" t="s">
        <v>835</v>
      </c>
      <c r="E3765" s="664" t="s">
        <v>831</v>
      </c>
      <c r="F3765" s="665"/>
      <c r="G3765" s="663">
        <v>20</v>
      </c>
      <c r="H3765" s="662" t="s">
        <v>807</v>
      </c>
      <c r="I3765" s="666" t="s">
        <v>857</v>
      </c>
      <c r="J3765" s="667" t="s">
        <v>805</v>
      </c>
      <c r="K3765" s="662">
        <v>2</v>
      </c>
      <c r="L3765" s="685">
        <f t="shared" si="113"/>
        <v>18.8</v>
      </c>
      <c r="M3765" s="686">
        <f t="shared" si="114"/>
        <v>37.6</v>
      </c>
      <c r="O3765" s="693"/>
    </row>
    <row r="3766" spans="2:15" s="645" customFormat="1" ht="21.75" customHeight="1">
      <c r="B3766" s="661">
        <v>44473</v>
      </c>
      <c r="C3766" s="662" t="s">
        <v>837</v>
      </c>
      <c r="D3766" s="663" t="s">
        <v>841</v>
      </c>
      <c r="E3766" s="664" t="s">
        <v>831</v>
      </c>
      <c r="F3766" s="665"/>
      <c r="G3766" s="663">
        <v>20</v>
      </c>
      <c r="H3766" s="662" t="s">
        <v>807</v>
      </c>
      <c r="I3766" s="666" t="s">
        <v>859</v>
      </c>
      <c r="J3766" s="667" t="s">
        <v>805</v>
      </c>
      <c r="K3766" s="662">
        <v>10</v>
      </c>
      <c r="L3766" s="685">
        <f t="shared" si="113"/>
        <v>18.8</v>
      </c>
      <c r="M3766" s="686">
        <f t="shared" si="114"/>
        <v>188</v>
      </c>
      <c r="O3766" s="693"/>
    </row>
    <row r="3767" spans="2:15" s="645" customFormat="1" ht="21.75" customHeight="1">
      <c r="B3767" s="661">
        <v>44473</v>
      </c>
      <c r="C3767" s="662" t="s">
        <v>837</v>
      </c>
      <c r="D3767" s="663" t="s">
        <v>848</v>
      </c>
      <c r="E3767" s="664" t="s">
        <v>831</v>
      </c>
      <c r="F3767" s="665"/>
      <c r="G3767" s="663">
        <v>20</v>
      </c>
      <c r="H3767" s="662" t="s">
        <v>807</v>
      </c>
      <c r="I3767" s="666" t="s">
        <v>859</v>
      </c>
      <c r="J3767" s="667" t="s">
        <v>805</v>
      </c>
      <c r="K3767" s="662">
        <v>4</v>
      </c>
      <c r="L3767" s="685">
        <f t="shared" si="113"/>
        <v>18.8</v>
      </c>
      <c r="M3767" s="686">
        <f t="shared" si="114"/>
        <v>75.2</v>
      </c>
      <c r="O3767" s="693"/>
    </row>
    <row r="3768" spans="2:15" s="645" customFormat="1" ht="21.75" customHeight="1">
      <c r="B3768" s="661">
        <v>44473</v>
      </c>
      <c r="C3768" s="662" t="s">
        <v>837</v>
      </c>
      <c r="D3768" s="663" t="s">
        <v>845</v>
      </c>
      <c r="E3768" s="664" t="s">
        <v>831</v>
      </c>
      <c r="F3768" s="665"/>
      <c r="G3768" s="663">
        <v>17</v>
      </c>
      <c r="H3768" s="662" t="s">
        <v>807</v>
      </c>
      <c r="I3768" s="666" t="s">
        <v>859</v>
      </c>
      <c r="J3768" s="667" t="s">
        <v>805</v>
      </c>
      <c r="K3768" s="662">
        <v>5</v>
      </c>
      <c r="L3768" s="685">
        <f t="shared" si="113"/>
        <v>15.98</v>
      </c>
      <c r="M3768" s="686">
        <f t="shared" si="114"/>
        <v>79.900000000000006</v>
      </c>
      <c r="O3768" s="693"/>
    </row>
    <row r="3769" spans="2:15" s="645" customFormat="1" ht="21.75" customHeight="1">
      <c r="B3769" s="661">
        <v>44473</v>
      </c>
      <c r="C3769" s="662" t="s">
        <v>837</v>
      </c>
      <c r="D3769" s="663" t="s">
        <v>878</v>
      </c>
      <c r="E3769" s="664" t="s">
        <v>831</v>
      </c>
      <c r="F3769" s="665"/>
      <c r="G3769" s="663">
        <v>15</v>
      </c>
      <c r="H3769" s="662" t="s">
        <v>807</v>
      </c>
      <c r="I3769" s="666" t="s">
        <v>859</v>
      </c>
      <c r="J3769" s="667" t="s">
        <v>805</v>
      </c>
      <c r="K3769" s="662">
        <v>1</v>
      </c>
      <c r="L3769" s="685">
        <f t="shared" si="113"/>
        <v>14.1</v>
      </c>
      <c r="M3769" s="686">
        <f t="shared" si="114"/>
        <v>14.1</v>
      </c>
      <c r="O3769" s="693"/>
    </row>
    <row r="3770" spans="2:15" s="645" customFormat="1" ht="21.75" customHeight="1">
      <c r="B3770" s="661">
        <v>44473</v>
      </c>
      <c r="C3770" s="662" t="s">
        <v>837</v>
      </c>
      <c r="D3770" s="663" t="s">
        <v>878</v>
      </c>
      <c r="E3770" s="664" t="s">
        <v>831</v>
      </c>
      <c r="F3770" s="665"/>
      <c r="G3770" s="663">
        <v>15</v>
      </c>
      <c r="H3770" s="662" t="s">
        <v>807</v>
      </c>
      <c r="I3770" s="666" t="s">
        <v>857</v>
      </c>
      <c r="J3770" s="667" t="s">
        <v>805</v>
      </c>
      <c r="K3770" s="662">
        <v>7</v>
      </c>
      <c r="L3770" s="685">
        <f t="shared" si="113"/>
        <v>14.1</v>
      </c>
      <c r="M3770" s="686">
        <f t="shared" si="114"/>
        <v>98.7</v>
      </c>
      <c r="O3770" s="693"/>
    </row>
    <row r="3771" spans="2:15" s="645" customFormat="1" ht="21.75" customHeight="1">
      <c r="B3771" s="661">
        <v>44473</v>
      </c>
      <c r="C3771" s="662" t="s">
        <v>837</v>
      </c>
      <c r="D3771" s="663" t="s">
        <v>875</v>
      </c>
      <c r="E3771" s="664" t="s">
        <v>831</v>
      </c>
      <c r="F3771" s="665"/>
      <c r="G3771" s="663">
        <v>20</v>
      </c>
      <c r="H3771" s="662" t="s">
        <v>807</v>
      </c>
      <c r="I3771" s="666" t="s">
        <v>857</v>
      </c>
      <c r="J3771" s="667" t="s">
        <v>805</v>
      </c>
      <c r="K3771" s="662">
        <v>4</v>
      </c>
      <c r="L3771" s="685">
        <f t="shared" si="113"/>
        <v>18.8</v>
      </c>
      <c r="M3771" s="686">
        <f t="shared" si="114"/>
        <v>75.2</v>
      </c>
      <c r="O3771" s="693"/>
    </row>
    <row r="3772" spans="2:15" s="645" customFormat="1" ht="21.75" customHeight="1">
      <c r="B3772" s="661">
        <v>44473</v>
      </c>
      <c r="C3772" s="662" t="s">
        <v>837</v>
      </c>
      <c r="D3772" s="663" t="s">
        <v>873</v>
      </c>
      <c r="E3772" s="664" t="s">
        <v>831</v>
      </c>
      <c r="F3772" s="665"/>
      <c r="G3772" s="663">
        <v>17</v>
      </c>
      <c r="H3772" s="662" t="s">
        <v>807</v>
      </c>
      <c r="I3772" s="666" t="s">
        <v>859</v>
      </c>
      <c r="J3772" s="667" t="s">
        <v>805</v>
      </c>
      <c r="K3772" s="662">
        <v>3</v>
      </c>
      <c r="L3772" s="685">
        <f t="shared" si="113"/>
        <v>15.98</v>
      </c>
      <c r="M3772" s="686">
        <f t="shared" si="114"/>
        <v>47.94</v>
      </c>
      <c r="O3772" s="693"/>
    </row>
    <row r="3773" spans="2:15" s="645" customFormat="1" ht="21.75" customHeight="1">
      <c r="B3773" s="708">
        <v>44473</v>
      </c>
      <c r="C3773" s="709" t="s">
        <v>819</v>
      </c>
      <c r="D3773" s="710" t="s">
        <v>840</v>
      </c>
      <c r="E3773" s="711" t="s">
        <v>831</v>
      </c>
      <c r="F3773" s="712"/>
      <c r="G3773" s="710">
        <v>20</v>
      </c>
      <c r="H3773" s="709" t="s">
        <v>807</v>
      </c>
      <c r="I3773" s="713" t="s">
        <v>859</v>
      </c>
      <c r="J3773" s="714" t="s">
        <v>802</v>
      </c>
      <c r="K3773" s="709">
        <v>1</v>
      </c>
      <c r="L3773" s="715">
        <f t="shared" si="113"/>
        <v>18.8</v>
      </c>
      <c r="M3773" s="716">
        <f t="shared" si="114"/>
        <v>18.8</v>
      </c>
      <c r="O3773" s="693"/>
    </row>
    <row r="3774" spans="2:15" s="645" customFormat="1" ht="21.75" customHeight="1">
      <c r="B3774" s="708">
        <v>44473</v>
      </c>
      <c r="C3774" s="709" t="s">
        <v>819</v>
      </c>
      <c r="D3774" s="710" t="s">
        <v>835</v>
      </c>
      <c r="E3774" s="711" t="s">
        <v>831</v>
      </c>
      <c r="F3774" s="712"/>
      <c r="G3774" s="710">
        <v>20</v>
      </c>
      <c r="H3774" s="709" t="s">
        <v>807</v>
      </c>
      <c r="I3774" s="713" t="s">
        <v>859</v>
      </c>
      <c r="J3774" s="714" t="s">
        <v>802</v>
      </c>
      <c r="K3774" s="709">
        <v>1</v>
      </c>
      <c r="L3774" s="715">
        <f t="shared" si="113"/>
        <v>18.8</v>
      </c>
      <c r="M3774" s="716">
        <f t="shared" si="114"/>
        <v>18.8</v>
      </c>
      <c r="O3774" s="693"/>
    </row>
    <row r="3775" spans="2:15" s="645" customFormat="1" ht="21.75" customHeight="1">
      <c r="B3775" s="708">
        <v>44473</v>
      </c>
      <c r="C3775" s="709" t="s">
        <v>819</v>
      </c>
      <c r="D3775" s="710" t="s">
        <v>835</v>
      </c>
      <c r="E3775" s="711" t="s">
        <v>831</v>
      </c>
      <c r="F3775" s="712"/>
      <c r="G3775" s="710">
        <v>20</v>
      </c>
      <c r="H3775" s="709" t="s">
        <v>807</v>
      </c>
      <c r="I3775" s="713" t="s">
        <v>863</v>
      </c>
      <c r="J3775" s="714" t="s">
        <v>802</v>
      </c>
      <c r="K3775" s="709">
        <v>2</v>
      </c>
      <c r="L3775" s="715">
        <f t="shared" si="113"/>
        <v>18.8</v>
      </c>
      <c r="M3775" s="716">
        <f t="shared" si="114"/>
        <v>37.6</v>
      </c>
      <c r="O3775" s="693"/>
    </row>
    <row r="3776" spans="2:15" s="645" customFormat="1" ht="21.75" customHeight="1">
      <c r="B3776" s="708">
        <v>44473</v>
      </c>
      <c r="C3776" s="709" t="s">
        <v>819</v>
      </c>
      <c r="D3776" s="710" t="s">
        <v>835</v>
      </c>
      <c r="E3776" s="711" t="s">
        <v>831</v>
      </c>
      <c r="F3776" s="712"/>
      <c r="G3776" s="710">
        <v>20</v>
      </c>
      <c r="H3776" s="709" t="s">
        <v>807</v>
      </c>
      <c r="I3776" s="713" t="s">
        <v>857</v>
      </c>
      <c r="J3776" s="714" t="s">
        <v>802</v>
      </c>
      <c r="K3776" s="709">
        <v>1</v>
      </c>
      <c r="L3776" s="715">
        <f t="shared" si="113"/>
        <v>18.8</v>
      </c>
      <c r="M3776" s="716">
        <f t="shared" si="114"/>
        <v>18.8</v>
      </c>
      <c r="O3776" s="693"/>
    </row>
    <row r="3777" spans="2:15" s="645" customFormat="1" ht="21.75" customHeight="1">
      <c r="B3777" s="708">
        <v>44473</v>
      </c>
      <c r="C3777" s="709" t="s">
        <v>819</v>
      </c>
      <c r="D3777" s="710" t="s">
        <v>841</v>
      </c>
      <c r="E3777" s="711" t="s">
        <v>831</v>
      </c>
      <c r="F3777" s="712"/>
      <c r="G3777" s="710">
        <v>20</v>
      </c>
      <c r="H3777" s="709" t="s">
        <v>807</v>
      </c>
      <c r="I3777" s="713" t="s">
        <v>857</v>
      </c>
      <c r="J3777" s="714" t="s">
        <v>802</v>
      </c>
      <c r="K3777" s="709">
        <v>2</v>
      </c>
      <c r="L3777" s="715">
        <f t="shared" si="113"/>
        <v>18.8</v>
      </c>
      <c r="M3777" s="716">
        <f t="shared" si="114"/>
        <v>37.6</v>
      </c>
      <c r="O3777" s="693"/>
    </row>
    <row r="3778" spans="2:15" s="645" customFormat="1" ht="21.75" customHeight="1">
      <c r="B3778" s="708">
        <v>44473</v>
      </c>
      <c r="C3778" s="709" t="s">
        <v>819</v>
      </c>
      <c r="D3778" s="710" t="s">
        <v>834</v>
      </c>
      <c r="E3778" s="711" t="s">
        <v>831</v>
      </c>
      <c r="F3778" s="712"/>
      <c r="G3778" s="710">
        <v>20</v>
      </c>
      <c r="H3778" s="709" t="s">
        <v>807</v>
      </c>
      <c r="I3778" s="713" t="s">
        <v>857</v>
      </c>
      <c r="J3778" s="714" t="s">
        <v>802</v>
      </c>
      <c r="K3778" s="709">
        <v>2</v>
      </c>
      <c r="L3778" s="715">
        <f t="shared" si="113"/>
        <v>18.8</v>
      </c>
      <c r="M3778" s="716">
        <f t="shared" si="114"/>
        <v>37.6</v>
      </c>
      <c r="O3778" s="693"/>
    </row>
    <row r="3779" spans="2:15" s="645" customFormat="1" ht="21.75" customHeight="1">
      <c r="B3779" s="708">
        <v>44473</v>
      </c>
      <c r="C3779" s="709" t="s">
        <v>819</v>
      </c>
      <c r="D3779" s="710" t="s">
        <v>836</v>
      </c>
      <c r="E3779" s="711" t="s">
        <v>831</v>
      </c>
      <c r="F3779" s="712"/>
      <c r="G3779" s="710">
        <v>20</v>
      </c>
      <c r="H3779" s="709" t="s">
        <v>807</v>
      </c>
      <c r="I3779" s="713" t="s">
        <v>859</v>
      </c>
      <c r="J3779" s="714" t="s">
        <v>802</v>
      </c>
      <c r="K3779" s="709">
        <v>6</v>
      </c>
      <c r="L3779" s="715">
        <f t="shared" si="113"/>
        <v>18.8</v>
      </c>
      <c r="M3779" s="716">
        <f t="shared" si="114"/>
        <v>112.80000000000001</v>
      </c>
      <c r="O3779" s="693"/>
    </row>
    <row r="3780" spans="2:15" s="645" customFormat="1" ht="21.75" customHeight="1">
      <c r="B3780" s="708">
        <v>44473</v>
      </c>
      <c r="C3780" s="709" t="s">
        <v>819</v>
      </c>
      <c r="D3780" s="710" t="s">
        <v>836</v>
      </c>
      <c r="E3780" s="711" t="s">
        <v>831</v>
      </c>
      <c r="F3780" s="712"/>
      <c r="G3780" s="710">
        <v>20</v>
      </c>
      <c r="H3780" s="709" t="s">
        <v>807</v>
      </c>
      <c r="I3780" s="713" t="s">
        <v>857</v>
      </c>
      <c r="J3780" s="714" t="s">
        <v>802</v>
      </c>
      <c r="K3780" s="709">
        <v>2</v>
      </c>
      <c r="L3780" s="715">
        <f t="shared" si="113"/>
        <v>18.8</v>
      </c>
      <c r="M3780" s="716">
        <f t="shared" si="114"/>
        <v>37.6</v>
      </c>
      <c r="O3780" s="693"/>
    </row>
    <row r="3781" spans="2:15" s="645" customFormat="1" ht="21.75" customHeight="1">
      <c r="B3781" s="708">
        <v>44473</v>
      </c>
      <c r="C3781" s="709" t="s">
        <v>819</v>
      </c>
      <c r="D3781" s="710" t="s">
        <v>836</v>
      </c>
      <c r="E3781" s="711" t="s">
        <v>831</v>
      </c>
      <c r="F3781" s="712"/>
      <c r="G3781" s="710">
        <v>20</v>
      </c>
      <c r="H3781" s="709" t="s">
        <v>807</v>
      </c>
      <c r="I3781" s="713" t="s">
        <v>880</v>
      </c>
      <c r="J3781" s="714" t="s">
        <v>802</v>
      </c>
      <c r="K3781" s="709">
        <v>1</v>
      </c>
      <c r="L3781" s="715">
        <f t="shared" si="113"/>
        <v>18.8</v>
      </c>
      <c r="M3781" s="716">
        <f t="shared" si="114"/>
        <v>18.8</v>
      </c>
      <c r="O3781" s="693"/>
    </row>
    <row r="3782" spans="2:15" s="645" customFormat="1" ht="21.75" customHeight="1">
      <c r="B3782" s="708">
        <v>44473</v>
      </c>
      <c r="C3782" s="709" t="s">
        <v>819</v>
      </c>
      <c r="D3782" s="710" t="s">
        <v>833</v>
      </c>
      <c r="E3782" s="711" t="s">
        <v>831</v>
      </c>
      <c r="F3782" s="712"/>
      <c r="G3782" s="710">
        <v>15</v>
      </c>
      <c r="H3782" s="709" t="s">
        <v>807</v>
      </c>
      <c r="I3782" s="713" t="s">
        <v>857</v>
      </c>
      <c r="J3782" s="714" t="s">
        <v>802</v>
      </c>
      <c r="K3782" s="709">
        <v>1</v>
      </c>
      <c r="L3782" s="715">
        <f t="shared" si="113"/>
        <v>14.1</v>
      </c>
      <c r="M3782" s="716">
        <f t="shared" si="114"/>
        <v>14.1</v>
      </c>
      <c r="O3782" s="693"/>
    </row>
    <row r="3783" spans="2:15" s="645" customFormat="1" ht="21.75" customHeight="1">
      <c r="B3783" s="708">
        <v>44473</v>
      </c>
      <c r="C3783" s="709" t="s">
        <v>819</v>
      </c>
      <c r="D3783" s="710" t="s">
        <v>839</v>
      </c>
      <c r="E3783" s="711" t="s">
        <v>831</v>
      </c>
      <c r="F3783" s="712"/>
      <c r="G3783" s="710">
        <v>15</v>
      </c>
      <c r="H3783" s="709" t="s">
        <v>807</v>
      </c>
      <c r="I3783" s="713" t="s">
        <v>859</v>
      </c>
      <c r="J3783" s="714" t="s">
        <v>802</v>
      </c>
      <c r="K3783" s="709">
        <v>4</v>
      </c>
      <c r="L3783" s="715">
        <f t="shared" si="113"/>
        <v>14.1</v>
      </c>
      <c r="M3783" s="716">
        <f t="shared" si="114"/>
        <v>56.4</v>
      </c>
      <c r="O3783" s="693"/>
    </row>
    <row r="3784" spans="2:15" s="645" customFormat="1" ht="21.75" customHeight="1">
      <c r="B3784" s="708">
        <v>44473</v>
      </c>
      <c r="C3784" s="709" t="s">
        <v>819</v>
      </c>
      <c r="D3784" s="710" t="s">
        <v>847</v>
      </c>
      <c r="E3784" s="711" t="s">
        <v>831</v>
      </c>
      <c r="F3784" s="712"/>
      <c r="G3784" s="710">
        <v>17</v>
      </c>
      <c r="H3784" s="709" t="s">
        <v>807</v>
      </c>
      <c r="I3784" s="713" t="s">
        <v>857</v>
      </c>
      <c r="J3784" s="714" t="s">
        <v>802</v>
      </c>
      <c r="K3784" s="709">
        <v>1</v>
      </c>
      <c r="L3784" s="715">
        <f t="shared" si="113"/>
        <v>15.98</v>
      </c>
      <c r="M3784" s="716">
        <f t="shared" si="114"/>
        <v>15.98</v>
      </c>
      <c r="O3784" s="693"/>
    </row>
    <row r="3785" spans="2:15" s="645" customFormat="1" ht="21.75" customHeight="1">
      <c r="B3785" s="708">
        <v>44473</v>
      </c>
      <c r="C3785" s="709" t="s">
        <v>819</v>
      </c>
      <c r="D3785" s="710" t="s">
        <v>847</v>
      </c>
      <c r="E3785" s="711" t="s">
        <v>831</v>
      </c>
      <c r="F3785" s="712"/>
      <c r="G3785" s="710">
        <v>17</v>
      </c>
      <c r="H3785" s="709" t="s">
        <v>807</v>
      </c>
      <c r="I3785" s="713" t="s">
        <v>859</v>
      </c>
      <c r="J3785" s="714" t="s">
        <v>802</v>
      </c>
      <c r="K3785" s="709">
        <v>2</v>
      </c>
      <c r="L3785" s="715">
        <f t="shared" ref="L3785:L3848" si="115">VLOOKUP(G3785,$Q$4:$V$7,6,FALSE)</f>
        <v>15.98</v>
      </c>
      <c r="M3785" s="716">
        <f t="shared" si="114"/>
        <v>31.96</v>
      </c>
      <c r="O3785" s="693"/>
    </row>
    <row r="3786" spans="2:15" s="645" customFormat="1" ht="21.75" customHeight="1">
      <c r="B3786" s="708">
        <v>44473</v>
      </c>
      <c r="C3786" s="709" t="s">
        <v>819</v>
      </c>
      <c r="D3786" s="710" t="s">
        <v>847</v>
      </c>
      <c r="E3786" s="711" t="s">
        <v>831</v>
      </c>
      <c r="F3786" s="712"/>
      <c r="G3786" s="710">
        <v>17</v>
      </c>
      <c r="H3786" s="709" t="s">
        <v>807</v>
      </c>
      <c r="I3786" s="713" t="s">
        <v>805</v>
      </c>
      <c r="J3786" s="714" t="s">
        <v>802</v>
      </c>
      <c r="K3786" s="709">
        <v>2</v>
      </c>
      <c r="L3786" s="715">
        <f t="shared" si="115"/>
        <v>15.98</v>
      </c>
      <c r="M3786" s="716">
        <f t="shared" si="114"/>
        <v>31.96</v>
      </c>
      <c r="O3786" s="693"/>
    </row>
    <row r="3787" spans="2:15" s="645" customFormat="1" ht="21.75" customHeight="1">
      <c r="B3787" s="708">
        <v>44473</v>
      </c>
      <c r="C3787" s="709" t="s">
        <v>819</v>
      </c>
      <c r="D3787" s="710" t="s">
        <v>856</v>
      </c>
      <c r="E3787" s="711" t="s">
        <v>831</v>
      </c>
      <c r="F3787" s="712"/>
      <c r="G3787" s="710">
        <v>20</v>
      </c>
      <c r="H3787" s="709" t="s">
        <v>807</v>
      </c>
      <c r="I3787" s="713" t="s">
        <v>857</v>
      </c>
      <c r="J3787" s="714" t="s">
        <v>802</v>
      </c>
      <c r="K3787" s="709">
        <v>2</v>
      </c>
      <c r="L3787" s="715">
        <f t="shared" si="115"/>
        <v>18.8</v>
      </c>
      <c r="M3787" s="716">
        <f t="shared" si="114"/>
        <v>37.6</v>
      </c>
      <c r="O3787" s="693"/>
    </row>
    <row r="3788" spans="2:15" s="645" customFormat="1" ht="21.75" customHeight="1">
      <c r="B3788" s="708">
        <v>44473</v>
      </c>
      <c r="C3788" s="709" t="s">
        <v>819</v>
      </c>
      <c r="D3788" s="710" t="s">
        <v>855</v>
      </c>
      <c r="E3788" s="711" t="s">
        <v>831</v>
      </c>
      <c r="F3788" s="712"/>
      <c r="G3788" s="710">
        <v>20</v>
      </c>
      <c r="H3788" s="709" t="s">
        <v>807</v>
      </c>
      <c r="I3788" s="713" t="s">
        <v>859</v>
      </c>
      <c r="J3788" s="714" t="s">
        <v>802</v>
      </c>
      <c r="K3788" s="709">
        <v>1</v>
      </c>
      <c r="L3788" s="715">
        <f t="shared" si="115"/>
        <v>18.8</v>
      </c>
      <c r="M3788" s="716">
        <f t="shared" si="114"/>
        <v>18.8</v>
      </c>
      <c r="O3788" s="693"/>
    </row>
    <row r="3789" spans="2:15" s="645" customFormat="1" ht="21.75" customHeight="1">
      <c r="B3789" s="708">
        <v>44473</v>
      </c>
      <c r="C3789" s="709" t="s">
        <v>819</v>
      </c>
      <c r="D3789" s="710" t="s">
        <v>875</v>
      </c>
      <c r="E3789" s="711" t="s">
        <v>831</v>
      </c>
      <c r="F3789" s="712"/>
      <c r="G3789" s="710">
        <v>20</v>
      </c>
      <c r="H3789" s="709" t="s">
        <v>807</v>
      </c>
      <c r="I3789" s="713" t="s">
        <v>859</v>
      </c>
      <c r="J3789" s="714" t="s">
        <v>802</v>
      </c>
      <c r="K3789" s="709">
        <v>3</v>
      </c>
      <c r="L3789" s="715">
        <f t="shared" si="115"/>
        <v>18.8</v>
      </c>
      <c r="M3789" s="716">
        <f t="shared" si="114"/>
        <v>56.400000000000006</v>
      </c>
      <c r="O3789" s="693"/>
    </row>
    <row r="3790" spans="2:15" s="645" customFormat="1" ht="21.75" customHeight="1">
      <c r="B3790" s="708">
        <v>44473</v>
      </c>
      <c r="C3790" s="709" t="s">
        <v>819</v>
      </c>
      <c r="D3790" s="710" t="s">
        <v>867</v>
      </c>
      <c r="E3790" s="711" t="s">
        <v>831</v>
      </c>
      <c r="F3790" s="712"/>
      <c r="G3790" s="710">
        <v>20</v>
      </c>
      <c r="H3790" s="709" t="s">
        <v>807</v>
      </c>
      <c r="I3790" s="713" t="s">
        <v>859</v>
      </c>
      <c r="J3790" s="714" t="s">
        <v>802</v>
      </c>
      <c r="K3790" s="709">
        <v>3</v>
      </c>
      <c r="L3790" s="715">
        <f t="shared" si="115"/>
        <v>18.8</v>
      </c>
      <c r="M3790" s="716">
        <f t="shared" si="114"/>
        <v>56.400000000000006</v>
      </c>
      <c r="O3790" s="693"/>
    </row>
    <row r="3791" spans="2:15" s="645" customFormat="1" ht="21.75" customHeight="1">
      <c r="B3791" s="708">
        <v>44473</v>
      </c>
      <c r="C3791" s="709" t="s">
        <v>819</v>
      </c>
      <c r="D3791" s="710" t="s">
        <v>876</v>
      </c>
      <c r="E3791" s="711" t="s">
        <v>831</v>
      </c>
      <c r="F3791" s="712"/>
      <c r="G3791" s="710">
        <v>20</v>
      </c>
      <c r="H3791" s="709" t="s">
        <v>807</v>
      </c>
      <c r="I3791" s="713" t="s">
        <v>859</v>
      </c>
      <c r="J3791" s="714" t="s">
        <v>802</v>
      </c>
      <c r="K3791" s="709">
        <v>1</v>
      </c>
      <c r="L3791" s="715">
        <f t="shared" si="115"/>
        <v>18.8</v>
      </c>
      <c r="M3791" s="716">
        <f t="shared" si="114"/>
        <v>18.8</v>
      </c>
      <c r="O3791" s="693"/>
    </row>
    <row r="3792" spans="2:15" s="645" customFormat="1" ht="21.75" customHeight="1">
      <c r="B3792" s="708">
        <v>44473</v>
      </c>
      <c r="C3792" s="709" t="s">
        <v>819</v>
      </c>
      <c r="D3792" s="710" t="s">
        <v>876</v>
      </c>
      <c r="E3792" s="711" t="s">
        <v>831</v>
      </c>
      <c r="F3792" s="712"/>
      <c r="G3792" s="710">
        <v>20</v>
      </c>
      <c r="H3792" s="709" t="s">
        <v>807</v>
      </c>
      <c r="I3792" s="713" t="s">
        <v>857</v>
      </c>
      <c r="J3792" s="714" t="s">
        <v>802</v>
      </c>
      <c r="K3792" s="709">
        <v>1</v>
      </c>
      <c r="L3792" s="715">
        <f t="shared" si="115"/>
        <v>18.8</v>
      </c>
      <c r="M3792" s="716">
        <f t="shared" si="114"/>
        <v>18.8</v>
      </c>
      <c r="O3792" s="693"/>
    </row>
    <row r="3793" spans="2:15" s="645" customFormat="1" ht="21.75" customHeight="1">
      <c r="B3793" s="708">
        <v>44473</v>
      </c>
      <c r="C3793" s="709" t="s">
        <v>819</v>
      </c>
      <c r="D3793" s="710" t="s">
        <v>868</v>
      </c>
      <c r="E3793" s="711" t="s">
        <v>831</v>
      </c>
      <c r="F3793" s="712"/>
      <c r="G3793" s="710">
        <v>20</v>
      </c>
      <c r="H3793" s="709" t="s">
        <v>807</v>
      </c>
      <c r="I3793" s="713" t="s">
        <v>857</v>
      </c>
      <c r="J3793" s="714" t="s">
        <v>802</v>
      </c>
      <c r="K3793" s="709">
        <v>1</v>
      </c>
      <c r="L3793" s="715">
        <f t="shared" si="115"/>
        <v>18.8</v>
      </c>
      <c r="M3793" s="716">
        <f t="shared" si="114"/>
        <v>18.8</v>
      </c>
      <c r="O3793" s="693"/>
    </row>
    <row r="3794" spans="2:15" s="645" customFormat="1" ht="21.75" customHeight="1">
      <c r="B3794" s="708">
        <v>44473</v>
      </c>
      <c r="C3794" s="709" t="s">
        <v>819</v>
      </c>
      <c r="D3794" s="710" t="s">
        <v>873</v>
      </c>
      <c r="E3794" s="711" t="s">
        <v>831</v>
      </c>
      <c r="F3794" s="712"/>
      <c r="G3794" s="710">
        <v>17</v>
      </c>
      <c r="H3794" s="709" t="s">
        <v>807</v>
      </c>
      <c r="I3794" s="713" t="s">
        <v>859</v>
      </c>
      <c r="J3794" s="714" t="s">
        <v>802</v>
      </c>
      <c r="K3794" s="709">
        <v>3</v>
      </c>
      <c r="L3794" s="715">
        <f t="shared" si="115"/>
        <v>15.98</v>
      </c>
      <c r="M3794" s="716">
        <f t="shared" si="114"/>
        <v>47.94</v>
      </c>
      <c r="O3794" s="693"/>
    </row>
    <row r="3795" spans="2:15" s="645" customFormat="1" ht="21.75" customHeight="1">
      <c r="B3795" s="708">
        <v>44473</v>
      </c>
      <c r="C3795" s="709" t="s">
        <v>837</v>
      </c>
      <c r="D3795" s="710" t="s">
        <v>834</v>
      </c>
      <c r="E3795" s="711" t="s">
        <v>831</v>
      </c>
      <c r="F3795" s="712"/>
      <c r="G3795" s="710">
        <v>20</v>
      </c>
      <c r="H3795" s="709" t="s">
        <v>807</v>
      </c>
      <c r="I3795" s="713" t="s">
        <v>859</v>
      </c>
      <c r="J3795" s="714" t="s">
        <v>802</v>
      </c>
      <c r="K3795" s="709">
        <v>9</v>
      </c>
      <c r="L3795" s="715">
        <f t="shared" si="115"/>
        <v>18.8</v>
      </c>
      <c r="M3795" s="716">
        <f t="shared" si="114"/>
        <v>169.20000000000002</v>
      </c>
      <c r="O3795" s="693"/>
    </row>
    <row r="3796" spans="2:15" s="645" customFormat="1" ht="21.75" customHeight="1">
      <c r="B3796" s="708">
        <v>44473</v>
      </c>
      <c r="C3796" s="709" t="s">
        <v>837</v>
      </c>
      <c r="D3796" s="710" t="s">
        <v>856</v>
      </c>
      <c r="E3796" s="711" t="s">
        <v>831</v>
      </c>
      <c r="F3796" s="712"/>
      <c r="G3796" s="710">
        <v>20</v>
      </c>
      <c r="H3796" s="709" t="s">
        <v>807</v>
      </c>
      <c r="I3796" s="713" t="s">
        <v>859</v>
      </c>
      <c r="J3796" s="714" t="s">
        <v>802</v>
      </c>
      <c r="K3796" s="709">
        <v>1</v>
      </c>
      <c r="L3796" s="715">
        <f t="shared" si="115"/>
        <v>18.8</v>
      </c>
      <c r="M3796" s="716">
        <f t="shared" si="114"/>
        <v>18.8</v>
      </c>
      <c r="O3796" s="693"/>
    </row>
    <row r="3797" spans="2:15" s="645" customFormat="1" ht="21.75" customHeight="1">
      <c r="B3797" s="708">
        <v>44473</v>
      </c>
      <c r="C3797" s="709" t="s">
        <v>837</v>
      </c>
      <c r="D3797" s="710" t="s">
        <v>856</v>
      </c>
      <c r="E3797" s="711" t="s">
        <v>831</v>
      </c>
      <c r="F3797" s="712"/>
      <c r="G3797" s="710">
        <v>20</v>
      </c>
      <c r="H3797" s="709" t="s">
        <v>807</v>
      </c>
      <c r="I3797" s="713" t="s">
        <v>857</v>
      </c>
      <c r="J3797" s="714" t="s">
        <v>802</v>
      </c>
      <c r="K3797" s="709">
        <v>3</v>
      </c>
      <c r="L3797" s="715">
        <f t="shared" si="115"/>
        <v>18.8</v>
      </c>
      <c r="M3797" s="716">
        <f t="shared" si="114"/>
        <v>56.400000000000006</v>
      </c>
      <c r="O3797" s="693"/>
    </row>
    <row r="3798" spans="2:15" s="645" customFormat="1" ht="21.75" customHeight="1">
      <c r="B3798" s="708">
        <v>44473</v>
      </c>
      <c r="C3798" s="709" t="s">
        <v>837</v>
      </c>
      <c r="D3798" s="710" t="s">
        <v>855</v>
      </c>
      <c r="E3798" s="711" t="s">
        <v>831</v>
      </c>
      <c r="F3798" s="712"/>
      <c r="G3798" s="710">
        <v>20</v>
      </c>
      <c r="H3798" s="709" t="s">
        <v>807</v>
      </c>
      <c r="I3798" s="713" t="s">
        <v>857</v>
      </c>
      <c r="J3798" s="714" t="s">
        <v>802</v>
      </c>
      <c r="K3798" s="709">
        <v>5</v>
      </c>
      <c r="L3798" s="715">
        <f t="shared" si="115"/>
        <v>18.8</v>
      </c>
      <c r="M3798" s="716">
        <f t="shared" si="114"/>
        <v>94</v>
      </c>
      <c r="O3798" s="693"/>
    </row>
    <row r="3799" spans="2:15" s="645" customFormat="1" ht="21.75" customHeight="1">
      <c r="B3799" s="708">
        <v>44473</v>
      </c>
      <c r="C3799" s="709" t="s">
        <v>837</v>
      </c>
      <c r="D3799" s="710" t="s">
        <v>855</v>
      </c>
      <c r="E3799" s="711" t="s">
        <v>831</v>
      </c>
      <c r="F3799" s="712"/>
      <c r="G3799" s="710">
        <v>20</v>
      </c>
      <c r="H3799" s="709" t="s">
        <v>807</v>
      </c>
      <c r="I3799" s="713" t="s">
        <v>859</v>
      </c>
      <c r="J3799" s="714" t="s">
        <v>802</v>
      </c>
      <c r="K3799" s="709">
        <v>1</v>
      </c>
      <c r="L3799" s="715">
        <f t="shared" si="115"/>
        <v>18.8</v>
      </c>
      <c r="M3799" s="716">
        <f t="shared" si="114"/>
        <v>18.8</v>
      </c>
      <c r="O3799" s="693"/>
    </row>
    <row r="3800" spans="2:15" s="645" customFormat="1" ht="21.75" customHeight="1">
      <c r="B3800" s="708">
        <v>44473</v>
      </c>
      <c r="C3800" s="709" t="s">
        <v>837</v>
      </c>
      <c r="D3800" s="710" t="s">
        <v>835</v>
      </c>
      <c r="E3800" s="711" t="s">
        <v>831</v>
      </c>
      <c r="F3800" s="712"/>
      <c r="G3800" s="710">
        <v>20</v>
      </c>
      <c r="H3800" s="709" t="s">
        <v>807</v>
      </c>
      <c r="I3800" s="713" t="s">
        <v>859</v>
      </c>
      <c r="J3800" s="714" t="s">
        <v>802</v>
      </c>
      <c r="K3800" s="709">
        <v>1</v>
      </c>
      <c r="L3800" s="715">
        <f t="shared" si="115"/>
        <v>18.8</v>
      </c>
      <c r="M3800" s="716">
        <f t="shared" si="114"/>
        <v>18.8</v>
      </c>
      <c r="O3800" s="693"/>
    </row>
    <row r="3801" spans="2:15" s="645" customFormat="1" ht="21.75" customHeight="1">
      <c r="B3801" s="708">
        <v>44473</v>
      </c>
      <c r="C3801" s="709" t="s">
        <v>837</v>
      </c>
      <c r="D3801" s="710" t="s">
        <v>835</v>
      </c>
      <c r="E3801" s="711" t="s">
        <v>831</v>
      </c>
      <c r="F3801" s="712"/>
      <c r="G3801" s="710">
        <v>20</v>
      </c>
      <c r="H3801" s="709" t="s">
        <v>807</v>
      </c>
      <c r="I3801" s="713" t="s">
        <v>857</v>
      </c>
      <c r="J3801" s="714" t="s">
        <v>802</v>
      </c>
      <c r="K3801" s="709">
        <v>4</v>
      </c>
      <c r="L3801" s="715">
        <f t="shared" si="115"/>
        <v>18.8</v>
      </c>
      <c r="M3801" s="716">
        <f t="shared" si="114"/>
        <v>75.2</v>
      </c>
      <c r="O3801" s="693"/>
    </row>
    <row r="3802" spans="2:15" s="645" customFormat="1" ht="21.75" customHeight="1">
      <c r="B3802" s="708">
        <v>44473</v>
      </c>
      <c r="C3802" s="709" t="s">
        <v>837</v>
      </c>
      <c r="D3802" s="710" t="s">
        <v>848</v>
      </c>
      <c r="E3802" s="711" t="s">
        <v>831</v>
      </c>
      <c r="F3802" s="712"/>
      <c r="G3802" s="710">
        <v>20</v>
      </c>
      <c r="H3802" s="709" t="s">
        <v>807</v>
      </c>
      <c r="I3802" s="713" t="s">
        <v>859</v>
      </c>
      <c r="J3802" s="714" t="s">
        <v>802</v>
      </c>
      <c r="K3802" s="709">
        <v>7</v>
      </c>
      <c r="L3802" s="715">
        <f t="shared" si="115"/>
        <v>18.8</v>
      </c>
      <c r="M3802" s="716">
        <f t="shared" si="114"/>
        <v>131.6</v>
      </c>
      <c r="O3802" s="693"/>
    </row>
    <row r="3803" spans="2:15" s="645" customFormat="1" ht="21.75" customHeight="1">
      <c r="B3803" s="708">
        <v>44473</v>
      </c>
      <c r="C3803" s="709" t="s">
        <v>837</v>
      </c>
      <c r="D3803" s="710" t="s">
        <v>845</v>
      </c>
      <c r="E3803" s="711" t="s">
        <v>831</v>
      </c>
      <c r="F3803" s="712"/>
      <c r="G3803" s="710">
        <v>17</v>
      </c>
      <c r="H3803" s="709" t="s">
        <v>807</v>
      </c>
      <c r="I3803" s="713" t="s">
        <v>859</v>
      </c>
      <c r="J3803" s="714" t="s">
        <v>802</v>
      </c>
      <c r="K3803" s="709">
        <v>6</v>
      </c>
      <c r="L3803" s="715">
        <f t="shared" si="115"/>
        <v>15.98</v>
      </c>
      <c r="M3803" s="716">
        <f t="shared" si="114"/>
        <v>95.88</v>
      </c>
      <c r="O3803" s="693"/>
    </row>
    <row r="3804" spans="2:15" s="645" customFormat="1" ht="21.75" customHeight="1">
      <c r="B3804" s="708">
        <v>44473</v>
      </c>
      <c r="C3804" s="709" t="s">
        <v>837</v>
      </c>
      <c r="D3804" s="710" t="s">
        <v>878</v>
      </c>
      <c r="E3804" s="711" t="s">
        <v>831</v>
      </c>
      <c r="F3804" s="712"/>
      <c r="G3804" s="710">
        <v>15</v>
      </c>
      <c r="H3804" s="709" t="s">
        <v>807</v>
      </c>
      <c r="I3804" s="713" t="s">
        <v>859</v>
      </c>
      <c r="J3804" s="714" t="s">
        <v>802</v>
      </c>
      <c r="K3804" s="709">
        <v>2</v>
      </c>
      <c r="L3804" s="715">
        <f t="shared" si="115"/>
        <v>14.1</v>
      </c>
      <c r="M3804" s="716">
        <f t="shared" si="114"/>
        <v>28.2</v>
      </c>
      <c r="O3804" s="693"/>
    </row>
    <row r="3805" spans="2:15" s="645" customFormat="1" ht="21.75" customHeight="1">
      <c r="B3805" s="708">
        <v>44473</v>
      </c>
      <c r="C3805" s="709" t="s">
        <v>837</v>
      </c>
      <c r="D3805" s="710" t="s">
        <v>875</v>
      </c>
      <c r="E3805" s="711" t="s">
        <v>831</v>
      </c>
      <c r="F3805" s="712"/>
      <c r="G3805" s="710">
        <v>20</v>
      </c>
      <c r="H3805" s="709" t="s">
        <v>807</v>
      </c>
      <c r="I3805" s="713" t="s">
        <v>859</v>
      </c>
      <c r="J3805" s="714" t="s">
        <v>802</v>
      </c>
      <c r="K3805" s="709">
        <v>5</v>
      </c>
      <c r="L3805" s="715">
        <f t="shared" si="115"/>
        <v>18.8</v>
      </c>
      <c r="M3805" s="716">
        <f t="shared" si="114"/>
        <v>94</v>
      </c>
      <c r="O3805" s="693"/>
    </row>
    <row r="3806" spans="2:15" s="645" customFormat="1" ht="21.75" customHeight="1">
      <c r="B3806" s="708">
        <v>44473</v>
      </c>
      <c r="C3806" s="709" t="s">
        <v>837</v>
      </c>
      <c r="D3806" s="710" t="s">
        <v>873</v>
      </c>
      <c r="E3806" s="711" t="s">
        <v>831</v>
      </c>
      <c r="F3806" s="712"/>
      <c r="G3806" s="710">
        <v>17</v>
      </c>
      <c r="H3806" s="709" t="s">
        <v>807</v>
      </c>
      <c r="I3806" s="713" t="s">
        <v>859</v>
      </c>
      <c r="J3806" s="714" t="s">
        <v>802</v>
      </c>
      <c r="K3806" s="709">
        <v>8</v>
      </c>
      <c r="L3806" s="715">
        <f t="shared" si="115"/>
        <v>15.98</v>
      </c>
      <c r="M3806" s="716">
        <f t="shared" si="114"/>
        <v>127.84</v>
      </c>
      <c r="O3806" s="693"/>
    </row>
    <row r="3807" spans="2:15" s="645" customFormat="1" ht="21.75" customHeight="1">
      <c r="B3807" s="661">
        <v>44474</v>
      </c>
      <c r="C3807" s="662" t="s">
        <v>819</v>
      </c>
      <c r="D3807" s="663" t="s">
        <v>840</v>
      </c>
      <c r="E3807" s="664" t="s">
        <v>831</v>
      </c>
      <c r="F3807" s="665"/>
      <c r="G3807" s="663">
        <v>20</v>
      </c>
      <c r="H3807" s="662" t="s">
        <v>807</v>
      </c>
      <c r="I3807" s="666" t="s">
        <v>859</v>
      </c>
      <c r="J3807" s="667" t="s">
        <v>805</v>
      </c>
      <c r="K3807" s="662">
        <v>1</v>
      </c>
      <c r="L3807" s="685">
        <f t="shared" si="115"/>
        <v>18.8</v>
      </c>
      <c r="M3807" s="686">
        <f t="shared" si="114"/>
        <v>18.8</v>
      </c>
      <c r="O3807" s="693"/>
    </row>
    <row r="3808" spans="2:15" s="645" customFormat="1" ht="21.75" customHeight="1">
      <c r="B3808" s="661">
        <v>44474</v>
      </c>
      <c r="C3808" s="662" t="s">
        <v>819</v>
      </c>
      <c r="D3808" s="663" t="s">
        <v>835</v>
      </c>
      <c r="E3808" s="664" t="s">
        <v>831</v>
      </c>
      <c r="F3808" s="665"/>
      <c r="G3808" s="663">
        <v>20</v>
      </c>
      <c r="H3808" s="662" t="s">
        <v>807</v>
      </c>
      <c r="I3808" s="666" t="s">
        <v>859</v>
      </c>
      <c r="J3808" s="667" t="s">
        <v>804</v>
      </c>
      <c r="K3808" s="662">
        <v>2</v>
      </c>
      <c r="L3808" s="685">
        <f t="shared" si="115"/>
        <v>18.8</v>
      </c>
      <c r="M3808" s="686">
        <f t="shared" si="114"/>
        <v>37.6</v>
      </c>
      <c r="O3808" s="693"/>
    </row>
    <row r="3809" spans="2:15" s="645" customFormat="1" ht="21.75" customHeight="1">
      <c r="B3809" s="661">
        <v>44474</v>
      </c>
      <c r="C3809" s="662" t="s">
        <v>819</v>
      </c>
      <c r="D3809" s="663" t="s">
        <v>841</v>
      </c>
      <c r="E3809" s="664" t="s">
        <v>831</v>
      </c>
      <c r="F3809" s="665"/>
      <c r="G3809" s="663">
        <v>20</v>
      </c>
      <c r="H3809" s="662" t="s">
        <v>807</v>
      </c>
      <c r="I3809" s="666" t="s">
        <v>859</v>
      </c>
      <c r="J3809" s="667" t="s">
        <v>805</v>
      </c>
      <c r="K3809" s="662">
        <v>1</v>
      </c>
      <c r="L3809" s="685">
        <f t="shared" si="115"/>
        <v>18.8</v>
      </c>
      <c r="M3809" s="686">
        <f t="shared" si="114"/>
        <v>18.8</v>
      </c>
      <c r="O3809" s="693"/>
    </row>
    <row r="3810" spans="2:15" s="645" customFormat="1" ht="21.75" customHeight="1">
      <c r="B3810" s="661">
        <v>44474</v>
      </c>
      <c r="C3810" s="662" t="s">
        <v>819</v>
      </c>
      <c r="D3810" s="663" t="s">
        <v>834</v>
      </c>
      <c r="E3810" s="664" t="s">
        <v>831</v>
      </c>
      <c r="F3810" s="665"/>
      <c r="G3810" s="663">
        <v>20</v>
      </c>
      <c r="H3810" s="662" t="s">
        <v>807</v>
      </c>
      <c r="I3810" s="666" t="s">
        <v>859</v>
      </c>
      <c r="J3810" s="667" t="s">
        <v>804</v>
      </c>
      <c r="K3810" s="662">
        <v>1</v>
      </c>
      <c r="L3810" s="685">
        <f t="shared" si="115"/>
        <v>18.8</v>
      </c>
      <c r="M3810" s="686">
        <f t="shared" si="114"/>
        <v>18.8</v>
      </c>
      <c r="O3810" s="693"/>
    </row>
    <row r="3811" spans="2:15" s="645" customFormat="1" ht="21.75" customHeight="1">
      <c r="B3811" s="661">
        <v>44474</v>
      </c>
      <c r="C3811" s="662" t="s">
        <v>819</v>
      </c>
      <c r="D3811" s="663" t="s">
        <v>848</v>
      </c>
      <c r="E3811" s="664" t="s">
        <v>831</v>
      </c>
      <c r="F3811" s="665"/>
      <c r="G3811" s="663">
        <v>20</v>
      </c>
      <c r="H3811" s="662" t="s">
        <v>807</v>
      </c>
      <c r="I3811" s="666" t="s">
        <v>859</v>
      </c>
      <c r="J3811" s="667" t="s">
        <v>804</v>
      </c>
      <c r="K3811" s="662">
        <v>1</v>
      </c>
      <c r="L3811" s="685">
        <f t="shared" si="115"/>
        <v>18.8</v>
      </c>
      <c r="M3811" s="686">
        <f t="shared" si="114"/>
        <v>18.8</v>
      </c>
      <c r="O3811" s="693"/>
    </row>
    <row r="3812" spans="2:15" s="645" customFormat="1" ht="21.75" customHeight="1">
      <c r="B3812" s="661">
        <v>44474</v>
      </c>
      <c r="C3812" s="662" t="s">
        <v>819</v>
      </c>
      <c r="D3812" s="663" t="s">
        <v>833</v>
      </c>
      <c r="E3812" s="664" t="s">
        <v>831</v>
      </c>
      <c r="F3812" s="665"/>
      <c r="G3812" s="663">
        <v>15</v>
      </c>
      <c r="H3812" s="662" t="s">
        <v>807</v>
      </c>
      <c r="I3812" s="666" t="s">
        <v>859</v>
      </c>
      <c r="J3812" s="667" t="s">
        <v>804</v>
      </c>
      <c r="K3812" s="662">
        <v>1</v>
      </c>
      <c r="L3812" s="685">
        <f t="shared" si="115"/>
        <v>14.1</v>
      </c>
      <c r="M3812" s="686">
        <f t="shared" si="114"/>
        <v>14.1</v>
      </c>
      <c r="O3812" s="693"/>
    </row>
    <row r="3813" spans="2:15" s="645" customFormat="1" ht="21.75" customHeight="1">
      <c r="B3813" s="661">
        <v>44474</v>
      </c>
      <c r="C3813" s="662" t="s">
        <v>819</v>
      </c>
      <c r="D3813" s="663" t="s">
        <v>839</v>
      </c>
      <c r="E3813" s="664" t="s">
        <v>831</v>
      </c>
      <c r="F3813" s="665"/>
      <c r="G3813" s="663">
        <v>15</v>
      </c>
      <c r="H3813" s="662" t="s">
        <v>807</v>
      </c>
      <c r="I3813" s="666" t="s">
        <v>859</v>
      </c>
      <c r="J3813" s="667" t="s">
        <v>804</v>
      </c>
      <c r="K3813" s="662">
        <v>1</v>
      </c>
      <c r="L3813" s="685">
        <f t="shared" si="115"/>
        <v>14.1</v>
      </c>
      <c r="M3813" s="686">
        <f t="shared" si="114"/>
        <v>14.1</v>
      </c>
      <c r="O3813" s="693"/>
    </row>
    <row r="3814" spans="2:15" s="645" customFormat="1" ht="21.75" customHeight="1">
      <c r="B3814" s="661">
        <v>44474</v>
      </c>
      <c r="C3814" s="662" t="s">
        <v>819</v>
      </c>
      <c r="D3814" s="663" t="s">
        <v>845</v>
      </c>
      <c r="E3814" s="664" t="s">
        <v>831</v>
      </c>
      <c r="F3814" s="665"/>
      <c r="G3814" s="663">
        <v>17</v>
      </c>
      <c r="H3814" s="662" t="s">
        <v>807</v>
      </c>
      <c r="I3814" s="666" t="s">
        <v>859</v>
      </c>
      <c r="J3814" s="667" t="s">
        <v>804</v>
      </c>
      <c r="K3814" s="662">
        <v>1</v>
      </c>
      <c r="L3814" s="685">
        <f t="shared" si="115"/>
        <v>15.98</v>
      </c>
      <c r="M3814" s="686">
        <f t="shared" si="114"/>
        <v>15.98</v>
      </c>
      <c r="O3814" s="693"/>
    </row>
    <row r="3815" spans="2:15" s="645" customFormat="1" ht="21.75" customHeight="1">
      <c r="B3815" s="661">
        <v>44474</v>
      </c>
      <c r="C3815" s="662" t="s">
        <v>819</v>
      </c>
      <c r="D3815" s="663" t="s">
        <v>847</v>
      </c>
      <c r="E3815" s="664" t="s">
        <v>831</v>
      </c>
      <c r="F3815" s="665"/>
      <c r="G3815" s="663">
        <v>17</v>
      </c>
      <c r="H3815" s="662" t="s">
        <v>807</v>
      </c>
      <c r="I3815" s="666" t="s">
        <v>859</v>
      </c>
      <c r="J3815" s="667" t="s">
        <v>804</v>
      </c>
      <c r="K3815" s="662">
        <v>1</v>
      </c>
      <c r="L3815" s="685">
        <f t="shared" si="115"/>
        <v>15.98</v>
      </c>
      <c r="M3815" s="686">
        <f t="shared" ref="M3815:M3878" si="116">L3815*K3815</f>
        <v>15.98</v>
      </c>
      <c r="O3815" s="693"/>
    </row>
    <row r="3816" spans="2:15" s="645" customFormat="1" ht="21.75" customHeight="1">
      <c r="B3816" s="661">
        <v>44474</v>
      </c>
      <c r="C3816" s="662" t="s">
        <v>819</v>
      </c>
      <c r="D3816" s="663" t="s">
        <v>878</v>
      </c>
      <c r="E3816" s="664" t="s">
        <v>831</v>
      </c>
      <c r="F3816" s="665"/>
      <c r="G3816" s="663">
        <v>15</v>
      </c>
      <c r="H3816" s="662" t="s">
        <v>807</v>
      </c>
      <c r="I3816" s="666" t="s">
        <v>859</v>
      </c>
      <c r="J3816" s="667" t="s">
        <v>804</v>
      </c>
      <c r="K3816" s="662">
        <v>4</v>
      </c>
      <c r="L3816" s="685">
        <f t="shared" si="115"/>
        <v>14.1</v>
      </c>
      <c r="M3816" s="686">
        <f t="shared" si="116"/>
        <v>56.4</v>
      </c>
      <c r="O3816" s="693"/>
    </row>
    <row r="3817" spans="2:15" s="645" customFormat="1" ht="21.75" customHeight="1">
      <c r="B3817" s="661">
        <v>44474</v>
      </c>
      <c r="C3817" s="662" t="s">
        <v>819</v>
      </c>
      <c r="D3817" s="663" t="s">
        <v>855</v>
      </c>
      <c r="E3817" s="664" t="s">
        <v>831</v>
      </c>
      <c r="F3817" s="665"/>
      <c r="G3817" s="663">
        <v>20</v>
      </c>
      <c r="H3817" s="662" t="s">
        <v>807</v>
      </c>
      <c r="I3817" s="666" t="s">
        <v>859</v>
      </c>
      <c r="J3817" s="667" t="s">
        <v>804</v>
      </c>
      <c r="K3817" s="662">
        <v>5</v>
      </c>
      <c r="L3817" s="685">
        <f t="shared" si="115"/>
        <v>18.8</v>
      </c>
      <c r="M3817" s="686">
        <f t="shared" si="116"/>
        <v>94</v>
      </c>
      <c r="O3817" s="693"/>
    </row>
    <row r="3818" spans="2:15" s="645" customFormat="1" ht="21.75" customHeight="1">
      <c r="B3818" s="661">
        <v>44474</v>
      </c>
      <c r="C3818" s="662" t="s">
        <v>819</v>
      </c>
      <c r="D3818" s="663" t="s">
        <v>875</v>
      </c>
      <c r="E3818" s="664" t="s">
        <v>831</v>
      </c>
      <c r="F3818" s="665"/>
      <c r="G3818" s="663">
        <v>20</v>
      </c>
      <c r="H3818" s="662" t="s">
        <v>807</v>
      </c>
      <c r="I3818" s="666" t="s">
        <v>859</v>
      </c>
      <c r="J3818" s="667" t="s">
        <v>804</v>
      </c>
      <c r="K3818" s="662">
        <v>5</v>
      </c>
      <c r="L3818" s="685">
        <f t="shared" si="115"/>
        <v>18.8</v>
      </c>
      <c r="M3818" s="686">
        <f t="shared" si="116"/>
        <v>94</v>
      </c>
      <c r="O3818" s="693"/>
    </row>
    <row r="3819" spans="2:15" s="645" customFormat="1" ht="21.75" customHeight="1">
      <c r="B3819" s="661">
        <v>44474</v>
      </c>
      <c r="C3819" s="662" t="s">
        <v>819</v>
      </c>
      <c r="D3819" s="663" t="s">
        <v>867</v>
      </c>
      <c r="E3819" s="664" t="s">
        <v>831</v>
      </c>
      <c r="F3819" s="665"/>
      <c r="G3819" s="663">
        <v>20</v>
      </c>
      <c r="H3819" s="662" t="s">
        <v>807</v>
      </c>
      <c r="I3819" s="666" t="s">
        <v>805</v>
      </c>
      <c r="J3819" s="667" t="s">
        <v>805</v>
      </c>
      <c r="K3819" s="662">
        <v>5</v>
      </c>
      <c r="L3819" s="685">
        <f t="shared" si="115"/>
        <v>18.8</v>
      </c>
      <c r="M3819" s="686">
        <f t="shared" si="116"/>
        <v>94</v>
      </c>
      <c r="O3819" s="693"/>
    </row>
    <row r="3820" spans="2:15" s="645" customFormat="1" ht="21.75" customHeight="1">
      <c r="B3820" s="661">
        <v>44474</v>
      </c>
      <c r="C3820" s="662" t="s">
        <v>819</v>
      </c>
      <c r="D3820" s="663" t="s">
        <v>873</v>
      </c>
      <c r="E3820" s="664" t="s">
        <v>831</v>
      </c>
      <c r="F3820" s="665"/>
      <c r="G3820" s="663">
        <v>17</v>
      </c>
      <c r="H3820" s="662" t="s">
        <v>807</v>
      </c>
      <c r="I3820" s="666" t="s">
        <v>859</v>
      </c>
      <c r="J3820" s="667" t="s">
        <v>804</v>
      </c>
      <c r="K3820" s="662">
        <v>7</v>
      </c>
      <c r="L3820" s="685">
        <f t="shared" si="115"/>
        <v>15.98</v>
      </c>
      <c r="M3820" s="686">
        <f t="shared" si="116"/>
        <v>111.86</v>
      </c>
      <c r="O3820" s="693"/>
    </row>
    <row r="3821" spans="2:15" s="645" customFormat="1" ht="21.75" customHeight="1">
      <c r="B3821" s="708">
        <v>44474</v>
      </c>
      <c r="C3821" s="709" t="s">
        <v>819</v>
      </c>
      <c r="D3821" s="710" t="s">
        <v>840</v>
      </c>
      <c r="E3821" s="711" t="s">
        <v>831</v>
      </c>
      <c r="F3821" s="712"/>
      <c r="G3821" s="710">
        <v>20</v>
      </c>
      <c r="H3821" s="709" t="s">
        <v>807</v>
      </c>
      <c r="I3821" s="713" t="s">
        <v>859</v>
      </c>
      <c r="J3821" s="714" t="s">
        <v>802</v>
      </c>
      <c r="K3821" s="709">
        <v>3</v>
      </c>
      <c r="L3821" s="715">
        <f t="shared" si="115"/>
        <v>18.8</v>
      </c>
      <c r="M3821" s="716">
        <f t="shared" si="116"/>
        <v>56.400000000000006</v>
      </c>
      <c r="O3821" s="693"/>
    </row>
    <row r="3822" spans="2:15" s="645" customFormat="1" ht="21.75" customHeight="1">
      <c r="B3822" s="708">
        <v>44474</v>
      </c>
      <c r="C3822" s="709" t="s">
        <v>819</v>
      </c>
      <c r="D3822" s="710" t="s">
        <v>835</v>
      </c>
      <c r="E3822" s="711" t="s">
        <v>831</v>
      </c>
      <c r="F3822" s="712"/>
      <c r="G3822" s="710">
        <v>20</v>
      </c>
      <c r="H3822" s="709" t="s">
        <v>807</v>
      </c>
      <c r="I3822" s="713" t="s">
        <v>859</v>
      </c>
      <c r="J3822" s="714" t="s">
        <v>802</v>
      </c>
      <c r="K3822" s="709">
        <v>4</v>
      </c>
      <c r="L3822" s="715">
        <f t="shared" si="115"/>
        <v>18.8</v>
      </c>
      <c r="M3822" s="716">
        <f t="shared" si="116"/>
        <v>75.2</v>
      </c>
      <c r="O3822" s="693"/>
    </row>
    <row r="3823" spans="2:15" s="645" customFormat="1" ht="21.75" customHeight="1">
      <c r="B3823" s="708">
        <v>44474</v>
      </c>
      <c r="C3823" s="709" t="s">
        <v>819</v>
      </c>
      <c r="D3823" s="710" t="s">
        <v>841</v>
      </c>
      <c r="E3823" s="711" t="s">
        <v>831</v>
      </c>
      <c r="F3823" s="712"/>
      <c r="G3823" s="710">
        <v>20</v>
      </c>
      <c r="H3823" s="709" t="s">
        <v>807</v>
      </c>
      <c r="I3823" s="713" t="s">
        <v>859</v>
      </c>
      <c r="J3823" s="714" t="s">
        <v>802</v>
      </c>
      <c r="K3823" s="709">
        <v>3</v>
      </c>
      <c r="L3823" s="715">
        <f t="shared" si="115"/>
        <v>18.8</v>
      </c>
      <c r="M3823" s="716">
        <f t="shared" si="116"/>
        <v>56.400000000000006</v>
      </c>
      <c r="O3823" s="693"/>
    </row>
    <row r="3824" spans="2:15" s="645" customFormat="1" ht="21.75" customHeight="1">
      <c r="B3824" s="708">
        <v>44474</v>
      </c>
      <c r="C3824" s="709" t="s">
        <v>819</v>
      </c>
      <c r="D3824" s="710" t="s">
        <v>834</v>
      </c>
      <c r="E3824" s="711" t="s">
        <v>831</v>
      </c>
      <c r="F3824" s="712"/>
      <c r="G3824" s="710">
        <v>20</v>
      </c>
      <c r="H3824" s="709" t="s">
        <v>807</v>
      </c>
      <c r="I3824" s="713" t="s">
        <v>859</v>
      </c>
      <c r="J3824" s="714" t="s">
        <v>802</v>
      </c>
      <c r="K3824" s="709">
        <v>1</v>
      </c>
      <c r="L3824" s="715">
        <f t="shared" si="115"/>
        <v>18.8</v>
      </c>
      <c r="M3824" s="716">
        <f t="shared" si="116"/>
        <v>18.8</v>
      </c>
      <c r="O3824" s="693"/>
    </row>
    <row r="3825" spans="2:15" s="645" customFormat="1" ht="21.75" customHeight="1">
      <c r="B3825" s="708">
        <v>44474</v>
      </c>
      <c r="C3825" s="709" t="s">
        <v>819</v>
      </c>
      <c r="D3825" s="710" t="s">
        <v>848</v>
      </c>
      <c r="E3825" s="711" t="s">
        <v>831</v>
      </c>
      <c r="F3825" s="712"/>
      <c r="G3825" s="710">
        <v>20</v>
      </c>
      <c r="H3825" s="709" t="s">
        <v>807</v>
      </c>
      <c r="I3825" s="713" t="s">
        <v>859</v>
      </c>
      <c r="J3825" s="714" t="s">
        <v>802</v>
      </c>
      <c r="K3825" s="709">
        <v>4</v>
      </c>
      <c r="L3825" s="715">
        <f t="shared" si="115"/>
        <v>18.8</v>
      </c>
      <c r="M3825" s="716">
        <f t="shared" si="116"/>
        <v>75.2</v>
      </c>
      <c r="O3825" s="693"/>
    </row>
    <row r="3826" spans="2:15" s="645" customFormat="1" ht="21.75" customHeight="1">
      <c r="B3826" s="708">
        <v>44474</v>
      </c>
      <c r="C3826" s="709" t="s">
        <v>819</v>
      </c>
      <c r="D3826" s="710" t="s">
        <v>833</v>
      </c>
      <c r="E3826" s="711" t="s">
        <v>831</v>
      </c>
      <c r="F3826" s="712"/>
      <c r="G3826" s="710">
        <v>15</v>
      </c>
      <c r="H3826" s="709" t="s">
        <v>807</v>
      </c>
      <c r="I3826" s="713" t="s">
        <v>859</v>
      </c>
      <c r="J3826" s="714" t="s">
        <v>802</v>
      </c>
      <c r="K3826" s="709">
        <v>4</v>
      </c>
      <c r="L3826" s="715">
        <f t="shared" si="115"/>
        <v>14.1</v>
      </c>
      <c r="M3826" s="716">
        <f t="shared" si="116"/>
        <v>56.4</v>
      </c>
      <c r="O3826" s="693"/>
    </row>
    <row r="3827" spans="2:15" s="645" customFormat="1" ht="21.75" customHeight="1">
      <c r="B3827" s="708">
        <v>44474</v>
      </c>
      <c r="C3827" s="709" t="s">
        <v>819</v>
      </c>
      <c r="D3827" s="710" t="s">
        <v>839</v>
      </c>
      <c r="E3827" s="711" t="s">
        <v>831</v>
      </c>
      <c r="F3827" s="712"/>
      <c r="G3827" s="710">
        <v>15</v>
      </c>
      <c r="H3827" s="709" t="s">
        <v>807</v>
      </c>
      <c r="I3827" s="713" t="s">
        <v>859</v>
      </c>
      <c r="J3827" s="714" t="s">
        <v>802</v>
      </c>
      <c r="K3827" s="709">
        <v>4</v>
      </c>
      <c r="L3827" s="715">
        <f t="shared" si="115"/>
        <v>14.1</v>
      </c>
      <c r="M3827" s="716">
        <f t="shared" si="116"/>
        <v>56.4</v>
      </c>
      <c r="O3827" s="693"/>
    </row>
    <row r="3828" spans="2:15" s="645" customFormat="1" ht="21.75" customHeight="1">
      <c r="B3828" s="708">
        <v>44474</v>
      </c>
      <c r="C3828" s="709" t="s">
        <v>819</v>
      </c>
      <c r="D3828" s="710" t="s">
        <v>845</v>
      </c>
      <c r="E3828" s="711" t="s">
        <v>831</v>
      </c>
      <c r="F3828" s="712"/>
      <c r="G3828" s="710">
        <v>17</v>
      </c>
      <c r="H3828" s="709" t="s">
        <v>807</v>
      </c>
      <c r="I3828" s="713" t="s">
        <v>859</v>
      </c>
      <c r="J3828" s="714" t="s">
        <v>802</v>
      </c>
      <c r="K3828" s="709">
        <v>1</v>
      </c>
      <c r="L3828" s="715">
        <f t="shared" si="115"/>
        <v>15.98</v>
      </c>
      <c r="M3828" s="716">
        <f t="shared" si="116"/>
        <v>15.98</v>
      </c>
      <c r="O3828" s="693"/>
    </row>
    <row r="3829" spans="2:15" s="645" customFormat="1" ht="21.75" customHeight="1">
      <c r="B3829" s="708">
        <v>44474</v>
      </c>
      <c r="C3829" s="709" t="s">
        <v>819</v>
      </c>
      <c r="D3829" s="710" t="s">
        <v>847</v>
      </c>
      <c r="E3829" s="711" t="s">
        <v>831</v>
      </c>
      <c r="F3829" s="712"/>
      <c r="G3829" s="710">
        <v>17</v>
      </c>
      <c r="H3829" s="709" t="s">
        <v>807</v>
      </c>
      <c r="I3829" s="713" t="s">
        <v>859</v>
      </c>
      <c r="J3829" s="714" t="s">
        <v>802</v>
      </c>
      <c r="K3829" s="709">
        <v>2</v>
      </c>
      <c r="L3829" s="715">
        <f t="shared" si="115"/>
        <v>15.98</v>
      </c>
      <c r="M3829" s="716">
        <f t="shared" si="116"/>
        <v>31.96</v>
      </c>
      <c r="O3829" s="693"/>
    </row>
    <row r="3830" spans="2:15" s="645" customFormat="1" ht="21.75" customHeight="1">
      <c r="B3830" s="708">
        <v>44474</v>
      </c>
      <c r="C3830" s="709" t="s">
        <v>819</v>
      </c>
      <c r="D3830" s="710" t="s">
        <v>856</v>
      </c>
      <c r="E3830" s="711" t="s">
        <v>831</v>
      </c>
      <c r="F3830" s="712"/>
      <c r="G3830" s="710">
        <v>20</v>
      </c>
      <c r="H3830" s="709" t="s">
        <v>807</v>
      </c>
      <c r="I3830" s="713" t="s">
        <v>859</v>
      </c>
      <c r="J3830" s="714" t="s">
        <v>802</v>
      </c>
      <c r="K3830" s="709">
        <v>5</v>
      </c>
      <c r="L3830" s="715">
        <f t="shared" si="115"/>
        <v>18.8</v>
      </c>
      <c r="M3830" s="716">
        <f t="shared" si="116"/>
        <v>94</v>
      </c>
      <c r="O3830" s="693"/>
    </row>
    <row r="3831" spans="2:15" s="645" customFormat="1" ht="21.75" customHeight="1">
      <c r="B3831" s="708">
        <v>44474</v>
      </c>
      <c r="C3831" s="709" t="s">
        <v>819</v>
      </c>
      <c r="D3831" s="710" t="s">
        <v>878</v>
      </c>
      <c r="E3831" s="711" t="s">
        <v>831</v>
      </c>
      <c r="F3831" s="712"/>
      <c r="G3831" s="710">
        <v>15</v>
      </c>
      <c r="H3831" s="709" t="s">
        <v>807</v>
      </c>
      <c r="I3831" s="713" t="s">
        <v>859</v>
      </c>
      <c r="J3831" s="714" t="s">
        <v>802</v>
      </c>
      <c r="K3831" s="709">
        <v>2</v>
      </c>
      <c r="L3831" s="715">
        <f t="shared" si="115"/>
        <v>14.1</v>
      </c>
      <c r="M3831" s="716">
        <f t="shared" si="116"/>
        <v>28.2</v>
      </c>
      <c r="O3831" s="693"/>
    </row>
    <row r="3832" spans="2:15" s="645" customFormat="1" ht="21.75" customHeight="1">
      <c r="B3832" s="708">
        <v>44474</v>
      </c>
      <c r="C3832" s="709" t="s">
        <v>819</v>
      </c>
      <c r="D3832" s="710" t="s">
        <v>875</v>
      </c>
      <c r="E3832" s="711" t="s">
        <v>831</v>
      </c>
      <c r="F3832" s="712"/>
      <c r="G3832" s="710">
        <v>20</v>
      </c>
      <c r="H3832" s="709" t="s">
        <v>807</v>
      </c>
      <c r="I3832" s="713" t="s">
        <v>859</v>
      </c>
      <c r="J3832" s="714" t="s">
        <v>802</v>
      </c>
      <c r="K3832" s="709">
        <v>1</v>
      </c>
      <c r="L3832" s="715">
        <f t="shared" si="115"/>
        <v>18.8</v>
      </c>
      <c r="M3832" s="716">
        <f t="shared" si="116"/>
        <v>18.8</v>
      </c>
      <c r="O3832" s="693"/>
    </row>
    <row r="3833" spans="2:15" s="645" customFormat="1" ht="21.75" customHeight="1">
      <c r="B3833" s="708">
        <v>44474</v>
      </c>
      <c r="C3833" s="709" t="s">
        <v>819</v>
      </c>
      <c r="D3833" s="710" t="s">
        <v>867</v>
      </c>
      <c r="E3833" s="711" t="s">
        <v>831</v>
      </c>
      <c r="F3833" s="712"/>
      <c r="G3833" s="710">
        <v>20</v>
      </c>
      <c r="H3833" s="709" t="s">
        <v>807</v>
      </c>
      <c r="I3833" s="713" t="s">
        <v>859</v>
      </c>
      <c r="J3833" s="714" t="s">
        <v>802</v>
      </c>
      <c r="K3833" s="709">
        <v>2</v>
      </c>
      <c r="L3833" s="715">
        <f t="shared" si="115"/>
        <v>18.8</v>
      </c>
      <c r="M3833" s="716">
        <f t="shared" si="116"/>
        <v>37.6</v>
      </c>
      <c r="O3833" s="693"/>
    </row>
    <row r="3834" spans="2:15" s="645" customFormat="1" ht="21.75" customHeight="1">
      <c r="B3834" s="708">
        <v>44474</v>
      </c>
      <c r="C3834" s="709" t="s">
        <v>819</v>
      </c>
      <c r="D3834" s="710" t="s">
        <v>867</v>
      </c>
      <c r="E3834" s="711" t="s">
        <v>831</v>
      </c>
      <c r="F3834" s="712"/>
      <c r="G3834" s="710">
        <v>20</v>
      </c>
      <c r="H3834" s="709" t="s">
        <v>807</v>
      </c>
      <c r="I3834" s="713" t="s">
        <v>805</v>
      </c>
      <c r="J3834" s="714" t="s">
        <v>802</v>
      </c>
      <c r="K3834" s="709">
        <v>10</v>
      </c>
      <c r="L3834" s="715">
        <f t="shared" si="115"/>
        <v>18.8</v>
      </c>
      <c r="M3834" s="716">
        <f t="shared" si="116"/>
        <v>188</v>
      </c>
      <c r="O3834" s="693"/>
    </row>
    <row r="3835" spans="2:15" s="645" customFormat="1" ht="21.75" customHeight="1">
      <c r="B3835" s="708">
        <v>44474</v>
      </c>
      <c r="C3835" s="709" t="s">
        <v>819</v>
      </c>
      <c r="D3835" s="710" t="s">
        <v>868</v>
      </c>
      <c r="E3835" s="711" t="s">
        <v>831</v>
      </c>
      <c r="F3835" s="712"/>
      <c r="G3835" s="710">
        <v>20</v>
      </c>
      <c r="H3835" s="709" t="s">
        <v>807</v>
      </c>
      <c r="I3835" s="713" t="s">
        <v>859</v>
      </c>
      <c r="J3835" s="714" t="s">
        <v>802</v>
      </c>
      <c r="K3835" s="709">
        <v>3</v>
      </c>
      <c r="L3835" s="715">
        <f t="shared" si="115"/>
        <v>18.8</v>
      </c>
      <c r="M3835" s="716">
        <f t="shared" si="116"/>
        <v>56.400000000000006</v>
      </c>
      <c r="O3835" s="693"/>
    </row>
    <row r="3836" spans="2:15" s="645" customFormat="1" ht="21.75" customHeight="1">
      <c r="B3836" s="717">
        <v>44474</v>
      </c>
      <c r="C3836" s="718" t="s">
        <v>819</v>
      </c>
      <c r="D3836" s="719" t="s">
        <v>841</v>
      </c>
      <c r="E3836" s="720" t="s">
        <v>831</v>
      </c>
      <c r="F3836" s="721"/>
      <c r="G3836" s="719">
        <v>20</v>
      </c>
      <c r="H3836" s="718" t="s">
        <v>806</v>
      </c>
      <c r="I3836" s="722" t="s">
        <v>890</v>
      </c>
      <c r="J3836" s="723" t="s">
        <v>892</v>
      </c>
      <c r="K3836" s="718">
        <v>2</v>
      </c>
      <c r="L3836" s="724">
        <f t="shared" si="115"/>
        <v>18.8</v>
      </c>
      <c r="M3836" s="725">
        <f t="shared" si="116"/>
        <v>37.6</v>
      </c>
      <c r="O3836" s="693"/>
    </row>
    <row r="3837" spans="2:15" s="645" customFormat="1" ht="21.75" customHeight="1">
      <c r="B3837" s="717">
        <v>44474</v>
      </c>
      <c r="C3837" s="718" t="s">
        <v>819</v>
      </c>
      <c r="D3837" s="719" t="s">
        <v>839</v>
      </c>
      <c r="E3837" s="720" t="s">
        <v>831</v>
      </c>
      <c r="F3837" s="721"/>
      <c r="G3837" s="719">
        <v>15</v>
      </c>
      <c r="H3837" s="718" t="s">
        <v>806</v>
      </c>
      <c r="I3837" s="722" t="s">
        <v>890</v>
      </c>
      <c r="J3837" s="723" t="s">
        <v>892</v>
      </c>
      <c r="K3837" s="718">
        <v>2</v>
      </c>
      <c r="L3837" s="724">
        <f t="shared" si="115"/>
        <v>14.1</v>
      </c>
      <c r="M3837" s="725">
        <f t="shared" si="116"/>
        <v>28.2</v>
      </c>
      <c r="O3837" s="693"/>
    </row>
    <row r="3838" spans="2:15" s="645" customFormat="1" ht="21.75" customHeight="1">
      <c r="B3838" s="717">
        <v>44474</v>
      </c>
      <c r="C3838" s="718" t="s">
        <v>819</v>
      </c>
      <c r="D3838" s="719" t="s">
        <v>845</v>
      </c>
      <c r="E3838" s="720" t="s">
        <v>831</v>
      </c>
      <c r="F3838" s="721"/>
      <c r="G3838" s="719">
        <v>17</v>
      </c>
      <c r="H3838" s="718" t="s">
        <v>806</v>
      </c>
      <c r="I3838" s="722" t="s">
        <v>890</v>
      </c>
      <c r="J3838" s="723" t="s">
        <v>892</v>
      </c>
      <c r="K3838" s="718">
        <v>1</v>
      </c>
      <c r="L3838" s="724">
        <f t="shared" si="115"/>
        <v>15.98</v>
      </c>
      <c r="M3838" s="725">
        <f t="shared" si="116"/>
        <v>15.98</v>
      </c>
      <c r="O3838" s="693"/>
    </row>
    <row r="3839" spans="2:15" s="645" customFormat="1" ht="21.75" customHeight="1">
      <c r="B3839" s="717">
        <v>44474</v>
      </c>
      <c r="C3839" s="718" t="s">
        <v>819</v>
      </c>
      <c r="D3839" s="719" t="s">
        <v>878</v>
      </c>
      <c r="E3839" s="720" t="s">
        <v>831</v>
      </c>
      <c r="F3839" s="721"/>
      <c r="G3839" s="719">
        <v>15</v>
      </c>
      <c r="H3839" s="718" t="s">
        <v>806</v>
      </c>
      <c r="I3839" s="722" t="s">
        <v>890</v>
      </c>
      <c r="J3839" s="723" t="s">
        <v>892</v>
      </c>
      <c r="K3839" s="718">
        <v>8</v>
      </c>
      <c r="L3839" s="724">
        <f t="shared" si="115"/>
        <v>14.1</v>
      </c>
      <c r="M3839" s="725">
        <f t="shared" si="116"/>
        <v>112.8</v>
      </c>
      <c r="O3839" s="693"/>
    </row>
    <row r="3840" spans="2:15" s="645" customFormat="1" ht="21.75" customHeight="1">
      <c r="B3840" s="661">
        <v>44475</v>
      </c>
      <c r="C3840" s="662" t="s">
        <v>819</v>
      </c>
      <c r="D3840" s="663" t="s">
        <v>840</v>
      </c>
      <c r="E3840" s="664" t="s">
        <v>831</v>
      </c>
      <c r="F3840" s="665"/>
      <c r="G3840" s="663">
        <v>20</v>
      </c>
      <c r="H3840" s="662" t="s">
        <v>807</v>
      </c>
      <c r="I3840" s="666" t="s">
        <v>859</v>
      </c>
      <c r="J3840" s="667" t="s">
        <v>805</v>
      </c>
      <c r="K3840" s="662">
        <v>2</v>
      </c>
      <c r="L3840" s="685">
        <f t="shared" si="115"/>
        <v>18.8</v>
      </c>
      <c r="M3840" s="686">
        <f t="shared" si="116"/>
        <v>37.6</v>
      </c>
      <c r="O3840" s="693"/>
    </row>
    <row r="3841" spans="2:15" s="645" customFormat="1" ht="21.75" customHeight="1">
      <c r="B3841" s="661">
        <v>44475</v>
      </c>
      <c r="C3841" s="662" t="s">
        <v>819</v>
      </c>
      <c r="D3841" s="663" t="s">
        <v>835</v>
      </c>
      <c r="E3841" s="664" t="s">
        <v>831</v>
      </c>
      <c r="F3841" s="665"/>
      <c r="G3841" s="663">
        <v>20</v>
      </c>
      <c r="H3841" s="662" t="s">
        <v>807</v>
      </c>
      <c r="I3841" s="666" t="s">
        <v>859</v>
      </c>
      <c r="J3841" s="667" t="s">
        <v>804</v>
      </c>
      <c r="K3841" s="662">
        <v>1</v>
      </c>
      <c r="L3841" s="685">
        <f t="shared" si="115"/>
        <v>18.8</v>
      </c>
      <c r="M3841" s="686">
        <f t="shared" si="116"/>
        <v>18.8</v>
      </c>
      <c r="O3841" s="693"/>
    </row>
    <row r="3842" spans="2:15" s="645" customFormat="1" ht="21.75" customHeight="1">
      <c r="B3842" s="661">
        <v>44475</v>
      </c>
      <c r="C3842" s="662" t="s">
        <v>819</v>
      </c>
      <c r="D3842" s="663" t="s">
        <v>835</v>
      </c>
      <c r="E3842" s="664" t="s">
        <v>831</v>
      </c>
      <c r="F3842" s="665"/>
      <c r="G3842" s="663">
        <v>20</v>
      </c>
      <c r="H3842" s="662" t="s">
        <v>807</v>
      </c>
      <c r="I3842" s="666" t="s">
        <v>859</v>
      </c>
      <c r="J3842" s="667" t="s">
        <v>805</v>
      </c>
      <c r="K3842" s="662">
        <v>5</v>
      </c>
      <c r="L3842" s="685">
        <f t="shared" si="115"/>
        <v>18.8</v>
      </c>
      <c r="M3842" s="686">
        <f t="shared" si="116"/>
        <v>94</v>
      </c>
      <c r="O3842" s="693"/>
    </row>
    <row r="3843" spans="2:15" s="645" customFormat="1" ht="21.75" customHeight="1">
      <c r="B3843" s="661">
        <v>44475</v>
      </c>
      <c r="C3843" s="662" t="s">
        <v>819</v>
      </c>
      <c r="D3843" s="663" t="s">
        <v>841</v>
      </c>
      <c r="E3843" s="664" t="s">
        <v>831</v>
      </c>
      <c r="F3843" s="665"/>
      <c r="G3843" s="663">
        <v>20</v>
      </c>
      <c r="H3843" s="662" t="s">
        <v>807</v>
      </c>
      <c r="I3843" s="666" t="s">
        <v>859</v>
      </c>
      <c r="J3843" s="667" t="s">
        <v>805</v>
      </c>
      <c r="K3843" s="662">
        <v>7</v>
      </c>
      <c r="L3843" s="685">
        <f t="shared" si="115"/>
        <v>18.8</v>
      </c>
      <c r="M3843" s="686">
        <f t="shared" si="116"/>
        <v>131.6</v>
      </c>
      <c r="O3843" s="693"/>
    </row>
    <row r="3844" spans="2:15" s="645" customFormat="1" ht="21.75" customHeight="1">
      <c r="B3844" s="661">
        <v>44475</v>
      </c>
      <c r="C3844" s="662" t="s">
        <v>819</v>
      </c>
      <c r="D3844" s="663" t="s">
        <v>834</v>
      </c>
      <c r="E3844" s="664" t="s">
        <v>831</v>
      </c>
      <c r="F3844" s="665"/>
      <c r="G3844" s="663">
        <v>20</v>
      </c>
      <c r="H3844" s="662" t="s">
        <v>807</v>
      </c>
      <c r="I3844" s="666" t="s">
        <v>859</v>
      </c>
      <c r="J3844" s="667" t="s">
        <v>805</v>
      </c>
      <c r="K3844" s="662">
        <v>2</v>
      </c>
      <c r="L3844" s="685">
        <f t="shared" si="115"/>
        <v>18.8</v>
      </c>
      <c r="M3844" s="686">
        <f t="shared" si="116"/>
        <v>37.6</v>
      </c>
      <c r="O3844" s="693"/>
    </row>
    <row r="3845" spans="2:15" s="645" customFormat="1" ht="21.75" customHeight="1">
      <c r="B3845" s="661">
        <v>44475</v>
      </c>
      <c r="C3845" s="662" t="s">
        <v>819</v>
      </c>
      <c r="D3845" s="663" t="s">
        <v>848</v>
      </c>
      <c r="E3845" s="664" t="s">
        <v>831</v>
      </c>
      <c r="F3845" s="665"/>
      <c r="G3845" s="663">
        <v>20</v>
      </c>
      <c r="H3845" s="662" t="s">
        <v>807</v>
      </c>
      <c r="I3845" s="666" t="s">
        <v>859</v>
      </c>
      <c r="J3845" s="667" t="s">
        <v>805</v>
      </c>
      <c r="K3845" s="662">
        <v>3</v>
      </c>
      <c r="L3845" s="685">
        <f t="shared" si="115"/>
        <v>18.8</v>
      </c>
      <c r="M3845" s="686">
        <f t="shared" si="116"/>
        <v>56.400000000000006</v>
      </c>
      <c r="O3845" s="693"/>
    </row>
    <row r="3846" spans="2:15" s="645" customFormat="1" ht="21.75" customHeight="1">
      <c r="B3846" s="661">
        <v>44475</v>
      </c>
      <c r="C3846" s="662" t="s">
        <v>819</v>
      </c>
      <c r="D3846" s="663" t="s">
        <v>848</v>
      </c>
      <c r="E3846" s="664" t="s">
        <v>831</v>
      </c>
      <c r="F3846" s="665"/>
      <c r="G3846" s="663">
        <v>20</v>
      </c>
      <c r="H3846" s="662" t="s">
        <v>807</v>
      </c>
      <c r="I3846" s="666" t="s">
        <v>859</v>
      </c>
      <c r="J3846" s="667" t="s">
        <v>804</v>
      </c>
      <c r="K3846" s="662">
        <v>4</v>
      </c>
      <c r="L3846" s="685">
        <f t="shared" si="115"/>
        <v>18.8</v>
      </c>
      <c r="M3846" s="686">
        <f t="shared" si="116"/>
        <v>75.2</v>
      </c>
      <c r="O3846" s="693"/>
    </row>
    <row r="3847" spans="2:15" s="645" customFormat="1" ht="21.75" customHeight="1">
      <c r="B3847" s="661">
        <v>44475</v>
      </c>
      <c r="C3847" s="662" t="s">
        <v>819</v>
      </c>
      <c r="D3847" s="663" t="s">
        <v>848</v>
      </c>
      <c r="E3847" s="664" t="s">
        <v>831</v>
      </c>
      <c r="F3847" s="665"/>
      <c r="G3847" s="663">
        <v>20</v>
      </c>
      <c r="H3847" s="662" t="s">
        <v>807</v>
      </c>
      <c r="I3847" s="666" t="s">
        <v>804</v>
      </c>
      <c r="J3847" s="667" t="s">
        <v>804</v>
      </c>
      <c r="K3847" s="662">
        <v>4</v>
      </c>
      <c r="L3847" s="685">
        <f t="shared" si="115"/>
        <v>18.8</v>
      </c>
      <c r="M3847" s="686">
        <f t="shared" si="116"/>
        <v>75.2</v>
      </c>
      <c r="O3847" s="693"/>
    </row>
    <row r="3848" spans="2:15" s="645" customFormat="1" ht="21.75" customHeight="1">
      <c r="B3848" s="661">
        <v>44475</v>
      </c>
      <c r="C3848" s="662" t="s">
        <v>819</v>
      </c>
      <c r="D3848" s="663" t="s">
        <v>833</v>
      </c>
      <c r="E3848" s="664" t="s">
        <v>831</v>
      </c>
      <c r="F3848" s="665"/>
      <c r="G3848" s="663">
        <v>15</v>
      </c>
      <c r="H3848" s="662" t="s">
        <v>807</v>
      </c>
      <c r="I3848" s="666" t="s">
        <v>859</v>
      </c>
      <c r="J3848" s="667" t="s">
        <v>805</v>
      </c>
      <c r="K3848" s="662">
        <v>3</v>
      </c>
      <c r="L3848" s="685">
        <f t="shared" si="115"/>
        <v>14.1</v>
      </c>
      <c r="M3848" s="686">
        <f t="shared" si="116"/>
        <v>42.3</v>
      </c>
      <c r="O3848" s="693"/>
    </row>
    <row r="3849" spans="2:15" s="645" customFormat="1" ht="21.75" customHeight="1">
      <c r="B3849" s="661">
        <v>44475</v>
      </c>
      <c r="C3849" s="662" t="s">
        <v>819</v>
      </c>
      <c r="D3849" s="663" t="s">
        <v>830</v>
      </c>
      <c r="E3849" s="664" t="s">
        <v>831</v>
      </c>
      <c r="F3849" s="665"/>
      <c r="G3849" s="663">
        <v>15</v>
      </c>
      <c r="H3849" s="662" t="s">
        <v>807</v>
      </c>
      <c r="I3849" s="666" t="s">
        <v>859</v>
      </c>
      <c r="J3849" s="667" t="s">
        <v>805</v>
      </c>
      <c r="K3849" s="662">
        <v>6</v>
      </c>
      <c r="L3849" s="685">
        <f t="shared" ref="L3849:L3912" si="117">VLOOKUP(G3849,$Q$4:$V$7,6,FALSE)</f>
        <v>14.1</v>
      </c>
      <c r="M3849" s="686">
        <f t="shared" si="116"/>
        <v>84.6</v>
      </c>
      <c r="O3849" s="693"/>
    </row>
    <row r="3850" spans="2:15" s="645" customFormat="1" ht="21.75" customHeight="1">
      <c r="B3850" s="661">
        <v>44475</v>
      </c>
      <c r="C3850" s="662" t="s">
        <v>819</v>
      </c>
      <c r="D3850" s="663" t="s">
        <v>830</v>
      </c>
      <c r="E3850" s="664" t="s">
        <v>831</v>
      </c>
      <c r="F3850" s="665"/>
      <c r="G3850" s="663">
        <v>15</v>
      </c>
      <c r="H3850" s="662" t="s">
        <v>807</v>
      </c>
      <c r="I3850" s="666" t="s">
        <v>859</v>
      </c>
      <c r="J3850" s="667" t="s">
        <v>805</v>
      </c>
      <c r="K3850" s="662">
        <v>1</v>
      </c>
      <c r="L3850" s="685">
        <f t="shared" si="117"/>
        <v>14.1</v>
      </c>
      <c r="M3850" s="686">
        <f t="shared" si="116"/>
        <v>14.1</v>
      </c>
      <c r="O3850" s="693"/>
    </row>
    <row r="3851" spans="2:15" s="645" customFormat="1" ht="21.75" customHeight="1">
      <c r="B3851" s="661">
        <v>44475</v>
      </c>
      <c r="C3851" s="662" t="s">
        <v>819</v>
      </c>
      <c r="D3851" s="663" t="s">
        <v>839</v>
      </c>
      <c r="E3851" s="664" t="s">
        <v>831</v>
      </c>
      <c r="F3851" s="665"/>
      <c r="G3851" s="663">
        <v>15</v>
      </c>
      <c r="H3851" s="662" t="s">
        <v>807</v>
      </c>
      <c r="I3851" s="666" t="s">
        <v>859</v>
      </c>
      <c r="J3851" s="667" t="s">
        <v>805</v>
      </c>
      <c r="K3851" s="662">
        <v>3</v>
      </c>
      <c r="L3851" s="685">
        <f t="shared" si="117"/>
        <v>14.1</v>
      </c>
      <c r="M3851" s="686">
        <f t="shared" si="116"/>
        <v>42.3</v>
      </c>
      <c r="O3851" s="693"/>
    </row>
    <row r="3852" spans="2:15" s="645" customFormat="1" ht="21.75" customHeight="1">
      <c r="B3852" s="661">
        <v>44475</v>
      </c>
      <c r="C3852" s="662" t="s">
        <v>819</v>
      </c>
      <c r="D3852" s="663" t="s">
        <v>845</v>
      </c>
      <c r="E3852" s="664" t="s">
        <v>831</v>
      </c>
      <c r="F3852" s="665"/>
      <c r="G3852" s="663">
        <v>17</v>
      </c>
      <c r="H3852" s="662" t="s">
        <v>807</v>
      </c>
      <c r="I3852" s="666" t="s">
        <v>859</v>
      </c>
      <c r="J3852" s="667" t="s">
        <v>805</v>
      </c>
      <c r="K3852" s="662">
        <v>7</v>
      </c>
      <c r="L3852" s="685">
        <f t="shared" si="117"/>
        <v>15.98</v>
      </c>
      <c r="M3852" s="686">
        <f t="shared" si="116"/>
        <v>111.86</v>
      </c>
      <c r="O3852" s="693"/>
    </row>
    <row r="3853" spans="2:15" s="645" customFormat="1" ht="21.75" customHeight="1">
      <c r="B3853" s="661">
        <v>44475</v>
      </c>
      <c r="C3853" s="662" t="s">
        <v>819</v>
      </c>
      <c r="D3853" s="663" t="s">
        <v>845</v>
      </c>
      <c r="E3853" s="664" t="s">
        <v>831</v>
      </c>
      <c r="F3853" s="665"/>
      <c r="G3853" s="663">
        <v>17</v>
      </c>
      <c r="H3853" s="662" t="s">
        <v>807</v>
      </c>
      <c r="I3853" s="666" t="s">
        <v>859</v>
      </c>
      <c r="J3853" s="667" t="s">
        <v>804</v>
      </c>
      <c r="K3853" s="662">
        <v>1</v>
      </c>
      <c r="L3853" s="685">
        <f t="shared" si="117"/>
        <v>15.98</v>
      </c>
      <c r="M3853" s="686">
        <f t="shared" si="116"/>
        <v>15.98</v>
      </c>
      <c r="O3853" s="693"/>
    </row>
    <row r="3854" spans="2:15" s="645" customFormat="1" ht="21.75" customHeight="1">
      <c r="B3854" s="661">
        <v>44475</v>
      </c>
      <c r="C3854" s="662" t="s">
        <v>819</v>
      </c>
      <c r="D3854" s="663" t="s">
        <v>847</v>
      </c>
      <c r="E3854" s="664" t="s">
        <v>831</v>
      </c>
      <c r="F3854" s="665"/>
      <c r="G3854" s="663">
        <v>17</v>
      </c>
      <c r="H3854" s="662" t="s">
        <v>807</v>
      </c>
      <c r="I3854" s="666" t="s">
        <v>859</v>
      </c>
      <c r="J3854" s="667" t="s">
        <v>805</v>
      </c>
      <c r="K3854" s="662">
        <v>4</v>
      </c>
      <c r="L3854" s="685">
        <f t="shared" si="117"/>
        <v>15.98</v>
      </c>
      <c r="M3854" s="686">
        <f t="shared" si="116"/>
        <v>63.92</v>
      </c>
      <c r="O3854" s="693"/>
    </row>
    <row r="3855" spans="2:15" s="645" customFormat="1" ht="21.75" customHeight="1">
      <c r="B3855" s="661">
        <v>44475</v>
      </c>
      <c r="C3855" s="662" t="s">
        <v>819</v>
      </c>
      <c r="D3855" s="663" t="s">
        <v>856</v>
      </c>
      <c r="E3855" s="664" t="s">
        <v>831</v>
      </c>
      <c r="F3855" s="665"/>
      <c r="G3855" s="663">
        <v>20</v>
      </c>
      <c r="H3855" s="662" t="s">
        <v>807</v>
      </c>
      <c r="I3855" s="666" t="s">
        <v>859</v>
      </c>
      <c r="J3855" s="667" t="s">
        <v>805</v>
      </c>
      <c r="K3855" s="662">
        <v>3</v>
      </c>
      <c r="L3855" s="685">
        <f t="shared" si="117"/>
        <v>18.8</v>
      </c>
      <c r="M3855" s="686">
        <f t="shared" si="116"/>
        <v>56.400000000000006</v>
      </c>
      <c r="O3855" s="693"/>
    </row>
    <row r="3856" spans="2:15" s="645" customFormat="1" ht="21.75" customHeight="1">
      <c r="B3856" s="661">
        <v>44475</v>
      </c>
      <c r="C3856" s="662" t="s">
        <v>819</v>
      </c>
      <c r="D3856" s="663" t="s">
        <v>878</v>
      </c>
      <c r="E3856" s="664" t="s">
        <v>831</v>
      </c>
      <c r="F3856" s="665"/>
      <c r="G3856" s="663">
        <v>15</v>
      </c>
      <c r="H3856" s="662" t="s">
        <v>807</v>
      </c>
      <c r="I3856" s="666" t="s">
        <v>859</v>
      </c>
      <c r="J3856" s="667" t="s">
        <v>805</v>
      </c>
      <c r="K3856" s="662">
        <v>6</v>
      </c>
      <c r="L3856" s="685">
        <f t="shared" si="117"/>
        <v>14.1</v>
      </c>
      <c r="M3856" s="686">
        <f t="shared" si="116"/>
        <v>84.6</v>
      </c>
      <c r="O3856" s="693"/>
    </row>
    <row r="3857" spans="2:15" s="645" customFormat="1" ht="21.75" customHeight="1">
      <c r="B3857" s="661">
        <v>44475</v>
      </c>
      <c r="C3857" s="662" t="s">
        <v>819</v>
      </c>
      <c r="D3857" s="663" t="s">
        <v>855</v>
      </c>
      <c r="E3857" s="664" t="s">
        <v>831</v>
      </c>
      <c r="F3857" s="665"/>
      <c r="G3857" s="663">
        <v>20</v>
      </c>
      <c r="H3857" s="662" t="s">
        <v>807</v>
      </c>
      <c r="I3857" s="666" t="s">
        <v>859</v>
      </c>
      <c r="J3857" s="667" t="s">
        <v>805</v>
      </c>
      <c r="K3857" s="662">
        <v>5</v>
      </c>
      <c r="L3857" s="685">
        <f t="shared" si="117"/>
        <v>18.8</v>
      </c>
      <c r="M3857" s="686">
        <f t="shared" si="116"/>
        <v>94</v>
      </c>
      <c r="O3857" s="693"/>
    </row>
    <row r="3858" spans="2:15" s="645" customFormat="1" ht="21.75" customHeight="1">
      <c r="B3858" s="661">
        <v>44475</v>
      </c>
      <c r="C3858" s="662" t="s">
        <v>819</v>
      </c>
      <c r="D3858" s="663" t="s">
        <v>855</v>
      </c>
      <c r="E3858" s="664" t="s">
        <v>831</v>
      </c>
      <c r="F3858" s="665"/>
      <c r="G3858" s="663">
        <v>20</v>
      </c>
      <c r="H3858" s="662" t="s">
        <v>807</v>
      </c>
      <c r="I3858" s="666" t="s">
        <v>859</v>
      </c>
      <c r="J3858" s="667" t="s">
        <v>804</v>
      </c>
      <c r="K3858" s="662">
        <v>1</v>
      </c>
      <c r="L3858" s="685">
        <f t="shared" si="117"/>
        <v>18.8</v>
      </c>
      <c r="M3858" s="686">
        <f t="shared" si="116"/>
        <v>18.8</v>
      </c>
      <c r="O3858" s="693"/>
    </row>
    <row r="3859" spans="2:15" s="645" customFormat="1" ht="21.75" customHeight="1">
      <c r="B3859" s="661">
        <v>44475</v>
      </c>
      <c r="C3859" s="662" t="s">
        <v>819</v>
      </c>
      <c r="D3859" s="663" t="s">
        <v>875</v>
      </c>
      <c r="E3859" s="664" t="s">
        <v>831</v>
      </c>
      <c r="F3859" s="665"/>
      <c r="G3859" s="663">
        <v>20</v>
      </c>
      <c r="H3859" s="662" t="s">
        <v>807</v>
      </c>
      <c r="I3859" s="666" t="s">
        <v>859</v>
      </c>
      <c r="J3859" s="667" t="s">
        <v>805</v>
      </c>
      <c r="K3859" s="662">
        <v>5</v>
      </c>
      <c r="L3859" s="685">
        <f t="shared" si="117"/>
        <v>18.8</v>
      </c>
      <c r="M3859" s="686">
        <f t="shared" si="116"/>
        <v>94</v>
      </c>
      <c r="O3859" s="693"/>
    </row>
    <row r="3860" spans="2:15" s="645" customFormat="1" ht="21.75" customHeight="1">
      <c r="B3860" s="661">
        <v>44475</v>
      </c>
      <c r="C3860" s="662" t="s">
        <v>819</v>
      </c>
      <c r="D3860" s="663" t="s">
        <v>876</v>
      </c>
      <c r="E3860" s="664" t="s">
        <v>831</v>
      </c>
      <c r="F3860" s="665"/>
      <c r="G3860" s="663">
        <v>20</v>
      </c>
      <c r="H3860" s="662" t="s">
        <v>807</v>
      </c>
      <c r="I3860" s="666" t="s">
        <v>859</v>
      </c>
      <c r="J3860" s="667" t="s">
        <v>805</v>
      </c>
      <c r="K3860" s="662">
        <v>4</v>
      </c>
      <c r="L3860" s="685">
        <f t="shared" si="117"/>
        <v>18.8</v>
      </c>
      <c r="M3860" s="686">
        <f t="shared" si="116"/>
        <v>75.2</v>
      </c>
      <c r="O3860" s="693"/>
    </row>
    <row r="3861" spans="2:15" s="645" customFormat="1" ht="21.75" customHeight="1">
      <c r="B3861" s="661">
        <v>44475</v>
      </c>
      <c r="C3861" s="662" t="s">
        <v>819</v>
      </c>
      <c r="D3861" s="663" t="s">
        <v>868</v>
      </c>
      <c r="E3861" s="664" t="s">
        <v>831</v>
      </c>
      <c r="F3861" s="665"/>
      <c r="G3861" s="663">
        <v>20</v>
      </c>
      <c r="H3861" s="662" t="s">
        <v>807</v>
      </c>
      <c r="I3861" s="666" t="s">
        <v>859</v>
      </c>
      <c r="J3861" s="667" t="s">
        <v>805</v>
      </c>
      <c r="K3861" s="662">
        <v>2</v>
      </c>
      <c r="L3861" s="685">
        <f t="shared" si="117"/>
        <v>18.8</v>
      </c>
      <c r="M3861" s="686">
        <f t="shared" si="116"/>
        <v>37.6</v>
      </c>
      <c r="O3861" s="693"/>
    </row>
    <row r="3862" spans="2:15" s="645" customFormat="1" ht="21.75" customHeight="1">
      <c r="B3862" s="661">
        <v>44475</v>
      </c>
      <c r="C3862" s="662" t="s">
        <v>819</v>
      </c>
      <c r="D3862" s="663" t="s">
        <v>877</v>
      </c>
      <c r="E3862" s="664" t="s">
        <v>831</v>
      </c>
      <c r="F3862" s="665"/>
      <c r="G3862" s="663">
        <v>20</v>
      </c>
      <c r="H3862" s="662" t="s">
        <v>807</v>
      </c>
      <c r="I3862" s="666" t="s">
        <v>804</v>
      </c>
      <c r="J3862" s="667" t="s">
        <v>804</v>
      </c>
      <c r="K3862" s="662">
        <v>5</v>
      </c>
      <c r="L3862" s="685">
        <f t="shared" si="117"/>
        <v>18.8</v>
      </c>
      <c r="M3862" s="686">
        <f t="shared" si="116"/>
        <v>94</v>
      </c>
      <c r="O3862" s="693"/>
    </row>
    <row r="3863" spans="2:15" s="645" customFormat="1" ht="21.75" customHeight="1">
      <c r="B3863" s="661">
        <v>44475</v>
      </c>
      <c r="C3863" s="662" t="s">
        <v>819</v>
      </c>
      <c r="D3863" s="663" t="s">
        <v>870</v>
      </c>
      <c r="E3863" s="664" t="s">
        <v>831</v>
      </c>
      <c r="F3863" s="665"/>
      <c r="G3863" s="663">
        <v>20</v>
      </c>
      <c r="H3863" s="662" t="s">
        <v>807</v>
      </c>
      <c r="I3863" s="666" t="s">
        <v>859</v>
      </c>
      <c r="J3863" s="667" t="s">
        <v>804</v>
      </c>
      <c r="K3863" s="662">
        <v>1</v>
      </c>
      <c r="L3863" s="685">
        <f t="shared" si="117"/>
        <v>18.8</v>
      </c>
      <c r="M3863" s="686">
        <f t="shared" si="116"/>
        <v>18.8</v>
      </c>
      <c r="O3863" s="693"/>
    </row>
    <row r="3864" spans="2:15" s="645" customFormat="1" ht="21.75" customHeight="1">
      <c r="B3864" s="661">
        <v>44475</v>
      </c>
      <c r="C3864" s="662" t="s">
        <v>819</v>
      </c>
      <c r="D3864" s="663" t="s">
        <v>870</v>
      </c>
      <c r="E3864" s="664" t="s">
        <v>831</v>
      </c>
      <c r="F3864" s="665"/>
      <c r="G3864" s="663">
        <v>20</v>
      </c>
      <c r="H3864" s="662" t="s">
        <v>807</v>
      </c>
      <c r="I3864" s="666" t="s">
        <v>859</v>
      </c>
      <c r="J3864" s="667" t="s">
        <v>805</v>
      </c>
      <c r="K3864" s="662">
        <v>4</v>
      </c>
      <c r="L3864" s="685">
        <f t="shared" si="117"/>
        <v>18.8</v>
      </c>
      <c r="M3864" s="686">
        <f t="shared" si="116"/>
        <v>75.2</v>
      </c>
      <c r="O3864" s="693"/>
    </row>
    <row r="3865" spans="2:15" s="645" customFormat="1" ht="21.75" customHeight="1">
      <c r="B3865" s="661">
        <v>44475</v>
      </c>
      <c r="C3865" s="662" t="s">
        <v>819</v>
      </c>
      <c r="D3865" s="663" t="s">
        <v>873</v>
      </c>
      <c r="E3865" s="664" t="s">
        <v>831</v>
      </c>
      <c r="F3865" s="665"/>
      <c r="G3865" s="663">
        <v>17</v>
      </c>
      <c r="H3865" s="662" t="s">
        <v>807</v>
      </c>
      <c r="I3865" s="666" t="s">
        <v>859</v>
      </c>
      <c r="J3865" s="667" t="s">
        <v>805</v>
      </c>
      <c r="K3865" s="662">
        <v>1</v>
      </c>
      <c r="L3865" s="685">
        <f t="shared" si="117"/>
        <v>15.98</v>
      </c>
      <c r="M3865" s="686">
        <f t="shared" si="116"/>
        <v>15.98</v>
      </c>
      <c r="O3865" s="693"/>
    </row>
    <row r="3866" spans="2:15" s="645" customFormat="1" ht="21.75" customHeight="1">
      <c r="B3866" s="661">
        <v>44475</v>
      </c>
      <c r="C3866" s="662" t="s">
        <v>837</v>
      </c>
      <c r="D3866" s="663" t="s">
        <v>849</v>
      </c>
      <c r="E3866" s="664" t="s">
        <v>831</v>
      </c>
      <c r="F3866" s="665"/>
      <c r="G3866" s="663">
        <v>20</v>
      </c>
      <c r="H3866" s="662" t="s">
        <v>807</v>
      </c>
      <c r="I3866" s="666" t="s">
        <v>859</v>
      </c>
      <c r="J3866" s="667" t="s">
        <v>805</v>
      </c>
      <c r="K3866" s="662">
        <v>9</v>
      </c>
      <c r="L3866" s="685">
        <f t="shared" si="117"/>
        <v>18.8</v>
      </c>
      <c r="M3866" s="686">
        <f t="shared" si="116"/>
        <v>169.20000000000002</v>
      </c>
      <c r="O3866" s="693"/>
    </row>
    <row r="3867" spans="2:15" s="645" customFormat="1" ht="21.75" customHeight="1">
      <c r="B3867" s="661">
        <v>44475</v>
      </c>
      <c r="C3867" s="662" t="s">
        <v>837</v>
      </c>
      <c r="D3867" s="663" t="s">
        <v>835</v>
      </c>
      <c r="E3867" s="664" t="s">
        <v>831</v>
      </c>
      <c r="F3867" s="665"/>
      <c r="G3867" s="663">
        <v>20</v>
      </c>
      <c r="H3867" s="662" t="s">
        <v>807</v>
      </c>
      <c r="I3867" s="666" t="s">
        <v>859</v>
      </c>
      <c r="J3867" s="667" t="s">
        <v>805</v>
      </c>
      <c r="K3867" s="662">
        <v>4</v>
      </c>
      <c r="L3867" s="685">
        <f t="shared" si="117"/>
        <v>18.8</v>
      </c>
      <c r="M3867" s="686">
        <f t="shared" si="116"/>
        <v>75.2</v>
      </c>
      <c r="O3867" s="693"/>
    </row>
    <row r="3868" spans="2:15" s="645" customFormat="1" ht="21.75" customHeight="1">
      <c r="B3868" s="661">
        <v>44475</v>
      </c>
      <c r="C3868" s="662" t="s">
        <v>837</v>
      </c>
      <c r="D3868" s="663" t="s">
        <v>841</v>
      </c>
      <c r="E3868" s="664" t="s">
        <v>831</v>
      </c>
      <c r="F3868" s="665"/>
      <c r="G3868" s="663">
        <v>20</v>
      </c>
      <c r="H3868" s="662" t="s">
        <v>807</v>
      </c>
      <c r="I3868" s="666" t="s">
        <v>859</v>
      </c>
      <c r="J3868" s="667" t="s">
        <v>805</v>
      </c>
      <c r="K3868" s="662">
        <v>9</v>
      </c>
      <c r="L3868" s="685">
        <f t="shared" si="117"/>
        <v>18.8</v>
      </c>
      <c r="M3868" s="686">
        <f t="shared" si="116"/>
        <v>169.20000000000002</v>
      </c>
      <c r="O3868" s="693"/>
    </row>
    <row r="3869" spans="2:15" s="645" customFormat="1" ht="21.75" customHeight="1">
      <c r="B3869" s="661">
        <v>44475</v>
      </c>
      <c r="C3869" s="662" t="s">
        <v>837</v>
      </c>
      <c r="D3869" s="663" t="s">
        <v>834</v>
      </c>
      <c r="E3869" s="664" t="s">
        <v>831</v>
      </c>
      <c r="F3869" s="665"/>
      <c r="G3869" s="663">
        <v>20</v>
      </c>
      <c r="H3869" s="662" t="s">
        <v>807</v>
      </c>
      <c r="I3869" s="666" t="s">
        <v>859</v>
      </c>
      <c r="J3869" s="667" t="s">
        <v>805</v>
      </c>
      <c r="K3869" s="662">
        <v>9</v>
      </c>
      <c r="L3869" s="685">
        <f t="shared" si="117"/>
        <v>18.8</v>
      </c>
      <c r="M3869" s="686">
        <f t="shared" si="116"/>
        <v>169.20000000000002</v>
      </c>
      <c r="O3869" s="693"/>
    </row>
    <row r="3870" spans="2:15" s="645" customFormat="1" ht="21.75" customHeight="1">
      <c r="B3870" s="661">
        <v>44475</v>
      </c>
      <c r="C3870" s="662" t="s">
        <v>837</v>
      </c>
      <c r="D3870" s="663" t="s">
        <v>848</v>
      </c>
      <c r="E3870" s="664" t="s">
        <v>831</v>
      </c>
      <c r="F3870" s="665"/>
      <c r="G3870" s="663">
        <v>20</v>
      </c>
      <c r="H3870" s="662" t="s">
        <v>807</v>
      </c>
      <c r="I3870" s="666" t="s">
        <v>859</v>
      </c>
      <c r="J3870" s="667" t="s">
        <v>805</v>
      </c>
      <c r="K3870" s="662">
        <v>6</v>
      </c>
      <c r="L3870" s="685">
        <f t="shared" si="117"/>
        <v>18.8</v>
      </c>
      <c r="M3870" s="686">
        <f t="shared" si="116"/>
        <v>112.80000000000001</v>
      </c>
      <c r="O3870" s="693"/>
    </row>
    <row r="3871" spans="2:15" s="645" customFormat="1" ht="21.75" customHeight="1">
      <c r="B3871" s="661">
        <v>44475</v>
      </c>
      <c r="C3871" s="662" t="s">
        <v>837</v>
      </c>
      <c r="D3871" s="663" t="s">
        <v>833</v>
      </c>
      <c r="E3871" s="664" t="s">
        <v>831</v>
      </c>
      <c r="F3871" s="665"/>
      <c r="G3871" s="663">
        <v>15</v>
      </c>
      <c r="H3871" s="662" t="s">
        <v>807</v>
      </c>
      <c r="I3871" s="666" t="s">
        <v>859</v>
      </c>
      <c r="J3871" s="667" t="s">
        <v>805</v>
      </c>
      <c r="K3871" s="662">
        <v>5</v>
      </c>
      <c r="L3871" s="685">
        <f t="shared" si="117"/>
        <v>14.1</v>
      </c>
      <c r="M3871" s="686">
        <f t="shared" si="116"/>
        <v>70.5</v>
      </c>
      <c r="O3871" s="693"/>
    </row>
    <row r="3872" spans="2:15" s="645" customFormat="1" ht="21.75" customHeight="1">
      <c r="B3872" s="661">
        <v>44475</v>
      </c>
      <c r="C3872" s="662" t="s">
        <v>837</v>
      </c>
      <c r="D3872" s="663" t="s">
        <v>845</v>
      </c>
      <c r="E3872" s="664" t="s">
        <v>831</v>
      </c>
      <c r="F3872" s="665"/>
      <c r="G3872" s="663">
        <v>17</v>
      </c>
      <c r="H3872" s="662" t="s">
        <v>807</v>
      </c>
      <c r="I3872" s="666" t="s">
        <v>859</v>
      </c>
      <c r="J3872" s="667" t="s">
        <v>805</v>
      </c>
      <c r="K3872" s="662">
        <v>6</v>
      </c>
      <c r="L3872" s="685">
        <f t="shared" si="117"/>
        <v>15.98</v>
      </c>
      <c r="M3872" s="686">
        <f t="shared" si="116"/>
        <v>95.88</v>
      </c>
      <c r="O3872" s="693"/>
    </row>
    <row r="3873" spans="2:15" s="645" customFormat="1" ht="21.75" customHeight="1">
      <c r="B3873" s="661">
        <v>44475</v>
      </c>
      <c r="C3873" s="662" t="s">
        <v>837</v>
      </c>
      <c r="D3873" s="663" t="s">
        <v>856</v>
      </c>
      <c r="E3873" s="664" t="s">
        <v>831</v>
      </c>
      <c r="F3873" s="665"/>
      <c r="G3873" s="663">
        <v>20</v>
      </c>
      <c r="H3873" s="662" t="s">
        <v>807</v>
      </c>
      <c r="I3873" s="666" t="s">
        <v>859</v>
      </c>
      <c r="J3873" s="667" t="s">
        <v>805</v>
      </c>
      <c r="K3873" s="662">
        <v>8</v>
      </c>
      <c r="L3873" s="685">
        <f t="shared" si="117"/>
        <v>18.8</v>
      </c>
      <c r="M3873" s="686">
        <f t="shared" si="116"/>
        <v>150.4</v>
      </c>
      <c r="O3873" s="693"/>
    </row>
    <row r="3874" spans="2:15" s="645" customFormat="1" ht="21.75" customHeight="1">
      <c r="B3874" s="661">
        <v>44475</v>
      </c>
      <c r="C3874" s="662" t="s">
        <v>837</v>
      </c>
      <c r="D3874" s="663" t="s">
        <v>878</v>
      </c>
      <c r="E3874" s="664" t="s">
        <v>831</v>
      </c>
      <c r="F3874" s="665"/>
      <c r="G3874" s="663">
        <v>15</v>
      </c>
      <c r="H3874" s="662" t="s">
        <v>807</v>
      </c>
      <c r="I3874" s="666" t="s">
        <v>859</v>
      </c>
      <c r="J3874" s="667" t="s">
        <v>805</v>
      </c>
      <c r="K3874" s="662">
        <v>7</v>
      </c>
      <c r="L3874" s="685">
        <f t="shared" si="117"/>
        <v>14.1</v>
      </c>
      <c r="M3874" s="686">
        <f t="shared" si="116"/>
        <v>98.7</v>
      </c>
      <c r="O3874" s="693"/>
    </row>
    <row r="3875" spans="2:15" s="645" customFormat="1" ht="21.75" customHeight="1">
      <c r="B3875" s="661">
        <v>44475</v>
      </c>
      <c r="C3875" s="662" t="s">
        <v>837</v>
      </c>
      <c r="D3875" s="663" t="s">
        <v>855</v>
      </c>
      <c r="E3875" s="664" t="s">
        <v>831</v>
      </c>
      <c r="F3875" s="665"/>
      <c r="G3875" s="663">
        <v>20</v>
      </c>
      <c r="H3875" s="662" t="s">
        <v>807</v>
      </c>
      <c r="I3875" s="666" t="s">
        <v>859</v>
      </c>
      <c r="J3875" s="667" t="s">
        <v>805</v>
      </c>
      <c r="K3875" s="662">
        <v>8</v>
      </c>
      <c r="L3875" s="685">
        <f t="shared" si="117"/>
        <v>18.8</v>
      </c>
      <c r="M3875" s="686">
        <f t="shared" si="116"/>
        <v>150.4</v>
      </c>
      <c r="O3875" s="693"/>
    </row>
    <row r="3876" spans="2:15" s="645" customFormat="1" ht="21.75" customHeight="1">
      <c r="B3876" s="661">
        <v>44475</v>
      </c>
      <c r="C3876" s="662" t="s">
        <v>837</v>
      </c>
      <c r="D3876" s="663" t="s">
        <v>875</v>
      </c>
      <c r="E3876" s="664" t="s">
        <v>831</v>
      </c>
      <c r="F3876" s="665"/>
      <c r="G3876" s="663">
        <v>20</v>
      </c>
      <c r="H3876" s="662" t="s">
        <v>807</v>
      </c>
      <c r="I3876" s="666" t="s">
        <v>859</v>
      </c>
      <c r="J3876" s="667" t="s">
        <v>805</v>
      </c>
      <c r="K3876" s="662">
        <v>10</v>
      </c>
      <c r="L3876" s="685">
        <f t="shared" si="117"/>
        <v>18.8</v>
      </c>
      <c r="M3876" s="686">
        <f t="shared" si="116"/>
        <v>188</v>
      </c>
      <c r="O3876" s="693"/>
    </row>
    <row r="3877" spans="2:15" s="645" customFormat="1" ht="21.75" customHeight="1">
      <c r="B3877" s="661">
        <v>44475</v>
      </c>
      <c r="C3877" s="662" t="s">
        <v>837</v>
      </c>
      <c r="D3877" s="663" t="s">
        <v>868</v>
      </c>
      <c r="E3877" s="664" t="s">
        <v>831</v>
      </c>
      <c r="F3877" s="665"/>
      <c r="G3877" s="663">
        <v>20</v>
      </c>
      <c r="H3877" s="662" t="s">
        <v>807</v>
      </c>
      <c r="I3877" s="666" t="s">
        <v>859</v>
      </c>
      <c r="J3877" s="667" t="s">
        <v>805</v>
      </c>
      <c r="K3877" s="662">
        <v>12</v>
      </c>
      <c r="L3877" s="685">
        <f t="shared" si="117"/>
        <v>18.8</v>
      </c>
      <c r="M3877" s="686">
        <f t="shared" si="116"/>
        <v>225.60000000000002</v>
      </c>
      <c r="O3877" s="693"/>
    </row>
    <row r="3878" spans="2:15" s="645" customFormat="1" ht="21.75" customHeight="1">
      <c r="B3878" s="661">
        <v>44475</v>
      </c>
      <c r="C3878" s="662" t="s">
        <v>837</v>
      </c>
      <c r="D3878" s="663" t="s">
        <v>870</v>
      </c>
      <c r="E3878" s="664" t="s">
        <v>831</v>
      </c>
      <c r="F3878" s="665"/>
      <c r="G3878" s="663">
        <v>20</v>
      </c>
      <c r="H3878" s="662" t="s">
        <v>807</v>
      </c>
      <c r="I3878" s="666" t="s">
        <v>859</v>
      </c>
      <c r="J3878" s="667" t="s">
        <v>805</v>
      </c>
      <c r="K3878" s="662">
        <v>10</v>
      </c>
      <c r="L3878" s="685">
        <f t="shared" si="117"/>
        <v>18.8</v>
      </c>
      <c r="M3878" s="686">
        <f t="shared" si="116"/>
        <v>188</v>
      </c>
      <c r="O3878" s="693"/>
    </row>
    <row r="3879" spans="2:15" s="645" customFormat="1" ht="21.75" customHeight="1">
      <c r="B3879" s="708">
        <v>44475</v>
      </c>
      <c r="C3879" s="709" t="s">
        <v>819</v>
      </c>
      <c r="D3879" s="710" t="s">
        <v>849</v>
      </c>
      <c r="E3879" s="711" t="s">
        <v>831</v>
      </c>
      <c r="F3879" s="712"/>
      <c r="G3879" s="710">
        <v>20</v>
      </c>
      <c r="H3879" s="709" t="s">
        <v>807</v>
      </c>
      <c r="I3879" s="713" t="s">
        <v>859</v>
      </c>
      <c r="J3879" s="714" t="s">
        <v>802</v>
      </c>
      <c r="K3879" s="709">
        <v>2</v>
      </c>
      <c r="L3879" s="715">
        <f t="shared" si="117"/>
        <v>18.8</v>
      </c>
      <c r="M3879" s="716">
        <f t="shared" ref="M3879:M3942" si="118">L3879*K3879</f>
        <v>37.6</v>
      </c>
      <c r="O3879" s="693"/>
    </row>
    <row r="3880" spans="2:15" s="645" customFormat="1" ht="21.75" customHeight="1">
      <c r="B3880" s="708">
        <v>44475</v>
      </c>
      <c r="C3880" s="709" t="s">
        <v>819</v>
      </c>
      <c r="D3880" s="710" t="s">
        <v>849</v>
      </c>
      <c r="E3880" s="711" t="s">
        <v>831</v>
      </c>
      <c r="F3880" s="712"/>
      <c r="G3880" s="710">
        <v>20</v>
      </c>
      <c r="H3880" s="709" t="s">
        <v>807</v>
      </c>
      <c r="I3880" s="713" t="s">
        <v>859</v>
      </c>
      <c r="J3880" s="714" t="s">
        <v>802</v>
      </c>
      <c r="K3880" s="709">
        <v>8</v>
      </c>
      <c r="L3880" s="715">
        <f t="shared" si="117"/>
        <v>18.8</v>
      </c>
      <c r="M3880" s="716">
        <f t="shared" si="118"/>
        <v>150.4</v>
      </c>
      <c r="O3880" s="693"/>
    </row>
    <row r="3881" spans="2:15" s="645" customFormat="1" ht="21.75" customHeight="1">
      <c r="B3881" s="708">
        <v>44475</v>
      </c>
      <c r="C3881" s="709" t="s">
        <v>819</v>
      </c>
      <c r="D3881" s="710" t="s">
        <v>840</v>
      </c>
      <c r="E3881" s="711" t="s">
        <v>831</v>
      </c>
      <c r="F3881" s="712"/>
      <c r="G3881" s="710">
        <v>20</v>
      </c>
      <c r="H3881" s="709" t="s">
        <v>807</v>
      </c>
      <c r="I3881" s="713" t="s">
        <v>859</v>
      </c>
      <c r="J3881" s="714" t="s">
        <v>802</v>
      </c>
      <c r="K3881" s="709">
        <v>4</v>
      </c>
      <c r="L3881" s="715">
        <f t="shared" si="117"/>
        <v>18.8</v>
      </c>
      <c r="M3881" s="716">
        <f t="shared" si="118"/>
        <v>75.2</v>
      </c>
      <c r="O3881" s="693"/>
    </row>
    <row r="3882" spans="2:15" s="645" customFormat="1" ht="21.75" customHeight="1">
      <c r="B3882" s="708">
        <v>44475</v>
      </c>
      <c r="C3882" s="709" t="s">
        <v>819</v>
      </c>
      <c r="D3882" s="710" t="s">
        <v>835</v>
      </c>
      <c r="E3882" s="711" t="s">
        <v>831</v>
      </c>
      <c r="F3882" s="712"/>
      <c r="G3882" s="710">
        <v>20</v>
      </c>
      <c r="H3882" s="709" t="s">
        <v>807</v>
      </c>
      <c r="I3882" s="713" t="s">
        <v>859</v>
      </c>
      <c r="J3882" s="714" t="s">
        <v>802</v>
      </c>
      <c r="K3882" s="709">
        <v>4</v>
      </c>
      <c r="L3882" s="715">
        <f t="shared" si="117"/>
        <v>18.8</v>
      </c>
      <c r="M3882" s="716">
        <f t="shared" si="118"/>
        <v>75.2</v>
      </c>
      <c r="O3882" s="693"/>
    </row>
    <row r="3883" spans="2:15" s="645" customFormat="1" ht="21.75" customHeight="1">
      <c r="B3883" s="708">
        <v>44475</v>
      </c>
      <c r="C3883" s="709" t="s">
        <v>819</v>
      </c>
      <c r="D3883" s="710" t="s">
        <v>834</v>
      </c>
      <c r="E3883" s="711" t="s">
        <v>831</v>
      </c>
      <c r="F3883" s="712"/>
      <c r="G3883" s="710">
        <v>20</v>
      </c>
      <c r="H3883" s="709" t="s">
        <v>807</v>
      </c>
      <c r="I3883" s="713" t="s">
        <v>859</v>
      </c>
      <c r="J3883" s="714" t="s">
        <v>802</v>
      </c>
      <c r="K3883" s="709">
        <v>7</v>
      </c>
      <c r="L3883" s="715">
        <f t="shared" si="117"/>
        <v>18.8</v>
      </c>
      <c r="M3883" s="716">
        <f t="shared" si="118"/>
        <v>131.6</v>
      </c>
      <c r="O3883" s="693"/>
    </row>
    <row r="3884" spans="2:15" s="645" customFormat="1" ht="21.75" customHeight="1">
      <c r="B3884" s="708">
        <v>44475</v>
      </c>
      <c r="C3884" s="709" t="s">
        <v>819</v>
      </c>
      <c r="D3884" s="710" t="s">
        <v>848</v>
      </c>
      <c r="E3884" s="711" t="s">
        <v>831</v>
      </c>
      <c r="F3884" s="712"/>
      <c r="G3884" s="710">
        <v>20</v>
      </c>
      <c r="H3884" s="709" t="s">
        <v>807</v>
      </c>
      <c r="I3884" s="713" t="s">
        <v>859</v>
      </c>
      <c r="J3884" s="714" t="s">
        <v>802</v>
      </c>
      <c r="K3884" s="709">
        <v>2</v>
      </c>
      <c r="L3884" s="715">
        <f t="shared" si="117"/>
        <v>18.8</v>
      </c>
      <c r="M3884" s="716">
        <f t="shared" si="118"/>
        <v>37.6</v>
      </c>
      <c r="O3884" s="693"/>
    </row>
    <row r="3885" spans="2:15" s="645" customFormat="1" ht="21.75" customHeight="1">
      <c r="B3885" s="708">
        <v>44475</v>
      </c>
      <c r="C3885" s="709" t="s">
        <v>819</v>
      </c>
      <c r="D3885" s="710" t="s">
        <v>833</v>
      </c>
      <c r="E3885" s="711" t="s">
        <v>831</v>
      </c>
      <c r="F3885" s="712"/>
      <c r="G3885" s="710">
        <v>15</v>
      </c>
      <c r="H3885" s="709" t="s">
        <v>807</v>
      </c>
      <c r="I3885" s="713" t="s">
        <v>859</v>
      </c>
      <c r="J3885" s="714" t="s">
        <v>802</v>
      </c>
      <c r="K3885" s="709">
        <v>3</v>
      </c>
      <c r="L3885" s="715">
        <f t="shared" si="117"/>
        <v>14.1</v>
      </c>
      <c r="M3885" s="716">
        <f t="shared" si="118"/>
        <v>42.3</v>
      </c>
      <c r="O3885" s="693"/>
    </row>
    <row r="3886" spans="2:15" s="645" customFormat="1" ht="21.75" customHeight="1">
      <c r="B3886" s="708">
        <v>44475</v>
      </c>
      <c r="C3886" s="709" t="s">
        <v>819</v>
      </c>
      <c r="D3886" s="710" t="s">
        <v>830</v>
      </c>
      <c r="E3886" s="711" t="s">
        <v>831</v>
      </c>
      <c r="F3886" s="712"/>
      <c r="G3886" s="710">
        <v>15</v>
      </c>
      <c r="H3886" s="709" t="s">
        <v>807</v>
      </c>
      <c r="I3886" s="713" t="s">
        <v>859</v>
      </c>
      <c r="J3886" s="714" t="s">
        <v>802</v>
      </c>
      <c r="K3886" s="709">
        <v>4</v>
      </c>
      <c r="L3886" s="715">
        <f t="shared" si="117"/>
        <v>14.1</v>
      </c>
      <c r="M3886" s="716">
        <f t="shared" si="118"/>
        <v>56.4</v>
      </c>
      <c r="O3886" s="693"/>
    </row>
    <row r="3887" spans="2:15" s="645" customFormat="1" ht="21.75" customHeight="1">
      <c r="B3887" s="708">
        <v>44475</v>
      </c>
      <c r="C3887" s="709" t="s">
        <v>819</v>
      </c>
      <c r="D3887" s="710" t="s">
        <v>839</v>
      </c>
      <c r="E3887" s="711" t="s">
        <v>831</v>
      </c>
      <c r="F3887" s="712"/>
      <c r="G3887" s="710">
        <v>15</v>
      </c>
      <c r="H3887" s="709" t="s">
        <v>807</v>
      </c>
      <c r="I3887" s="713" t="s">
        <v>859</v>
      </c>
      <c r="J3887" s="714" t="s">
        <v>802</v>
      </c>
      <c r="K3887" s="709">
        <v>2</v>
      </c>
      <c r="L3887" s="715">
        <f t="shared" si="117"/>
        <v>14.1</v>
      </c>
      <c r="M3887" s="716">
        <f t="shared" si="118"/>
        <v>28.2</v>
      </c>
      <c r="O3887" s="693"/>
    </row>
    <row r="3888" spans="2:15" s="645" customFormat="1" ht="21.75" customHeight="1">
      <c r="B3888" s="708">
        <v>44475</v>
      </c>
      <c r="C3888" s="709" t="s">
        <v>819</v>
      </c>
      <c r="D3888" s="710" t="s">
        <v>845</v>
      </c>
      <c r="E3888" s="711" t="s">
        <v>831</v>
      </c>
      <c r="F3888" s="712"/>
      <c r="G3888" s="710">
        <v>17</v>
      </c>
      <c r="H3888" s="709" t="s">
        <v>807</v>
      </c>
      <c r="I3888" s="713" t="s">
        <v>859</v>
      </c>
      <c r="J3888" s="714" t="s">
        <v>802</v>
      </c>
      <c r="K3888" s="709">
        <v>2</v>
      </c>
      <c r="L3888" s="715">
        <f t="shared" si="117"/>
        <v>15.98</v>
      </c>
      <c r="M3888" s="716">
        <f t="shared" si="118"/>
        <v>31.96</v>
      </c>
      <c r="O3888" s="693"/>
    </row>
    <row r="3889" spans="2:15" s="645" customFormat="1" ht="21.75" customHeight="1">
      <c r="B3889" s="708">
        <v>44475</v>
      </c>
      <c r="C3889" s="709" t="s">
        <v>819</v>
      </c>
      <c r="D3889" s="710" t="s">
        <v>847</v>
      </c>
      <c r="E3889" s="711" t="s">
        <v>831</v>
      </c>
      <c r="F3889" s="712"/>
      <c r="G3889" s="710">
        <v>17</v>
      </c>
      <c r="H3889" s="709" t="s">
        <v>807</v>
      </c>
      <c r="I3889" s="713" t="s">
        <v>859</v>
      </c>
      <c r="J3889" s="714" t="s">
        <v>802</v>
      </c>
      <c r="K3889" s="709">
        <v>3</v>
      </c>
      <c r="L3889" s="715">
        <f t="shared" si="117"/>
        <v>15.98</v>
      </c>
      <c r="M3889" s="716">
        <f t="shared" si="118"/>
        <v>47.94</v>
      </c>
      <c r="O3889" s="693"/>
    </row>
    <row r="3890" spans="2:15" s="645" customFormat="1" ht="21.75" customHeight="1">
      <c r="B3890" s="708">
        <v>44475</v>
      </c>
      <c r="C3890" s="709" t="s">
        <v>819</v>
      </c>
      <c r="D3890" s="710" t="s">
        <v>856</v>
      </c>
      <c r="E3890" s="711" t="s">
        <v>831</v>
      </c>
      <c r="F3890" s="712"/>
      <c r="G3890" s="710">
        <v>20</v>
      </c>
      <c r="H3890" s="709" t="s">
        <v>807</v>
      </c>
      <c r="I3890" s="713" t="s">
        <v>859</v>
      </c>
      <c r="J3890" s="714" t="s">
        <v>802</v>
      </c>
      <c r="K3890" s="709">
        <v>5</v>
      </c>
      <c r="L3890" s="715">
        <f t="shared" si="117"/>
        <v>18.8</v>
      </c>
      <c r="M3890" s="716">
        <f t="shared" si="118"/>
        <v>94</v>
      </c>
      <c r="O3890" s="693"/>
    </row>
    <row r="3891" spans="2:15" s="645" customFormat="1" ht="21.75" customHeight="1">
      <c r="B3891" s="708">
        <v>44475</v>
      </c>
      <c r="C3891" s="709" t="s">
        <v>819</v>
      </c>
      <c r="D3891" s="710" t="s">
        <v>878</v>
      </c>
      <c r="E3891" s="711" t="s">
        <v>831</v>
      </c>
      <c r="F3891" s="712"/>
      <c r="G3891" s="710">
        <v>15</v>
      </c>
      <c r="H3891" s="709" t="s">
        <v>807</v>
      </c>
      <c r="I3891" s="713" t="s">
        <v>859</v>
      </c>
      <c r="J3891" s="714" t="s">
        <v>802</v>
      </c>
      <c r="K3891" s="709">
        <v>5</v>
      </c>
      <c r="L3891" s="715">
        <f t="shared" si="117"/>
        <v>14.1</v>
      </c>
      <c r="M3891" s="716">
        <f t="shared" si="118"/>
        <v>70.5</v>
      </c>
      <c r="O3891" s="693"/>
    </row>
    <row r="3892" spans="2:15" s="645" customFormat="1" ht="21.75" customHeight="1">
      <c r="B3892" s="708">
        <v>44475</v>
      </c>
      <c r="C3892" s="709" t="s">
        <v>819</v>
      </c>
      <c r="D3892" s="710" t="s">
        <v>855</v>
      </c>
      <c r="E3892" s="711" t="s">
        <v>831</v>
      </c>
      <c r="F3892" s="712"/>
      <c r="G3892" s="710">
        <v>20</v>
      </c>
      <c r="H3892" s="709" t="s">
        <v>807</v>
      </c>
      <c r="I3892" s="713" t="s">
        <v>859</v>
      </c>
      <c r="J3892" s="714" t="s">
        <v>802</v>
      </c>
      <c r="K3892" s="709">
        <v>3</v>
      </c>
      <c r="L3892" s="715">
        <f t="shared" si="117"/>
        <v>18.8</v>
      </c>
      <c r="M3892" s="716">
        <f t="shared" si="118"/>
        <v>56.400000000000006</v>
      </c>
      <c r="O3892" s="693"/>
    </row>
    <row r="3893" spans="2:15" s="645" customFormat="1" ht="21.75" customHeight="1">
      <c r="B3893" s="708">
        <v>44475</v>
      </c>
      <c r="C3893" s="709" t="s">
        <v>819</v>
      </c>
      <c r="D3893" s="710" t="s">
        <v>875</v>
      </c>
      <c r="E3893" s="711" t="s">
        <v>831</v>
      </c>
      <c r="F3893" s="712"/>
      <c r="G3893" s="710">
        <v>20</v>
      </c>
      <c r="H3893" s="709" t="s">
        <v>807</v>
      </c>
      <c r="I3893" s="713" t="s">
        <v>859</v>
      </c>
      <c r="J3893" s="714" t="s">
        <v>802</v>
      </c>
      <c r="K3893" s="709">
        <v>3</v>
      </c>
      <c r="L3893" s="715">
        <f t="shared" si="117"/>
        <v>18.8</v>
      </c>
      <c r="M3893" s="716">
        <f t="shared" si="118"/>
        <v>56.400000000000006</v>
      </c>
      <c r="O3893" s="693"/>
    </row>
    <row r="3894" spans="2:15" s="645" customFormat="1" ht="21.75" customHeight="1">
      <c r="B3894" s="708">
        <v>44475</v>
      </c>
      <c r="C3894" s="709" t="s">
        <v>819</v>
      </c>
      <c r="D3894" s="710" t="s">
        <v>873</v>
      </c>
      <c r="E3894" s="711" t="s">
        <v>831</v>
      </c>
      <c r="F3894" s="712"/>
      <c r="G3894" s="710">
        <v>17</v>
      </c>
      <c r="H3894" s="709" t="s">
        <v>807</v>
      </c>
      <c r="I3894" s="713" t="s">
        <v>859</v>
      </c>
      <c r="J3894" s="714" t="s">
        <v>802</v>
      </c>
      <c r="K3894" s="709">
        <v>2</v>
      </c>
      <c r="L3894" s="715">
        <f t="shared" si="117"/>
        <v>15.98</v>
      </c>
      <c r="M3894" s="716">
        <f t="shared" si="118"/>
        <v>31.96</v>
      </c>
      <c r="O3894" s="693"/>
    </row>
    <row r="3895" spans="2:15" s="645" customFormat="1" ht="21.75" customHeight="1">
      <c r="B3895" s="708">
        <v>44475</v>
      </c>
      <c r="C3895" s="709" t="s">
        <v>837</v>
      </c>
      <c r="D3895" s="710" t="s">
        <v>849</v>
      </c>
      <c r="E3895" s="711" t="s">
        <v>831</v>
      </c>
      <c r="F3895" s="712"/>
      <c r="G3895" s="710">
        <v>20</v>
      </c>
      <c r="H3895" s="709" t="s">
        <v>886</v>
      </c>
      <c r="I3895" s="713" t="s">
        <v>888</v>
      </c>
      <c r="J3895" s="714" t="s">
        <v>802</v>
      </c>
      <c r="K3895" s="709">
        <v>2</v>
      </c>
      <c r="L3895" s="715">
        <f t="shared" si="117"/>
        <v>18.8</v>
      </c>
      <c r="M3895" s="716">
        <f t="shared" si="118"/>
        <v>37.6</v>
      </c>
      <c r="O3895" s="693"/>
    </row>
    <row r="3896" spans="2:15" s="645" customFormat="1" ht="21.75" customHeight="1">
      <c r="B3896" s="708">
        <v>44475</v>
      </c>
      <c r="C3896" s="709" t="s">
        <v>837</v>
      </c>
      <c r="D3896" s="710" t="s">
        <v>841</v>
      </c>
      <c r="E3896" s="711" t="s">
        <v>831</v>
      </c>
      <c r="F3896" s="712"/>
      <c r="G3896" s="710">
        <v>20</v>
      </c>
      <c r="H3896" s="709" t="s">
        <v>886</v>
      </c>
      <c r="I3896" s="713" t="s">
        <v>888</v>
      </c>
      <c r="J3896" s="714" t="s">
        <v>802</v>
      </c>
      <c r="K3896" s="709">
        <v>2</v>
      </c>
      <c r="L3896" s="715">
        <f t="shared" si="117"/>
        <v>18.8</v>
      </c>
      <c r="M3896" s="716">
        <f t="shared" si="118"/>
        <v>37.6</v>
      </c>
      <c r="O3896" s="693"/>
    </row>
    <row r="3897" spans="2:15" s="645" customFormat="1" ht="21.75" customHeight="1">
      <c r="B3897" s="708">
        <v>44475</v>
      </c>
      <c r="C3897" s="709" t="s">
        <v>837</v>
      </c>
      <c r="D3897" s="710" t="s">
        <v>834</v>
      </c>
      <c r="E3897" s="711" t="s">
        <v>831</v>
      </c>
      <c r="F3897" s="712"/>
      <c r="G3897" s="710">
        <v>20</v>
      </c>
      <c r="H3897" s="709" t="s">
        <v>886</v>
      </c>
      <c r="I3897" s="713" t="s">
        <v>888</v>
      </c>
      <c r="J3897" s="714" t="s">
        <v>802</v>
      </c>
      <c r="K3897" s="709">
        <v>2</v>
      </c>
      <c r="L3897" s="715">
        <f t="shared" si="117"/>
        <v>18.8</v>
      </c>
      <c r="M3897" s="716">
        <f t="shared" si="118"/>
        <v>37.6</v>
      </c>
      <c r="O3897" s="693"/>
    </row>
    <row r="3898" spans="2:15" s="645" customFormat="1" ht="21.75" customHeight="1">
      <c r="B3898" s="708">
        <v>44475</v>
      </c>
      <c r="C3898" s="709" t="s">
        <v>837</v>
      </c>
      <c r="D3898" s="710" t="s">
        <v>848</v>
      </c>
      <c r="E3898" s="711" t="s">
        <v>831</v>
      </c>
      <c r="F3898" s="712"/>
      <c r="G3898" s="710">
        <v>20</v>
      </c>
      <c r="H3898" s="709" t="s">
        <v>886</v>
      </c>
      <c r="I3898" s="713" t="s">
        <v>888</v>
      </c>
      <c r="J3898" s="714" t="s">
        <v>802</v>
      </c>
      <c r="K3898" s="709">
        <v>1</v>
      </c>
      <c r="L3898" s="715">
        <f t="shared" si="117"/>
        <v>18.8</v>
      </c>
      <c r="M3898" s="716">
        <f t="shared" si="118"/>
        <v>18.8</v>
      </c>
      <c r="O3898" s="693"/>
    </row>
    <row r="3899" spans="2:15" s="645" customFormat="1" ht="21.75" customHeight="1">
      <c r="B3899" s="708">
        <v>44475</v>
      </c>
      <c r="C3899" s="709" t="s">
        <v>837</v>
      </c>
      <c r="D3899" s="710" t="s">
        <v>833</v>
      </c>
      <c r="E3899" s="711" t="s">
        <v>831</v>
      </c>
      <c r="F3899" s="712"/>
      <c r="G3899" s="710">
        <v>15</v>
      </c>
      <c r="H3899" s="709" t="s">
        <v>886</v>
      </c>
      <c r="I3899" s="713" t="s">
        <v>888</v>
      </c>
      <c r="J3899" s="714" t="s">
        <v>802</v>
      </c>
      <c r="K3899" s="709">
        <v>1</v>
      </c>
      <c r="L3899" s="715">
        <f t="shared" si="117"/>
        <v>14.1</v>
      </c>
      <c r="M3899" s="716">
        <f t="shared" si="118"/>
        <v>14.1</v>
      </c>
      <c r="O3899" s="693"/>
    </row>
    <row r="3900" spans="2:15" s="645" customFormat="1" ht="21.75" customHeight="1">
      <c r="B3900" s="708">
        <v>44475</v>
      </c>
      <c r="C3900" s="709" t="s">
        <v>837</v>
      </c>
      <c r="D3900" s="710" t="s">
        <v>845</v>
      </c>
      <c r="E3900" s="711" t="s">
        <v>831</v>
      </c>
      <c r="F3900" s="712"/>
      <c r="G3900" s="710">
        <v>17</v>
      </c>
      <c r="H3900" s="709" t="s">
        <v>886</v>
      </c>
      <c r="I3900" s="713" t="s">
        <v>888</v>
      </c>
      <c r="J3900" s="714" t="s">
        <v>802</v>
      </c>
      <c r="K3900" s="709">
        <v>4</v>
      </c>
      <c r="L3900" s="715">
        <f t="shared" si="117"/>
        <v>15.98</v>
      </c>
      <c r="M3900" s="716">
        <f t="shared" si="118"/>
        <v>63.92</v>
      </c>
      <c r="O3900" s="693"/>
    </row>
    <row r="3901" spans="2:15" s="645" customFormat="1" ht="21.75" customHeight="1">
      <c r="B3901" s="708">
        <v>44475</v>
      </c>
      <c r="C3901" s="709" t="s">
        <v>837</v>
      </c>
      <c r="D3901" s="710" t="s">
        <v>856</v>
      </c>
      <c r="E3901" s="711" t="s">
        <v>831</v>
      </c>
      <c r="F3901" s="712"/>
      <c r="G3901" s="710">
        <v>20</v>
      </c>
      <c r="H3901" s="709" t="s">
        <v>886</v>
      </c>
      <c r="I3901" s="713" t="s">
        <v>888</v>
      </c>
      <c r="J3901" s="714" t="s">
        <v>802</v>
      </c>
      <c r="K3901" s="709">
        <v>2</v>
      </c>
      <c r="L3901" s="715">
        <f t="shared" si="117"/>
        <v>18.8</v>
      </c>
      <c r="M3901" s="716">
        <f t="shared" si="118"/>
        <v>37.6</v>
      </c>
      <c r="O3901" s="693"/>
    </row>
    <row r="3902" spans="2:15" s="645" customFormat="1" ht="21.75" customHeight="1">
      <c r="B3902" s="708">
        <v>44475</v>
      </c>
      <c r="C3902" s="709" t="s">
        <v>837</v>
      </c>
      <c r="D3902" s="710" t="s">
        <v>878</v>
      </c>
      <c r="E3902" s="711" t="s">
        <v>831</v>
      </c>
      <c r="F3902" s="712"/>
      <c r="G3902" s="710">
        <v>15</v>
      </c>
      <c r="H3902" s="709" t="s">
        <v>886</v>
      </c>
      <c r="I3902" s="713" t="s">
        <v>888</v>
      </c>
      <c r="J3902" s="714" t="s">
        <v>802</v>
      </c>
      <c r="K3902" s="709">
        <v>2</v>
      </c>
      <c r="L3902" s="715">
        <f t="shared" si="117"/>
        <v>14.1</v>
      </c>
      <c r="M3902" s="716">
        <f t="shared" si="118"/>
        <v>28.2</v>
      </c>
      <c r="O3902" s="693"/>
    </row>
    <row r="3903" spans="2:15" s="645" customFormat="1" ht="21.75" customHeight="1">
      <c r="B3903" s="708">
        <v>44475</v>
      </c>
      <c r="C3903" s="709" t="s">
        <v>837</v>
      </c>
      <c r="D3903" s="710" t="s">
        <v>855</v>
      </c>
      <c r="E3903" s="711" t="s">
        <v>831</v>
      </c>
      <c r="F3903" s="712"/>
      <c r="G3903" s="710">
        <v>20</v>
      </c>
      <c r="H3903" s="709" t="s">
        <v>886</v>
      </c>
      <c r="I3903" s="713" t="s">
        <v>888</v>
      </c>
      <c r="J3903" s="714" t="s">
        <v>802</v>
      </c>
      <c r="K3903" s="709">
        <v>4</v>
      </c>
      <c r="L3903" s="715">
        <f t="shared" si="117"/>
        <v>18.8</v>
      </c>
      <c r="M3903" s="716">
        <f t="shared" si="118"/>
        <v>75.2</v>
      </c>
      <c r="O3903" s="693"/>
    </row>
    <row r="3904" spans="2:15" s="645" customFormat="1" ht="21.75" customHeight="1">
      <c r="B3904" s="708">
        <v>44475</v>
      </c>
      <c r="C3904" s="709" t="s">
        <v>837</v>
      </c>
      <c r="D3904" s="710" t="s">
        <v>875</v>
      </c>
      <c r="E3904" s="711" t="s">
        <v>831</v>
      </c>
      <c r="F3904" s="712"/>
      <c r="G3904" s="710">
        <v>20</v>
      </c>
      <c r="H3904" s="709" t="s">
        <v>886</v>
      </c>
      <c r="I3904" s="713" t="s">
        <v>888</v>
      </c>
      <c r="J3904" s="714" t="s">
        <v>802</v>
      </c>
      <c r="K3904" s="709">
        <v>2</v>
      </c>
      <c r="L3904" s="715">
        <f t="shared" si="117"/>
        <v>18.8</v>
      </c>
      <c r="M3904" s="716">
        <f t="shared" si="118"/>
        <v>37.6</v>
      </c>
      <c r="O3904" s="693"/>
    </row>
    <row r="3905" spans="2:15" s="645" customFormat="1" ht="21.75" customHeight="1">
      <c r="B3905" s="708">
        <v>44475</v>
      </c>
      <c r="C3905" s="709" t="s">
        <v>837</v>
      </c>
      <c r="D3905" s="710" t="s">
        <v>868</v>
      </c>
      <c r="E3905" s="711" t="s">
        <v>831</v>
      </c>
      <c r="F3905" s="712"/>
      <c r="G3905" s="710">
        <v>20</v>
      </c>
      <c r="H3905" s="709" t="s">
        <v>886</v>
      </c>
      <c r="I3905" s="713" t="s">
        <v>888</v>
      </c>
      <c r="J3905" s="714" t="s">
        <v>802</v>
      </c>
      <c r="K3905" s="709">
        <v>1</v>
      </c>
      <c r="L3905" s="715">
        <f t="shared" si="117"/>
        <v>18.8</v>
      </c>
      <c r="M3905" s="716">
        <f t="shared" si="118"/>
        <v>18.8</v>
      </c>
      <c r="O3905" s="693"/>
    </row>
    <row r="3906" spans="2:15" s="645" customFormat="1" ht="21.75" customHeight="1">
      <c r="B3906" s="708">
        <v>44475</v>
      </c>
      <c r="C3906" s="709" t="s">
        <v>837</v>
      </c>
      <c r="D3906" s="710" t="s">
        <v>870</v>
      </c>
      <c r="E3906" s="711" t="s">
        <v>831</v>
      </c>
      <c r="F3906" s="712"/>
      <c r="G3906" s="710">
        <v>20</v>
      </c>
      <c r="H3906" s="709" t="s">
        <v>886</v>
      </c>
      <c r="I3906" s="713" t="s">
        <v>888</v>
      </c>
      <c r="J3906" s="714" t="s">
        <v>802</v>
      </c>
      <c r="K3906" s="709">
        <v>3</v>
      </c>
      <c r="L3906" s="715">
        <f t="shared" si="117"/>
        <v>18.8</v>
      </c>
      <c r="M3906" s="716">
        <f t="shared" si="118"/>
        <v>56.400000000000006</v>
      </c>
      <c r="O3906" s="693"/>
    </row>
    <row r="3907" spans="2:15" s="645" customFormat="1" ht="21.75" customHeight="1">
      <c r="B3907" s="717">
        <v>44475</v>
      </c>
      <c r="C3907" s="718" t="s">
        <v>819</v>
      </c>
      <c r="D3907" s="719" t="s">
        <v>841</v>
      </c>
      <c r="E3907" s="720" t="s">
        <v>831</v>
      </c>
      <c r="F3907" s="721"/>
      <c r="G3907" s="719">
        <v>20</v>
      </c>
      <c r="H3907" s="718" t="s">
        <v>806</v>
      </c>
      <c r="I3907" s="722" t="s">
        <v>890</v>
      </c>
      <c r="J3907" s="723" t="s">
        <v>892</v>
      </c>
      <c r="K3907" s="718">
        <v>14</v>
      </c>
      <c r="L3907" s="724">
        <f t="shared" si="117"/>
        <v>18.8</v>
      </c>
      <c r="M3907" s="725">
        <f t="shared" si="118"/>
        <v>263.2</v>
      </c>
      <c r="O3907" s="693"/>
    </row>
    <row r="3908" spans="2:15" s="645" customFormat="1" ht="21.75" customHeight="1">
      <c r="B3908" s="717">
        <v>44475</v>
      </c>
      <c r="C3908" s="718" t="s">
        <v>819</v>
      </c>
      <c r="D3908" s="719" t="s">
        <v>847</v>
      </c>
      <c r="E3908" s="720" t="s">
        <v>831</v>
      </c>
      <c r="F3908" s="721"/>
      <c r="G3908" s="719">
        <v>17</v>
      </c>
      <c r="H3908" s="718" t="s">
        <v>806</v>
      </c>
      <c r="I3908" s="722" t="s">
        <v>890</v>
      </c>
      <c r="J3908" s="723" t="s">
        <v>892</v>
      </c>
      <c r="K3908" s="718">
        <v>12</v>
      </c>
      <c r="L3908" s="724">
        <f t="shared" si="117"/>
        <v>15.98</v>
      </c>
      <c r="M3908" s="725">
        <f t="shared" si="118"/>
        <v>191.76</v>
      </c>
      <c r="O3908" s="693"/>
    </row>
    <row r="3909" spans="2:15" s="645" customFormat="1" ht="21.75" customHeight="1">
      <c r="B3909" s="661">
        <v>44476</v>
      </c>
      <c r="C3909" s="662" t="s">
        <v>819</v>
      </c>
      <c r="D3909" s="663" t="s">
        <v>849</v>
      </c>
      <c r="E3909" s="664" t="s">
        <v>831</v>
      </c>
      <c r="F3909" s="665"/>
      <c r="G3909" s="663">
        <v>20</v>
      </c>
      <c r="H3909" s="662" t="s">
        <v>807</v>
      </c>
      <c r="I3909" s="666" t="s">
        <v>859</v>
      </c>
      <c r="J3909" s="667" t="s">
        <v>805</v>
      </c>
      <c r="K3909" s="662">
        <v>5</v>
      </c>
      <c r="L3909" s="685">
        <f t="shared" si="117"/>
        <v>18.8</v>
      </c>
      <c r="M3909" s="686">
        <f t="shared" si="118"/>
        <v>94</v>
      </c>
      <c r="O3909" s="693"/>
    </row>
    <row r="3910" spans="2:15" s="645" customFormat="1" ht="21.75" customHeight="1">
      <c r="B3910" s="661">
        <v>44476</v>
      </c>
      <c r="C3910" s="662" t="s">
        <v>819</v>
      </c>
      <c r="D3910" s="663" t="s">
        <v>849</v>
      </c>
      <c r="E3910" s="664" t="s">
        <v>831</v>
      </c>
      <c r="F3910" s="665"/>
      <c r="G3910" s="663">
        <v>20</v>
      </c>
      <c r="H3910" s="662" t="s">
        <v>807</v>
      </c>
      <c r="I3910" s="666" t="s">
        <v>859</v>
      </c>
      <c r="J3910" s="667" t="s">
        <v>804</v>
      </c>
      <c r="K3910" s="662">
        <v>1</v>
      </c>
      <c r="L3910" s="685">
        <f t="shared" si="117"/>
        <v>18.8</v>
      </c>
      <c r="M3910" s="686">
        <f t="shared" si="118"/>
        <v>18.8</v>
      </c>
      <c r="O3910" s="693"/>
    </row>
    <row r="3911" spans="2:15" s="645" customFormat="1" ht="21.75" customHeight="1">
      <c r="B3911" s="661">
        <v>44476</v>
      </c>
      <c r="C3911" s="662" t="s">
        <v>819</v>
      </c>
      <c r="D3911" s="663" t="s">
        <v>840</v>
      </c>
      <c r="E3911" s="664" t="s">
        <v>831</v>
      </c>
      <c r="F3911" s="665"/>
      <c r="G3911" s="663">
        <v>20</v>
      </c>
      <c r="H3911" s="662" t="s">
        <v>807</v>
      </c>
      <c r="I3911" s="666" t="s">
        <v>859</v>
      </c>
      <c r="J3911" s="667" t="s">
        <v>805</v>
      </c>
      <c r="K3911" s="662">
        <v>6</v>
      </c>
      <c r="L3911" s="685">
        <f t="shared" si="117"/>
        <v>18.8</v>
      </c>
      <c r="M3911" s="686">
        <f t="shared" si="118"/>
        <v>112.80000000000001</v>
      </c>
      <c r="O3911" s="693"/>
    </row>
    <row r="3912" spans="2:15" s="645" customFormat="1" ht="21.75" customHeight="1">
      <c r="B3912" s="661">
        <v>44476</v>
      </c>
      <c r="C3912" s="662" t="s">
        <v>819</v>
      </c>
      <c r="D3912" s="663" t="s">
        <v>835</v>
      </c>
      <c r="E3912" s="664" t="s">
        <v>831</v>
      </c>
      <c r="F3912" s="665"/>
      <c r="G3912" s="663">
        <v>20</v>
      </c>
      <c r="H3912" s="662" t="s">
        <v>807</v>
      </c>
      <c r="I3912" s="666" t="s">
        <v>859</v>
      </c>
      <c r="J3912" s="667" t="s">
        <v>805</v>
      </c>
      <c r="K3912" s="662">
        <v>2</v>
      </c>
      <c r="L3912" s="685">
        <f t="shared" si="117"/>
        <v>18.8</v>
      </c>
      <c r="M3912" s="686">
        <f t="shared" si="118"/>
        <v>37.6</v>
      </c>
      <c r="O3912" s="693"/>
    </row>
    <row r="3913" spans="2:15" s="645" customFormat="1" ht="21.75" customHeight="1">
      <c r="B3913" s="661">
        <v>44476</v>
      </c>
      <c r="C3913" s="662" t="s">
        <v>819</v>
      </c>
      <c r="D3913" s="663" t="s">
        <v>835</v>
      </c>
      <c r="E3913" s="664" t="s">
        <v>831</v>
      </c>
      <c r="F3913" s="665"/>
      <c r="G3913" s="663">
        <v>20</v>
      </c>
      <c r="H3913" s="662" t="s">
        <v>807</v>
      </c>
      <c r="I3913" s="666" t="s">
        <v>859</v>
      </c>
      <c r="J3913" s="667" t="s">
        <v>804</v>
      </c>
      <c r="K3913" s="662">
        <v>2</v>
      </c>
      <c r="L3913" s="685">
        <f t="shared" ref="L3913:L3976" si="119">VLOOKUP(G3913,$Q$4:$V$7,6,FALSE)</f>
        <v>18.8</v>
      </c>
      <c r="M3913" s="686">
        <f t="shared" si="118"/>
        <v>37.6</v>
      </c>
      <c r="O3913" s="693"/>
    </row>
    <row r="3914" spans="2:15" s="645" customFormat="1" ht="21.75" customHeight="1">
      <c r="B3914" s="661">
        <v>44476</v>
      </c>
      <c r="C3914" s="662" t="s">
        <v>819</v>
      </c>
      <c r="D3914" s="663" t="s">
        <v>841</v>
      </c>
      <c r="E3914" s="664" t="s">
        <v>831</v>
      </c>
      <c r="F3914" s="665"/>
      <c r="G3914" s="663">
        <v>20</v>
      </c>
      <c r="H3914" s="662" t="s">
        <v>807</v>
      </c>
      <c r="I3914" s="666" t="s">
        <v>859</v>
      </c>
      <c r="J3914" s="667" t="s">
        <v>805</v>
      </c>
      <c r="K3914" s="662">
        <v>7</v>
      </c>
      <c r="L3914" s="685">
        <f t="shared" si="119"/>
        <v>18.8</v>
      </c>
      <c r="M3914" s="686">
        <f t="shared" si="118"/>
        <v>131.6</v>
      </c>
      <c r="O3914" s="693"/>
    </row>
    <row r="3915" spans="2:15" s="645" customFormat="1" ht="21.75" customHeight="1">
      <c r="B3915" s="661">
        <v>44476</v>
      </c>
      <c r="C3915" s="662" t="s">
        <v>819</v>
      </c>
      <c r="D3915" s="663" t="s">
        <v>834</v>
      </c>
      <c r="E3915" s="664" t="s">
        <v>831</v>
      </c>
      <c r="F3915" s="665"/>
      <c r="G3915" s="663">
        <v>20</v>
      </c>
      <c r="H3915" s="662" t="s">
        <v>807</v>
      </c>
      <c r="I3915" s="666" t="s">
        <v>859</v>
      </c>
      <c r="J3915" s="667" t="s">
        <v>805</v>
      </c>
      <c r="K3915" s="662">
        <v>7</v>
      </c>
      <c r="L3915" s="685">
        <f t="shared" si="119"/>
        <v>18.8</v>
      </c>
      <c r="M3915" s="686">
        <f t="shared" si="118"/>
        <v>131.6</v>
      </c>
      <c r="O3915" s="693"/>
    </row>
    <row r="3916" spans="2:15" s="645" customFormat="1" ht="21.75" customHeight="1">
      <c r="B3916" s="661">
        <v>44476</v>
      </c>
      <c r="C3916" s="662" t="s">
        <v>819</v>
      </c>
      <c r="D3916" s="663" t="s">
        <v>848</v>
      </c>
      <c r="E3916" s="664" t="s">
        <v>831</v>
      </c>
      <c r="F3916" s="665"/>
      <c r="G3916" s="663">
        <v>20</v>
      </c>
      <c r="H3916" s="662" t="s">
        <v>807</v>
      </c>
      <c r="I3916" s="666" t="s">
        <v>859</v>
      </c>
      <c r="J3916" s="667" t="s">
        <v>805</v>
      </c>
      <c r="K3916" s="662">
        <v>2</v>
      </c>
      <c r="L3916" s="685">
        <f t="shared" si="119"/>
        <v>18.8</v>
      </c>
      <c r="M3916" s="686">
        <f t="shared" si="118"/>
        <v>37.6</v>
      </c>
      <c r="O3916" s="693"/>
    </row>
    <row r="3917" spans="2:15" s="645" customFormat="1" ht="21.75" customHeight="1">
      <c r="B3917" s="661">
        <v>44476</v>
      </c>
      <c r="C3917" s="662" t="s">
        <v>819</v>
      </c>
      <c r="D3917" s="663" t="s">
        <v>833</v>
      </c>
      <c r="E3917" s="664" t="s">
        <v>831</v>
      </c>
      <c r="F3917" s="665"/>
      <c r="G3917" s="663">
        <v>15</v>
      </c>
      <c r="H3917" s="662" t="s">
        <v>807</v>
      </c>
      <c r="I3917" s="666" t="s">
        <v>859</v>
      </c>
      <c r="J3917" s="667" t="s">
        <v>805</v>
      </c>
      <c r="K3917" s="662">
        <v>2</v>
      </c>
      <c r="L3917" s="685">
        <f t="shared" si="119"/>
        <v>14.1</v>
      </c>
      <c r="M3917" s="686">
        <f t="shared" si="118"/>
        <v>28.2</v>
      </c>
      <c r="O3917" s="693"/>
    </row>
    <row r="3918" spans="2:15" s="645" customFormat="1" ht="21.75" customHeight="1">
      <c r="B3918" s="661">
        <v>44476</v>
      </c>
      <c r="C3918" s="662" t="s">
        <v>819</v>
      </c>
      <c r="D3918" s="663" t="s">
        <v>833</v>
      </c>
      <c r="E3918" s="664" t="s">
        <v>831</v>
      </c>
      <c r="F3918" s="665"/>
      <c r="G3918" s="663">
        <v>15</v>
      </c>
      <c r="H3918" s="662" t="s">
        <v>807</v>
      </c>
      <c r="I3918" s="666" t="s">
        <v>859</v>
      </c>
      <c r="J3918" s="667" t="s">
        <v>804</v>
      </c>
      <c r="K3918" s="662">
        <v>1</v>
      </c>
      <c r="L3918" s="685">
        <f t="shared" si="119"/>
        <v>14.1</v>
      </c>
      <c r="M3918" s="686">
        <f t="shared" si="118"/>
        <v>14.1</v>
      </c>
      <c r="O3918" s="693"/>
    </row>
    <row r="3919" spans="2:15" s="645" customFormat="1" ht="21.75" customHeight="1">
      <c r="B3919" s="661">
        <v>44476</v>
      </c>
      <c r="C3919" s="662" t="s">
        <v>819</v>
      </c>
      <c r="D3919" s="663" t="s">
        <v>839</v>
      </c>
      <c r="E3919" s="664" t="s">
        <v>831</v>
      </c>
      <c r="F3919" s="665"/>
      <c r="G3919" s="663">
        <v>15</v>
      </c>
      <c r="H3919" s="662" t="s">
        <v>807</v>
      </c>
      <c r="I3919" s="666" t="s">
        <v>859</v>
      </c>
      <c r="J3919" s="667" t="s">
        <v>805</v>
      </c>
      <c r="K3919" s="662">
        <v>4</v>
      </c>
      <c r="L3919" s="685">
        <f t="shared" si="119"/>
        <v>14.1</v>
      </c>
      <c r="M3919" s="686">
        <f t="shared" si="118"/>
        <v>56.4</v>
      </c>
      <c r="O3919" s="693"/>
    </row>
    <row r="3920" spans="2:15" s="645" customFormat="1" ht="21.75" customHeight="1">
      <c r="B3920" s="661">
        <v>44476</v>
      </c>
      <c r="C3920" s="662" t="s">
        <v>819</v>
      </c>
      <c r="D3920" s="663" t="s">
        <v>845</v>
      </c>
      <c r="E3920" s="664" t="s">
        <v>831</v>
      </c>
      <c r="F3920" s="665"/>
      <c r="G3920" s="663">
        <v>17</v>
      </c>
      <c r="H3920" s="662" t="s">
        <v>807</v>
      </c>
      <c r="I3920" s="666" t="s">
        <v>859</v>
      </c>
      <c r="J3920" s="667" t="s">
        <v>805</v>
      </c>
      <c r="K3920" s="662">
        <v>5</v>
      </c>
      <c r="L3920" s="685">
        <f t="shared" si="119"/>
        <v>15.98</v>
      </c>
      <c r="M3920" s="686">
        <f t="shared" si="118"/>
        <v>79.900000000000006</v>
      </c>
      <c r="O3920" s="693"/>
    </row>
    <row r="3921" spans="2:15" s="645" customFormat="1" ht="21.75" customHeight="1">
      <c r="B3921" s="661">
        <v>44476</v>
      </c>
      <c r="C3921" s="662" t="s">
        <v>819</v>
      </c>
      <c r="D3921" s="663" t="s">
        <v>845</v>
      </c>
      <c r="E3921" s="664" t="s">
        <v>831</v>
      </c>
      <c r="F3921" s="665"/>
      <c r="G3921" s="663">
        <v>17</v>
      </c>
      <c r="H3921" s="662" t="s">
        <v>807</v>
      </c>
      <c r="I3921" s="666" t="s">
        <v>859</v>
      </c>
      <c r="J3921" s="667" t="s">
        <v>804</v>
      </c>
      <c r="K3921" s="662">
        <v>1</v>
      </c>
      <c r="L3921" s="685">
        <f t="shared" si="119"/>
        <v>15.98</v>
      </c>
      <c r="M3921" s="686">
        <f t="shared" si="118"/>
        <v>15.98</v>
      </c>
      <c r="O3921" s="693"/>
    </row>
    <row r="3922" spans="2:15" s="645" customFormat="1" ht="21.75" customHeight="1">
      <c r="B3922" s="661">
        <v>44476</v>
      </c>
      <c r="C3922" s="662" t="s">
        <v>819</v>
      </c>
      <c r="D3922" s="663" t="s">
        <v>847</v>
      </c>
      <c r="E3922" s="664" t="s">
        <v>831</v>
      </c>
      <c r="F3922" s="665"/>
      <c r="G3922" s="663">
        <v>17</v>
      </c>
      <c r="H3922" s="662" t="s">
        <v>807</v>
      </c>
      <c r="I3922" s="666" t="s">
        <v>859</v>
      </c>
      <c r="J3922" s="667" t="s">
        <v>805</v>
      </c>
      <c r="K3922" s="662">
        <v>3</v>
      </c>
      <c r="L3922" s="685">
        <f t="shared" si="119"/>
        <v>15.98</v>
      </c>
      <c r="M3922" s="686">
        <f t="shared" si="118"/>
        <v>47.94</v>
      </c>
      <c r="O3922" s="693"/>
    </row>
    <row r="3923" spans="2:15" s="645" customFormat="1" ht="21.75" customHeight="1">
      <c r="B3923" s="661">
        <v>44476</v>
      </c>
      <c r="C3923" s="662" t="s">
        <v>819</v>
      </c>
      <c r="D3923" s="663" t="s">
        <v>847</v>
      </c>
      <c r="E3923" s="664" t="s">
        <v>831</v>
      </c>
      <c r="F3923" s="665"/>
      <c r="G3923" s="663">
        <v>17</v>
      </c>
      <c r="H3923" s="662" t="s">
        <v>807</v>
      </c>
      <c r="I3923" s="666" t="s">
        <v>859</v>
      </c>
      <c r="J3923" s="667" t="s">
        <v>804</v>
      </c>
      <c r="K3923" s="662">
        <v>2</v>
      </c>
      <c r="L3923" s="685">
        <f t="shared" si="119"/>
        <v>15.98</v>
      </c>
      <c r="M3923" s="686">
        <f t="shared" si="118"/>
        <v>31.96</v>
      </c>
      <c r="O3923" s="693"/>
    </row>
    <row r="3924" spans="2:15" s="645" customFormat="1" ht="21.75" customHeight="1">
      <c r="B3924" s="661">
        <v>44476</v>
      </c>
      <c r="C3924" s="662" t="s">
        <v>819</v>
      </c>
      <c r="D3924" s="663" t="s">
        <v>856</v>
      </c>
      <c r="E3924" s="664" t="s">
        <v>831</v>
      </c>
      <c r="F3924" s="665"/>
      <c r="G3924" s="663">
        <v>20</v>
      </c>
      <c r="H3924" s="662" t="s">
        <v>807</v>
      </c>
      <c r="I3924" s="666" t="s">
        <v>859</v>
      </c>
      <c r="J3924" s="667" t="s">
        <v>805</v>
      </c>
      <c r="K3924" s="662">
        <v>2</v>
      </c>
      <c r="L3924" s="685">
        <f t="shared" si="119"/>
        <v>18.8</v>
      </c>
      <c r="M3924" s="686">
        <f t="shared" si="118"/>
        <v>37.6</v>
      </c>
      <c r="O3924" s="693"/>
    </row>
    <row r="3925" spans="2:15" s="645" customFormat="1" ht="21.75" customHeight="1">
      <c r="B3925" s="661">
        <v>44476</v>
      </c>
      <c r="C3925" s="662" t="s">
        <v>819</v>
      </c>
      <c r="D3925" s="663" t="s">
        <v>878</v>
      </c>
      <c r="E3925" s="664" t="s">
        <v>831</v>
      </c>
      <c r="F3925" s="665"/>
      <c r="G3925" s="663">
        <v>15</v>
      </c>
      <c r="H3925" s="662" t="s">
        <v>807</v>
      </c>
      <c r="I3925" s="666" t="s">
        <v>859</v>
      </c>
      <c r="J3925" s="667" t="s">
        <v>805</v>
      </c>
      <c r="K3925" s="662">
        <v>7</v>
      </c>
      <c r="L3925" s="685">
        <f t="shared" si="119"/>
        <v>14.1</v>
      </c>
      <c r="M3925" s="686">
        <f t="shared" si="118"/>
        <v>98.7</v>
      </c>
      <c r="O3925" s="693"/>
    </row>
    <row r="3926" spans="2:15" s="645" customFormat="1" ht="21.75" customHeight="1">
      <c r="B3926" s="661">
        <v>44476</v>
      </c>
      <c r="C3926" s="662" t="s">
        <v>819</v>
      </c>
      <c r="D3926" s="663" t="s">
        <v>878</v>
      </c>
      <c r="E3926" s="664" t="s">
        <v>831</v>
      </c>
      <c r="F3926" s="665"/>
      <c r="G3926" s="663">
        <v>15</v>
      </c>
      <c r="H3926" s="662" t="s">
        <v>807</v>
      </c>
      <c r="I3926" s="666" t="s">
        <v>859</v>
      </c>
      <c r="J3926" s="667" t="s">
        <v>804</v>
      </c>
      <c r="K3926" s="662">
        <v>1</v>
      </c>
      <c r="L3926" s="685">
        <f t="shared" si="119"/>
        <v>14.1</v>
      </c>
      <c r="M3926" s="686">
        <f t="shared" si="118"/>
        <v>14.1</v>
      </c>
      <c r="O3926" s="693"/>
    </row>
    <row r="3927" spans="2:15" s="645" customFormat="1" ht="21.75" customHeight="1">
      <c r="B3927" s="661">
        <v>44476</v>
      </c>
      <c r="C3927" s="662" t="s">
        <v>819</v>
      </c>
      <c r="D3927" s="663" t="s">
        <v>855</v>
      </c>
      <c r="E3927" s="664" t="s">
        <v>831</v>
      </c>
      <c r="F3927" s="665"/>
      <c r="G3927" s="663">
        <v>20</v>
      </c>
      <c r="H3927" s="662" t="s">
        <v>807</v>
      </c>
      <c r="I3927" s="666" t="s">
        <v>859</v>
      </c>
      <c r="J3927" s="667" t="s">
        <v>805</v>
      </c>
      <c r="K3927" s="662">
        <v>5</v>
      </c>
      <c r="L3927" s="685">
        <f t="shared" si="119"/>
        <v>18.8</v>
      </c>
      <c r="M3927" s="686">
        <f t="shared" si="118"/>
        <v>94</v>
      </c>
      <c r="O3927" s="693"/>
    </row>
    <row r="3928" spans="2:15" s="645" customFormat="1" ht="21.75" customHeight="1">
      <c r="B3928" s="661">
        <v>44476</v>
      </c>
      <c r="C3928" s="662" t="s">
        <v>819</v>
      </c>
      <c r="D3928" s="663" t="s">
        <v>875</v>
      </c>
      <c r="E3928" s="664" t="s">
        <v>831</v>
      </c>
      <c r="F3928" s="665"/>
      <c r="G3928" s="663">
        <v>20</v>
      </c>
      <c r="H3928" s="662" t="s">
        <v>807</v>
      </c>
      <c r="I3928" s="666" t="s">
        <v>859</v>
      </c>
      <c r="J3928" s="667" t="s">
        <v>805</v>
      </c>
      <c r="K3928" s="662">
        <v>2</v>
      </c>
      <c r="L3928" s="685">
        <f t="shared" si="119"/>
        <v>18.8</v>
      </c>
      <c r="M3928" s="686">
        <f t="shared" si="118"/>
        <v>37.6</v>
      </c>
      <c r="O3928" s="693"/>
    </row>
    <row r="3929" spans="2:15" s="645" customFormat="1" ht="21.75" customHeight="1">
      <c r="B3929" s="661">
        <v>44476</v>
      </c>
      <c r="C3929" s="662" t="s">
        <v>819</v>
      </c>
      <c r="D3929" s="663" t="s">
        <v>867</v>
      </c>
      <c r="E3929" s="664" t="s">
        <v>831</v>
      </c>
      <c r="F3929" s="665"/>
      <c r="G3929" s="663">
        <v>20</v>
      </c>
      <c r="H3929" s="662" t="s">
        <v>807</v>
      </c>
      <c r="I3929" s="666" t="s">
        <v>859</v>
      </c>
      <c r="J3929" s="667" t="s">
        <v>805</v>
      </c>
      <c r="K3929" s="662">
        <v>6</v>
      </c>
      <c r="L3929" s="685">
        <f t="shared" si="119"/>
        <v>18.8</v>
      </c>
      <c r="M3929" s="686">
        <f t="shared" si="118"/>
        <v>112.80000000000001</v>
      </c>
      <c r="O3929" s="693"/>
    </row>
    <row r="3930" spans="2:15" s="645" customFormat="1" ht="21.75" customHeight="1">
      <c r="B3930" s="661">
        <v>44476</v>
      </c>
      <c r="C3930" s="662" t="s">
        <v>819</v>
      </c>
      <c r="D3930" s="663" t="s">
        <v>876</v>
      </c>
      <c r="E3930" s="664" t="s">
        <v>831</v>
      </c>
      <c r="F3930" s="665"/>
      <c r="G3930" s="663">
        <v>20</v>
      </c>
      <c r="H3930" s="662" t="s">
        <v>807</v>
      </c>
      <c r="I3930" s="666" t="s">
        <v>859</v>
      </c>
      <c r="J3930" s="667" t="s">
        <v>805</v>
      </c>
      <c r="K3930" s="662">
        <v>7</v>
      </c>
      <c r="L3930" s="685">
        <f t="shared" si="119"/>
        <v>18.8</v>
      </c>
      <c r="M3930" s="686">
        <f t="shared" si="118"/>
        <v>131.6</v>
      </c>
      <c r="O3930" s="693"/>
    </row>
    <row r="3931" spans="2:15" s="645" customFormat="1" ht="21.75" customHeight="1">
      <c r="B3931" s="661">
        <v>44476</v>
      </c>
      <c r="C3931" s="662" t="s">
        <v>819</v>
      </c>
      <c r="D3931" s="663" t="s">
        <v>870</v>
      </c>
      <c r="E3931" s="664" t="s">
        <v>831</v>
      </c>
      <c r="F3931" s="665"/>
      <c r="G3931" s="663">
        <v>20</v>
      </c>
      <c r="H3931" s="662" t="s">
        <v>807</v>
      </c>
      <c r="I3931" s="666" t="s">
        <v>859</v>
      </c>
      <c r="J3931" s="667" t="s">
        <v>805</v>
      </c>
      <c r="K3931" s="662">
        <v>7</v>
      </c>
      <c r="L3931" s="685">
        <f t="shared" si="119"/>
        <v>18.8</v>
      </c>
      <c r="M3931" s="686">
        <f t="shared" si="118"/>
        <v>131.6</v>
      </c>
      <c r="O3931" s="693"/>
    </row>
    <row r="3932" spans="2:15" s="645" customFormat="1" ht="21.75" customHeight="1">
      <c r="B3932" s="661">
        <v>44476</v>
      </c>
      <c r="C3932" s="662" t="s">
        <v>819</v>
      </c>
      <c r="D3932" s="663" t="s">
        <v>870</v>
      </c>
      <c r="E3932" s="664" t="s">
        <v>831</v>
      </c>
      <c r="F3932" s="665"/>
      <c r="G3932" s="663">
        <v>20</v>
      </c>
      <c r="H3932" s="662" t="s">
        <v>807</v>
      </c>
      <c r="I3932" s="666" t="s">
        <v>859</v>
      </c>
      <c r="J3932" s="667" t="s">
        <v>804</v>
      </c>
      <c r="K3932" s="662">
        <v>2</v>
      </c>
      <c r="L3932" s="685">
        <f t="shared" si="119"/>
        <v>18.8</v>
      </c>
      <c r="M3932" s="686">
        <f t="shared" si="118"/>
        <v>37.6</v>
      </c>
      <c r="O3932" s="693"/>
    </row>
    <row r="3933" spans="2:15" s="645" customFormat="1" ht="21.75" customHeight="1">
      <c r="B3933" s="661">
        <v>44476</v>
      </c>
      <c r="C3933" s="662" t="s">
        <v>837</v>
      </c>
      <c r="D3933" s="663" t="s">
        <v>849</v>
      </c>
      <c r="E3933" s="664" t="s">
        <v>831</v>
      </c>
      <c r="F3933" s="665"/>
      <c r="G3933" s="663">
        <v>20</v>
      </c>
      <c r="H3933" s="662" t="s">
        <v>807</v>
      </c>
      <c r="I3933" s="666" t="s">
        <v>859</v>
      </c>
      <c r="J3933" s="667" t="s">
        <v>805</v>
      </c>
      <c r="K3933" s="662">
        <v>4</v>
      </c>
      <c r="L3933" s="685">
        <f t="shared" si="119"/>
        <v>18.8</v>
      </c>
      <c r="M3933" s="686">
        <f t="shared" si="118"/>
        <v>75.2</v>
      </c>
      <c r="O3933" s="693"/>
    </row>
    <row r="3934" spans="2:15" s="645" customFormat="1" ht="21.75" customHeight="1">
      <c r="B3934" s="661">
        <v>44476</v>
      </c>
      <c r="C3934" s="662" t="s">
        <v>837</v>
      </c>
      <c r="D3934" s="663" t="s">
        <v>835</v>
      </c>
      <c r="E3934" s="664" t="s">
        <v>831</v>
      </c>
      <c r="F3934" s="665"/>
      <c r="G3934" s="663">
        <v>20</v>
      </c>
      <c r="H3934" s="662" t="s">
        <v>807</v>
      </c>
      <c r="I3934" s="666" t="s">
        <v>859</v>
      </c>
      <c r="J3934" s="667" t="s">
        <v>805</v>
      </c>
      <c r="K3934" s="662">
        <v>10</v>
      </c>
      <c r="L3934" s="685">
        <f t="shared" si="119"/>
        <v>18.8</v>
      </c>
      <c r="M3934" s="686">
        <f t="shared" si="118"/>
        <v>188</v>
      </c>
      <c r="O3934" s="693"/>
    </row>
    <row r="3935" spans="2:15" s="645" customFormat="1" ht="21.75" customHeight="1">
      <c r="B3935" s="661">
        <v>44476</v>
      </c>
      <c r="C3935" s="662" t="s">
        <v>837</v>
      </c>
      <c r="D3935" s="663" t="s">
        <v>841</v>
      </c>
      <c r="E3935" s="664" t="s">
        <v>831</v>
      </c>
      <c r="F3935" s="665"/>
      <c r="G3935" s="663">
        <v>20</v>
      </c>
      <c r="H3935" s="662" t="s">
        <v>807</v>
      </c>
      <c r="I3935" s="666" t="s">
        <v>859</v>
      </c>
      <c r="J3935" s="667" t="s">
        <v>805</v>
      </c>
      <c r="K3935" s="662">
        <v>6</v>
      </c>
      <c r="L3935" s="685">
        <f t="shared" si="119"/>
        <v>18.8</v>
      </c>
      <c r="M3935" s="686">
        <f t="shared" si="118"/>
        <v>112.80000000000001</v>
      </c>
      <c r="O3935" s="693"/>
    </row>
    <row r="3936" spans="2:15" s="645" customFormat="1" ht="21.75" customHeight="1">
      <c r="B3936" s="661">
        <v>44476</v>
      </c>
      <c r="C3936" s="662" t="s">
        <v>837</v>
      </c>
      <c r="D3936" s="663" t="s">
        <v>834</v>
      </c>
      <c r="E3936" s="664" t="s">
        <v>831</v>
      </c>
      <c r="F3936" s="665"/>
      <c r="G3936" s="663">
        <v>20</v>
      </c>
      <c r="H3936" s="662" t="s">
        <v>807</v>
      </c>
      <c r="I3936" s="666" t="s">
        <v>859</v>
      </c>
      <c r="J3936" s="667" t="s">
        <v>805</v>
      </c>
      <c r="K3936" s="662">
        <v>6</v>
      </c>
      <c r="L3936" s="685">
        <f t="shared" si="119"/>
        <v>18.8</v>
      </c>
      <c r="M3936" s="686">
        <f t="shared" si="118"/>
        <v>112.80000000000001</v>
      </c>
      <c r="O3936" s="693"/>
    </row>
    <row r="3937" spans="2:15" s="645" customFormat="1" ht="21.75" customHeight="1">
      <c r="B3937" s="661">
        <v>44476</v>
      </c>
      <c r="C3937" s="662" t="s">
        <v>837</v>
      </c>
      <c r="D3937" s="663" t="s">
        <v>833</v>
      </c>
      <c r="E3937" s="664" t="s">
        <v>831</v>
      </c>
      <c r="F3937" s="665"/>
      <c r="G3937" s="663">
        <v>15</v>
      </c>
      <c r="H3937" s="662" t="s">
        <v>807</v>
      </c>
      <c r="I3937" s="666" t="s">
        <v>859</v>
      </c>
      <c r="J3937" s="667" t="s">
        <v>805</v>
      </c>
      <c r="K3937" s="662">
        <v>1</v>
      </c>
      <c r="L3937" s="685">
        <f t="shared" si="119"/>
        <v>14.1</v>
      </c>
      <c r="M3937" s="686">
        <f t="shared" si="118"/>
        <v>14.1</v>
      </c>
      <c r="O3937" s="693"/>
    </row>
    <row r="3938" spans="2:15" s="645" customFormat="1" ht="21.75" customHeight="1">
      <c r="B3938" s="661">
        <v>44476</v>
      </c>
      <c r="C3938" s="662" t="s">
        <v>837</v>
      </c>
      <c r="D3938" s="663" t="s">
        <v>845</v>
      </c>
      <c r="E3938" s="664" t="s">
        <v>831</v>
      </c>
      <c r="F3938" s="665"/>
      <c r="G3938" s="663">
        <v>17</v>
      </c>
      <c r="H3938" s="662" t="s">
        <v>807</v>
      </c>
      <c r="I3938" s="666" t="s">
        <v>859</v>
      </c>
      <c r="J3938" s="667" t="s">
        <v>805</v>
      </c>
      <c r="K3938" s="662">
        <v>2</v>
      </c>
      <c r="L3938" s="685">
        <f t="shared" si="119"/>
        <v>15.98</v>
      </c>
      <c r="M3938" s="686">
        <f t="shared" si="118"/>
        <v>31.96</v>
      </c>
      <c r="O3938" s="693"/>
    </row>
    <row r="3939" spans="2:15" s="645" customFormat="1" ht="21.75" customHeight="1">
      <c r="B3939" s="661">
        <v>44476</v>
      </c>
      <c r="C3939" s="662" t="s">
        <v>837</v>
      </c>
      <c r="D3939" s="663" t="s">
        <v>878</v>
      </c>
      <c r="E3939" s="664" t="s">
        <v>831</v>
      </c>
      <c r="F3939" s="665"/>
      <c r="G3939" s="663">
        <v>15</v>
      </c>
      <c r="H3939" s="662" t="s">
        <v>807</v>
      </c>
      <c r="I3939" s="666" t="s">
        <v>859</v>
      </c>
      <c r="J3939" s="667" t="s">
        <v>805</v>
      </c>
      <c r="K3939" s="662">
        <v>2</v>
      </c>
      <c r="L3939" s="685">
        <f t="shared" si="119"/>
        <v>14.1</v>
      </c>
      <c r="M3939" s="686">
        <f t="shared" si="118"/>
        <v>28.2</v>
      </c>
      <c r="O3939" s="693"/>
    </row>
    <row r="3940" spans="2:15" s="645" customFormat="1" ht="21.75" customHeight="1">
      <c r="B3940" s="661">
        <v>44476</v>
      </c>
      <c r="C3940" s="662" t="s">
        <v>837</v>
      </c>
      <c r="D3940" s="663" t="s">
        <v>855</v>
      </c>
      <c r="E3940" s="664" t="s">
        <v>831</v>
      </c>
      <c r="F3940" s="665"/>
      <c r="G3940" s="663">
        <v>20</v>
      </c>
      <c r="H3940" s="662" t="s">
        <v>807</v>
      </c>
      <c r="I3940" s="666" t="s">
        <v>859</v>
      </c>
      <c r="J3940" s="667" t="s">
        <v>805</v>
      </c>
      <c r="K3940" s="662">
        <v>5</v>
      </c>
      <c r="L3940" s="685">
        <f t="shared" si="119"/>
        <v>18.8</v>
      </c>
      <c r="M3940" s="686">
        <f t="shared" si="118"/>
        <v>94</v>
      </c>
      <c r="O3940" s="693"/>
    </row>
    <row r="3941" spans="2:15" s="645" customFormat="1" ht="21.75" customHeight="1">
      <c r="B3941" s="661">
        <v>44476</v>
      </c>
      <c r="C3941" s="662" t="s">
        <v>837</v>
      </c>
      <c r="D3941" s="663" t="s">
        <v>875</v>
      </c>
      <c r="E3941" s="664" t="s">
        <v>831</v>
      </c>
      <c r="F3941" s="665"/>
      <c r="G3941" s="663">
        <v>20</v>
      </c>
      <c r="H3941" s="662" t="s">
        <v>807</v>
      </c>
      <c r="I3941" s="666" t="s">
        <v>859</v>
      </c>
      <c r="J3941" s="667" t="s">
        <v>805</v>
      </c>
      <c r="K3941" s="662">
        <v>8</v>
      </c>
      <c r="L3941" s="685">
        <f t="shared" si="119"/>
        <v>18.8</v>
      </c>
      <c r="M3941" s="686">
        <f t="shared" si="118"/>
        <v>150.4</v>
      </c>
      <c r="O3941" s="693"/>
    </row>
    <row r="3942" spans="2:15" s="645" customFormat="1" ht="21.75" customHeight="1">
      <c r="B3942" s="661">
        <v>44476</v>
      </c>
      <c r="C3942" s="662" t="s">
        <v>837</v>
      </c>
      <c r="D3942" s="663" t="s">
        <v>868</v>
      </c>
      <c r="E3942" s="664" t="s">
        <v>831</v>
      </c>
      <c r="F3942" s="665"/>
      <c r="G3942" s="663">
        <v>20</v>
      </c>
      <c r="H3942" s="662" t="s">
        <v>807</v>
      </c>
      <c r="I3942" s="666" t="s">
        <v>859</v>
      </c>
      <c r="J3942" s="667" t="s">
        <v>805</v>
      </c>
      <c r="K3942" s="662">
        <v>6</v>
      </c>
      <c r="L3942" s="685">
        <f t="shared" si="119"/>
        <v>18.8</v>
      </c>
      <c r="M3942" s="686">
        <f t="shared" si="118"/>
        <v>112.80000000000001</v>
      </c>
      <c r="O3942" s="693"/>
    </row>
    <row r="3943" spans="2:15" s="645" customFormat="1" ht="21.75" customHeight="1">
      <c r="B3943" s="661">
        <v>44476</v>
      </c>
      <c r="C3943" s="662" t="s">
        <v>837</v>
      </c>
      <c r="D3943" s="663" t="s">
        <v>870</v>
      </c>
      <c r="E3943" s="664" t="s">
        <v>831</v>
      </c>
      <c r="F3943" s="665"/>
      <c r="G3943" s="663">
        <v>20</v>
      </c>
      <c r="H3943" s="662" t="s">
        <v>807</v>
      </c>
      <c r="I3943" s="666" t="s">
        <v>859</v>
      </c>
      <c r="J3943" s="667" t="s">
        <v>805</v>
      </c>
      <c r="K3943" s="662">
        <v>7</v>
      </c>
      <c r="L3943" s="685">
        <f t="shared" si="119"/>
        <v>18.8</v>
      </c>
      <c r="M3943" s="686">
        <f t="shared" ref="M3943:M4006" si="120">L3943*K3943</f>
        <v>131.6</v>
      </c>
      <c r="O3943" s="693"/>
    </row>
    <row r="3944" spans="2:15" s="645" customFormat="1" ht="21.75" customHeight="1">
      <c r="B3944" s="708">
        <v>44476</v>
      </c>
      <c r="C3944" s="709" t="s">
        <v>819</v>
      </c>
      <c r="D3944" s="710" t="s">
        <v>833</v>
      </c>
      <c r="E3944" s="711" t="s">
        <v>831</v>
      </c>
      <c r="F3944" s="712"/>
      <c r="G3944" s="710">
        <v>15</v>
      </c>
      <c r="H3944" s="709" t="s">
        <v>807</v>
      </c>
      <c r="I3944" s="713" t="s">
        <v>859</v>
      </c>
      <c r="J3944" s="714" t="s">
        <v>802</v>
      </c>
      <c r="K3944" s="709">
        <v>1</v>
      </c>
      <c r="L3944" s="715">
        <f t="shared" si="119"/>
        <v>14.1</v>
      </c>
      <c r="M3944" s="716">
        <f t="shared" si="120"/>
        <v>14.1</v>
      </c>
      <c r="O3944" s="693"/>
    </row>
    <row r="3945" spans="2:15" s="645" customFormat="1" ht="21.75" customHeight="1">
      <c r="B3945" s="708">
        <v>44476</v>
      </c>
      <c r="C3945" s="709" t="s">
        <v>819</v>
      </c>
      <c r="D3945" s="710" t="s">
        <v>878</v>
      </c>
      <c r="E3945" s="711" t="s">
        <v>831</v>
      </c>
      <c r="F3945" s="712"/>
      <c r="G3945" s="710">
        <v>15</v>
      </c>
      <c r="H3945" s="709" t="s">
        <v>807</v>
      </c>
      <c r="I3945" s="713" t="s">
        <v>859</v>
      </c>
      <c r="J3945" s="714" t="s">
        <v>802</v>
      </c>
      <c r="K3945" s="709">
        <v>1</v>
      </c>
      <c r="L3945" s="715">
        <f t="shared" si="119"/>
        <v>14.1</v>
      </c>
      <c r="M3945" s="716">
        <f t="shared" si="120"/>
        <v>14.1</v>
      </c>
      <c r="O3945" s="693"/>
    </row>
    <row r="3946" spans="2:15" s="645" customFormat="1" ht="21.75" customHeight="1">
      <c r="B3946" s="708">
        <v>44476</v>
      </c>
      <c r="C3946" s="709" t="s">
        <v>819</v>
      </c>
      <c r="D3946" s="710" t="s">
        <v>875</v>
      </c>
      <c r="E3946" s="711" t="s">
        <v>831</v>
      </c>
      <c r="F3946" s="712"/>
      <c r="G3946" s="710">
        <v>20</v>
      </c>
      <c r="H3946" s="709" t="s">
        <v>807</v>
      </c>
      <c r="I3946" s="713" t="s">
        <v>859</v>
      </c>
      <c r="J3946" s="714" t="s">
        <v>802</v>
      </c>
      <c r="K3946" s="709">
        <v>1</v>
      </c>
      <c r="L3946" s="715">
        <f t="shared" si="119"/>
        <v>18.8</v>
      </c>
      <c r="M3946" s="716">
        <f t="shared" si="120"/>
        <v>18.8</v>
      </c>
      <c r="O3946" s="693"/>
    </row>
    <row r="3947" spans="2:15" s="645" customFormat="1" ht="21.75" customHeight="1">
      <c r="B3947" s="708">
        <v>44476</v>
      </c>
      <c r="C3947" s="709" t="s">
        <v>837</v>
      </c>
      <c r="D3947" s="710" t="s">
        <v>849</v>
      </c>
      <c r="E3947" s="711" t="s">
        <v>831</v>
      </c>
      <c r="F3947" s="712"/>
      <c r="G3947" s="710">
        <v>20</v>
      </c>
      <c r="H3947" s="709" t="s">
        <v>807</v>
      </c>
      <c r="I3947" s="713" t="s">
        <v>859</v>
      </c>
      <c r="J3947" s="714" t="s">
        <v>802</v>
      </c>
      <c r="K3947" s="709">
        <v>8</v>
      </c>
      <c r="L3947" s="715">
        <f t="shared" si="119"/>
        <v>18.8</v>
      </c>
      <c r="M3947" s="716">
        <f t="shared" si="120"/>
        <v>150.4</v>
      </c>
      <c r="O3947" s="693"/>
    </row>
    <row r="3948" spans="2:15" s="645" customFormat="1" ht="21.75" customHeight="1">
      <c r="B3948" s="708">
        <v>44476</v>
      </c>
      <c r="C3948" s="709" t="s">
        <v>837</v>
      </c>
      <c r="D3948" s="710" t="s">
        <v>835</v>
      </c>
      <c r="E3948" s="711" t="s">
        <v>831</v>
      </c>
      <c r="F3948" s="712"/>
      <c r="G3948" s="710">
        <v>20</v>
      </c>
      <c r="H3948" s="709" t="s">
        <v>807</v>
      </c>
      <c r="I3948" s="713" t="s">
        <v>859</v>
      </c>
      <c r="J3948" s="714" t="s">
        <v>802</v>
      </c>
      <c r="K3948" s="709">
        <v>2</v>
      </c>
      <c r="L3948" s="715">
        <f t="shared" si="119"/>
        <v>18.8</v>
      </c>
      <c r="M3948" s="716">
        <f t="shared" si="120"/>
        <v>37.6</v>
      </c>
      <c r="O3948" s="693"/>
    </row>
    <row r="3949" spans="2:15" s="645" customFormat="1" ht="21.75" customHeight="1">
      <c r="B3949" s="708">
        <v>44476</v>
      </c>
      <c r="C3949" s="709" t="s">
        <v>837</v>
      </c>
      <c r="D3949" s="710" t="s">
        <v>841</v>
      </c>
      <c r="E3949" s="711" t="s">
        <v>831</v>
      </c>
      <c r="F3949" s="712"/>
      <c r="G3949" s="710">
        <v>20</v>
      </c>
      <c r="H3949" s="709" t="s">
        <v>807</v>
      </c>
      <c r="I3949" s="713" t="s">
        <v>859</v>
      </c>
      <c r="J3949" s="714" t="s">
        <v>802</v>
      </c>
      <c r="K3949" s="709">
        <v>5</v>
      </c>
      <c r="L3949" s="715">
        <f t="shared" si="119"/>
        <v>18.8</v>
      </c>
      <c r="M3949" s="716">
        <f t="shared" si="120"/>
        <v>94</v>
      </c>
      <c r="O3949" s="693"/>
    </row>
    <row r="3950" spans="2:15" s="645" customFormat="1" ht="21.75" customHeight="1">
      <c r="B3950" s="708">
        <v>44476</v>
      </c>
      <c r="C3950" s="709" t="s">
        <v>837</v>
      </c>
      <c r="D3950" s="710" t="s">
        <v>834</v>
      </c>
      <c r="E3950" s="711" t="s">
        <v>831</v>
      </c>
      <c r="F3950" s="712"/>
      <c r="G3950" s="710">
        <v>20</v>
      </c>
      <c r="H3950" s="709" t="s">
        <v>807</v>
      </c>
      <c r="I3950" s="713" t="s">
        <v>859</v>
      </c>
      <c r="J3950" s="714" t="s">
        <v>802</v>
      </c>
      <c r="K3950" s="709">
        <v>5</v>
      </c>
      <c r="L3950" s="715">
        <f t="shared" si="119"/>
        <v>18.8</v>
      </c>
      <c r="M3950" s="716">
        <f t="shared" si="120"/>
        <v>94</v>
      </c>
      <c r="O3950" s="693"/>
    </row>
    <row r="3951" spans="2:15" s="645" customFormat="1" ht="21.75" customHeight="1">
      <c r="B3951" s="708">
        <v>44476</v>
      </c>
      <c r="C3951" s="709" t="s">
        <v>837</v>
      </c>
      <c r="D3951" s="710" t="s">
        <v>833</v>
      </c>
      <c r="E3951" s="711" t="s">
        <v>831</v>
      </c>
      <c r="F3951" s="712"/>
      <c r="G3951" s="710">
        <v>15</v>
      </c>
      <c r="H3951" s="709" t="s">
        <v>807</v>
      </c>
      <c r="I3951" s="713" t="s">
        <v>859</v>
      </c>
      <c r="J3951" s="714" t="s">
        <v>802</v>
      </c>
      <c r="K3951" s="709">
        <v>2</v>
      </c>
      <c r="L3951" s="715">
        <f t="shared" si="119"/>
        <v>14.1</v>
      </c>
      <c r="M3951" s="716">
        <f t="shared" si="120"/>
        <v>28.2</v>
      </c>
      <c r="O3951" s="693"/>
    </row>
    <row r="3952" spans="2:15" s="645" customFormat="1" ht="21.75" customHeight="1">
      <c r="B3952" s="708">
        <v>44476</v>
      </c>
      <c r="C3952" s="709" t="s">
        <v>837</v>
      </c>
      <c r="D3952" s="710" t="s">
        <v>845</v>
      </c>
      <c r="E3952" s="711" t="s">
        <v>831</v>
      </c>
      <c r="F3952" s="712"/>
      <c r="G3952" s="710">
        <v>17</v>
      </c>
      <c r="H3952" s="709" t="s">
        <v>807</v>
      </c>
      <c r="I3952" s="713" t="s">
        <v>859</v>
      </c>
      <c r="J3952" s="714" t="s">
        <v>802</v>
      </c>
      <c r="K3952" s="709">
        <v>2</v>
      </c>
      <c r="L3952" s="715">
        <f t="shared" si="119"/>
        <v>15.98</v>
      </c>
      <c r="M3952" s="716">
        <f t="shared" si="120"/>
        <v>31.96</v>
      </c>
      <c r="O3952" s="693"/>
    </row>
    <row r="3953" spans="2:15" s="645" customFormat="1" ht="21.75" customHeight="1">
      <c r="B3953" s="708">
        <v>44476</v>
      </c>
      <c r="C3953" s="709" t="s">
        <v>837</v>
      </c>
      <c r="D3953" s="710" t="s">
        <v>878</v>
      </c>
      <c r="E3953" s="711" t="s">
        <v>831</v>
      </c>
      <c r="F3953" s="712"/>
      <c r="G3953" s="710">
        <v>15</v>
      </c>
      <c r="H3953" s="709" t="s">
        <v>807</v>
      </c>
      <c r="I3953" s="713" t="s">
        <v>859</v>
      </c>
      <c r="J3953" s="714" t="s">
        <v>802</v>
      </c>
      <c r="K3953" s="709">
        <v>5</v>
      </c>
      <c r="L3953" s="715">
        <f t="shared" si="119"/>
        <v>14.1</v>
      </c>
      <c r="M3953" s="716">
        <f t="shared" si="120"/>
        <v>70.5</v>
      </c>
      <c r="O3953" s="693"/>
    </row>
    <row r="3954" spans="2:15" s="645" customFormat="1" ht="21.75" customHeight="1">
      <c r="B3954" s="708">
        <v>44476</v>
      </c>
      <c r="C3954" s="709" t="s">
        <v>837</v>
      </c>
      <c r="D3954" s="710" t="s">
        <v>855</v>
      </c>
      <c r="E3954" s="711" t="s">
        <v>831</v>
      </c>
      <c r="F3954" s="712"/>
      <c r="G3954" s="710">
        <v>20</v>
      </c>
      <c r="H3954" s="709" t="s">
        <v>807</v>
      </c>
      <c r="I3954" s="713" t="s">
        <v>859</v>
      </c>
      <c r="J3954" s="714" t="s">
        <v>802</v>
      </c>
      <c r="K3954" s="709">
        <v>6</v>
      </c>
      <c r="L3954" s="715">
        <f t="shared" si="119"/>
        <v>18.8</v>
      </c>
      <c r="M3954" s="716">
        <f t="shared" si="120"/>
        <v>112.80000000000001</v>
      </c>
      <c r="O3954" s="693"/>
    </row>
    <row r="3955" spans="2:15" s="645" customFormat="1" ht="21.75" customHeight="1">
      <c r="B3955" s="708">
        <v>44476</v>
      </c>
      <c r="C3955" s="709" t="s">
        <v>837</v>
      </c>
      <c r="D3955" s="710" t="s">
        <v>875</v>
      </c>
      <c r="E3955" s="711" t="s">
        <v>831</v>
      </c>
      <c r="F3955" s="712"/>
      <c r="G3955" s="710">
        <v>20</v>
      </c>
      <c r="H3955" s="709" t="s">
        <v>807</v>
      </c>
      <c r="I3955" s="713" t="s">
        <v>859</v>
      </c>
      <c r="J3955" s="714" t="s">
        <v>802</v>
      </c>
      <c r="K3955" s="709">
        <v>4</v>
      </c>
      <c r="L3955" s="715">
        <f t="shared" si="119"/>
        <v>18.8</v>
      </c>
      <c r="M3955" s="716">
        <f t="shared" si="120"/>
        <v>75.2</v>
      </c>
      <c r="O3955" s="693"/>
    </row>
    <row r="3956" spans="2:15" s="645" customFormat="1" ht="21.75" customHeight="1">
      <c r="B3956" s="708">
        <v>44476</v>
      </c>
      <c r="C3956" s="709" t="s">
        <v>837</v>
      </c>
      <c r="D3956" s="710" t="s">
        <v>868</v>
      </c>
      <c r="E3956" s="711" t="s">
        <v>831</v>
      </c>
      <c r="F3956" s="712"/>
      <c r="G3956" s="710">
        <v>20</v>
      </c>
      <c r="H3956" s="709" t="s">
        <v>807</v>
      </c>
      <c r="I3956" s="713" t="s">
        <v>859</v>
      </c>
      <c r="J3956" s="714" t="s">
        <v>802</v>
      </c>
      <c r="K3956" s="709">
        <v>8</v>
      </c>
      <c r="L3956" s="715">
        <f t="shared" si="119"/>
        <v>18.8</v>
      </c>
      <c r="M3956" s="716">
        <f t="shared" si="120"/>
        <v>150.4</v>
      </c>
      <c r="O3956" s="693"/>
    </row>
    <row r="3957" spans="2:15" s="645" customFormat="1" ht="21.75" customHeight="1">
      <c r="B3957" s="708">
        <v>44476</v>
      </c>
      <c r="C3957" s="709" t="s">
        <v>837</v>
      </c>
      <c r="D3957" s="710" t="s">
        <v>870</v>
      </c>
      <c r="E3957" s="711" t="s">
        <v>831</v>
      </c>
      <c r="F3957" s="712"/>
      <c r="G3957" s="710">
        <v>20</v>
      </c>
      <c r="H3957" s="709" t="s">
        <v>807</v>
      </c>
      <c r="I3957" s="713" t="s">
        <v>859</v>
      </c>
      <c r="J3957" s="714" t="s">
        <v>802</v>
      </c>
      <c r="K3957" s="709">
        <v>8</v>
      </c>
      <c r="L3957" s="715">
        <f t="shared" si="119"/>
        <v>18.8</v>
      </c>
      <c r="M3957" s="716">
        <f t="shared" si="120"/>
        <v>150.4</v>
      </c>
      <c r="O3957" s="693"/>
    </row>
    <row r="3958" spans="2:15" s="645" customFormat="1" ht="21.75" customHeight="1">
      <c r="B3958" s="717">
        <v>44476</v>
      </c>
      <c r="C3958" s="718" t="s">
        <v>819</v>
      </c>
      <c r="D3958" s="719" t="s">
        <v>849</v>
      </c>
      <c r="E3958" s="720" t="s">
        <v>831</v>
      </c>
      <c r="F3958" s="721"/>
      <c r="G3958" s="719">
        <v>20</v>
      </c>
      <c r="H3958" s="718" t="s">
        <v>806</v>
      </c>
      <c r="I3958" s="722" t="s">
        <v>890</v>
      </c>
      <c r="J3958" s="723" t="s">
        <v>892</v>
      </c>
      <c r="K3958" s="718">
        <v>12</v>
      </c>
      <c r="L3958" s="724">
        <f t="shared" si="119"/>
        <v>18.8</v>
      </c>
      <c r="M3958" s="725">
        <f t="shared" si="120"/>
        <v>225.60000000000002</v>
      </c>
      <c r="O3958" s="693"/>
    </row>
    <row r="3959" spans="2:15" s="645" customFormat="1" ht="21.75" customHeight="1">
      <c r="B3959" s="717">
        <v>44476</v>
      </c>
      <c r="C3959" s="718" t="s">
        <v>819</v>
      </c>
      <c r="D3959" s="719" t="s">
        <v>841</v>
      </c>
      <c r="E3959" s="720" t="s">
        <v>831</v>
      </c>
      <c r="F3959" s="721"/>
      <c r="G3959" s="719">
        <v>20</v>
      </c>
      <c r="H3959" s="718" t="s">
        <v>806</v>
      </c>
      <c r="I3959" s="722" t="s">
        <v>890</v>
      </c>
      <c r="J3959" s="723" t="s">
        <v>892</v>
      </c>
      <c r="K3959" s="718">
        <v>2</v>
      </c>
      <c r="L3959" s="724">
        <f t="shared" si="119"/>
        <v>18.8</v>
      </c>
      <c r="M3959" s="725">
        <f t="shared" si="120"/>
        <v>37.6</v>
      </c>
      <c r="O3959" s="693"/>
    </row>
    <row r="3960" spans="2:15" s="645" customFormat="1" ht="21.75" customHeight="1">
      <c r="B3960" s="717">
        <v>44476</v>
      </c>
      <c r="C3960" s="718" t="s">
        <v>819</v>
      </c>
      <c r="D3960" s="719" t="s">
        <v>834</v>
      </c>
      <c r="E3960" s="720" t="s">
        <v>831</v>
      </c>
      <c r="F3960" s="721"/>
      <c r="G3960" s="719">
        <v>20</v>
      </c>
      <c r="H3960" s="718" t="s">
        <v>806</v>
      </c>
      <c r="I3960" s="722" t="s">
        <v>890</v>
      </c>
      <c r="J3960" s="723" t="s">
        <v>892</v>
      </c>
      <c r="K3960" s="718">
        <v>4</v>
      </c>
      <c r="L3960" s="724">
        <f t="shared" si="119"/>
        <v>18.8</v>
      </c>
      <c r="M3960" s="725">
        <f t="shared" si="120"/>
        <v>75.2</v>
      </c>
      <c r="O3960" s="693"/>
    </row>
    <row r="3961" spans="2:15" s="645" customFormat="1" ht="21.75" customHeight="1">
      <c r="B3961" s="717">
        <v>44476</v>
      </c>
      <c r="C3961" s="718" t="s">
        <v>819</v>
      </c>
      <c r="D3961" s="719" t="s">
        <v>833</v>
      </c>
      <c r="E3961" s="720" t="s">
        <v>831</v>
      </c>
      <c r="F3961" s="721"/>
      <c r="G3961" s="719">
        <v>15</v>
      </c>
      <c r="H3961" s="718" t="s">
        <v>806</v>
      </c>
      <c r="I3961" s="722" t="s">
        <v>890</v>
      </c>
      <c r="J3961" s="723" t="s">
        <v>892</v>
      </c>
      <c r="K3961" s="718">
        <v>2</v>
      </c>
      <c r="L3961" s="724">
        <f t="shared" si="119"/>
        <v>14.1</v>
      </c>
      <c r="M3961" s="725">
        <f t="shared" si="120"/>
        <v>28.2</v>
      </c>
      <c r="O3961" s="693"/>
    </row>
    <row r="3962" spans="2:15" s="645" customFormat="1" ht="21.75" customHeight="1">
      <c r="B3962" s="717">
        <v>44476</v>
      </c>
      <c r="C3962" s="718" t="s">
        <v>819</v>
      </c>
      <c r="D3962" s="719" t="s">
        <v>830</v>
      </c>
      <c r="E3962" s="720" t="s">
        <v>831</v>
      </c>
      <c r="F3962" s="721"/>
      <c r="G3962" s="719">
        <v>15</v>
      </c>
      <c r="H3962" s="718" t="s">
        <v>806</v>
      </c>
      <c r="I3962" s="722" t="s">
        <v>890</v>
      </c>
      <c r="J3962" s="723" t="s">
        <v>892</v>
      </c>
      <c r="K3962" s="718">
        <v>3</v>
      </c>
      <c r="L3962" s="724">
        <f t="shared" si="119"/>
        <v>14.1</v>
      </c>
      <c r="M3962" s="725">
        <f t="shared" si="120"/>
        <v>42.3</v>
      </c>
      <c r="O3962" s="693"/>
    </row>
    <row r="3963" spans="2:15" s="645" customFormat="1" ht="21.75" customHeight="1">
      <c r="B3963" s="717">
        <v>44476</v>
      </c>
      <c r="C3963" s="718" t="s">
        <v>819</v>
      </c>
      <c r="D3963" s="719" t="s">
        <v>845</v>
      </c>
      <c r="E3963" s="720" t="s">
        <v>831</v>
      </c>
      <c r="F3963" s="721"/>
      <c r="G3963" s="719">
        <v>17</v>
      </c>
      <c r="H3963" s="718" t="s">
        <v>806</v>
      </c>
      <c r="I3963" s="722" t="s">
        <v>890</v>
      </c>
      <c r="J3963" s="723" t="s">
        <v>892</v>
      </c>
      <c r="K3963" s="718">
        <v>12</v>
      </c>
      <c r="L3963" s="724">
        <f t="shared" si="119"/>
        <v>15.98</v>
      </c>
      <c r="M3963" s="725">
        <f t="shared" si="120"/>
        <v>191.76</v>
      </c>
      <c r="O3963" s="693"/>
    </row>
    <row r="3964" spans="2:15" s="645" customFormat="1" ht="21.75" customHeight="1">
      <c r="B3964" s="717">
        <v>44476</v>
      </c>
      <c r="C3964" s="718" t="s">
        <v>819</v>
      </c>
      <c r="D3964" s="719" t="s">
        <v>868</v>
      </c>
      <c r="E3964" s="720" t="s">
        <v>831</v>
      </c>
      <c r="F3964" s="721"/>
      <c r="G3964" s="719">
        <v>20</v>
      </c>
      <c r="H3964" s="718" t="s">
        <v>806</v>
      </c>
      <c r="I3964" s="722" t="s">
        <v>890</v>
      </c>
      <c r="J3964" s="723" t="s">
        <v>892</v>
      </c>
      <c r="K3964" s="718">
        <v>4</v>
      </c>
      <c r="L3964" s="724">
        <f t="shared" si="119"/>
        <v>18.8</v>
      </c>
      <c r="M3964" s="725">
        <f t="shared" si="120"/>
        <v>75.2</v>
      </c>
      <c r="O3964" s="693"/>
    </row>
    <row r="3965" spans="2:15" s="645" customFormat="1" ht="21.75" customHeight="1">
      <c r="B3965" s="661">
        <v>44477</v>
      </c>
      <c r="C3965" s="662" t="s">
        <v>819</v>
      </c>
      <c r="D3965" s="663" t="s">
        <v>849</v>
      </c>
      <c r="E3965" s="664" t="s">
        <v>831</v>
      </c>
      <c r="F3965" s="665"/>
      <c r="G3965" s="663">
        <v>20</v>
      </c>
      <c r="H3965" s="662" t="s">
        <v>807</v>
      </c>
      <c r="I3965" s="666" t="s">
        <v>859</v>
      </c>
      <c r="J3965" s="667" t="s">
        <v>805</v>
      </c>
      <c r="K3965" s="662">
        <v>4</v>
      </c>
      <c r="L3965" s="685">
        <f t="shared" si="119"/>
        <v>18.8</v>
      </c>
      <c r="M3965" s="686">
        <f t="shared" si="120"/>
        <v>75.2</v>
      </c>
      <c r="O3965" s="693"/>
    </row>
    <row r="3966" spans="2:15" s="645" customFormat="1" ht="21.75" customHeight="1">
      <c r="B3966" s="661">
        <v>44477</v>
      </c>
      <c r="C3966" s="662" t="s">
        <v>819</v>
      </c>
      <c r="D3966" s="663" t="s">
        <v>849</v>
      </c>
      <c r="E3966" s="664" t="s">
        <v>831</v>
      </c>
      <c r="F3966" s="665"/>
      <c r="G3966" s="663">
        <v>20</v>
      </c>
      <c r="H3966" s="662" t="s">
        <v>807</v>
      </c>
      <c r="I3966" s="666" t="s">
        <v>859</v>
      </c>
      <c r="J3966" s="667" t="s">
        <v>804</v>
      </c>
      <c r="K3966" s="662">
        <v>1</v>
      </c>
      <c r="L3966" s="685">
        <f t="shared" si="119"/>
        <v>18.8</v>
      </c>
      <c r="M3966" s="686">
        <f t="shared" si="120"/>
        <v>18.8</v>
      </c>
      <c r="O3966" s="693"/>
    </row>
    <row r="3967" spans="2:15" s="645" customFormat="1" ht="21.75" customHeight="1">
      <c r="B3967" s="661">
        <v>44477</v>
      </c>
      <c r="C3967" s="662" t="s">
        <v>819</v>
      </c>
      <c r="D3967" s="663" t="s">
        <v>840</v>
      </c>
      <c r="E3967" s="664" t="s">
        <v>831</v>
      </c>
      <c r="F3967" s="665"/>
      <c r="G3967" s="663">
        <v>20</v>
      </c>
      <c r="H3967" s="662" t="s">
        <v>807</v>
      </c>
      <c r="I3967" s="666" t="s">
        <v>859</v>
      </c>
      <c r="J3967" s="667" t="s">
        <v>805</v>
      </c>
      <c r="K3967" s="662">
        <v>2</v>
      </c>
      <c r="L3967" s="685">
        <f t="shared" si="119"/>
        <v>18.8</v>
      </c>
      <c r="M3967" s="686">
        <f t="shared" si="120"/>
        <v>37.6</v>
      </c>
      <c r="O3967" s="693"/>
    </row>
    <row r="3968" spans="2:15" s="645" customFormat="1" ht="21.75" customHeight="1">
      <c r="B3968" s="661">
        <v>44477</v>
      </c>
      <c r="C3968" s="662" t="s">
        <v>819</v>
      </c>
      <c r="D3968" s="663" t="s">
        <v>840</v>
      </c>
      <c r="E3968" s="664" t="s">
        <v>831</v>
      </c>
      <c r="F3968" s="665"/>
      <c r="G3968" s="663">
        <v>20</v>
      </c>
      <c r="H3968" s="662" t="s">
        <v>807</v>
      </c>
      <c r="I3968" s="666" t="s">
        <v>859</v>
      </c>
      <c r="J3968" s="667" t="s">
        <v>804</v>
      </c>
      <c r="K3968" s="662">
        <v>3</v>
      </c>
      <c r="L3968" s="685">
        <f t="shared" si="119"/>
        <v>18.8</v>
      </c>
      <c r="M3968" s="686">
        <f t="shared" si="120"/>
        <v>56.400000000000006</v>
      </c>
      <c r="O3968" s="693"/>
    </row>
    <row r="3969" spans="2:15" s="645" customFormat="1" ht="21.75" customHeight="1">
      <c r="B3969" s="661">
        <v>44477</v>
      </c>
      <c r="C3969" s="662" t="s">
        <v>819</v>
      </c>
      <c r="D3969" s="663" t="s">
        <v>835</v>
      </c>
      <c r="E3969" s="664" t="s">
        <v>831</v>
      </c>
      <c r="F3969" s="665"/>
      <c r="G3969" s="663">
        <v>20</v>
      </c>
      <c r="H3969" s="662" t="s">
        <v>807</v>
      </c>
      <c r="I3969" s="666" t="s">
        <v>859</v>
      </c>
      <c r="J3969" s="667" t="s">
        <v>805</v>
      </c>
      <c r="K3969" s="662">
        <v>6</v>
      </c>
      <c r="L3969" s="685">
        <f t="shared" si="119"/>
        <v>18.8</v>
      </c>
      <c r="M3969" s="686">
        <f t="shared" si="120"/>
        <v>112.80000000000001</v>
      </c>
      <c r="O3969" s="693"/>
    </row>
    <row r="3970" spans="2:15" s="645" customFormat="1" ht="21.75" customHeight="1">
      <c r="B3970" s="661">
        <v>44477</v>
      </c>
      <c r="C3970" s="662" t="s">
        <v>819</v>
      </c>
      <c r="D3970" s="663" t="s">
        <v>841</v>
      </c>
      <c r="E3970" s="664" t="s">
        <v>831</v>
      </c>
      <c r="F3970" s="665"/>
      <c r="G3970" s="663">
        <v>20</v>
      </c>
      <c r="H3970" s="662" t="s">
        <v>807</v>
      </c>
      <c r="I3970" s="666" t="s">
        <v>859</v>
      </c>
      <c r="J3970" s="667" t="s">
        <v>805</v>
      </c>
      <c r="K3970" s="662">
        <v>2</v>
      </c>
      <c r="L3970" s="685">
        <f t="shared" si="119"/>
        <v>18.8</v>
      </c>
      <c r="M3970" s="686">
        <f t="shared" si="120"/>
        <v>37.6</v>
      </c>
      <c r="O3970" s="693"/>
    </row>
    <row r="3971" spans="2:15" s="645" customFormat="1" ht="21.75" customHeight="1">
      <c r="B3971" s="661">
        <v>44477</v>
      </c>
      <c r="C3971" s="662" t="s">
        <v>819</v>
      </c>
      <c r="D3971" s="663" t="s">
        <v>841</v>
      </c>
      <c r="E3971" s="664" t="s">
        <v>831</v>
      </c>
      <c r="F3971" s="665"/>
      <c r="G3971" s="663">
        <v>20</v>
      </c>
      <c r="H3971" s="662" t="s">
        <v>807</v>
      </c>
      <c r="I3971" s="666" t="s">
        <v>859</v>
      </c>
      <c r="J3971" s="667" t="s">
        <v>804</v>
      </c>
      <c r="K3971" s="662">
        <v>3</v>
      </c>
      <c r="L3971" s="685">
        <f t="shared" si="119"/>
        <v>18.8</v>
      </c>
      <c r="M3971" s="686">
        <f t="shared" si="120"/>
        <v>56.400000000000006</v>
      </c>
      <c r="O3971" s="693"/>
    </row>
    <row r="3972" spans="2:15" s="645" customFormat="1" ht="21.75" customHeight="1">
      <c r="B3972" s="661">
        <v>44477</v>
      </c>
      <c r="C3972" s="662" t="s">
        <v>819</v>
      </c>
      <c r="D3972" s="663" t="s">
        <v>834</v>
      </c>
      <c r="E3972" s="664" t="s">
        <v>831</v>
      </c>
      <c r="F3972" s="665"/>
      <c r="G3972" s="663">
        <v>20</v>
      </c>
      <c r="H3972" s="662" t="s">
        <v>807</v>
      </c>
      <c r="I3972" s="666" t="s">
        <v>859</v>
      </c>
      <c r="J3972" s="667" t="s">
        <v>804</v>
      </c>
      <c r="K3972" s="662">
        <v>9</v>
      </c>
      <c r="L3972" s="685">
        <f t="shared" si="119"/>
        <v>18.8</v>
      </c>
      <c r="M3972" s="686">
        <f t="shared" si="120"/>
        <v>169.20000000000002</v>
      </c>
      <c r="O3972" s="693"/>
    </row>
    <row r="3973" spans="2:15" s="645" customFormat="1" ht="21.75" customHeight="1">
      <c r="B3973" s="661">
        <v>44477</v>
      </c>
      <c r="C3973" s="662" t="s">
        <v>819</v>
      </c>
      <c r="D3973" s="663" t="s">
        <v>833</v>
      </c>
      <c r="E3973" s="664" t="s">
        <v>831</v>
      </c>
      <c r="F3973" s="665"/>
      <c r="G3973" s="663">
        <v>15</v>
      </c>
      <c r="H3973" s="662" t="s">
        <v>807</v>
      </c>
      <c r="I3973" s="666" t="s">
        <v>859</v>
      </c>
      <c r="J3973" s="667" t="s">
        <v>805</v>
      </c>
      <c r="K3973" s="662">
        <v>2</v>
      </c>
      <c r="L3973" s="685">
        <f t="shared" si="119"/>
        <v>14.1</v>
      </c>
      <c r="M3973" s="686">
        <f t="shared" si="120"/>
        <v>28.2</v>
      </c>
      <c r="O3973" s="693"/>
    </row>
    <row r="3974" spans="2:15" s="645" customFormat="1" ht="21.75" customHeight="1">
      <c r="B3974" s="661">
        <v>44477</v>
      </c>
      <c r="C3974" s="662" t="s">
        <v>819</v>
      </c>
      <c r="D3974" s="663" t="s">
        <v>830</v>
      </c>
      <c r="E3974" s="664" t="s">
        <v>831</v>
      </c>
      <c r="F3974" s="665"/>
      <c r="G3974" s="663">
        <v>15</v>
      </c>
      <c r="H3974" s="662" t="s">
        <v>807</v>
      </c>
      <c r="I3974" s="666" t="s">
        <v>859</v>
      </c>
      <c r="J3974" s="667" t="s">
        <v>805</v>
      </c>
      <c r="K3974" s="662">
        <v>1</v>
      </c>
      <c r="L3974" s="685">
        <f t="shared" si="119"/>
        <v>14.1</v>
      </c>
      <c r="M3974" s="686">
        <f t="shared" si="120"/>
        <v>14.1</v>
      </c>
      <c r="O3974" s="693"/>
    </row>
    <row r="3975" spans="2:15" s="645" customFormat="1" ht="21.75" customHeight="1">
      <c r="B3975" s="661">
        <v>44477</v>
      </c>
      <c r="C3975" s="662" t="s">
        <v>819</v>
      </c>
      <c r="D3975" s="663" t="s">
        <v>830</v>
      </c>
      <c r="E3975" s="664" t="s">
        <v>831</v>
      </c>
      <c r="F3975" s="665"/>
      <c r="G3975" s="663">
        <v>15</v>
      </c>
      <c r="H3975" s="662" t="s">
        <v>807</v>
      </c>
      <c r="I3975" s="666" t="s">
        <v>859</v>
      </c>
      <c r="J3975" s="667" t="s">
        <v>804</v>
      </c>
      <c r="K3975" s="662">
        <v>8</v>
      </c>
      <c r="L3975" s="685">
        <f t="shared" si="119"/>
        <v>14.1</v>
      </c>
      <c r="M3975" s="686">
        <f t="shared" si="120"/>
        <v>112.8</v>
      </c>
      <c r="O3975" s="693"/>
    </row>
    <row r="3976" spans="2:15" s="645" customFormat="1" ht="21.75" customHeight="1">
      <c r="B3976" s="661">
        <v>44477</v>
      </c>
      <c r="C3976" s="662" t="s">
        <v>819</v>
      </c>
      <c r="D3976" s="663" t="s">
        <v>839</v>
      </c>
      <c r="E3976" s="664" t="s">
        <v>831</v>
      </c>
      <c r="F3976" s="665"/>
      <c r="G3976" s="663">
        <v>15</v>
      </c>
      <c r="H3976" s="662" t="s">
        <v>807</v>
      </c>
      <c r="I3976" s="666" t="s">
        <v>859</v>
      </c>
      <c r="J3976" s="667" t="s">
        <v>805</v>
      </c>
      <c r="K3976" s="662">
        <v>1</v>
      </c>
      <c r="L3976" s="685">
        <f t="shared" si="119"/>
        <v>14.1</v>
      </c>
      <c r="M3976" s="686">
        <f t="shared" si="120"/>
        <v>14.1</v>
      </c>
      <c r="O3976" s="693"/>
    </row>
    <row r="3977" spans="2:15" s="645" customFormat="1" ht="21.75" customHeight="1">
      <c r="B3977" s="661">
        <v>44477</v>
      </c>
      <c r="C3977" s="662" t="s">
        <v>819</v>
      </c>
      <c r="D3977" s="663" t="s">
        <v>845</v>
      </c>
      <c r="E3977" s="664" t="s">
        <v>831</v>
      </c>
      <c r="F3977" s="665"/>
      <c r="G3977" s="663">
        <v>17</v>
      </c>
      <c r="H3977" s="662" t="s">
        <v>807</v>
      </c>
      <c r="I3977" s="666" t="s">
        <v>859</v>
      </c>
      <c r="J3977" s="667" t="s">
        <v>804</v>
      </c>
      <c r="K3977" s="662">
        <v>2</v>
      </c>
      <c r="L3977" s="685">
        <f t="shared" ref="L3977:L4040" si="121">VLOOKUP(G3977,$Q$4:$V$7,6,FALSE)</f>
        <v>15.98</v>
      </c>
      <c r="M3977" s="686">
        <f t="shared" si="120"/>
        <v>31.96</v>
      </c>
      <c r="O3977" s="693"/>
    </row>
    <row r="3978" spans="2:15" s="645" customFormat="1" ht="21.75" customHeight="1">
      <c r="B3978" s="661">
        <v>44477</v>
      </c>
      <c r="C3978" s="662" t="s">
        <v>819</v>
      </c>
      <c r="D3978" s="663" t="s">
        <v>847</v>
      </c>
      <c r="E3978" s="664" t="s">
        <v>831</v>
      </c>
      <c r="F3978" s="665"/>
      <c r="G3978" s="663">
        <v>17</v>
      </c>
      <c r="H3978" s="662" t="s">
        <v>807</v>
      </c>
      <c r="I3978" s="666" t="s">
        <v>859</v>
      </c>
      <c r="J3978" s="667" t="s">
        <v>805</v>
      </c>
      <c r="K3978" s="662">
        <v>3</v>
      </c>
      <c r="L3978" s="685">
        <f t="shared" si="121"/>
        <v>15.98</v>
      </c>
      <c r="M3978" s="686">
        <f t="shared" si="120"/>
        <v>47.94</v>
      </c>
      <c r="O3978" s="693"/>
    </row>
    <row r="3979" spans="2:15" s="645" customFormat="1" ht="21.75" customHeight="1">
      <c r="B3979" s="661">
        <v>44477</v>
      </c>
      <c r="C3979" s="662" t="s">
        <v>819</v>
      </c>
      <c r="D3979" s="663" t="s">
        <v>847</v>
      </c>
      <c r="E3979" s="664" t="s">
        <v>831</v>
      </c>
      <c r="F3979" s="665"/>
      <c r="G3979" s="663">
        <v>17</v>
      </c>
      <c r="H3979" s="662" t="s">
        <v>807</v>
      </c>
      <c r="I3979" s="666" t="s">
        <v>859</v>
      </c>
      <c r="J3979" s="667" t="s">
        <v>804</v>
      </c>
      <c r="K3979" s="662">
        <v>2</v>
      </c>
      <c r="L3979" s="685">
        <f t="shared" si="121"/>
        <v>15.98</v>
      </c>
      <c r="M3979" s="686">
        <f t="shared" si="120"/>
        <v>31.96</v>
      </c>
      <c r="O3979" s="693"/>
    </row>
    <row r="3980" spans="2:15" s="645" customFormat="1" ht="21.75" customHeight="1">
      <c r="B3980" s="661">
        <v>44477</v>
      </c>
      <c r="C3980" s="662" t="s">
        <v>819</v>
      </c>
      <c r="D3980" s="663" t="s">
        <v>878</v>
      </c>
      <c r="E3980" s="664" t="s">
        <v>831</v>
      </c>
      <c r="F3980" s="665"/>
      <c r="G3980" s="663">
        <v>15</v>
      </c>
      <c r="H3980" s="662" t="s">
        <v>807</v>
      </c>
      <c r="I3980" s="666" t="s">
        <v>859</v>
      </c>
      <c r="J3980" s="667" t="s">
        <v>805</v>
      </c>
      <c r="K3980" s="662">
        <v>4</v>
      </c>
      <c r="L3980" s="685">
        <f t="shared" si="121"/>
        <v>14.1</v>
      </c>
      <c r="M3980" s="686">
        <f t="shared" si="120"/>
        <v>56.4</v>
      </c>
      <c r="O3980" s="693"/>
    </row>
    <row r="3981" spans="2:15" s="645" customFormat="1" ht="21.75" customHeight="1">
      <c r="B3981" s="661">
        <v>44477</v>
      </c>
      <c r="C3981" s="662" t="s">
        <v>819</v>
      </c>
      <c r="D3981" s="663" t="s">
        <v>878</v>
      </c>
      <c r="E3981" s="664" t="s">
        <v>831</v>
      </c>
      <c r="F3981" s="665"/>
      <c r="G3981" s="663">
        <v>15</v>
      </c>
      <c r="H3981" s="662" t="s">
        <v>807</v>
      </c>
      <c r="I3981" s="666" t="s">
        <v>859</v>
      </c>
      <c r="J3981" s="667" t="s">
        <v>804</v>
      </c>
      <c r="K3981" s="662">
        <v>1</v>
      </c>
      <c r="L3981" s="685">
        <f t="shared" si="121"/>
        <v>14.1</v>
      </c>
      <c r="M3981" s="686">
        <f t="shared" si="120"/>
        <v>14.1</v>
      </c>
      <c r="O3981" s="693"/>
    </row>
    <row r="3982" spans="2:15" s="645" customFormat="1" ht="21.75" customHeight="1">
      <c r="B3982" s="661">
        <v>44477</v>
      </c>
      <c r="C3982" s="662" t="s">
        <v>819</v>
      </c>
      <c r="D3982" s="663" t="s">
        <v>855</v>
      </c>
      <c r="E3982" s="664" t="s">
        <v>831</v>
      </c>
      <c r="F3982" s="665"/>
      <c r="G3982" s="663">
        <v>20</v>
      </c>
      <c r="H3982" s="662" t="s">
        <v>807</v>
      </c>
      <c r="I3982" s="666" t="s">
        <v>859</v>
      </c>
      <c r="J3982" s="667" t="s">
        <v>805</v>
      </c>
      <c r="K3982" s="662">
        <v>4</v>
      </c>
      <c r="L3982" s="685">
        <f t="shared" si="121"/>
        <v>18.8</v>
      </c>
      <c r="M3982" s="686">
        <f t="shared" si="120"/>
        <v>75.2</v>
      </c>
      <c r="O3982" s="693"/>
    </row>
    <row r="3983" spans="2:15" s="645" customFormat="1" ht="21.75" customHeight="1">
      <c r="B3983" s="661">
        <v>44477</v>
      </c>
      <c r="C3983" s="662" t="s">
        <v>819</v>
      </c>
      <c r="D3983" s="663" t="s">
        <v>855</v>
      </c>
      <c r="E3983" s="664" t="s">
        <v>831</v>
      </c>
      <c r="F3983" s="665"/>
      <c r="G3983" s="663">
        <v>20</v>
      </c>
      <c r="H3983" s="662" t="s">
        <v>807</v>
      </c>
      <c r="I3983" s="666" t="s">
        <v>859</v>
      </c>
      <c r="J3983" s="667" t="s">
        <v>804</v>
      </c>
      <c r="K3983" s="662">
        <v>2</v>
      </c>
      <c r="L3983" s="685">
        <f t="shared" si="121"/>
        <v>18.8</v>
      </c>
      <c r="M3983" s="686">
        <f t="shared" si="120"/>
        <v>37.6</v>
      </c>
      <c r="O3983" s="693"/>
    </row>
    <row r="3984" spans="2:15" s="645" customFormat="1" ht="21.75" customHeight="1">
      <c r="B3984" s="661">
        <v>44477</v>
      </c>
      <c r="C3984" s="662" t="s">
        <v>819</v>
      </c>
      <c r="D3984" s="663" t="s">
        <v>875</v>
      </c>
      <c r="E3984" s="664" t="s">
        <v>831</v>
      </c>
      <c r="F3984" s="665"/>
      <c r="G3984" s="663">
        <v>20</v>
      </c>
      <c r="H3984" s="662" t="s">
        <v>807</v>
      </c>
      <c r="I3984" s="666" t="s">
        <v>859</v>
      </c>
      <c r="J3984" s="667" t="s">
        <v>805</v>
      </c>
      <c r="K3984" s="662">
        <v>4</v>
      </c>
      <c r="L3984" s="685">
        <f t="shared" si="121"/>
        <v>18.8</v>
      </c>
      <c r="M3984" s="686">
        <f t="shared" si="120"/>
        <v>75.2</v>
      </c>
      <c r="O3984" s="693"/>
    </row>
    <row r="3985" spans="2:15" s="645" customFormat="1" ht="21.75" customHeight="1">
      <c r="B3985" s="661">
        <v>44477</v>
      </c>
      <c r="C3985" s="662" t="s">
        <v>819</v>
      </c>
      <c r="D3985" s="663" t="s">
        <v>875</v>
      </c>
      <c r="E3985" s="664" t="s">
        <v>831</v>
      </c>
      <c r="F3985" s="665"/>
      <c r="G3985" s="663">
        <v>20</v>
      </c>
      <c r="H3985" s="662" t="s">
        <v>807</v>
      </c>
      <c r="I3985" s="666" t="s">
        <v>859</v>
      </c>
      <c r="J3985" s="667" t="s">
        <v>804</v>
      </c>
      <c r="K3985" s="662">
        <v>2</v>
      </c>
      <c r="L3985" s="685">
        <f t="shared" si="121"/>
        <v>18.8</v>
      </c>
      <c r="M3985" s="686">
        <f t="shared" si="120"/>
        <v>37.6</v>
      </c>
      <c r="O3985" s="693"/>
    </row>
    <row r="3986" spans="2:15" s="645" customFormat="1" ht="21.75" customHeight="1">
      <c r="B3986" s="661">
        <v>44477</v>
      </c>
      <c r="C3986" s="662" t="s">
        <v>819</v>
      </c>
      <c r="D3986" s="663" t="s">
        <v>867</v>
      </c>
      <c r="E3986" s="664" t="s">
        <v>831</v>
      </c>
      <c r="F3986" s="665"/>
      <c r="G3986" s="663">
        <v>20</v>
      </c>
      <c r="H3986" s="662" t="s">
        <v>807</v>
      </c>
      <c r="I3986" s="666" t="s">
        <v>859</v>
      </c>
      <c r="J3986" s="667" t="s">
        <v>805</v>
      </c>
      <c r="K3986" s="662">
        <v>6</v>
      </c>
      <c r="L3986" s="685">
        <f t="shared" si="121"/>
        <v>18.8</v>
      </c>
      <c r="M3986" s="686">
        <f t="shared" si="120"/>
        <v>112.80000000000001</v>
      </c>
      <c r="O3986" s="693"/>
    </row>
    <row r="3987" spans="2:15" s="645" customFormat="1" ht="21.75" customHeight="1">
      <c r="B3987" s="661">
        <v>44477</v>
      </c>
      <c r="C3987" s="662" t="s">
        <v>819</v>
      </c>
      <c r="D3987" s="663" t="s">
        <v>876</v>
      </c>
      <c r="E3987" s="664" t="s">
        <v>831</v>
      </c>
      <c r="F3987" s="665"/>
      <c r="G3987" s="663">
        <v>20</v>
      </c>
      <c r="H3987" s="662" t="s">
        <v>807</v>
      </c>
      <c r="I3987" s="666" t="s">
        <v>859</v>
      </c>
      <c r="J3987" s="667" t="s">
        <v>805</v>
      </c>
      <c r="K3987" s="662">
        <v>4</v>
      </c>
      <c r="L3987" s="685">
        <f t="shared" si="121"/>
        <v>18.8</v>
      </c>
      <c r="M3987" s="686">
        <f t="shared" si="120"/>
        <v>75.2</v>
      </c>
      <c r="O3987" s="693"/>
    </row>
    <row r="3988" spans="2:15" s="645" customFormat="1" ht="21.75" customHeight="1">
      <c r="B3988" s="661">
        <v>44477</v>
      </c>
      <c r="C3988" s="662" t="s">
        <v>819</v>
      </c>
      <c r="D3988" s="663" t="s">
        <v>876</v>
      </c>
      <c r="E3988" s="664" t="s">
        <v>831</v>
      </c>
      <c r="F3988" s="665"/>
      <c r="G3988" s="663">
        <v>20</v>
      </c>
      <c r="H3988" s="662" t="s">
        <v>807</v>
      </c>
      <c r="I3988" s="666" t="s">
        <v>859</v>
      </c>
      <c r="J3988" s="667" t="s">
        <v>804</v>
      </c>
      <c r="K3988" s="662">
        <v>4</v>
      </c>
      <c r="L3988" s="685">
        <f t="shared" si="121"/>
        <v>18.8</v>
      </c>
      <c r="M3988" s="686">
        <f t="shared" si="120"/>
        <v>75.2</v>
      </c>
      <c r="O3988" s="693"/>
    </row>
    <row r="3989" spans="2:15" s="645" customFormat="1" ht="21.75" customHeight="1">
      <c r="B3989" s="661">
        <v>44477</v>
      </c>
      <c r="C3989" s="662" t="s">
        <v>819</v>
      </c>
      <c r="D3989" s="663" t="s">
        <v>868</v>
      </c>
      <c r="E3989" s="664" t="s">
        <v>831</v>
      </c>
      <c r="F3989" s="665"/>
      <c r="G3989" s="663">
        <v>20</v>
      </c>
      <c r="H3989" s="662" t="s">
        <v>807</v>
      </c>
      <c r="I3989" s="666" t="s">
        <v>859</v>
      </c>
      <c r="J3989" s="667" t="s">
        <v>805</v>
      </c>
      <c r="K3989" s="662">
        <v>4</v>
      </c>
      <c r="L3989" s="685">
        <f t="shared" si="121"/>
        <v>18.8</v>
      </c>
      <c r="M3989" s="686">
        <f t="shared" si="120"/>
        <v>75.2</v>
      </c>
      <c r="O3989" s="693"/>
    </row>
    <row r="3990" spans="2:15" s="645" customFormat="1" ht="21.75" customHeight="1">
      <c r="B3990" s="661">
        <v>44477</v>
      </c>
      <c r="C3990" s="662" t="s">
        <v>819</v>
      </c>
      <c r="D3990" s="663" t="s">
        <v>868</v>
      </c>
      <c r="E3990" s="664" t="s">
        <v>831</v>
      </c>
      <c r="F3990" s="665"/>
      <c r="G3990" s="663">
        <v>20</v>
      </c>
      <c r="H3990" s="662" t="s">
        <v>807</v>
      </c>
      <c r="I3990" s="666" t="s">
        <v>859</v>
      </c>
      <c r="J3990" s="667" t="s">
        <v>804</v>
      </c>
      <c r="K3990" s="662">
        <v>4</v>
      </c>
      <c r="L3990" s="685">
        <f t="shared" si="121"/>
        <v>18.8</v>
      </c>
      <c r="M3990" s="686">
        <f t="shared" si="120"/>
        <v>75.2</v>
      </c>
      <c r="O3990" s="693"/>
    </row>
    <row r="3991" spans="2:15" s="645" customFormat="1" ht="21.75" customHeight="1">
      <c r="B3991" s="661">
        <v>44477</v>
      </c>
      <c r="C3991" s="662" t="s">
        <v>819</v>
      </c>
      <c r="D3991" s="663" t="s">
        <v>870</v>
      </c>
      <c r="E3991" s="664" t="s">
        <v>831</v>
      </c>
      <c r="F3991" s="665"/>
      <c r="G3991" s="663">
        <v>20</v>
      </c>
      <c r="H3991" s="662" t="s">
        <v>807</v>
      </c>
      <c r="I3991" s="666" t="s">
        <v>859</v>
      </c>
      <c r="J3991" s="667" t="s">
        <v>805</v>
      </c>
      <c r="K3991" s="662">
        <v>1</v>
      </c>
      <c r="L3991" s="685">
        <f t="shared" si="121"/>
        <v>18.8</v>
      </c>
      <c r="M3991" s="686">
        <f t="shared" si="120"/>
        <v>18.8</v>
      </c>
      <c r="O3991" s="693"/>
    </row>
    <row r="3992" spans="2:15" s="645" customFormat="1" ht="21.75" customHeight="1">
      <c r="B3992" s="661">
        <v>44477</v>
      </c>
      <c r="C3992" s="662" t="s">
        <v>819</v>
      </c>
      <c r="D3992" s="663" t="s">
        <v>870</v>
      </c>
      <c r="E3992" s="664" t="s">
        <v>831</v>
      </c>
      <c r="F3992" s="665"/>
      <c r="G3992" s="663">
        <v>20</v>
      </c>
      <c r="H3992" s="662" t="s">
        <v>807</v>
      </c>
      <c r="I3992" s="666" t="s">
        <v>859</v>
      </c>
      <c r="J3992" s="667" t="s">
        <v>804</v>
      </c>
      <c r="K3992" s="662">
        <v>4</v>
      </c>
      <c r="L3992" s="685">
        <f t="shared" si="121"/>
        <v>18.8</v>
      </c>
      <c r="M3992" s="686">
        <f t="shared" si="120"/>
        <v>75.2</v>
      </c>
      <c r="O3992" s="693"/>
    </row>
    <row r="3993" spans="2:15" s="645" customFormat="1" ht="21.75" customHeight="1">
      <c r="B3993" s="661">
        <v>44477</v>
      </c>
      <c r="C3993" s="662" t="s">
        <v>819</v>
      </c>
      <c r="D3993" s="663" t="s">
        <v>873</v>
      </c>
      <c r="E3993" s="664" t="s">
        <v>831</v>
      </c>
      <c r="F3993" s="665"/>
      <c r="G3993" s="663">
        <v>20</v>
      </c>
      <c r="H3993" s="662" t="s">
        <v>807</v>
      </c>
      <c r="I3993" s="666" t="s">
        <v>859</v>
      </c>
      <c r="J3993" s="667" t="s">
        <v>805</v>
      </c>
      <c r="K3993" s="662">
        <v>2</v>
      </c>
      <c r="L3993" s="685">
        <f t="shared" si="121"/>
        <v>18.8</v>
      </c>
      <c r="M3993" s="686">
        <f t="shared" si="120"/>
        <v>37.6</v>
      </c>
      <c r="O3993" s="693"/>
    </row>
    <row r="3994" spans="2:15" s="645" customFormat="1" ht="21.75" customHeight="1">
      <c r="B3994" s="661">
        <v>44477</v>
      </c>
      <c r="C3994" s="662" t="s">
        <v>819</v>
      </c>
      <c r="D3994" s="663" t="s">
        <v>873</v>
      </c>
      <c r="E3994" s="664" t="s">
        <v>831</v>
      </c>
      <c r="F3994" s="665"/>
      <c r="G3994" s="663">
        <v>20</v>
      </c>
      <c r="H3994" s="662" t="s">
        <v>807</v>
      </c>
      <c r="I3994" s="666" t="s">
        <v>859</v>
      </c>
      <c r="J3994" s="667" t="s">
        <v>804</v>
      </c>
      <c r="K3994" s="662">
        <v>2</v>
      </c>
      <c r="L3994" s="685">
        <f t="shared" si="121"/>
        <v>18.8</v>
      </c>
      <c r="M3994" s="686">
        <f t="shared" si="120"/>
        <v>37.6</v>
      </c>
      <c r="O3994" s="693"/>
    </row>
    <row r="3995" spans="2:15" s="645" customFormat="1" ht="21.75" customHeight="1">
      <c r="B3995" s="661">
        <v>44477</v>
      </c>
      <c r="C3995" s="662" t="s">
        <v>837</v>
      </c>
      <c r="D3995" s="663" t="s">
        <v>849</v>
      </c>
      <c r="E3995" s="664" t="s">
        <v>831</v>
      </c>
      <c r="F3995" s="665"/>
      <c r="G3995" s="663">
        <v>20</v>
      </c>
      <c r="H3995" s="662" t="s">
        <v>807</v>
      </c>
      <c r="I3995" s="666" t="s">
        <v>859</v>
      </c>
      <c r="J3995" s="667" t="s">
        <v>865</v>
      </c>
      <c r="K3995" s="662">
        <v>7</v>
      </c>
      <c r="L3995" s="685">
        <f t="shared" si="121"/>
        <v>18.8</v>
      </c>
      <c r="M3995" s="686">
        <f t="shared" si="120"/>
        <v>131.6</v>
      </c>
      <c r="O3995" s="693"/>
    </row>
    <row r="3996" spans="2:15" s="645" customFormat="1" ht="21.75" customHeight="1">
      <c r="B3996" s="661">
        <v>44477</v>
      </c>
      <c r="C3996" s="662" t="s">
        <v>837</v>
      </c>
      <c r="D3996" s="663" t="s">
        <v>835</v>
      </c>
      <c r="E3996" s="664" t="s">
        <v>831</v>
      </c>
      <c r="F3996" s="665"/>
      <c r="G3996" s="663">
        <v>20</v>
      </c>
      <c r="H3996" s="662" t="s">
        <v>807</v>
      </c>
      <c r="I3996" s="666" t="s">
        <v>859</v>
      </c>
      <c r="J3996" s="667" t="s">
        <v>865</v>
      </c>
      <c r="K3996" s="662">
        <v>6</v>
      </c>
      <c r="L3996" s="685">
        <f t="shared" si="121"/>
        <v>18.8</v>
      </c>
      <c r="M3996" s="686">
        <f t="shared" si="120"/>
        <v>112.80000000000001</v>
      </c>
      <c r="O3996" s="693"/>
    </row>
    <row r="3997" spans="2:15" s="645" customFormat="1" ht="21.75" customHeight="1">
      <c r="B3997" s="661">
        <v>44477</v>
      </c>
      <c r="C3997" s="662" t="s">
        <v>837</v>
      </c>
      <c r="D3997" s="663" t="s">
        <v>841</v>
      </c>
      <c r="E3997" s="664" t="s">
        <v>831</v>
      </c>
      <c r="F3997" s="665"/>
      <c r="G3997" s="663">
        <v>20</v>
      </c>
      <c r="H3997" s="662" t="s">
        <v>807</v>
      </c>
      <c r="I3997" s="666" t="s">
        <v>859</v>
      </c>
      <c r="J3997" s="667" t="s">
        <v>865</v>
      </c>
      <c r="K3997" s="662">
        <v>6</v>
      </c>
      <c r="L3997" s="685">
        <f t="shared" si="121"/>
        <v>18.8</v>
      </c>
      <c r="M3997" s="686">
        <f t="shared" si="120"/>
        <v>112.80000000000001</v>
      </c>
      <c r="O3997" s="693"/>
    </row>
    <row r="3998" spans="2:15" s="645" customFormat="1" ht="21.75" customHeight="1">
      <c r="B3998" s="661">
        <v>44477</v>
      </c>
      <c r="C3998" s="662" t="s">
        <v>837</v>
      </c>
      <c r="D3998" s="663" t="s">
        <v>834</v>
      </c>
      <c r="E3998" s="664" t="s">
        <v>831</v>
      </c>
      <c r="F3998" s="665"/>
      <c r="G3998" s="663">
        <v>20</v>
      </c>
      <c r="H3998" s="662" t="s">
        <v>807</v>
      </c>
      <c r="I3998" s="666" t="s">
        <v>859</v>
      </c>
      <c r="J3998" s="667" t="s">
        <v>865</v>
      </c>
      <c r="K3998" s="662">
        <v>6</v>
      </c>
      <c r="L3998" s="685">
        <f t="shared" si="121"/>
        <v>18.8</v>
      </c>
      <c r="M3998" s="686">
        <f t="shared" si="120"/>
        <v>112.80000000000001</v>
      </c>
      <c r="O3998" s="693"/>
    </row>
    <row r="3999" spans="2:15" s="645" customFormat="1" ht="21.75" customHeight="1">
      <c r="B3999" s="661">
        <v>44477</v>
      </c>
      <c r="C3999" s="662" t="s">
        <v>837</v>
      </c>
      <c r="D3999" s="663" t="s">
        <v>845</v>
      </c>
      <c r="E3999" s="664" t="s">
        <v>831</v>
      </c>
      <c r="F3999" s="665"/>
      <c r="G3999" s="663">
        <v>17</v>
      </c>
      <c r="H3999" s="662" t="s">
        <v>807</v>
      </c>
      <c r="I3999" s="666" t="s">
        <v>859</v>
      </c>
      <c r="J3999" s="667" t="s">
        <v>865</v>
      </c>
      <c r="K3999" s="662">
        <v>8</v>
      </c>
      <c r="L3999" s="685">
        <f t="shared" si="121"/>
        <v>15.98</v>
      </c>
      <c r="M3999" s="686">
        <f t="shared" si="120"/>
        <v>127.84</v>
      </c>
      <c r="O3999" s="693"/>
    </row>
    <row r="4000" spans="2:15" s="645" customFormat="1" ht="21.75" customHeight="1">
      <c r="B4000" s="661">
        <v>44477</v>
      </c>
      <c r="C4000" s="662" t="s">
        <v>837</v>
      </c>
      <c r="D4000" s="663" t="s">
        <v>878</v>
      </c>
      <c r="E4000" s="664" t="s">
        <v>831</v>
      </c>
      <c r="F4000" s="665"/>
      <c r="G4000" s="663">
        <v>15</v>
      </c>
      <c r="H4000" s="662" t="s">
        <v>807</v>
      </c>
      <c r="I4000" s="666" t="s">
        <v>859</v>
      </c>
      <c r="J4000" s="667" t="s">
        <v>865</v>
      </c>
      <c r="K4000" s="662">
        <v>4</v>
      </c>
      <c r="L4000" s="685">
        <f t="shared" si="121"/>
        <v>14.1</v>
      </c>
      <c r="M4000" s="686">
        <f t="shared" si="120"/>
        <v>56.4</v>
      </c>
      <c r="O4000" s="693"/>
    </row>
    <row r="4001" spans="2:15" s="645" customFormat="1" ht="21.75" customHeight="1">
      <c r="B4001" s="661">
        <v>44477</v>
      </c>
      <c r="C4001" s="662" t="s">
        <v>837</v>
      </c>
      <c r="D4001" s="663" t="s">
        <v>855</v>
      </c>
      <c r="E4001" s="664" t="s">
        <v>831</v>
      </c>
      <c r="F4001" s="665"/>
      <c r="G4001" s="663">
        <v>20</v>
      </c>
      <c r="H4001" s="662" t="s">
        <v>807</v>
      </c>
      <c r="I4001" s="666" t="s">
        <v>859</v>
      </c>
      <c r="J4001" s="667" t="s">
        <v>865</v>
      </c>
      <c r="K4001" s="662">
        <v>7</v>
      </c>
      <c r="L4001" s="685">
        <f t="shared" si="121"/>
        <v>18.8</v>
      </c>
      <c r="M4001" s="686">
        <f t="shared" si="120"/>
        <v>131.6</v>
      </c>
      <c r="O4001" s="693"/>
    </row>
    <row r="4002" spans="2:15" s="645" customFormat="1" ht="21.75" customHeight="1">
      <c r="B4002" s="661">
        <v>44477</v>
      </c>
      <c r="C4002" s="662" t="s">
        <v>837</v>
      </c>
      <c r="D4002" s="663" t="s">
        <v>875</v>
      </c>
      <c r="E4002" s="664" t="s">
        <v>831</v>
      </c>
      <c r="F4002" s="665"/>
      <c r="G4002" s="663">
        <v>20</v>
      </c>
      <c r="H4002" s="662" t="s">
        <v>807</v>
      </c>
      <c r="I4002" s="666" t="s">
        <v>859</v>
      </c>
      <c r="J4002" s="667" t="s">
        <v>865</v>
      </c>
      <c r="K4002" s="662">
        <v>3</v>
      </c>
      <c r="L4002" s="685">
        <f t="shared" si="121"/>
        <v>18.8</v>
      </c>
      <c r="M4002" s="686">
        <f t="shared" si="120"/>
        <v>56.400000000000006</v>
      </c>
      <c r="O4002" s="693"/>
    </row>
    <row r="4003" spans="2:15" s="645" customFormat="1" ht="21.75" customHeight="1">
      <c r="B4003" s="661">
        <v>44477</v>
      </c>
      <c r="C4003" s="662" t="s">
        <v>837</v>
      </c>
      <c r="D4003" s="663" t="s">
        <v>870</v>
      </c>
      <c r="E4003" s="664" t="s">
        <v>831</v>
      </c>
      <c r="F4003" s="665"/>
      <c r="G4003" s="663">
        <v>20</v>
      </c>
      <c r="H4003" s="662" t="s">
        <v>807</v>
      </c>
      <c r="I4003" s="666" t="s">
        <v>859</v>
      </c>
      <c r="J4003" s="667" t="s">
        <v>865</v>
      </c>
      <c r="K4003" s="662">
        <v>7</v>
      </c>
      <c r="L4003" s="685">
        <f t="shared" si="121"/>
        <v>18.8</v>
      </c>
      <c r="M4003" s="686">
        <f t="shared" si="120"/>
        <v>131.6</v>
      </c>
      <c r="O4003" s="693"/>
    </row>
    <row r="4004" spans="2:15" s="645" customFormat="1" ht="21.75" customHeight="1">
      <c r="B4004" s="661">
        <v>44477</v>
      </c>
      <c r="C4004" s="662" t="s">
        <v>837</v>
      </c>
      <c r="D4004" s="663" t="s">
        <v>867</v>
      </c>
      <c r="E4004" s="664" t="s">
        <v>831</v>
      </c>
      <c r="F4004" s="665"/>
      <c r="G4004" s="663">
        <v>20</v>
      </c>
      <c r="H4004" s="662" t="s">
        <v>807</v>
      </c>
      <c r="I4004" s="666" t="s">
        <v>859</v>
      </c>
      <c r="J4004" s="667" t="s">
        <v>865</v>
      </c>
      <c r="K4004" s="662">
        <v>7</v>
      </c>
      <c r="L4004" s="685">
        <f t="shared" si="121"/>
        <v>18.8</v>
      </c>
      <c r="M4004" s="686">
        <f t="shared" si="120"/>
        <v>131.6</v>
      </c>
      <c r="O4004" s="693"/>
    </row>
    <row r="4005" spans="2:15" s="645" customFormat="1" ht="21.75" customHeight="1">
      <c r="B4005" s="661">
        <v>44477</v>
      </c>
      <c r="C4005" s="662" t="s">
        <v>837</v>
      </c>
      <c r="D4005" s="663" t="s">
        <v>876</v>
      </c>
      <c r="E4005" s="664" t="s">
        <v>831</v>
      </c>
      <c r="F4005" s="665"/>
      <c r="G4005" s="663">
        <v>20</v>
      </c>
      <c r="H4005" s="662" t="s">
        <v>807</v>
      </c>
      <c r="I4005" s="666" t="s">
        <v>859</v>
      </c>
      <c r="J4005" s="667" t="s">
        <v>865</v>
      </c>
      <c r="K4005" s="662">
        <v>6</v>
      </c>
      <c r="L4005" s="685">
        <f t="shared" si="121"/>
        <v>18.8</v>
      </c>
      <c r="M4005" s="686">
        <f t="shared" si="120"/>
        <v>112.80000000000001</v>
      </c>
      <c r="O4005" s="693"/>
    </row>
    <row r="4006" spans="2:15" s="645" customFormat="1" ht="21.75" customHeight="1">
      <c r="B4006" s="708">
        <v>44477</v>
      </c>
      <c r="C4006" s="709" t="s">
        <v>819</v>
      </c>
      <c r="D4006" s="710" t="s">
        <v>867</v>
      </c>
      <c r="E4006" s="711" t="s">
        <v>831</v>
      </c>
      <c r="F4006" s="712"/>
      <c r="G4006" s="710">
        <v>20</v>
      </c>
      <c r="H4006" s="709" t="s">
        <v>807</v>
      </c>
      <c r="I4006" s="713" t="s">
        <v>859</v>
      </c>
      <c r="J4006" s="714" t="s">
        <v>802</v>
      </c>
      <c r="K4006" s="709">
        <v>1</v>
      </c>
      <c r="L4006" s="715">
        <f t="shared" si="121"/>
        <v>18.8</v>
      </c>
      <c r="M4006" s="716">
        <f t="shared" si="120"/>
        <v>18.8</v>
      </c>
      <c r="O4006" s="693"/>
    </row>
    <row r="4007" spans="2:15" s="645" customFormat="1" ht="21.75" customHeight="1">
      <c r="B4007" s="708">
        <v>44477</v>
      </c>
      <c r="C4007" s="709" t="s">
        <v>819</v>
      </c>
      <c r="D4007" s="710" t="s">
        <v>873</v>
      </c>
      <c r="E4007" s="711" t="s">
        <v>831</v>
      </c>
      <c r="F4007" s="712"/>
      <c r="G4007" s="710">
        <v>20</v>
      </c>
      <c r="H4007" s="709" t="s">
        <v>807</v>
      </c>
      <c r="I4007" s="713" t="s">
        <v>859</v>
      </c>
      <c r="J4007" s="714" t="s">
        <v>802</v>
      </c>
      <c r="K4007" s="709">
        <v>1</v>
      </c>
      <c r="L4007" s="715">
        <f t="shared" si="121"/>
        <v>18.8</v>
      </c>
      <c r="M4007" s="716">
        <f t="shared" ref="M4007:M4070" si="122">L4007*K4007</f>
        <v>18.8</v>
      </c>
      <c r="O4007" s="693"/>
    </row>
    <row r="4008" spans="2:15" s="645" customFormat="1" ht="21.75" customHeight="1">
      <c r="B4008" s="708">
        <v>44477</v>
      </c>
      <c r="C4008" s="709" t="s">
        <v>837</v>
      </c>
      <c r="D4008" s="710" t="s">
        <v>849</v>
      </c>
      <c r="E4008" s="711" t="s">
        <v>831</v>
      </c>
      <c r="F4008" s="712"/>
      <c r="G4008" s="710">
        <v>20</v>
      </c>
      <c r="H4008" s="709" t="s">
        <v>807</v>
      </c>
      <c r="I4008" s="713" t="s">
        <v>859</v>
      </c>
      <c r="J4008" s="714" t="s">
        <v>802</v>
      </c>
      <c r="K4008" s="709">
        <v>2</v>
      </c>
      <c r="L4008" s="715">
        <f t="shared" si="121"/>
        <v>18.8</v>
      </c>
      <c r="M4008" s="716">
        <f t="shared" si="122"/>
        <v>37.6</v>
      </c>
      <c r="O4008" s="693"/>
    </row>
    <row r="4009" spans="2:15" s="645" customFormat="1" ht="21.75" customHeight="1">
      <c r="B4009" s="708">
        <v>44477</v>
      </c>
      <c r="C4009" s="709" t="s">
        <v>837</v>
      </c>
      <c r="D4009" s="710" t="s">
        <v>835</v>
      </c>
      <c r="E4009" s="711" t="s">
        <v>831</v>
      </c>
      <c r="F4009" s="712"/>
      <c r="G4009" s="710">
        <v>20</v>
      </c>
      <c r="H4009" s="709" t="s">
        <v>807</v>
      </c>
      <c r="I4009" s="713" t="s">
        <v>859</v>
      </c>
      <c r="J4009" s="714" t="s">
        <v>802</v>
      </c>
      <c r="K4009" s="709">
        <v>3</v>
      </c>
      <c r="L4009" s="715">
        <f t="shared" si="121"/>
        <v>18.8</v>
      </c>
      <c r="M4009" s="716">
        <f t="shared" si="122"/>
        <v>56.400000000000006</v>
      </c>
      <c r="O4009" s="693"/>
    </row>
    <row r="4010" spans="2:15" s="645" customFormat="1" ht="21.75" customHeight="1">
      <c r="B4010" s="708">
        <v>44477</v>
      </c>
      <c r="C4010" s="709" t="s">
        <v>837</v>
      </c>
      <c r="D4010" s="710" t="s">
        <v>841</v>
      </c>
      <c r="E4010" s="711" t="s">
        <v>831</v>
      </c>
      <c r="F4010" s="712"/>
      <c r="G4010" s="710">
        <v>20</v>
      </c>
      <c r="H4010" s="709" t="s">
        <v>807</v>
      </c>
      <c r="I4010" s="713" t="s">
        <v>859</v>
      </c>
      <c r="J4010" s="714" t="s">
        <v>802</v>
      </c>
      <c r="K4010" s="709">
        <v>3</v>
      </c>
      <c r="L4010" s="715">
        <f t="shared" si="121"/>
        <v>18.8</v>
      </c>
      <c r="M4010" s="716">
        <f t="shared" si="122"/>
        <v>56.400000000000006</v>
      </c>
      <c r="O4010" s="693"/>
    </row>
    <row r="4011" spans="2:15" s="645" customFormat="1" ht="21.75" customHeight="1">
      <c r="B4011" s="708">
        <v>44477</v>
      </c>
      <c r="C4011" s="709" t="s">
        <v>837</v>
      </c>
      <c r="D4011" s="710" t="s">
        <v>834</v>
      </c>
      <c r="E4011" s="711" t="s">
        <v>831</v>
      </c>
      <c r="F4011" s="712"/>
      <c r="G4011" s="710">
        <v>20</v>
      </c>
      <c r="H4011" s="709" t="s">
        <v>807</v>
      </c>
      <c r="I4011" s="713" t="s">
        <v>859</v>
      </c>
      <c r="J4011" s="714" t="s">
        <v>802</v>
      </c>
      <c r="K4011" s="709">
        <v>3</v>
      </c>
      <c r="L4011" s="715">
        <f t="shared" si="121"/>
        <v>18.8</v>
      </c>
      <c r="M4011" s="716">
        <f t="shared" si="122"/>
        <v>56.400000000000006</v>
      </c>
      <c r="O4011" s="693"/>
    </row>
    <row r="4012" spans="2:15" s="645" customFormat="1" ht="21.75" customHeight="1">
      <c r="B4012" s="708">
        <v>44477</v>
      </c>
      <c r="C4012" s="709" t="s">
        <v>837</v>
      </c>
      <c r="D4012" s="710" t="s">
        <v>845</v>
      </c>
      <c r="E4012" s="711" t="s">
        <v>831</v>
      </c>
      <c r="F4012" s="712"/>
      <c r="G4012" s="710">
        <v>17</v>
      </c>
      <c r="H4012" s="709" t="s">
        <v>807</v>
      </c>
      <c r="I4012" s="713" t="s">
        <v>859</v>
      </c>
      <c r="J4012" s="714" t="s">
        <v>802</v>
      </c>
      <c r="K4012" s="709">
        <v>1</v>
      </c>
      <c r="L4012" s="715">
        <f t="shared" si="121"/>
        <v>15.98</v>
      </c>
      <c r="M4012" s="716">
        <f t="shared" si="122"/>
        <v>15.98</v>
      </c>
      <c r="O4012" s="693"/>
    </row>
    <row r="4013" spans="2:15" s="645" customFormat="1" ht="21.75" customHeight="1">
      <c r="B4013" s="708">
        <v>44477</v>
      </c>
      <c r="C4013" s="709" t="s">
        <v>837</v>
      </c>
      <c r="D4013" s="710" t="s">
        <v>878</v>
      </c>
      <c r="E4013" s="711" t="s">
        <v>831</v>
      </c>
      <c r="F4013" s="712"/>
      <c r="G4013" s="710">
        <v>15</v>
      </c>
      <c r="H4013" s="709" t="s">
        <v>807</v>
      </c>
      <c r="I4013" s="713" t="s">
        <v>859</v>
      </c>
      <c r="J4013" s="714" t="s">
        <v>802</v>
      </c>
      <c r="K4013" s="709">
        <v>5</v>
      </c>
      <c r="L4013" s="715">
        <f t="shared" si="121"/>
        <v>14.1</v>
      </c>
      <c r="M4013" s="716">
        <f t="shared" si="122"/>
        <v>70.5</v>
      </c>
      <c r="O4013" s="693"/>
    </row>
    <row r="4014" spans="2:15" s="645" customFormat="1" ht="21.75" customHeight="1">
      <c r="B4014" s="708">
        <v>44477</v>
      </c>
      <c r="C4014" s="709" t="s">
        <v>837</v>
      </c>
      <c r="D4014" s="710" t="s">
        <v>855</v>
      </c>
      <c r="E4014" s="711" t="s">
        <v>831</v>
      </c>
      <c r="F4014" s="712"/>
      <c r="G4014" s="710">
        <v>20</v>
      </c>
      <c r="H4014" s="709" t="s">
        <v>807</v>
      </c>
      <c r="I4014" s="713" t="s">
        <v>859</v>
      </c>
      <c r="J4014" s="714" t="s">
        <v>802</v>
      </c>
      <c r="K4014" s="709">
        <v>1</v>
      </c>
      <c r="L4014" s="715">
        <f t="shared" si="121"/>
        <v>18.8</v>
      </c>
      <c r="M4014" s="716">
        <f t="shared" si="122"/>
        <v>18.8</v>
      </c>
      <c r="O4014" s="693"/>
    </row>
    <row r="4015" spans="2:15" s="645" customFormat="1" ht="21.75" customHeight="1">
      <c r="B4015" s="708">
        <v>44477</v>
      </c>
      <c r="C4015" s="709" t="s">
        <v>837</v>
      </c>
      <c r="D4015" s="710" t="s">
        <v>875</v>
      </c>
      <c r="E4015" s="711" t="s">
        <v>831</v>
      </c>
      <c r="F4015" s="712"/>
      <c r="G4015" s="710">
        <v>20</v>
      </c>
      <c r="H4015" s="709" t="s">
        <v>807</v>
      </c>
      <c r="I4015" s="713" t="s">
        <v>859</v>
      </c>
      <c r="J4015" s="714" t="s">
        <v>802</v>
      </c>
      <c r="K4015" s="709">
        <v>6</v>
      </c>
      <c r="L4015" s="715">
        <f t="shared" si="121"/>
        <v>18.8</v>
      </c>
      <c r="M4015" s="716">
        <f t="shared" si="122"/>
        <v>112.80000000000001</v>
      </c>
      <c r="O4015" s="693"/>
    </row>
    <row r="4016" spans="2:15" s="645" customFormat="1" ht="21.75" customHeight="1">
      <c r="B4016" s="708">
        <v>44477</v>
      </c>
      <c r="C4016" s="709" t="s">
        <v>837</v>
      </c>
      <c r="D4016" s="710" t="s">
        <v>870</v>
      </c>
      <c r="E4016" s="711" t="s">
        <v>831</v>
      </c>
      <c r="F4016" s="712"/>
      <c r="G4016" s="710">
        <v>20</v>
      </c>
      <c r="H4016" s="709" t="s">
        <v>807</v>
      </c>
      <c r="I4016" s="713" t="s">
        <v>859</v>
      </c>
      <c r="J4016" s="714" t="s">
        <v>802</v>
      </c>
      <c r="K4016" s="709">
        <v>4</v>
      </c>
      <c r="L4016" s="715">
        <f t="shared" si="121"/>
        <v>18.8</v>
      </c>
      <c r="M4016" s="716">
        <f t="shared" si="122"/>
        <v>75.2</v>
      </c>
      <c r="O4016" s="693"/>
    </row>
    <row r="4017" spans="2:15" s="645" customFormat="1" ht="21.75" customHeight="1">
      <c r="B4017" s="708">
        <v>44477</v>
      </c>
      <c r="C4017" s="709" t="s">
        <v>837</v>
      </c>
      <c r="D4017" s="710" t="s">
        <v>867</v>
      </c>
      <c r="E4017" s="711" t="s">
        <v>831</v>
      </c>
      <c r="F4017" s="712"/>
      <c r="G4017" s="710">
        <v>20</v>
      </c>
      <c r="H4017" s="709" t="s">
        <v>807</v>
      </c>
      <c r="I4017" s="713" t="s">
        <v>859</v>
      </c>
      <c r="J4017" s="714" t="s">
        <v>802</v>
      </c>
      <c r="K4017" s="709">
        <v>4</v>
      </c>
      <c r="L4017" s="715">
        <f t="shared" si="121"/>
        <v>18.8</v>
      </c>
      <c r="M4017" s="716">
        <f t="shared" si="122"/>
        <v>75.2</v>
      </c>
      <c r="O4017" s="693"/>
    </row>
    <row r="4018" spans="2:15" s="645" customFormat="1" ht="21.75" customHeight="1">
      <c r="B4018" s="708">
        <v>44477</v>
      </c>
      <c r="C4018" s="709" t="s">
        <v>837</v>
      </c>
      <c r="D4018" s="710" t="s">
        <v>876</v>
      </c>
      <c r="E4018" s="711" t="s">
        <v>831</v>
      </c>
      <c r="F4018" s="712"/>
      <c r="G4018" s="710">
        <v>20</v>
      </c>
      <c r="H4018" s="709" t="s">
        <v>807</v>
      </c>
      <c r="I4018" s="713" t="s">
        <v>859</v>
      </c>
      <c r="J4018" s="714" t="s">
        <v>802</v>
      </c>
      <c r="K4018" s="709">
        <v>2</v>
      </c>
      <c r="L4018" s="715">
        <f t="shared" si="121"/>
        <v>18.8</v>
      </c>
      <c r="M4018" s="716">
        <f t="shared" si="122"/>
        <v>37.6</v>
      </c>
      <c r="O4018" s="693"/>
    </row>
    <row r="4019" spans="2:15" s="645" customFormat="1" ht="21.75" customHeight="1">
      <c r="B4019" s="661">
        <v>44478</v>
      </c>
      <c r="C4019" s="662" t="s">
        <v>819</v>
      </c>
      <c r="D4019" s="663" t="s">
        <v>849</v>
      </c>
      <c r="E4019" s="664" t="s">
        <v>831</v>
      </c>
      <c r="F4019" s="665"/>
      <c r="G4019" s="663">
        <v>20</v>
      </c>
      <c r="H4019" s="662" t="s">
        <v>807</v>
      </c>
      <c r="I4019" s="666" t="s">
        <v>859</v>
      </c>
      <c r="J4019" s="667" t="s">
        <v>805</v>
      </c>
      <c r="K4019" s="662">
        <v>4</v>
      </c>
      <c r="L4019" s="685">
        <f t="shared" si="121"/>
        <v>18.8</v>
      </c>
      <c r="M4019" s="686">
        <f t="shared" si="122"/>
        <v>75.2</v>
      </c>
      <c r="O4019" s="693"/>
    </row>
    <row r="4020" spans="2:15" s="645" customFormat="1" ht="21.75" customHeight="1">
      <c r="B4020" s="661">
        <v>44478</v>
      </c>
      <c r="C4020" s="662" t="s">
        <v>819</v>
      </c>
      <c r="D4020" s="663" t="s">
        <v>849</v>
      </c>
      <c r="E4020" s="664" t="s">
        <v>831</v>
      </c>
      <c r="F4020" s="665"/>
      <c r="G4020" s="663">
        <v>20</v>
      </c>
      <c r="H4020" s="662" t="s">
        <v>807</v>
      </c>
      <c r="I4020" s="666" t="s">
        <v>859</v>
      </c>
      <c r="J4020" s="667" t="s">
        <v>804</v>
      </c>
      <c r="K4020" s="662">
        <v>1</v>
      </c>
      <c r="L4020" s="685">
        <f t="shared" si="121"/>
        <v>18.8</v>
      </c>
      <c r="M4020" s="686">
        <f t="shared" si="122"/>
        <v>18.8</v>
      </c>
      <c r="O4020" s="693"/>
    </row>
    <row r="4021" spans="2:15" s="645" customFormat="1" ht="21.75" customHeight="1">
      <c r="B4021" s="661">
        <v>44478</v>
      </c>
      <c r="C4021" s="662" t="s">
        <v>819</v>
      </c>
      <c r="D4021" s="663" t="s">
        <v>840</v>
      </c>
      <c r="E4021" s="664" t="s">
        <v>831</v>
      </c>
      <c r="F4021" s="665"/>
      <c r="G4021" s="663">
        <v>20</v>
      </c>
      <c r="H4021" s="662" t="s">
        <v>807</v>
      </c>
      <c r="I4021" s="666" t="s">
        <v>859</v>
      </c>
      <c r="J4021" s="667" t="s">
        <v>805</v>
      </c>
      <c r="K4021" s="662">
        <v>5</v>
      </c>
      <c r="L4021" s="685">
        <f t="shared" si="121"/>
        <v>18.8</v>
      </c>
      <c r="M4021" s="686">
        <f t="shared" si="122"/>
        <v>94</v>
      </c>
      <c r="O4021" s="693"/>
    </row>
    <row r="4022" spans="2:15" s="645" customFormat="1" ht="21.75" customHeight="1">
      <c r="B4022" s="661">
        <v>44478</v>
      </c>
      <c r="C4022" s="662" t="s">
        <v>819</v>
      </c>
      <c r="D4022" s="663" t="s">
        <v>840</v>
      </c>
      <c r="E4022" s="664" t="s">
        <v>831</v>
      </c>
      <c r="F4022" s="665"/>
      <c r="G4022" s="663">
        <v>20</v>
      </c>
      <c r="H4022" s="662" t="s">
        <v>807</v>
      </c>
      <c r="I4022" s="666" t="s">
        <v>859</v>
      </c>
      <c r="J4022" s="667" t="s">
        <v>804</v>
      </c>
      <c r="K4022" s="662">
        <v>2</v>
      </c>
      <c r="L4022" s="685">
        <f t="shared" si="121"/>
        <v>18.8</v>
      </c>
      <c r="M4022" s="686">
        <f t="shared" si="122"/>
        <v>37.6</v>
      </c>
      <c r="O4022" s="693"/>
    </row>
    <row r="4023" spans="2:15" s="645" customFormat="1" ht="21.75" customHeight="1">
      <c r="B4023" s="661">
        <v>44478</v>
      </c>
      <c r="C4023" s="662" t="s">
        <v>819</v>
      </c>
      <c r="D4023" s="663" t="s">
        <v>835</v>
      </c>
      <c r="E4023" s="664" t="s">
        <v>831</v>
      </c>
      <c r="F4023" s="665"/>
      <c r="G4023" s="663">
        <v>20</v>
      </c>
      <c r="H4023" s="662" t="s">
        <v>807</v>
      </c>
      <c r="I4023" s="666" t="s">
        <v>859</v>
      </c>
      <c r="J4023" s="667" t="s">
        <v>805</v>
      </c>
      <c r="K4023" s="662">
        <v>5</v>
      </c>
      <c r="L4023" s="685">
        <f t="shared" si="121"/>
        <v>18.8</v>
      </c>
      <c r="M4023" s="686">
        <f t="shared" si="122"/>
        <v>94</v>
      </c>
      <c r="O4023" s="693"/>
    </row>
    <row r="4024" spans="2:15" s="645" customFormat="1" ht="21.75" customHeight="1">
      <c r="B4024" s="661">
        <v>44478</v>
      </c>
      <c r="C4024" s="662" t="s">
        <v>819</v>
      </c>
      <c r="D4024" s="663" t="s">
        <v>841</v>
      </c>
      <c r="E4024" s="664" t="s">
        <v>831</v>
      </c>
      <c r="F4024" s="665"/>
      <c r="G4024" s="663">
        <v>20</v>
      </c>
      <c r="H4024" s="662" t="s">
        <v>807</v>
      </c>
      <c r="I4024" s="666" t="s">
        <v>859</v>
      </c>
      <c r="J4024" s="667" t="s">
        <v>804</v>
      </c>
      <c r="K4024" s="662">
        <v>3</v>
      </c>
      <c r="L4024" s="685">
        <f t="shared" si="121"/>
        <v>18.8</v>
      </c>
      <c r="M4024" s="686">
        <f t="shared" si="122"/>
        <v>56.400000000000006</v>
      </c>
      <c r="O4024" s="693"/>
    </row>
    <row r="4025" spans="2:15" s="645" customFormat="1" ht="21.75" customHeight="1">
      <c r="B4025" s="661">
        <v>44478</v>
      </c>
      <c r="C4025" s="662" t="s">
        <v>819</v>
      </c>
      <c r="D4025" s="663" t="s">
        <v>841</v>
      </c>
      <c r="E4025" s="664" t="s">
        <v>831</v>
      </c>
      <c r="F4025" s="665"/>
      <c r="G4025" s="663">
        <v>20</v>
      </c>
      <c r="H4025" s="662" t="s">
        <v>807</v>
      </c>
      <c r="I4025" s="666" t="s">
        <v>859</v>
      </c>
      <c r="J4025" s="667" t="s">
        <v>805</v>
      </c>
      <c r="K4025" s="662">
        <v>4</v>
      </c>
      <c r="L4025" s="685">
        <f t="shared" si="121"/>
        <v>18.8</v>
      </c>
      <c r="M4025" s="686">
        <f t="shared" si="122"/>
        <v>75.2</v>
      </c>
      <c r="O4025" s="693"/>
    </row>
    <row r="4026" spans="2:15" s="645" customFormat="1" ht="21.75" customHeight="1">
      <c r="B4026" s="661">
        <v>44478</v>
      </c>
      <c r="C4026" s="662" t="s">
        <v>819</v>
      </c>
      <c r="D4026" s="663" t="s">
        <v>834</v>
      </c>
      <c r="E4026" s="664" t="s">
        <v>831</v>
      </c>
      <c r="F4026" s="665"/>
      <c r="G4026" s="663">
        <v>20</v>
      </c>
      <c r="H4026" s="662" t="s">
        <v>807</v>
      </c>
      <c r="I4026" s="666" t="s">
        <v>859</v>
      </c>
      <c r="J4026" s="667" t="s">
        <v>805</v>
      </c>
      <c r="K4026" s="662">
        <v>6</v>
      </c>
      <c r="L4026" s="685">
        <f t="shared" si="121"/>
        <v>18.8</v>
      </c>
      <c r="M4026" s="686">
        <f t="shared" si="122"/>
        <v>112.80000000000001</v>
      </c>
      <c r="O4026" s="693"/>
    </row>
    <row r="4027" spans="2:15" s="645" customFormat="1" ht="21.75" customHeight="1">
      <c r="B4027" s="661">
        <v>44478</v>
      </c>
      <c r="C4027" s="662" t="s">
        <v>819</v>
      </c>
      <c r="D4027" s="663" t="s">
        <v>834</v>
      </c>
      <c r="E4027" s="664" t="s">
        <v>831</v>
      </c>
      <c r="F4027" s="665"/>
      <c r="G4027" s="663">
        <v>20</v>
      </c>
      <c r="H4027" s="662" t="s">
        <v>807</v>
      </c>
      <c r="I4027" s="666" t="s">
        <v>859</v>
      </c>
      <c r="J4027" s="667" t="s">
        <v>804</v>
      </c>
      <c r="K4027" s="662">
        <v>3</v>
      </c>
      <c r="L4027" s="685">
        <f t="shared" si="121"/>
        <v>18.8</v>
      </c>
      <c r="M4027" s="686">
        <f t="shared" si="122"/>
        <v>56.400000000000006</v>
      </c>
      <c r="O4027" s="693"/>
    </row>
    <row r="4028" spans="2:15" s="645" customFormat="1" ht="21.75" customHeight="1">
      <c r="B4028" s="661">
        <v>44478</v>
      </c>
      <c r="C4028" s="662" t="s">
        <v>819</v>
      </c>
      <c r="D4028" s="663" t="s">
        <v>833</v>
      </c>
      <c r="E4028" s="664" t="s">
        <v>831</v>
      </c>
      <c r="F4028" s="665"/>
      <c r="G4028" s="663">
        <v>15</v>
      </c>
      <c r="H4028" s="662" t="s">
        <v>807</v>
      </c>
      <c r="I4028" s="666" t="s">
        <v>859</v>
      </c>
      <c r="J4028" s="667" t="s">
        <v>805</v>
      </c>
      <c r="K4028" s="662">
        <v>5</v>
      </c>
      <c r="L4028" s="685">
        <f t="shared" si="121"/>
        <v>14.1</v>
      </c>
      <c r="M4028" s="686">
        <f t="shared" si="122"/>
        <v>70.5</v>
      </c>
      <c r="O4028" s="693"/>
    </row>
    <row r="4029" spans="2:15" s="645" customFormat="1" ht="21.75" customHeight="1">
      <c r="B4029" s="661">
        <v>44478</v>
      </c>
      <c r="C4029" s="662" t="s">
        <v>819</v>
      </c>
      <c r="D4029" s="663" t="s">
        <v>833</v>
      </c>
      <c r="E4029" s="664" t="s">
        <v>831</v>
      </c>
      <c r="F4029" s="665"/>
      <c r="G4029" s="663">
        <v>15</v>
      </c>
      <c r="H4029" s="662" t="s">
        <v>807</v>
      </c>
      <c r="I4029" s="666" t="s">
        <v>859</v>
      </c>
      <c r="J4029" s="667" t="s">
        <v>804</v>
      </c>
      <c r="K4029" s="662">
        <v>1</v>
      </c>
      <c r="L4029" s="685">
        <f t="shared" si="121"/>
        <v>14.1</v>
      </c>
      <c r="M4029" s="686">
        <f t="shared" si="122"/>
        <v>14.1</v>
      </c>
      <c r="O4029" s="693"/>
    </row>
    <row r="4030" spans="2:15" s="645" customFormat="1" ht="21.75" customHeight="1">
      <c r="B4030" s="661">
        <v>44478</v>
      </c>
      <c r="C4030" s="662" t="s">
        <v>819</v>
      </c>
      <c r="D4030" s="663" t="s">
        <v>830</v>
      </c>
      <c r="E4030" s="664" t="s">
        <v>831</v>
      </c>
      <c r="F4030" s="665"/>
      <c r="G4030" s="663">
        <v>15</v>
      </c>
      <c r="H4030" s="662" t="s">
        <v>807</v>
      </c>
      <c r="I4030" s="666" t="s">
        <v>859</v>
      </c>
      <c r="J4030" s="667" t="s">
        <v>805</v>
      </c>
      <c r="K4030" s="662">
        <v>7</v>
      </c>
      <c r="L4030" s="685">
        <f t="shared" si="121"/>
        <v>14.1</v>
      </c>
      <c r="M4030" s="686">
        <f t="shared" si="122"/>
        <v>98.7</v>
      </c>
      <c r="O4030" s="693"/>
    </row>
    <row r="4031" spans="2:15" s="645" customFormat="1" ht="21.75" customHeight="1">
      <c r="B4031" s="661">
        <v>44478</v>
      </c>
      <c r="C4031" s="662" t="s">
        <v>819</v>
      </c>
      <c r="D4031" s="663" t="s">
        <v>839</v>
      </c>
      <c r="E4031" s="664" t="s">
        <v>831</v>
      </c>
      <c r="F4031" s="665"/>
      <c r="G4031" s="663">
        <v>15</v>
      </c>
      <c r="H4031" s="662" t="s">
        <v>807</v>
      </c>
      <c r="I4031" s="666" t="s">
        <v>859</v>
      </c>
      <c r="J4031" s="667" t="s">
        <v>804</v>
      </c>
      <c r="K4031" s="662">
        <v>3</v>
      </c>
      <c r="L4031" s="685">
        <f t="shared" si="121"/>
        <v>14.1</v>
      </c>
      <c r="M4031" s="686">
        <f t="shared" si="122"/>
        <v>42.3</v>
      </c>
      <c r="O4031" s="693"/>
    </row>
    <row r="4032" spans="2:15" s="645" customFormat="1" ht="21.75" customHeight="1">
      <c r="B4032" s="661">
        <v>44478</v>
      </c>
      <c r="C4032" s="662" t="s">
        <v>819</v>
      </c>
      <c r="D4032" s="663" t="s">
        <v>839</v>
      </c>
      <c r="E4032" s="664" t="s">
        <v>831</v>
      </c>
      <c r="F4032" s="665"/>
      <c r="G4032" s="663">
        <v>15</v>
      </c>
      <c r="H4032" s="662" t="s">
        <v>807</v>
      </c>
      <c r="I4032" s="666" t="s">
        <v>859</v>
      </c>
      <c r="J4032" s="667" t="s">
        <v>805</v>
      </c>
      <c r="K4032" s="662">
        <v>5</v>
      </c>
      <c r="L4032" s="685">
        <f t="shared" si="121"/>
        <v>14.1</v>
      </c>
      <c r="M4032" s="686">
        <f t="shared" si="122"/>
        <v>70.5</v>
      </c>
      <c r="O4032" s="693"/>
    </row>
    <row r="4033" spans="2:15" s="645" customFormat="1" ht="21.75" customHeight="1">
      <c r="B4033" s="661">
        <v>44478</v>
      </c>
      <c r="C4033" s="662" t="s">
        <v>819</v>
      </c>
      <c r="D4033" s="663" t="s">
        <v>845</v>
      </c>
      <c r="E4033" s="664" t="s">
        <v>831</v>
      </c>
      <c r="F4033" s="665"/>
      <c r="G4033" s="663">
        <v>17</v>
      </c>
      <c r="H4033" s="662" t="s">
        <v>807</v>
      </c>
      <c r="I4033" s="666" t="s">
        <v>859</v>
      </c>
      <c r="J4033" s="667" t="s">
        <v>805</v>
      </c>
      <c r="K4033" s="662">
        <v>5</v>
      </c>
      <c r="L4033" s="685">
        <f t="shared" si="121"/>
        <v>15.98</v>
      </c>
      <c r="M4033" s="686">
        <f t="shared" si="122"/>
        <v>79.900000000000006</v>
      </c>
      <c r="O4033" s="693"/>
    </row>
    <row r="4034" spans="2:15" s="645" customFormat="1" ht="21.75" customHeight="1">
      <c r="B4034" s="661">
        <v>44478</v>
      </c>
      <c r="C4034" s="662" t="s">
        <v>819</v>
      </c>
      <c r="D4034" s="663" t="s">
        <v>845</v>
      </c>
      <c r="E4034" s="664" t="s">
        <v>831</v>
      </c>
      <c r="F4034" s="665"/>
      <c r="G4034" s="663">
        <v>17</v>
      </c>
      <c r="H4034" s="662" t="s">
        <v>807</v>
      </c>
      <c r="I4034" s="666" t="s">
        <v>859</v>
      </c>
      <c r="J4034" s="667" t="s">
        <v>804</v>
      </c>
      <c r="K4034" s="662">
        <v>2</v>
      </c>
      <c r="L4034" s="685">
        <f t="shared" si="121"/>
        <v>15.98</v>
      </c>
      <c r="M4034" s="686">
        <f t="shared" si="122"/>
        <v>31.96</v>
      </c>
      <c r="O4034" s="693"/>
    </row>
    <row r="4035" spans="2:15" s="645" customFormat="1" ht="21.75" customHeight="1">
      <c r="B4035" s="661">
        <v>44478</v>
      </c>
      <c r="C4035" s="662" t="s">
        <v>819</v>
      </c>
      <c r="D4035" s="663" t="s">
        <v>847</v>
      </c>
      <c r="E4035" s="664" t="s">
        <v>831</v>
      </c>
      <c r="F4035" s="665"/>
      <c r="G4035" s="663">
        <v>17</v>
      </c>
      <c r="H4035" s="662" t="s">
        <v>807</v>
      </c>
      <c r="I4035" s="666" t="s">
        <v>859</v>
      </c>
      <c r="J4035" s="667" t="s">
        <v>804</v>
      </c>
      <c r="K4035" s="662">
        <v>2</v>
      </c>
      <c r="L4035" s="685">
        <f t="shared" si="121"/>
        <v>15.98</v>
      </c>
      <c r="M4035" s="686">
        <f t="shared" si="122"/>
        <v>31.96</v>
      </c>
      <c r="O4035" s="693"/>
    </row>
    <row r="4036" spans="2:15" s="645" customFormat="1" ht="21.75" customHeight="1">
      <c r="B4036" s="661">
        <v>44478</v>
      </c>
      <c r="C4036" s="662" t="s">
        <v>819</v>
      </c>
      <c r="D4036" s="663" t="s">
        <v>847</v>
      </c>
      <c r="E4036" s="664" t="s">
        <v>831</v>
      </c>
      <c r="F4036" s="665"/>
      <c r="G4036" s="663">
        <v>17</v>
      </c>
      <c r="H4036" s="662" t="s">
        <v>807</v>
      </c>
      <c r="I4036" s="666" t="s">
        <v>859</v>
      </c>
      <c r="J4036" s="667" t="s">
        <v>805</v>
      </c>
      <c r="K4036" s="662">
        <v>4</v>
      </c>
      <c r="L4036" s="685">
        <f t="shared" si="121"/>
        <v>15.98</v>
      </c>
      <c r="M4036" s="686">
        <f t="shared" si="122"/>
        <v>63.92</v>
      </c>
      <c r="O4036" s="693"/>
    </row>
    <row r="4037" spans="2:15" s="645" customFormat="1" ht="21.75" customHeight="1">
      <c r="B4037" s="661">
        <v>44478</v>
      </c>
      <c r="C4037" s="662" t="s">
        <v>819</v>
      </c>
      <c r="D4037" s="663" t="s">
        <v>856</v>
      </c>
      <c r="E4037" s="664" t="s">
        <v>831</v>
      </c>
      <c r="F4037" s="665"/>
      <c r="G4037" s="663">
        <v>20</v>
      </c>
      <c r="H4037" s="662" t="s">
        <v>807</v>
      </c>
      <c r="I4037" s="666" t="s">
        <v>859</v>
      </c>
      <c r="J4037" s="667" t="s">
        <v>804</v>
      </c>
      <c r="K4037" s="662">
        <v>3</v>
      </c>
      <c r="L4037" s="685">
        <f t="shared" si="121"/>
        <v>18.8</v>
      </c>
      <c r="M4037" s="686">
        <f t="shared" si="122"/>
        <v>56.400000000000006</v>
      </c>
      <c r="O4037" s="693"/>
    </row>
    <row r="4038" spans="2:15" s="645" customFormat="1" ht="21.75" customHeight="1">
      <c r="B4038" s="661">
        <v>44478</v>
      </c>
      <c r="C4038" s="662" t="s">
        <v>819</v>
      </c>
      <c r="D4038" s="663" t="s">
        <v>856</v>
      </c>
      <c r="E4038" s="664" t="s">
        <v>831</v>
      </c>
      <c r="F4038" s="665"/>
      <c r="G4038" s="663">
        <v>20</v>
      </c>
      <c r="H4038" s="662" t="s">
        <v>807</v>
      </c>
      <c r="I4038" s="666" t="s">
        <v>859</v>
      </c>
      <c r="J4038" s="667" t="s">
        <v>805</v>
      </c>
      <c r="K4038" s="662">
        <v>3</v>
      </c>
      <c r="L4038" s="685">
        <f t="shared" si="121"/>
        <v>18.8</v>
      </c>
      <c r="M4038" s="686">
        <f t="shared" si="122"/>
        <v>56.400000000000006</v>
      </c>
      <c r="O4038" s="693"/>
    </row>
    <row r="4039" spans="2:15" s="645" customFormat="1" ht="21.75" customHeight="1">
      <c r="B4039" s="661">
        <v>44478</v>
      </c>
      <c r="C4039" s="662" t="s">
        <v>819</v>
      </c>
      <c r="D4039" s="663" t="s">
        <v>878</v>
      </c>
      <c r="E4039" s="664" t="s">
        <v>831</v>
      </c>
      <c r="F4039" s="665"/>
      <c r="G4039" s="663">
        <v>15</v>
      </c>
      <c r="H4039" s="662" t="s">
        <v>807</v>
      </c>
      <c r="I4039" s="666" t="s">
        <v>859</v>
      </c>
      <c r="J4039" s="667" t="s">
        <v>804</v>
      </c>
      <c r="K4039" s="662">
        <v>3</v>
      </c>
      <c r="L4039" s="685">
        <f t="shared" si="121"/>
        <v>14.1</v>
      </c>
      <c r="M4039" s="686">
        <f t="shared" si="122"/>
        <v>42.3</v>
      </c>
      <c r="O4039" s="693"/>
    </row>
    <row r="4040" spans="2:15" s="645" customFormat="1" ht="21.75" customHeight="1">
      <c r="B4040" s="661">
        <v>44478</v>
      </c>
      <c r="C4040" s="662" t="s">
        <v>819</v>
      </c>
      <c r="D4040" s="663" t="s">
        <v>878</v>
      </c>
      <c r="E4040" s="664" t="s">
        <v>831</v>
      </c>
      <c r="F4040" s="665"/>
      <c r="G4040" s="663">
        <v>15</v>
      </c>
      <c r="H4040" s="662" t="s">
        <v>807</v>
      </c>
      <c r="I4040" s="666" t="s">
        <v>859</v>
      </c>
      <c r="J4040" s="667" t="s">
        <v>805</v>
      </c>
      <c r="K4040" s="662">
        <v>4</v>
      </c>
      <c r="L4040" s="685">
        <f t="shared" si="121"/>
        <v>14.1</v>
      </c>
      <c r="M4040" s="686">
        <f t="shared" si="122"/>
        <v>56.4</v>
      </c>
      <c r="O4040" s="693"/>
    </row>
    <row r="4041" spans="2:15" s="645" customFormat="1" ht="21.75" customHeight="1">
      <c r="B4041" s="661">
        <v>44478</v>
      </c>
      <c r="C4041" s="662" t="s">
        <v>819</v>
      </c>
      <c r="D4041" s="663" t="s">
        <v>855</v>
      </c>
      <c r="E4041" s="664" t="s">
        <v>831</v>
      </c>
      <c r="F4041" s="665"/>
      <c r="G4041" s="663">
        <v>20</v>
      </c>
      <c r="H4041" s="662" t="s">
        <v>807</v>
      </c>
      <c r="I4041" s="666" t="s">
        <v>859</v>
      </c>
      <c r="J4041" s="667" t="s">
        <v>805</v>
      </c>
      <c r="K4041" s="662">
        <v>4</v>
      </c>
      <c r="L4041" s="685">
        <f t="shared" ref="L4041:L4104" si="123">VLOOKUP(G4041,$Q$4:$V$7,6,FALSE)</f>
        <v>18.8</v>
      </c>
      <c r="M4041" s="686">
        <f t="shared" si="122"/>
        <v>75.2</v>
      </c>
      <c r="O4041" s="693"/>
    </row>
    <row r="4042" spans="2:15" s="645" customFormat="1" ht="21.75" customHeight="1">
      <c r="B4042" s="661">
        <v>44478</v>
      </c>
      <c r="C4042" s="662" t="s">
        <v>819</v>
      </c>
      <c r="D4042" s="663" t="s">
        <v>855</v>
      </c>
      <c r="E4042" s="664" t="s">
        <v>831</v>
      </c>
      <c r="F4042" s="665"/>
      <c r="G4042" s="663">
        <v>20</v>
      </c>
      <c r="H4042" s="662" t="s">
        <v>807</v>
      </c>
      <c r="I4042" s="666" t="s">
        <v>859</v>
      </c>
      <c r="J4042" s="667" t="s">
        <v>804</v>
      </c>
      <c r="K4042" s="662">
        <v>2</v>
      </c>
      <c r="L4042" s="685">
        <f t="shared" si="123"/>
        <v>18.8</v>
      </c>
      <c r="M4042" s="686">
        <f t="shared" si="122"/>
        <v>37.6</v>
      </c>
      <c r="O4042" s="693"/>
    </row>
    <row r="4043" spans="2:15" s="645" customFormat="1" ht="21.75" customHeight="1">
      <c r="B4043" s="661">
        <v>44478</v>
      </c>
      <c r="C4043" s="662" t="s">
        <v>819</v>
      </c>
      <c r="D4043" s="663" t="s">
        <v>875</v>
      </c>
      <c r="E4043" s="664" t="s">
        <v>831</v>
      </c>
      <c r="F4043" s="665"/>
      <c r="G4043" s="663">
        <v>20</v>
      </c>
      <c r="H4043" s="662" t="s">
        <v>807</v>
      </c>
      <c r="I4043" s="666" t="s">
        <v>859</v>
      </c>
      <c r="J4043" s="667" t="s">
        <v>805</v>
      </c>
      <c r="K4043" s="662">
        <v>4</v>
      </c>
      <c r="L4043" s="685">
        <f t="shared" si="123"/>
        <v>18.8</v>
      </c>
      <c r="M4043" s="686">
        <f t="shared" si="122"/>
        <v>75.2</v>
      </c>
      <c r="O4043" s="693"/>
    </row>
    <row r="4044" spans="2:15" s="645" customFormat="1" ht="21.75" customHeight="1">
      <c r="B4044" s="661">
        <v>44478</v>
      </c>
      <c r="C4044" s="662" t="s">
        <v>819</v>
      </c>
      <c r="D4044" s="663" t="s">
        <v>875</v>
      </c>
      <c r="E4044" s="664" t="s">
        <v>831</v>
      </c>
      <c r="F4044" s="665"/>
      <c r="G4044" s="663">
        <v>20</v>
      </c>
      <c r="H4044" s="662" t="s">
        <v>807</v>
      </c>
      <c r="I4044" s="666" t="s">
        <v>859</v>
      </c>
      <c r="J4044" s="667" t="s">
        <v>804</v>
      </c>
      <c r="K4044" s="662">
        <v>1</v>
      </c>
      <c r="L4044" s="685">
        <f t="shared" si="123"/>
        <v>18.8</v>
      </c>
      <c r="M4044" s="686">
        <f t="shared" si="122"/>
        <v>18.8</v>
      </c>
      <c r="O4044" s="693"/>
    </row>
    <row r="4045" spans="2:15" s="645" customFormat="1" ht="21.75" customHeight="1">
      <c r="B4045" s="661">
        <v>44478</v>
      </c>
      <c r="C4045" s="662" t="s">
        <v>819</v>
      </c>
      <c r="D4045" s="663" t="s">
        <v>867</v>
      </c>
      <c r="E4045" s="664" t="s">
        <v>831</v>
      </c>
      <c r="F4045" s="665"/>
      <c r="G4045" s="663">
        <v>20</v>
      </c>
      <c r="H4045" s="662" t="s">
        <v>807</v>
      </c>
      <c r="I4045" s="666" t="s">
        <v>859</v>
      </c>
      <c r="J4045" s="667" t="s">
        <v>805</v>
      </c>
      <c r="K4045" s="662">
        <v>4</v>
      </c>
      <c r="L4045" s="685">
        <f t="shared" si="123"/>
        <v>18.8</v>
      </c>
      <c r="M4045" s="686">
        <f t="shared" si="122"/>
        <v>75.2</v>
      </c>
      <c r="O4045" s="693"/>
    </row>
    <row r="4046" spans="2:15" s="645" customFormat="1" ht="21.75" customHeight="1">
      <c r="B4046" s="661">
        <v>44478</v>
      </c>
      <c r="C4046" s="662" t="s">
        <v>819</v>
      </c>
      <c r="D4046" s="663" t="s">
        <v>867</v>
      </c>
      <c r="E4046" s="664" t="s">
        <v>831</v>
      </c>
      <c r="F4046" s="665"/>
      <c r="G4046" s="663">
        <v>20</v>
      </c>
      <c r="H4046" s="662" t="s">
        <v>807</v>
      </c>
      <c r="I4046" s="666" t="s">
        <v>859</v>
      </c>
      <c r="J4046" s="667" t="s">
        <v>804</v>
      </c>
      <c r="K4046" s="662">
        <v>1</v>
      </c>
      <c r="L4046" s="685">
        <f t="shared" si="123"/>
        <v>18.8</v>
      </c>
      <c r="M4046" s="686">
        <f t="shared" si="122"/>
        <v>18.8</v>
      </c>
      <c r="O4046" s="693"/>
    </row>
    <row r="4047" spans="2:15" s="645" customFormat="1" ht="21.75" customHeight="1">
      <c r="B4047" s="661">
        <v>44478</v>
      </c>
      <c r="C4047" s="662" t="s">
        <v>819</v>
      </c>
      <c r="D4047" s="663" t="s">
        <v>876</v>
      </c>
      <c r="E4047" s="664" t="s">
        <v>831</v>
      </c>
      <c r="F4047" s="665"/>
      <c r="G4047" s="663">
        <v>20</v>
      </c>
      <c r="H4047" s="662" t="s">
        <v>807</v>
      </c>
      <c r="I4047" s="666" t="s">
        <v>859</v>
      </c>
      <c r="J4047" s="667" t="s">
        <v>805</v>
      </c>
      <c r="K4047" s="662">
        <v>3</v>
      </c>
      <c r="L4047" s="685">
        <f t="shared" si="123"/>
        <v>18.8</v>
      </c>
      <c r="M4047" s="686">
        <f t="shared" si="122"/>
        <v>56.400000000000006</v>
      </c>
      <c r="O4047" s="693"/>
    </row>
    <row r="4048" spans="2:15" s="645" customFormat="1" ht="21.75" customHeight="1">
      <c r="B4048" s="661">
        <v>44478</v>
      </c>
      <c r="C4048" s="662" t="s">
        <v>819</v>
      </c>
      <c r="D4048" s="663" t="s">
        <v>876</v>
      </c>
      <c r="E4048" s="664" t="s">
        <v>831</v>
      </c>
      <c r="F4048" s="665"/>
      <c r="G4048" s="663">
        <v>20</v>
      </c>
      <c r="H4048" s="662" t="s">
        <v>807</v>
      </c>
      <c r="I4048" s="666" t="s">
        <v>859</v>
      </c>
      <c r="J4048" s="667" t="s">
        <v>804</v>
      </c>
      <c r="K4048" s="662">
        <v>3</v>
      </c>
      <c r="L4048" s="685">
        <f t="shared" si="123"/>
        <v>18.8</v>
      </c>
      <c r="M4048" s="686">
        <f t="shared" si="122"/>
        <v>56.400000000000006</v>
      </c>
      <c r="O4048" s="693"/>
    </row>
    <row r="4049" spans="2:15" s="645" customFormat="1" ht="21.75" customHeight="1">
      <c r="B4049" s="661">
        <v>44478</v>
      </c>
      <c r="C4049" s="662" t="s">
        <v>819</v>
      </c>
      <c r="D4049" s="663" t="s">
        <v>870</v>
      </c>
      <c r="E4049" s="664" t="s">
        <v>831</v>
      </c>
      <c r="F4049" s="665"/>
      <c r="G4049" s="663">
        <v>20</v>
      </c>
      <c r="H4049" s="662" t="s">
        <v>807</v>
      </c>
      <c r="I4049" s="666" t="s">
        <v>859</v>
      </c>
      <c r="J4049" s="667" t="s">
        <v>805</v>
      </c>
      <c r="K4049" s="662">
        <v>3</v>
      </c>
      <c r="L4049" s="685">
        <f t="shared" si="123"/>
        <v>18.8</v>
      </c>
      <c r="M4049" s="686">
        <f t="shared" si="122"/>
        <v>56.400000000000006</v>
      </c>
      <c r="O4049" s="693"/>
    </row>
    <row r="4050" spans="2:15" s="645" customFormat="1" ht="21.75" customHeight="1">
      <c r="B4050" s="661">
        <v>44478</v>
      </c>
      <c r="C4050" s="662" t="s">
        <v>837</v>
      </c>
      <c r="D4050" s="663" t="s">
        <v>849</v>
      </c>
      <c r="E4050" s="664" t="s">
        <v>831</v>
      </c>
      <c r="F4050" s="665"/>
      <c r="G4050" s="663">
        <v>20</v>
      </c>
      <c r="H4050" s="662" t="s">
        <v>807</v>
      </c>
      <c r="I4050" s="666" t="s">
        <v>859</v>
      </c>
      <c r="J4050" s="667" t="s">
        <v>805</v>
      </c>
      <c r="K4050" s="662">
        <v>5</v>
      </c>
      <c r="L4050" s="685">
        <f t="shared" si="123"/>
        <v>18.8</v>
      </c>
      <c r="M4050" s="686">
        <f t="shared" si="122"/>
        <v>94</v>
      </c>
      <c r="O4050" s="693"/>
    </row>
    <row r="4051" spans="2:15" s="645" customFormat="1" ht="21.75" customHeight="1">
      <c r="B4051" s="661">
        <v>44478</v>
      </c>
      <c r="C4051" s="662" t="s">
        <v>837</v>
      </c>
      <c r="D4051" s="663" t="s">
        <v>835</v>
      </c>
      <c r="E4051" s="664" t="s">
        <v>831</v>
      </c>
      <c r="F4051" s="665"/>
      <c r="G4051" s="663">
        <v>20</v>
      </c>
      <c r="H4051" s="662" t="s">
        <v>807</v>
      </c>
      <c r="I4051" s="666" t="s">
        <v>859</v>
      </c>
      <c r="J4051" s="667" t="s">
        <v>805</v>
      </c>
      <c r="K4051" s="662">
        <v>1</v>
      </c>
      <c r="L4051" s="685">
        <f t="shared" si="123"/>
        <v>18.8</v>
      </c>
      <c r="M4051" s="686">
        <f t="shared" si="122"/>
        <v>18.8</v>
      </c>
      <c r="O4051" s="693"/>
    </row>
    <row r="4052" spans="2:15" s="645" customFormat="1" ht="21.75" customHeight="1">
      <c r="B4052" s="661">
        <v>44478</v>
      </c>
      <c r="C4052" s="662" t="s">
        <v>837</v>
      </c>
      <c r="D4052" s="663" t="s">
        <v>841</v>
      </c>
      <c r="E4052" s="664" t="s">
        <v>831</v>
      </c>
      <c r="F4052" s="665"/>
      <c r="G4052" s="663">
        <v>20</v>
      </c>
      <c r="H4052" s="662" t="s">
        <v>807</v>
      </c>
      <c r="I4052" s="666" t="s">
        <v>859</v>
      </c>
      <c r="J4052" s="667" t="s">
        <v>805</v>
      </c>
      <c r="K4052" s="662">
        <v>2</v>
      </c>
      <c r="L4052" s="685">
        <f t="shared" si="123"/>
        <v>18.8</v>
      </c>
      <c r="M4052" s="686">
        <f t="shared" si="122"/>
        <v>37.6</v>
      </c>
      <c r="O4052" s="693"/>
    </row>
    <row r="4053" spans="2:15" s="645" customFormat="1" ht="21.75" customHeight="1">
      <c r="B4053" s="661">
        <v>44478</v>
      </c>
      <c r="C4053" s="662" t="s">
        <v>837</v>
      </c>
      <c r="D4053" s="663" t="s">
        <v>834</v>
      </c>
      <c r="E4053" s="664" t="s">
        <v>831</v>
      </c>
      <c r="F4053" s="665"/>
      <c r="G4053" s="663">
        <v>20</v>
      </c>
      <c r="H4053" s="662" t="s">
        <v>807</v>
      </c>
      <c r="I4053" s="666" t="s">
        <v>859</v>
      </c>
      <c r="J4053" s="667" t="s">
        <v>805</v>
      </c>
      <c r="K4053" s="662">
        <v>3</v>
      </c>
      <c r="L4053" s="685">
        <f t="shared" si="123"/>
        <v>18.8</v>
      </c>
      <c r="M4053" s="686">
        <f t="shared" si="122"/>
        <v>56.400000000000006</v>
      </c>
      <c r="O4053" s="693"/>
    </row>
    <row r="4054" spans="2:15" s="645" customFormat="1" ht="21.75" customHeight="1">
      <c r="B4054" s="661">
        <v>44478</v>
      </c>
      <c r="C4054" s="662" t="s">
        <v>837</v>
      </c>
      <c r="D4054" s="663" t="s">
        <v>856</v>
      </c>
      <c r="E4054" s="664" t="s">
        <v>831</v>
      </c>
      <c r="F4054" s="665"/>
      <c r="G4054" s="663">
        <v>20</v>
      </c>
      <c r="H4054" s="662" t="s">
        <v>807</v>
      </c>
      <c r="I4054" s="666" t="s">
        <v>859</v>
      </c>
      <c r="J4054" s="667" t="s">
        <v>805</v>
      </c>
      <c r="K4054" s="662">
        <v>3</v>
      </c>
      <c r="L4054" s="685">
        <f t="shared" si="123"/>
        <v>18.8</v>
      </c>
      <c r="M4054" s="686">
        <f t="shared" si="122"/>
        <v>56.400000000000006</v>
      </c>
      <c r="O4054" s="693"/>
    </row>
    <row r="4055" spans="2:15" s="645" customFormat="1" ht="21.75" customHeight="1">
      <c r="B4055" s="661">
        <v>44478</v>
      </c>
      <c r="C4055" s="662" t="s">
        <v>837</v>
      </c>
      <c r="D4055" s="663" t="s">
        <v>855</v>
      </c>
      <c r="E4055" s="664" t="s">
        <v>831</v>
      </c>
      <c r="F4055" s="665"/>
      <c r="G4055" s="663">
        <v>20</v>
      </c>
      <c r="H4055" s="662" t="s">
        <v>807</v>
      </c>
      <c r="I4055" s="666" t="s">
        <v>859</v>
      </c>
      <c r="J4055" s="667" t="s">
        <v>805</v>
      </c>
      <c r="K4055" s="662">
        <v>1</v>
      </c>
      <c r="L4055" s="685">
        <f t="shared" si="123"/>
        <v>18.8</v>
      </c>
      <c r="M4055" s="686">
        <f t="shared" si="122"/>
        <v>18.8</v>
      </c>
      <c r="O4055" s="693"/>
    </row>
    <row r="4056" spans="2:15" s="645" customFormat="1" ht="21.75" customHeight="1">
      <c r="B4056" s="661">
        <v>44478</v>
      </c>
      <c r="C4056" s="662" t="s">
        <v>837</v>
      </c>
      <c r="D4056" s="663" t="s">
        <v>875</v>
      </c>
      <c r="E4056" s="664" t="s">
        <v>831</v>
      </c>
      <c r="F4056" s="665"/>
      <c r="G4056" s="663">
        <v>20</v>
      </c>
      <c r="H4056" s="662" t="s">
        <v>807</v>
      </c>
      <c r="I4056" s="666" t="s">
        <v>859</v>
      </c>
      <c r="J4056" s="667" t="s">
        <v>805</v>
      </c>
      <c r="K4056" s="662">
        <v>2</v>
      </c>
      <c r="L4056" s="685">
        <f t="shared" si="123"/>
        <v>18.8</v>
      </c>
      <c r="M4056" s="686">
        <f t="shared" si="122"/>
        <v>37.6</v>
      </c>
      <c r="O4056" s="693"/>
    </row>
    <row r="4057" spans="2:15" s="645" customFormat="1" ht="21.75" customHeight="1">
      <c r="B4057" s="661">
        <v>44478</v>
      </c>
      <c r="C4057" s="662" t="s">
        <v>837</v>
      </c>
      <c r="D4057" s="663" t="s">
        <v>870</v>
      </c>
      <c r="E4057" s="664" t="s">
        <v>831</v>
      </c>
      <c r="F4057" s="665"/>
      <c r="G4057" s="663">
        <v>20</v>
      </c>
      <c r="H4057" s="662" t="s">
        <v>807</v>
      </c>
      <c r="I4057" s="666" t="s">
        <v>859</v>
      </c>
      <c r="J4057" s="667" t="s">
        <v>805</v>
      </c>
      <c r="K4057" s="662">
        <v>1</v>
      </c>
      <c r="L4057" s="685">
        <f t="shared" si="123"/>
        <v>18.8</v>
      </c>
      <c r="M4057" s="686">
        <f t="shared" si="122"/>
        <v>18.8</v>
      </c>
      <c r="O4057" s="693"/>
    </row>
    <row r="4058" spans="2:15" s="645" customFormat="1" ht="21.75" customHeight="1">
      <c r="B4058" s="661">
        <v>44478</v>
      </c>
      <c r="C4058" s="662" t="s">
        <v>837</v>
      </c>
      <c r="D4058" s="663" t="s">
        <v>867</v>
      </c>
      <c r="E4058" s="664" t="s">
        <v>831</v>
      </c>
      <c r="F4058" s="665"/>
      <c r="G4058" s="663">
        <v>20</v>
      </c>
      <c r="H4058" s="662" t="s">
        <v>807</v>
      </c>
      <c r="I4058" s="666" t="s">
        <v>859</v>
      </c>
      <c r="J4058" s="667" t="s">
        <v>805</v>
      </c>
      <c r="K4058" s="662">
        <v>1</v>
      </c>
      <c r="L4058" s="685">
        <f t="shared" si="123"/>
        <v>18.8</v>
      </c>
      <c r="M4058" s="686">
        <f t="shared" si="122"/>
        <v>18.8</v>
      </c>
      <c r="O4058" s="693"/>
    </row>
    <row r="4059" spans="2:15" s="645" customFormat="1" ht="21.75" customHeight="1">
      <c r="B4059" s="661">
        <v>44478</v>
      </c>
      <c r="C4059" s="662" t="s">
        <v>837</v>
      </c>
      <c r="D4059" s="663" t="s">
        <v>876</v>
      </c>
      <c r="E4059" s="664" t="s">
        <v>831</v>
      </c>
      <c r="F4059" s="665"/>
      <c r="G4059" s="663">
        <v>20</v>
      </c>
      <c r="H4059" s="662" t="s">
        <v>807</v>
      </c>
      <c r="I4059" s="666" t="s">
        <v>859</v>
      </c>
      <c r="J4059" s="667" t="s">
        <v>805</v>
      </c>
      <c r="K4059" s="662">
        <v>2</v>
      </c>
      <c r="L4059" s="685">
        <f t="shared" si="123"/>
        <v>18.8</v>
      </c>
      <c r="M4059" s="686">
        <f t="shared" si="122"/>
        <v>37.6</v>
      </c>
      <c r="O4059" s="693"/>
    </row>
    <row r="4060" spans="2:15" s="645" customFormat="1" ht="21.75" customHeight="1">
      <c r="B4060" s="661">
        <v>44478</v>
      </c>
      <c r="C4060" s="662" t="s">
        <v>837</v>
      </c>
      <c r="D4060" s="663" t="s">
        <v>849</v>
      </c>
      <c r="E4060" s="664" t="s">
        <v>831</v>
      </c>
      <c r="F4060" s="665"/>
      <c r="G4060" s="663">
        <v>20</v>
      </c>
      <c r="H4060" s="662" t="s">
        <v>807</v>
      </c>
      <c r="I4060" s="666" t="s">
        <v>859</v>
      </c>
      <c r="J4060" s="667" t="s">
        <v>865</v>
      </c>
      <c r="K4060" s="662">
        <v>3</v>
      </c>
      <c r="L4060" s="685">
        <f t="shared" si="123"/>
        <v>18.8</v>
      </c>
      <c r="M4060" s="686">
        <f t="shared" si="122"/>
        <v>56.400000000000006</v>
      </c>
      <c r="O4060" s="693"/>
    </row>
    <row r="4061" spans="2:15" s="645" customFormat="1" ht="21.75" customHeight="1">
      <c r="B4061" s="661">
        <v>44478</v>
      </c>
      <c r="C4061" s="662" t="s">
        <v>837</v>
      </c>
      <c r="D4061" s="663" t="s">
        <v>835</v>
      </c>
      <c r="E4061" s="664" t="s">
        <v>831</v>
      </c>
      <c r="F4061" s="665"/>
      <c r="G4061" s="663">
        <v>20</v>
      </c>
      <c r="H4061" s="662" t="s">
        <v>807</v>
      </c>
      <c r="I4061" s="666" t="s">
        <v>859</v>
      </c>
      <c r="J4061" s="667" t="s">
        <v>865</v>
      </c>
      <c r="K4061" s="662">
        <v>6</v>
      </c>
      <c r="L4061" s="685">
        <f t="shared" si="123"/>
        <v>18.8</v>
      </c>
      <c r="M4061" s="686">
        <f t="shared" si="122"/>
        <v>112.80000000000001</v>
      </c>
      <c r="O4061" s="693"/>
    </row>
    <row r="4062" spans="2:15" s="645" customFormat="1" ht="21.75" customHeight="1">
      <c r="B4062" s="661">
        <v>44478</v>
      </c>
      <c r="C4062" s="662" t="s">
        <v>837</v>
      </c>
      <c r="D4062" s="663" t="s">
        <v>841</v>
      </c>
      <c r="E4062" s="664" t="s">
        <v>831</v>
      </c>
      <c r="F4062" s="665"/>
      <c r="G4062" s="663">
        <v>20</v>
      </c>
      <c r="H4062" s="662" t="s">
        <v>807</v>
      </c>
      <c r="I4062" s="666" t="s">
        <v>859</v>
      </c>
      <c r="J4062" s="667" t="s">
        <v>865</v>
      </c>
      <c r="K4062" s="662">
        <v>5</v>
      </c>
      <c r="L4062" s="685">
        <f t="shared" si="123"/>
        <v>18.8</v>
      </c>
      <c r="M4062" s="686">
        <f t="shared" si="122"/>
        <v>94</v>
      </c>
      <c r="O4062" s="693"/>
    </row>
    <row r="4063" spans="2:15" s="645" customFormat="1" ht="21.75" customHeight="1">
      <c r="B4063" s="661">
        <v>44478</v>
      </c>
      <c r="C4063" s="662" t="s">
        <v>837</v>
      </c>
      <c r="D4063" s="663" t="s">
        <v>834</v>
      </c>
      <c r="E4063" s="664" t="s">
        <v>831</v>
      </c>
      <c r="F4063" s="665"/>
      <c r="G4063" s="663">
        <v>20</v>
      </c>
      <c r="H4063" s="662" t="s">
        <v>807</v>
      </c>
      <c r="I4063" s="666" t="s">
        <v>859</v>
      </c>
      <c r="J4063" s="667" t="s">
        <v>865</v>
      </c>
      <c r="K4063" s="662">
        <v>6</v>
      </c>
      <c r="L4063" s="685">
        <f t="shared" si="123"/>
        <v>18.8</v>
      </c>
      <c r="M4063" s="686">
        <f t="shared" si="122"/>
        <v>112.80000000000001</v>
      </c>
      <c r="O4063" s="693"/>
    </row>
    <row r="4064" spans="2:15" s="645" customFormat="1" ht="21.75" customHeight="1">
      <c r="B4064" s="661">
        <v>44478</v>
      </c>
      <c r="C4064" s="662" t="s">
        <v>837</v>
      </c>
      <c r="D4064" s="663" t="s">
        <v>833</v>
      </c>
      <c r="E4064" s="664" t="s">
        <v>831</v>
      </c>
      <c r="F4064" s="665"/>
      <c r="G4064" s="663">
        <v>15</v>
      </c>
      <c r="H4064" s="662" t="s">
        <v>807</v>
      </c>
      <c r="I4064" s="666" t="s">
        <v>859</v>
      </c>
      <c r="J4064" s="667" t="s">
        <v>865</v>
      </c>
      <c r="K4064" s="662">
        <v>5</v>
      </c>
      <c r="L4064" s="685">
        <f t="shared" si="123"/>
        <v>14.1</v>
      </c>
      <c r="M4064" s="686">
        <f t="shared" si="122"/>
        <v>70.5</v>
      </c>
      <c r="O4064" s="693"/>
    </row>
    <row r="4065" spans="2:15" s="645" customFormat="1" ht="21.75" customHeight="1">
      <c r="B4065" s="661">
        <v>44478</v>
      </c>
      <c r="C4065" s="662" t="s">
        <v>837</v>
      </c>
      <c r="D4065" s="663" t="s">
        <v>847</v>
      </c>
      <c r="E4065" s="664" t="s">
        <v>831</v>
      </c>
      <c r="F4065" s="665"/>
      <c r="G4065" s="663">
        <v>17</v>
      </c>
      <c r="H4065" s="662" t="s">
        <v>807</v>
      </c>
      <c r="I4065" s="666" t="s">
        <v>859</v>
      </c>
      <c r="J4065" s="667" t="s">
        <v>865</v>
      </c>
      <c r="K4065" s="662">
        <v>4</v>
      </c>
      <c r="L4065" s="685">
        <f t="shared" si="123"/>
        <v>15.98</v>
      </c>
      <c r="M4065" s="686">
        <f t="shared" si="122"/>
        <v>63.92</v>
      </c>
      <c r="O4065" s="693"/>
    </row>
    <row r="4066" spans="2:15" s="645" customFormat="1" ht="21.75" customHeight="1">
      <c r="B4066" s="661">
        <v>44478</v>
      </c>
      <c r="C4066" s="662" t="s">
        <v>837</v>
      </c>
      <c r="D4066" s="663" t="s">
        <v>878</v>
      </c>
      <c r="E4066" s="664" t="s">
        <v>831</v>
      </c>
      <c r="F4066" s="665"/>
      <c r="G4066" s="663">
        <v>15</v>
      </c>
      <c r="H4066" s="662" t="s">
        <v>807</v>
      </c>
      <c r="I4066" s="666" t="s">
        <v>859</v>
      </c>
      <c r="J4066" s="667" t="s">
        <v>865</v>
      </c>
      <c r="K4066" s="662">
        <v>5</v>
      </c>
      <c r="L4066" s="685">
        <f t="shared" si="123"/>
        <v>14.1</v>
      </c>
      <c r="M4066" s="686">
        <f t="shared" si="122"/>
        <v>70.5</v>
      </c>
      <c r="O4066" s="693"/>
    </row>
    <row r="4067" spans="2:15" s="645" customFormat="1" ht="21.75" customHeight="1">
      <c r="B4067" s="661">
        <v>44478</v>
      </c>
      <c r="C4067" s="662" t="s">
        <v>837</v>
      </c>
      <c r="D4067" s="663" t="s">
        <v>856</v>
      </c>
      <c r="E4067" s="664" t="s">
        <v>831</v>
      </c>
      <c r="F4067" s="665"/>
      <c r="G4067" s="663">
        <v>20</v>
      </c>
      <c r="H4067" s="662" t="s">
        <v>807</v>
      </c>
      <c r="I4067" s="666" t="s">
        <v>859</v>
      </c>
      <c r="J4067" s="667" t="s">
        <v>865</v>
      </c>
      <c r="K4067" s="662">
        <v>5</v>
      </c>
      <c r="L4067" s="685">
        <f t="shared" si="123"/>
        <v>18.8</v>
      </c>
      <c r="M4067" s="686">
        <f t="shared" si="122"/>
        <v>94</v>
      </c>
      <c r="O4067" s="693"/>
    </row>
    <row r="4068" spans="2:15" s="645" customFormat="1" ht="21.75" customHeight="1">
      <c r="B4068" s="661">
        <v>44478</v>
      </c>
      <c r="C4068" s="662" t="s">
        <v>837</v>
      </c>
      <c r="D4068" s="663" t="s">
        <v>855</v>
      </c>
      <c r="E4068" s="664" t="s">
        <v>831</v>
      </c>
      <c r="F4068" s="665"/>
      <c r="G4068" s="663">
        <v>20</v>
      </c>
      <c r="H4068" s="662" t="s">
        <v>807</v>
      </c>
      <c r="I4068" s="666" t="s">
        <v>859</v>
      </c>
      <c r="J4068" s="667" t="s">
        <v>865</v>
      </c>
      <c r="K4068" s="662">
        <v>5</v>
      </c>
      <c r="L4068" s="685">
        <f t="shared" si="123"/>
        <v>18.8</v>
      </c>
      <c r="M4068" s="686">
        <f t="shared" si="122"/>
        <v>94</v>
      </c>
      <c r="O4068" s="693"/>
    </row>
    <row r="4069" spans="2:15" s="645" customFormat="1" ht="21.75" customHeight="1">
      <c r="B4069" s="661">
        <v>44478</v>
      </c>
      <c r="C4069" s="662" t="s">
        <v>837</v>
      </c>
      <c r="D4069" s="663" t="s">
        <v>875</v>
      </c>
      <c r="E4069" s="664" t="s">
        <v>831</v>
      </c>
      <c r="F4069" s="665"/>
      <c r="G4069" s="663">
        <v>20</v>
      </c>
      <c r="H4069" s="662" t="s">
        <v>807</v>
      </c>
      <c r="I4069" s="666" t="s">
        <v>859</v>
      </c>
      <c r="J4069" s="667" t="s">
        <v>865</v>
      </c>
      <c r="K4069" s="662">
        <v>6</v>
      </c>
      <c r="L4069" s="685">
        <f t="shared" si="123"/>
        <v>18.8</v>
      </c>
      <c r="M4069" s="686">
        <f t="shared" si="122"/>
        <v>112.80000000000001</v>
      </c>
      <c r="O4069" s="693"/>
    </row>
    <row r="4070" spans="2:15" s="645" customFormat="1" ht="21.75" customHeight="1">
      <c r="B4070" s="661">
        <v>44478</v>
      </c>
      <c r="C4070" s="662" t="s">
        <v>837</v>
      </c>
      <c r="D4070" s="663" t="s">
        <v>877</v>
      </c>
      <c r="E4070" s="664" t="s">
        <v>831</v>
      </c>
      <c r="F4070" s="665"/>
      <c r="G4070" s="663">
        <v>20</v>
      </c>
      <c r="H4070" s="662" t="s">
        <v>807</v>
      </c>
      <c r="I4070" s="666" t="s">
        <v>859</v>
      </c>
      <c r="J4070" s="667" t="s">
        <v>865</v>
      </c>
      <c r="K4070" s="662">
        <v>6</v>
      </c>
      <c r="L4070" s="685">
        <f t="shared" si="123"/>
        <v>18.8</v>
      </c>
      <c r="M4070" s="686">
        <f t="shared" si="122"/>
        <v>112.80000000000001</v>
      </c>
      <c r="O4070" s="693"/>
    </row>
    <row r="4071" spans="2:15" s="645" customFormat="1" ht="21.75" customHeight="1">
      <c r="B4071" s="661">
        <v>44478</v>
      </c>
      <c r="C4071" s="662" t="s">
        <v>837</v>
      </c>
      <c r="D4071" s="663" t="s">
        <v>870</v>
      </c>
      <c r="E4071" s="664" t="s">
        <v>831</v>
      </c>
      <c r="F4071" s="665"/>
      <c r="G4071" s="663">
        <v>20</v>
      </c>
      <c r="H4071" s="662" t="s">
        <v>807</v>
      </c>
      <c r="I4071" s="666" t="s">
        <v>859</v>
      </c>
      <c r="J4071" s="667" t="s">
        <v>865</v>
      </c>
      <c r="K4071" s="662">
        <v>6</v>
      </c>
      <c r="L4071" s="685">
        <f t="shared" si="123"/>
        <v>18.8</v>
      </c>
      <c r="M4071" s="686">
        <f t="shared" ref="M4071:M4134" si="124">L4071*K4071</f>
        <v>112.80000000000001</v>
      </c>
      <c r="O4071" s="693"/>
    </row>
    <row r="4072" spans="2:15" s="645" customFormat="1" ht="21.75" customHeight="1">
      <c r="B4072" s="661">
        <v>44478</v>
      </c>
      <c r="C4072" s="662" t="s">
        <v>837</v>
      </c>
      <c r="D4072" s="663" t="s">
        <v>867</v>
      </c>
      <c r="E4072" s="664" t="s">
        <v>831</v>
      </c>
      <c r="F4072" s="665"/>
      <c r="G4072" s="663">
        <v>20</v>
      </c>
      <c r="H4072" s="662" t="s">
        <v>807</v>
      </c>
      <c r="I4072" s="666" t="s">
        <v>859</v>
      </c>
      <c r="J4072" s="667" t="s">
        <v>865</v>
      </c>
      <c r="K4072" s="662">
        <v>10</v>
      </c>
      <c r="L4072" s="685">
        <f t="shared" si="123"/>
        <v>18.8</v>
      </c>
      <c r="M4072" s="686">
        <f t="shared" si="124"/>
        <v>188</v>
      </c>
      <c r="O4072" s="693"/>
    </row>
    <row r="4073" spans="2:15" s="645" customFormat="1" ht="21.75" customHeight="1">
      <c r="B4073" s="661">
        <v>44478</v>
      </c>
      <c r="C4073" s="662" t="s">
        <v>837</v>
      </c>
      <c r="D4073" s="663" t="s">
        <v>876</v>
      </c>
      <c r="E4073" s="664" t="s">
        <v>831</v>
      </c>
      <c r="F4073" s="665"/>
      <c r="G4073" s="663">
        <v>20</v>
      </c>
      <c r="H4073" s="662" t="s">
        <v>807</v>
      </c>
      <c r="I4073" s="666" t="s">
        <v>859</v>
      </c>
      <c r="J4073" s="667" t="s">
        <v>865</v>
      </c>
      <c r="K4073" s="662">
        <v>4</v>
      </c>
      <c r="L4073" s="685">
        <f t="shared" si="123"/>
        <v>18.8</v>
      </c>
      <c r="M4073" s="686">
        <f t="shared" si="124"/>
        <v>75.2</v>
      </c>
      <c r="O4073" s="693"/>
    </row>
    <row r="4074" spans="2:15" s="645" customFormat="1" ht="21.75" customHeight="1">
      <c r="B4074" s="661">
        <v>44478</v>
      </c>
      <c r="C4074" s="662" t="s">
        <v>837</v>
      </c>
      <c r="D4074" s="663" t="s">
        <v>876</v>
      </c>
      <c r="E4074" s="664" t="s">
        <v>831</v>
      </c>
      <c r="F4074" s="665"/>
      <c r="G4074" s="663">
        <v>20</v>
      </c>
      <c r="H4074" s="662" t="s">
        <v>807</v>
      </c>
      <c r="I4074" s="666" t="s">
        <v>857</v>
      </c>
      <c r="J4074" s="667" t="s">
        <v>865</v>
      </c>
      <c r="K4074" s="662">
        <v>1</v>
      </c>
      <c r="L4074" s="685">
        <f t="shared" si="123"/>
        <v>18.8</v>
      </c>
      <c r="M4074" s="686">
        <f t="shared" si="124"/>
        <v>18.8</v>
      </c>
      <c r="O4074" s="693"/>
    </row>
    <row r="4075" spans="2:15" s="645" customFormat="1" ht="21.75" customHeight="1">
      <c r="B4075" s="708">
        <v>44478</v>
      </c>
      <c r="C4075" s="709" t="s">
        <v>819</v>
      </c>
      <c r="D4075" s="710" t="s">
        <v>840</v>
      </c>
      <c r="E4075" s="711" t="s">
        <v>831</v>
      </c>
      <c r="F4075" s="712"/>
      <c r="G4075" s="710">
        <v>20</v>
      </c>
      <c r="H4075" s="709" t="s">
        <v>807</v>
      </c>
      <c r="I4075" s="713" t="s">
        <v>859</v>
      </c>
      <c r="J4075" s="714" t="s">
        <v>802</v>
      </c>
      <c r="K4075" s="709">
        <v>2</v>
      </c>
      <c r="L4075" s="715">
        <f t="shared" si="123"/>
        <v>18.8</v>
      </c>
      <c r="M4075" s="716">
        <f t="shared" si="124"/>
        <v>37.6</v>
      </c>
      <c r="O4075" s="693"/>
    </row>
    <row r="4076" spans="2:15" s="645" customFormat="1" ht="21.75" customHeight="1">
      <c r="B4076" s="708">
        <v>44478</v>
      </c>
      <c r="C4076" s="709" t="s">
        <v>819</v>
      </c>
      <c r="D4076" s="710" t="s">
        <v>833</v>
      </c>
      <c r="E4076" s="711" t="s">
        <v>831</v>
      </c>
      <c r="F4076" s="712"/>
      <c r="G4076" s="710">
        <v>15</v>
      </c>
      <c r="H4076" s="709" t="s">
        <v>807</v>
      </c>
      <c r="I4076" s="713" t="s">
        <v>859</v>
      </c>
      <c r="J4076" s="714" t="s">
        <v>802</v>
      </c>
      <c r="K4076" s="709">
        <v>1</v>
      </c>
      <c r="L4076" s="715">
        <f t="shared" si="123"/>
        <v>14.1</v>
      </c>
      <c r="M4076" s="716">
        <f t="shared" si="124"/>
        <v>14.1</v>
      </c>
      <c r="O4076" s="693"/>
    </row>
    <row r="4077" spans="2:15" s="645" customFormat="1" ht="21.75" customHeight="1">
      <c r="B4077" s="708">
        <v>44478</v>
      </c>
      <c r="C4077" s="709" t="s">
        <v>819</v>
      </c>
      <c r="D4077" s="710" t="s">
        <v>856</v>
      </c>
      <c r="E4077" s="711" t="s">
        <v>831</v>
      </c>
      <c r="F4077" s="712"/>
      <c r="G4077" s="710">
        <v>20</v>
      </c>
      <c r="H4077" s="709" t="s">
        <v>807</v>
      </c>
      <c r="I4077" s="713" t="s">
        <v>859</v>
      </c>
      <c r="J4077" s="714" t="s">
        <v>802</v>
      </c>
      <c r="K4077" s="709">
        <v>2</v>
      </c>
      <c r="L4077" s="715">
        <f t="shared" si="123"/>
        <v>18.8</v>
      </c>
      <c r="M4077" s="716">
        <f t="shared" si="124"/>
        <v>37.6</v>
      </c>
      <c r="O4077" s="693"/>
    </row>
    <row r="4078" spans="2:15" s="645" customFormat="1" ht="21.75" customHeight="1">
      <c r="B4078" s="708">
        <v>44478</v>
      </c>
      <c r="C4078" s="709" t="s">
        <v>819</v>
      </c>
      <c r="D4078" s="710" t="s">
        <v>875</v>
      </c>
      <c r="E4078" s="711" t="s">
        <v>831</v>
      </c>
      <c r="F4078" s="712"/>
      <c r="G4078" s="710">
        <v>20</v>
      </c>
      <c r="H4078" s="709" t="s">
        <v>807</v>
      </c>
      <c r="I4078" s="713" t="s">
        <v>859</v>
      </c>
      <c r="J4078" s="714" t="s">
        <v>802</v>
      </c>
      <c r="K4078" s="709">
        <v>1</v>
      </c>
      <c r="L4078" s="715">
        <f t="shared" si="123"/>
        <v>18.8</v>
      </c>
      <c r="M4078" s="716">
        <f t="shared" si="124"/>
        <v>18.8</v>
      </c>
      <c r="O4078" s="693"/>
    </row>
    <row r="4079" spans="2:15" s="645" customFormat="1" ht="21.75" customHeight="1">
      <c r="B4079" s="708">
        <v>44478</v>
      </c>
      <c r="C4079" s="709" t="s">
        <v>819</v>
      </c>
      <c r="D4079" s="710" t="s">
        <v>876</v>
      </c>
      <c r="E4079" s="711" t="s">
        <v>831</v>
      </c>
      <c r="F4079" s="712"/>
      <c r="G4079" s="710">
        <v>20</v>
      </c>
      <c r="H4079" s="709" t="s">
        <v>807</v>
      </c>
      <c r="I4079" s="713" t="s">
        <v>859</v>
      </c>
      <c r="J4079" s="714" t="s">
        <v>802</v>
      </c>
      <c r="K4079" s="709">
        <v>1</v>
      </c>
      <c r="L4079" s="715">
        <f t="shared" si="123"/>
        <v>18.8</v>
      </c>
      <c r="M4079" s="716">
        <f t="shared" si="124"/>
        <v>18.8</v>
      </c>
      <c r="O4079" s="693"/>
    </row>
    <row r="4080" spans="2:15" s="645" customFormat="1" ht="21.75" customHeight="1">
      <c r="B4080" s="708">
        <v>44478</v>
      </c>
      <c r="C4080" s="709" t="s">
        <v>837</v>
      </c>
      <c r="D4080" s="710" t="s">
        <v>849</v>
      </c>
      <c r="E4080" s="711" t="s">
        <v>831</v>
      </c>
      <c r="F4080" s="712"/>
      <c r="G4080" s="710">
        <v>20</v>
      </c>
      <c r="H4080" s="709" t="s">
        <v>807</v>
      </c>
      <c r="I4080" s="713" t="s">
        <v>859</v>
      </c>
      <c r="J4080" s="714" t="s">
        <v>802</v>
      </c>
      <c r="K4080" s="709">
        <v>3</v>
      </c>
      <c r="L4080" s="715">
        <f t="shared" si="123"/>
        <v>18.8</v>
      </c>
      <c r="M4080" s="716">
        <f t="shared" si="124"/>
        <v>56.400000000000006</v>
      </c>
      <c r="O4080" s="693"/>
    </row>
    <row r="4081" spans="2:15" s="645" customFormat="1" ht="21.75" customHeight="1">
      <c r="B4081" s="708">
        <v>44478</v>
      </c>
      <c r="C4081" s="709" t="s">
        <v>837</v>
      </c>
      <c r="D4081" s="710" t="s">
        <v>835</v>
      </c>
      <c r="E4081" s="711" t="s">
        <v>831</v>
      </c>
      <c r="F4081" s="712"/>
      <c r="G4081" s="710">
        <v>20</v>
      </c>
      <c r="H4081" s="709" t="s">
        <v>807</v>
      </c>
      <c r="I4081" s="713" t="s">
        <v>859</v>
      </c>
      <c r="J4081" s="714" t="s">
        <v>802</v>
      </c>
      <c r="K4081" s="709">
        <v>5</v>
      </c>
      <c r="L4081" s="715">
        <f t="shared" si="123"/>
        <v>18.8</v>
      </c>
      <c r="M4081" s="716">
        <f t="shared" si="124"/>
        <v>94</v>
      </c>
      <c r="O4081" s="693"/>
    </row>
    <row r="4082" spans="2:15" s="645" customFormat="1" ht="21.75" customHeight="1">
      <c r="B4082" s="708">
        <v>44478</v>
      </c>
      <c r="C4082" s="709" t="s">
        <v>837</v>
      </c>
      <c r="D4082" s="710" t="s">
        <v>841</v>
      </c>
      <c r="E4082" s="711" t="s">
        <v>831</v>
      </c>
      <c r="F4082" s="712"/>
      <c r="G4082" s="710">
        <v>20</v>
      </c>
      <c r="H4082" s="709" t="s">
        <v>807</v>
      </c>
      <c r="I4082" s="713" t="s">
        <v>859</v>
      </c>
      <c r="J4082" s="714" t="s">
        <v>802</v>
      </c>
      <c r="K4082" s="709">
        <v>4</v>
      </c>
      <c r="L4082" s="715">
        <f t="shared" si="123"/>
        <v>18.8</v>
      </c>
      <c r="M4082" s="716">
        <f t="shared" si="124"/>
        <v>75.2</v>
      </c>
      <c r="O4082" s="693"/>
    </row>
    <row r="4083" spans="2:15" s="645" customFormat="1" ht="21.75" customHeight="1">
      <c r="B4083" s="708">
        <v>44478</v>
      </c>
      <c r="C4083" s="709" t="s">
        <v>837</v>
      </c>
      <c r="D4083" s="710" t="s">
        <v>834</v>
      </c>
      <c r="E4083" s="711" t="s">
        <v>831</v>
      </c>
      <c r="F4083" s="712"/>
      <c r="G4083" s="710">
        <v>20</v>
      </c>
      <c r="H4083" s="709" t="s">
        <v>807</v>
      </c>
      <c r="I4083" s="713" t="s">
        <v>859</v>
      </c>
      <c r="J4083" s="714" t="s">
        <v>802</v>
      </c>
      <c r="K4083" s="709">
        <v>2</v>
      </c>
      <c r="L4083" s="715">
        <f t="shared" si="123"/>
        <v>18.8</v>
      </c>
      <c r="M4083" s="716">
        <f t="shared" si="124"/>
        <v>37.6</v>
      </c>
      <c r="O4083" s="693"/>
    </row>
    <row r="4084" spans="2:15" s="645" customFormat="1" ht="21.75" customHeight="1">
      <c r="B4084" s="708">
        <v>44478</v>
      </c>
      <c r="C4084" s="709" t="s">
        <v>837</v>
      </c>
      <c r="D4084" s="710" t="s">
        <v>833</v>
      </c>
      <c r="E4084" s="711" t="s">
        <v>831</v>
      </c>
      <c r="F4084" s="712"/>
      <c r="G4084" s="710">
        <v>15</v>
      </c>
      <c r="H4084" s="709" t="s">
        <v>807</v>
      </c>
      <c r="I4084" s="713" t="s">
        <v>859</v>
      </c>
      <c r="J4084" s="714" t="s">
        <v>802</v>
      </c>
      <c r="K4084" s="709">
        <v>7</v>
      </c>
      <c r="L4084" s="715">
        <f t="shared" si="123"/>
        <v>14.1</v>
      </c>
      <c r="M4084" s="716">
        <f t="shared" si="124"/>
        <v>98.7</v>
      </c>
      <c r="O4084" s="693"/>
    </row>
    <row r="4085" spans="2:15" s="645" customFormat="1" ht="21.75" customHeight="1">
      <c r="B4085" s="708">
        <v>44478</v>
      </c>
      <c r="C4085" s="709" t="s">
        <v>837</v>
      </c>
      <c r="D4085" s="710" t="s">
        <v>847</v>
      </c>
      <c r="E4085" s="711" t="s">
        <v>831</v>
      </c>
      <c r="F4085" s="712"/>
      <c r="G4085" s="710">
        <v>17</v>
      </c>
      <c r="H4085" s="709" t="s">
        <v>807</v>
      </c>
      <c r="I4085" s="713" t="s">
        <v>859</v>
      </c>
      <c r="J4085" s="714" t="s">
        <v>802</v>
      </c>
      <c r="K4085" s="709">
        <v>6</v>
      </c>
      <c r="L4085" s="715">
        <f t="shared" si="123"/>
        <v>15.98</v>
      </c>
      <c r="M4085" s="716">
        <f t="shared" si="124"/>
        <v>95.88</v>
      </c>
      <c r="O4085" s="693"/>
    </row>
    <row r="4086" spans="2:15" s="645" customFormat="1" ht="21.75" customHeight="1">
      <c r="B4086" s="708">
        <v>44478</v>
      </c>
      <c r="C4086" s="709" t="s">
        <v>837</v>
      </c>
      <c r="D4086" s="710" t="s">
        <v>878</v>
      </c>
      <c r="E4086" s="711" t="s">
        <v>831</v>
      </c>
      <c r="F4086" s="712"/>
      <c r="G4086" s="710">
        <v>15</v>
      </c>
      <c r="H4086" s="709" t="s">
        <v>807</v>
      </c>
      <c r="I4086" s="713" t="s">
        <v>859</v>
      </c>
      <c r="J4086" s="714" t="s">
        <v>802</v>
      </c>
      <c r="K4086" s="709">
        <v>6</v>
      </c>
      <c r="L4086" s="715">
        <f t="shared" si="123"/>
        <v>14.1</v>
      </c>
      <c r="M4086" s="716">
        <f t="shared" si="124"/>
        <v>84.6</v>
      </c>
      <c r="O4086" s="693"/>
    </row>
    <row r="4087" spans="2:15" s="645" customFormat="1" ht="21.75" customHeight="1">
      <c r="B4087" s="708">
        <v>44478</v>
      </c>
      <c r="C4087" s="709" t="s">
        <v>837</v>
      </c>
      <c r="D4087" s="710" t="s">
        <v>856</v>
      </c>
      <c r="E4087" s="711" t="s">
        <v>831</v>
      </c>
      <c r="F4087" s="712"/>
      <c r="G4087" s="710">
        <v>20</v>
      </c>
      <c r="H4087" s="709" t="s">
        <v>807</v>
      </c>
      <c r="I4087" s="713" t="s">
        <v>859</v>
      </c>
      <c r="J4087" s="714" t="s">
        <v>802</v>
      </c>
      <c r="K4087" s="709">
        <v>4</v>
      </c>
      <c r="L4087" s="715">
        <f t="shared" si="123"/>
        <v>18.8</v>
      </c>
      <c r="M4087" s="716">
        <f t="shared" si="124"/>
        <v>75.2</v>
      </c>
      <c r="O4087" s="693"/>
    </row>
    <row r="4088" spans="2:15" s="645" customFormat="1" ht="21.75" customHeight="1">
      <c r="B4088" s="708">
        <v>44478</v>
      </c>
      <c r="C4088" s="709" t="s">
        <v>837</v>
      </c>
      <c r="D4088" s="710" t="s">
        <v>855</v>
      </c>
      <c r="E4088" s="711" t="s">
        <v>831</v>
      </c>
      <c r="F4088" s="712"/>
      <c r="G4088" s="710">
        <v>20</v>
      </c>
      <c r="H4088" s="709" t="s">
        <v>807</v>
      </c>
      <c r="I4088" s="713" t="s">
        <v>859</v>
      </c>
      <c r="J4088" s="714" t="s">
        <v>802</v>
      </c>
      <c r="K4088" s="709">
        <v>6</v>
      </c>
      <c r="L4088" s="715">
        <f t="shared" si="123"/>
        <v>18.8</v>
      </c>
      <c r="M4088" s="716">
        <f t="shared" si="124"/>
        <v>112.80000000000001</v>
      </c>
      <c r="O4088" s="693"/>
    </row>
    <row r="4089" spans="2:15" s="645" customFormat="1" ht="21.75" customHeight="1">
      <c r="B4089" s="708">
        <v>44478</v>
      </c>
      <c r="C4089" s="709" t="s">
        <v>837</v>
      </c>
      <c r="D4089" s="710" t="s">
        <v>875</v>
      </c>
      <c r="E4089" s="711" t="s">
        <v>831</v>
      </c>
      <c r="F4089" s="712"/>
      <c r="G4089" s="710">
        <v>20</v>
      </c>
      <c r="H4089" s="709" t="s">
        <v>807</v>
      </c>
      <c r="I4089" s="713" t="s">
        <v>859</v>
      </c>
      <c r="J4089" s="714" t="s">
        <v>802</v>
      </c>
      <c r="K4089" s="709">
        <v>4</v>
      </c>
      <c r="L4089" s="715">
        <f t="shared" si="123"/>
        <v>18.8</v>
      </c>
      <c r="M4089" s="716">
        <f t="shared" si="124"/>
        <v>75.2</v>
      </c>
      <c r="O4089" s="693"/>
    </row>
    <row r="4090" spans="2:15" s="645" customFormat="1" ht="21.75" customHeight="1">
      <c r="B4090" s="708">
        <v>44478</v>
      </c>
      <c r="C4090" s="709" t="s">
        <v>837</v>
      </c>
      <c r="D4090" s="710" t="s">
        <v>877</v>
      </c>
      <c r="E4090" s="711" t="s">
        <v>831</v>
      </c>
      <c r="F4090" s="712"/>
      <c r="G4090" s="710">
        <v>20</v>
      </c>
      <c r="H4090" s="709" t="s">
        <v>807</v>
      </c>
      <c r="I4090" s="713" t="s">
        <v>859</v>
      </c>
      <c r="J4090" s="714" t="s">
        <v>802</v>
      </c>
      <c r="K4090" s="709">
        <v>5</v>
      </c>
      <c r="L4090" s="715">
        <f t="shared" si="123"/>
        <v>18.8</v>
      </c>
      <c r="M4090" s="716">
        <f t="shared" si="124"/>
        <v>94</v>
      </c>
      <c r="O4090" s="693"/>
    </row>
    <row r="4091" spans="2:15" s="645" customFormat="1" ht="21.75" customHeight="1">
      <c r="B4091" s="708">
        <v>44478</v>
      </c>
      <c r="C4091" s="709" t="s">
        <v>837</v>
      </c>
      <c r="D4091" s="710" t="s">
        <v>870</v>
      </c>
      <c r="E4091" s="711" t="s">
        <v>831</v>
      </c>
      <c r="F4091" s="712"/>
      <c r="G4091" s="710">
        <v>20</v>
      </c>
      <c r="H4091" s="709" t="s">
        <v>807</v>
      </c>
      <c r="I4091" s="713" t="s">
        <v>859</v>
      </c>
      <c r="J4091" s="714" t="s">
        <v>802</v>
      </c>
      <c r="K4091" s="709">
        <v>7</v>
      </c>
      <c r="L4091" s="715">
        <f t="shared" si="123"/>
        <v>18.8</v>
      </c>
      <c r="M4091" s="716">
        <f t="shared" si="124"/>
        <v>131.6</v>
      </c>
      <c r="O4091" s="693"/>
    </row>
    <row r="4092" spans="2:15" s="645" customFormat="1" ht="21.75" customHeight="1">
      <c r="B4092" s="708">
        <v>44478</v>
      </c>
      <c r="C4092" s="709" t="s">
        <v>837</v>
      </c>
      <c r="D4092" s="710" t="s">
        <v>867</v>
      </c>
      <c r="E4092" s="711" t="s">
        <v>831</v>
      </c>
      <c r="F4092" s="712"/>
      <c r="G4092" s="710">
        <v>20</v>
      </c>
      <c r="H4092" s="709" t="s">
        <v>807</v>
      </c>
      <c r="I4092" s="713" t="s">
        <v>859</v>
      </c>
      <c r="J4092" s="714" t="s">
        <v>802</v>
      </c>
      <c r="K4092" s="709">
        <v>2</v>
      </c>
      <c r="L4092" s="715">
        <f t="shared" si="123"/>
        <v>18.8</v>
      </c>
      <c r="M4092" s="716">
        <f t="shared" si="124"/>
        <v>37.6</v>
      </c>
      <c r="O4092" s="693"/>
    </row>
    <row r="4093" spans="2:15" s="645" customFormat="1" ht="21.75" customHeight="1">
      <c r="B4093" s="708">
        <v>44478</v>
      </c>
      <c r="C4093" s="709" t="s">
        <v>837</v>
      </c>
      <c r="D4093" s="710" t="s">
        <v>876</v>
      </c>
      <c r="E4093" s="711" t="s">
        <v>831</v>
      </c>
      <c r="F4093" s="712"/>
      <c r="G4093" s="710">
        <v>20</v>
      </c>
      <c r="H4093" s="709" t="s">
        <v>807</v>
      </c>
      <c r="I4093" s="713" t="s">
        <v>859</v>
      </c>
      <c r="J4093" s="714" t="s">
        <v>802</v>
      </c>
      <c r="K4093" s="709">
        <v>1</v>
      </c>
      <c r="L4093" s="715">
        <f t="shared" si="123"/>
        <v>18.8</v>
      </c>
      <c r="M4093" s="716">
        <f t="shared" si="124"/>
        <v>18.8</v>
      </c>
      <c r="O4093" s="693"/>
    </row>
    <row r="4094" spans="2:15" s="645" customFormat="1" ht="21.75" customHeight="1">
      <c r="B4094" s="708">
        <v>44478</v>
      </c>
      <c r="C4094" s="709" t="s">
        <v>837</v>
      </c>
      <c r="D4094" s="710" t="s">
        <v>876</v>
      </c>
      <c r="E4094" s="711" t="s">
        <v>831</v>
      </c>
      <c r="F4094" s="712"/>
      <c r="G4094" s="710">
        <v>20</v>
      </c>
      <c r="H4094" s="709" t="s">
        <v>807</v>
      </c>
      <c r="I4094" s="713" t="s">
        <v>857</v>
      </c>
      <c r="J4094" s="714" t="s">
        <v>802</v>
      </c>
      <c r="K4094" s="709">
        <v>3</v>
      </c>
      <c r="L4094" s="715">
        <f t="shared" si="123"/>
        <v>18.8</v>
      </c>
      <c r="M4094" s="716">
        <f t="shared" si="124"/>
        <v>56.400000000000006</v>
      </c>
      <c r="O4094" s="693"/>
    </row>
    <row r="4095" spans="2:15" s="645" customFormat="1" ht="21.75" customHeight="1">
      <c r="B4095" s="717">
        <v>44478</v>
      </c>
      <c r="C4095" s="718" t="s">
        <v>819</v>
      </c>
      <c r="D4095" s="719" t="s">
        <v>849</v>
      </c>
      <c r="E4095" s="720" t="s">
        <v>831</v>
      </c>
      <c r="F4095" s="721"/>
      <c r="G4095" s="719">
        <v>20</v>
      </c>
      <c r="H4095" s="718" t="s">
        <v>806</v>
      </c>
      <c r="I4095" s="722" t="s">
        <v>890</v>
      </c>
      <c r="J4095" s="723" t="s">
        <v>892</v>
      </c>
      <c r="K4095" s="718">
        <v>23</v>
      </c>
      <c r="L4095" s="724">
        <f t="shared" si="123"/>
        <v>18.8</v>
      </c>
      <c r="M4095" s="725">
        <f t="shared" si="124"/>
        <v>432.40000000000003</v>
      </c>
      <c r="O4095" s="693"/>
    </row>
    <row r="4096" spans="2:15" s="645" customFormat="1" ht="21.75" customHeight="1">
      <c r="B4096" s="717">
        <v>44478</v>
      </c>
      <c r="C4096" s="718" t="s">
        <v>819</v>
      </c>
      <c r="D4096" s="719" t="s">
        <v>835</v>
      </c>
      <c r="E4096" s="720" t="s">
        <v>831</v>
      </c>
      <c r="F4096" s="721"/>
      <c r="G4096" s="719">
        <v>20</v>
      </c>
      <c r="H4096" s="718" t="s">
        <v>806</v>
      </c>
      <c r="I4096" s="722" t="s">
        <v>890</v>
      </c>
      <c r="J4096" s="723" t="s">
        <v>892</v>
      </c>
      <c r="K4096" s="718">
        <v>22</v>
      </c>
      <c r="L4096" s="724">
        <f t="shared" si="123"/>
        <v>18.8</v>
      </c>
      <c r="M4096" s="725">
        <f t="shared" si="124"/>
        <v>413.6</v>
      </c>
      <c r="O4096" s="693"/>
    </row>
    <row r="4097" spans="2:15" s="645" customFormat="1" ht="21.75" customHeight="1">
      <c r="B4097" s="661">
        <v>44479</v>
      </c>
      <c r="C4097" s="662" t="s">
        <v>819</v>
      </c>
      <c r="D4097" s="663" t="s">
        <v>849</v>
      </c>
      <c r="E4097" s="664" t="s">
        <v>831</v>
      </c>
      <c r="F4097" s="665"/>
      <c r="G4097" s="663">
        <v>20</v>
      </c>
      <c r="H4097" s="662" t="s">
        <v>807</v>
      </c>
      <c r="I4097" s="666" t="s">
        <v>859</v>
      </c>
      <c r="J4097" s="667" t="s">
        <v>805</v>
      </c>
      <c r="K4097" s="662">
        <v>1</v>
      </c>
      <c r="L4097" s="685">
        <f t="shared" si="123"/>
        <v>18.8</v>
      </c>
      <c r="M4097" s="686">
        <f t="shared" si="124"/>
        <v>18.8</v>
      </c>
      <c r="O4097" s="693"/>
    </row>
    <row r="4098" spans="2:15" s="645" customFormat="1" ht="21.75" customHeight="1">
      <c r="B4098" s="661">
        <v>44479</v>
      </c>
      <c r="C4098" s="662" t="s">
        <v>819</v>
      </c>
      <c r="D4098" s="663" t="s">
        <v>840</v>
      </c>
      <c r="E4098" s="664" t="s">
        <v>831</v>
      </c>
      <c r="F4098" s="665"/>
      <c r="G4098" s="663">
        <v>20</v>
      </c>
      <c r="H4098" s="662" t="s">
        <v>807</v>
      </c>
      <c r="I4098" s="666" t="s">
        <v>859</v>
      </c>
      <c r="J4098" s="667" t="s">
        <v>804</v>
      </c>
      <c r="K4098" s="662">
        <v>2</v>
      </c>
      <c r="L4098" s="685">
        <f t="shared" si="123"/>
        <v>18.8</v>
      </c>
      <c r="M4098" s="686">
        <f t="shared" si="124"/>
        <v>37.6</v>
      </c>
      <c r="O4098" s="693"/>
    </row>
    <row r="4099" spans="2:15" s="645" customFormat="1" ht="21.75" customHeight="1">
      <c r="B4099" s="661">
        <v>44479</v>
      </c>
      <c r="C4099" s="662" t="s">
        <v>819</v>
      </c>
      <c r="D4099" s="663" t="s">
        <v>835</v>
      </c>
      <c r="E4099" s="664" t="s">
        <v>831</v>
      </c>
      <c r="F4099" s="665"/>
      <c r="G4099" s="663">
        <v>20</v>
      </c>
      <c r="H4099" s="662" t="s">
        <v>807</v>
      </c>
      <c r="I4099" s="666" t="s">
        <v>859</v>
      </c>
      <c r="J4099" s="667" t="s">
        <v>805</v>
      </c>
      <c r="K4099" s="662">
        <v>2</v>
      </c>
      <c r="L4099" s="685">
        <f t="shared" si="123"/>
        <v>18.8</v>
      </c>
      <c r="M4099" s="686">
        <f t="shared" si="124"/>
        <v>37.6</v>
      </c>
      <c r="O4099" s="693"/>
    </row>
    <row r="4100" spans="2:15" s="645" customFormat="1" ht="21.75" customHeight="1">
      <c r="B4100" s="661">
        <v>44479</v>
      </c>
      <c r="C4100" s="662" t="s">
        <v>819</v>
      </c>
      <c r="D4100" s="663" t="s">
        <v>835</v>
      </c>
      <c r="E4100" s="664" t="s">
        <v>831</v>
      </c>
      <c r="F4100" s="665"/>
      <c r="G4100" s="663">
        <v>20</v>
      </c>
      <c r="H4100" s="662" t="s">
        <v>807</v>
      </c>
      <c r="I4100" s="666" t="s">
        <v>863</v>
      </c>
      <c r="J4100" s="667" t="s">
        <v>804</v>
      </c>
      <c r="K4100" s="662">
        <v>1</v>
      </c>
      <c r="L4100" s="685">
        <f t="shared" si="123"/>
        <v>18.8</v>
      </c>
      <c r="M4100" s="686">
        <f t="shared" si="124"/>
        <v>18.8</v>
      </c>
      <c r="O4100" s="693"/>
    </row>
    <row r="4101" spans="2:15" s="645" customFormat="1" ht="21.75" customHeight="1">
      <c r="B4101" s="661">
        <v>44479</v>
      </c>
      <c r="C4101" s="662" t="s">
        <v>819</v>
      </c>
      <c r="D4101" s="663" t="s">
        <v>835</v>
      </c>
      <c r="E4101" s="664" t="s">
        <v>831</v>
      </c>
      <c r="F4101" s="665"/>
      <c r="G4101" s="663">
        <v>20</v>
      </c>
      <c r="H4101" s="662" t="s">
        <v>807</v>
      </c>
      <c r="I4101" s="666" t="s">
        <v>857</v>
      </c>
      <c r="J4101" s="667" t="s">
        <v>805</v>
      </c>
      <c r="K4101" s="662">
        <v>2</v>
      </c>
      <c r="L4101" s="685">
        <f t="shared" si="123"/>
        <v>18.8</v>
      </c>
      <c r="M4101" s="686">
        <f t="shared" si="124"/>
        <v>37.6</v>
      </c>
      <c r="O4101" s="693"/>
    </row>
    <row r="4102" spans="2:15" s="645" customFormat="1" ht="21.75" customHeight="1">
      <c r="B4102" s="661">
        <v>44479</v>
      </c>
      <c r="C4102" s="662" t="s">
        <v>819</v>
      </c>
      <c r="D4102" s="663" t="s">
        <v>841</v>
      </c>
      <c r="E4102" s="664" t="s">
        <v>831</v>
      </c>
      <c r="F4102" s="665"/>
      <c r="G4102" s="663">
        <v>20</v>
      </c>
      <c r="H4102" s="662" t="s">
        <v>807</v>
      </c>
      <c r="I4102" s="666" t="s">
        <v>859</v>
      </c>
      <c r="J4102" s="667" t="s">
        <v>805</v>
      </c>
      <c r="K4102" s="662">
        <v>1</v>
      </c>
      <c r="L4102" s="685">
        <f t="shared" si="123"/>
        <v>18.8</v>
      </c>
      <c r="M4102" s="686">
        <f t="shared" si="124"/>
        <v>18.8</v>
      </c>
      <c r="O4102" s="693"/>
    </row>
    <row r="4103" spans="2:15" s="645" customFormat="1" ht="21.75" customHeight="1">
      <c r="B4103" s="661">
        <v>44479</v>
      </c>
      <c r="C4103" s="662" t="s">
        <v>819</v>
      </c>
      <c r="D4103" s="663" t="s">
        <v>841</v>
      </c>
      <c r="E4103" s="664" t="s">
        <v>831</v>
      </c>
      <c r="F4103" s="665"/>
      <c r="G4103" s="663">
        <v>20</v>
      </c>
      <c r="H4103" s="662" t="s">
        <v>807</v>
      </c>
      <c r="I4103" s="666" t="s">
        <v>857</v>
      </c>
      <c r="J4103" s="667" t="s">
        <v>804</v>
      </c>
      <c r="K4103" s="662">
        <v>1</v>
      </c>
      <c r="L4103" s="685">
        <f t="shared" si="123"/>
        <v>18.8</v>
      </c>
      <c r="M4103" s="686">
        <f t="shared" si="124"/>
        <v>18.8</v>
      </c>
      <c r="O4103" s="693"/>
    </row>
    <row r="4104" spans="2:15" s="645" customFormat="1" ht="21.75" customHeight="1">
      <c r="B4104" s="661">
        <v>44479</v>
      </c>
      <c r="C4104" s="662" t="s">
        <v>819</v>
      </c>
      <c r="D4104" s="663" t="s">
        <v>834</v>
      </c>
      <c r="E4104" s="664" t="s">
        <v>831</v>
      </c>
      <c r="F4104" s="665"/>
      <c r="G4104" s="663">
        <v>20</v>
      </c>
      <c r="H4104" s="662" t="s">
        <v>807</v>
      </c>
      <c r="I4104" s="666" t="s">
        <v>859</v>
      </c>
      <c r="J4104" s="667" t="s">
        <v>804</v>
      </c>
      <c r="K4104" s="662">
        <v>1</v>
      </c>
      <c r="L4104" s="685">
        <f t="shared" si="123"/>
        <v>18.8</v>
      </c>
      <c r="M4104" s="686">
        <f t="shared" si="124"/>
        <v>18.8</v>
      </c>
      <c r="O4104" s="693"/>
    </row>
    <row r="4105" spans="2:15" s="645" customFormat="1" ht="21.75" customHeight="1">
      <c r="B4105" s="661">
        <v>44479</v>
      </c>
      <c r="C4105" s="662" t="s">
        <v>819</v>
      </c>
      <c r="D4105" s="663" t="s">
        <v>834</v>
      </c>
      <c r="E4105" s="664" t="s">
        <v>831</v>
      </c>
      <c r="F4105" s="665"/>
      <c r="G4105" s="663">
        <v>20</v>
      </c>
      <c r="H4105" s="662" t="s">
        <v>807</v>
      </c>
      <c r="I4105" s="666" t="s">
        <v>859</v>
      </c>
      <c r="J4105" s="667" t="s">
        <v>805</v>
      </c>
      <c r="K4105" s="662">
        <v>1</v>
      </c>
      <c r="L4105" s="685">
        <f t="shared" ref="L4105:L4168" si="125">VLOOKUP(G4105,$Q$4:$V$7,6,FALSE)</f>
        <v>18.8</v>
      </c>
      <c r="M4105" s="686">
        <f t="shared" si="124"/>
        <v>18.8</v>
      </c>
      <c r="O4105" s="693"/>
    </row>
    <row r="4106" spans="2:15" s="645" customFormat="1" ht="21.75" customHeight="1">
      <c r="B4106" s="661">
        <v>44479</v>
      </c>
      <c r="C4106" s="662" t="s">
        <v>819</v>
      </c>
      <c r="D4106" s="663" t="s">
        <v>834</v>
      </c>
      <c r="E4106" s="664" t="s">
        <v>831</v>
      </c>
      <c r="F4106" s="665"/>
      <c r="G4106" s="663">
        <v>20</v>
      </c>
      <c r="H4106" s="662" t="s">
        <v>807</v>
      </c>
      <c r="I4106" s="666" t="s">
        <v>863</v>
      </c>
      <c r="J4106" s="667" t="s">
        <v>804</v>
      </c>
      <c r="K4106" s="662">
        <v>2</v>
      </c>
      <c r="L4106" s="685">
        <f t="shared" si="125"/>
        <v>18.8</v>
      </c>
      <c r="M4106" s="686">
        <f t="shared" si="124"/>
        <v>37.6</v>
      </c>
      <c r="O4106" s="693"/>
    </row>
    <row r="4107" spans="2:15" s="645" customFormat="1" ht="21.75" customHeight="1">
      <c r="B4107" s="661">
        <v>44479</v>
      </c>
      <c r="C4107" s="662" t="s">
        <v>819</v>
      </c>
      <c r="D4107" s="663" t="s">
        <v>834</v>
      </c>
      <c r="E4107" s="664" t="s">
        <v>831</v>
      </c>
      <c r="F4107" s="665"/>
      <c r="G4107" s="663">
        <v>20</v>
      </c>
      <c r="H4107" s="662" t="s">
        <v>807</v>
      </c>
      <c r="I4107" s="666" t="s">
        <v>859</v>
      </c>
      <c r="J4107" s="667" t="s">
        <v>805</v>
      </c>
      <c r="K4107" s="662">
        <v>1</v>
      </c>
      <c r="L4107" s="685">
        <f t="shared" si="125"/>
        <v>18.8</v>
      </c>
      <c r="M4107" s="686">
        <f t="shared" si="124"/>
        <v>18.8</v>
      </c>
      <c r="O4107" s="693"/>
    </row>
    <row r="4108" spans="2:15" s="645" customFormat="1" ht="21.75" customHeight="1">
      <c r="B4108" s="661">
        <v>44479</v>
      </c>
      <c r="C4108" s="662" t="s">
        <v>819</v>
      </c>
      <c r="D4108" s="663" t="s">
        <v>833</v>
      </c>
      <c r="E4108" s="664" t="s">
        <v>831</v>
      </c>
      <c r="F4108" s="665"/>
      <c r="G4108" s="663">
        <v>15</v>
      </c>
      <c r="H4108" s="662" t="s">
        <v>807</v>
      </c>
      <c r="I4108" s="666" t="s">
        <v>863</v>
      </c>
      <c r="J4108" s="667" t="s">
        <v>805</v>
      </c>
      <c r="K4108" s="662">
        <v>1</v>
      </c>
      <c r="L4108" s="685">
        <f t="shared" si="125"/>
        <v>14.1</v>
      </c>
      <c r="M4108" s="686">
        <f t="shared" si="124"/>
        <v>14.1</v>
      </c>
      <c r="O4108" s="693"/>
    </row>
    <row r="4109" spans="2:15" s="645" customFormat="1" ht="21.75" customHeight="1">
      <c r="B4109" s="661">
        <v>44479</v>
      </c>
      <c r="C4109" s="662" t="s">
        <v>819</v>
      </c>
      <c r="D4109" s="663" t="s">
        <v>839</v>
      </c>
      <c r="E4109" s="664" t="s">
        <v>831</v>
      </c>
      <c r="F4109" s="665"/>
      <c r="G4109" s="663">
        <v>15</v>
      </c>
      <c r="H4109" s="662" t="s">
        <v>807</v>
      </c>
      <c r="I4109" s="666" t="s">
        <v>863</v>
      </c>
      <c r="J4109" s="667" t="s">
        <v>804</v>
      </c>
      <c r="K4109" s="662">
        <v>2</v>
      </c>
      <c r="L4109" s="685">
        <f t="shared" si="125"/>
        <v>14.1</v>
      </c>
      <c r="M4109" s="686">
        <f t="shared" si="124"/>
        <v>28.2</v>
      </c>
      <c r="O4109" s="693"/>
    </row>
    <row r="4110" spans="2:15" s="645" customFormat="1" ht="21.75" customHeight="1">
      <c r="B4110" s="661">
        <v>44479</v>
      </c>
      <c r="C4110" s="662" t="s">
        <v>819</v>
      </c>
      <c r="D4110" s="663" t="s">
        <v>839</v>
      </c>
      <c r="E4110" s="664" t="s">
        <v>831</v>
      </c>
      <c r="F4110" s="665"/>
      <c r="G4110" s="663">
        <v>15</v>
      </c>
      <c r="H4110" s="662" t="s">
        <v>807</v>
      </c>
      <c r="I4110" s="666" t="s">
        <v>863</v>
      </c>
      <c r="J4110" s="667" t="s">
        <v>805</v>
      </c>
      <c r="K4110" s="662">
        <v>2</v>
      </c>
      <c r="L4110" s="685">
        <f t="shared" si="125"/>
        <v>14.1</v>
      </c>
      <c r="M4110" s="686">
        <f t="shared" si="124"/>
        <v>28.2</v>
      </c>
      <c r="O4110" s="693"/>
    </row>
    <row r="4111" spans="2:15" s="645" customFormat="1" ht="21.75" customHeight="1">
      <c r="B4111" s="661">
        <v>44479</v>
      </c>
      <c r="C4111" s="662" t="s">
        <v>819</v>
      </c>
      <c r="D4111" s="663" t="s">
        <v>845</v>
      </c>
      <c r="E4111" s="664" t="s">
        <v>831</v>
      </c>
      <c r="F4111" s="665"/>
      <c r="G4111" s="663">
        <v>17</v>
      </c>
      <c r="H4111" s="662" t="s">
        <v>807</v>
      </c>
      <c r="I4111" s="666" t="s">
        <v>859</v>
      </c>
      <c r="J4111" s="667" t="s">
        <v>804</v>
      </c>
      <c r="K4111" s="662">
        <v>1</v>
      </c>
      <c r="L4111" s="685">
        <f t="shared" si="125"/>
        <v>15.98</v>
      </c>
      <c r="M4111" s="686">
        <f t="shared" si="124"/>
        <v>15.98</v>
      </c>
      <c r="O4111" s="693"/>
    </row>
    <row r="4112" spans="2:15" s="645" customFormat="1" ht="21.75" customHeight="1">
      <c r="B4112" s="661">
        <v>44479</v>
      </c>
      <c r="C4112" s="662" t="s">
        <v>819</v>
      </c>
      <c r="D4112" s="663" t="s">
        <v>845</v>
      </c>
      <c r="E4112" s="664" t="s">
        <v>831</v>
      </c>
      <c r="F4112" s="665"/>
      <c r="G4112" s="663">
        <v>17</v>
      </c>
      <c r="H4112" s="662" t="s">
        <v>807</v>
      </c>
      <c r="I4112" s="666" t="s">
        <v>863</v>
      </c>
      <c r="J4112" s="667" t="s">
        <v>804</v>
      </c>
      <c r="K4112" s="662">
        <v>1</v>
      </c>
      <c r="L4112" s="685">
        <f t="shared" si="125"/>
        <v>15.98</v>
      </c>
      <c r="M4112" s="686">
        <f t="shared" si="124"/>
        <v>15.98</v>
      </c>
      <c r="O4112" s="693"/>
    </row>
    <row r="4113" spans="2:15" s="645" customFormat="1" ht="21.75" customHeight="1">
      <c r="B4113" s="661">
        <v>44479</v>
      </c>
      <c r="C4113" s="662" t="s">
        <v>819</v>
      </c>
      <c r="D4113" s="663" t="s">
        <v>845</v>
      </c>
      <c r="E4113" s="664" t="s">
        <v>831</v>
      </c>
      <c r="F4113" s="665"/>
      <c r="G4113" s="663">
        <v>17</v>
      </c>
      <c r="H4113" s="662" t="s">
        <v>807</v>
      </c>
      <c r="I4113" s="666" t="s">
        <v>863</v>
      </c>
      <c r="J4113" s="667" t="s">
        <v>805</v>
      </c>
      <c r="K4113" s="662">
        <v>1</v>
      </c>
      <c r="L4113" s="685">
        <f t="shared" si="125"/>
        <v>15.98</v>
      </c>
      <c r="M4113" s="686">
        <f t="shared" si="124"/>
        <v>15.98</v>
      </c>
      <c r="O4113" s="693"/>
    </row>
    <row r="4114" spans="2:15" s="645" customFormat="1" ht="21.75" customHeight="1">
      <c r="B4114" s="661">
        <v>44479</v>
      </c>
      <c r="C4114" s="662" t="s">
        <v>819</v>
      </c>
      <c r="D4114" s="663" t="s">
        <v>847</v>
      </c>
      <c r="E4114" s="664" t="s">
        <v>831</v>
      </c>
      <c r="F4114" s="665"/>
      <c r="G4114" s="663">
        <v>17</v>
      </c>
      <c r="H4114" s="662" t="s">
        <v>807</v>
      </c>
      <c r="I4114" s="666" t="s">
        <v>859</v>
      </c>
      <c r="J4114" s="667" t="s">
        <v>805</v>
      </c>
      <c r="K4114" s="662">
        <v>2</v>
      </c>
      <c r="L4114" s="685">
        <f t="shared" si="125"/>
        <v>15.98</v>
      </c>
      <c r="M4114" s="686">
        <f t="shared" si="124"/>
        <v>31.96</v>
      </c>
      <c r="O4114" s="693"/>
    </row>
    <row r="4115" spans="2:15" s="645" customFormat="1" ht="21.75" customHeight="1">
      <c r="B4115" s="661">
        <v>44479</v>
      </c>
      <c r="C4115" s="662" t="s">
        <v>819</v>
      </c>
      <c r="D4115" s="663" t="s">
        <v>847</v>
      </c>
      <c r="E4115" s="664" t="s">
        <v>831</v>
      </c>
      <c r="F4115" s="665"/>
      <c r="G4115" s="663">
        <v>17</v>
      </c>
      <c r="H4115" s="662" t="s">
        <v>807</v>
      </c>
      <c r="I4115" s="666" t="s">
        <v>859</v>
      </c>
      <c r="J4115" s="667" t="s">
        <v>804</v>
      </c>
      <c r="K4115" s="662">
        <v>2</v>
      </c>
      <c r="L4115" s="685">
        <f t="shared" si="125"/>
        <v>15.98</v>
      </c>
      <c r="M4115" s="686">
        <f t="shared" si="124"/>
        <v>31.96</v>
      </c>
      <c r="O4115" s="693"/>
    </row>
    <row r="4116" spans="2:15" s="645" customFormat="1" ht="21.75" customHeight="1">
      <c r="B4116" s="661">
        <v>44479</v>
      </c>
      <c r="C4116" s="662" t="s">
        <v>819</v>
      </c>
      <c r="D4116" s="663" t="s">
        <v>847</v>
      </c>
      <c r="E4116" s="664" t="s">
        <v>831</v>
      </c>
      <c r="F4116" s="665"/>
      <c r="G4116" s="663">
        <v>17</v>
      </c>
      <c r="H4116" s="662" t="s">
        <v>807</v>
      </c>
      <c r="I4116" s="666" t="s">
        <v>857</v>
      </c>
      <c r="J4116" s="667" t="s">
        <v>804</v>
      </c>
      <c r="K4116" s="662">
        <v>1</v>
      </c>
      <c r="L4116" s="685">
        <f t="shared" si="125"/>
        <v>15.98</v>
      </c>
      <c r="M4116" s="686">
        <f t="shared" si="124"/>
        <v>15.98</v>
      </c>
      <c r="O4116" s="693"/>
    </row>
    <row r="4117" spans="2:15" s="645" customFormat="1" ht="21.75" customHeight="1">
      <c r="B4117" s="661">
        <v>44479</v>
      </c>
      <c r="C4117" s="662" t="s">
        <v>819</v>
      </c>
      <c r="D4117" s="663" t="s">
        <v>856</v>
      </c>
      <c r="E4117" s="664" t="s">
        <v>831</v>
      </c>
      <c r="F4117" s="665"/>
      <c r="G4117" s="663">
        <v>20</v>
      </c>
      <c r="H4117" s="662" t="s">
        <v>807</v>
      </c>
      <c r="I4117" s="666" t="s">
        <v>863</v>
      </c>
      <c r="J4117" s="667" t="s">
        <v>805</v>
      </c>
      <c r="K4117" s="662">
        <v>1</v>
      </c>
      <c r="L4117" s="685">
        <f t="shared" si="125"/>
        <v>18.8</v>
      </c>
      <c r="M4117" s="686">
        <f t="shared" si="124"/>
        <v>18.8</v>
      </c>
      <c r="O4117" s="693"/>
    </row>
    <row r="4118" spans="2:15" s="645" customFormat="1" ht="21.75" customHeight="1">
      <c r="B4118" s="661">
        <v>44479</v>
      </c>
      <c r="C4118" s="662" t="s">
        <v>819</v>
      </c>
      <c r="D4118" s="663" t="s">
        <v>878</v>
      </c>
      <c r="E4118" s="664" t="s">
        <v>831</v>
      </c>
      <c r="F4118" s="665"/>
      <c r="G4118" s="663">
        <v>15</v>
      </c>
      <c r="H4118" s="662" t="s">
        <v>807</v>
      </c>
      <c r="I4118" s="666" t="s">
        <v>863</v>
      </c>
      <c r="J4118" s="667" t="s">
        <v>805</v>
      </c>
      <c r="K4118" s="662">
        <v>2</v>
      </c>
      <c r="L4118" s="685">
        <f t="shared" si="125"/>
        <v>14.1</v>
      </c>
      <c r="M4118" s="686">
        <f t="shared" si="124"/>
        <v>28.2</v>
      </c>
      <c r="O4118" s="693"/>
    </row>
    <row r="4119" spans="2:15" s="645" customFormat="1" ht="21.75" customHeight="1">
      <c r="B4119" s="661">
        <v>44479</v>
      </c>
      <c r="C4119" s="662" t="s">
        <v>819</v>
      </c>
      <c r="D4119" s="663" t="s">
        <v>878</v>
      </c>
      <c r="E4119" s="664" t="s">
        <v>831</v>
      </c>
      <c r="F4119" s="665"/>
      <c r="G4119" s="663">
        <v>15</v>
      </c>
      <c r="H4119" s="662" t="s">
        <v>807</v>
      </c>
      <c r="I4119" s="666" t="s">
        <v>863</v>
      </c>
      <c r="J4119" s="667" t="s">
        <v>804</v>
      </c>
      <c r="K4119" s="662">
        <v>3</v>
      </c>
      <c r="L4119" s="685">
        <f t="shared" si="125"/>
        <v>14.1</v>
      </c>
      <c r="M4119" s="686">
        <f t="shared" si="124"/>
        <v>42.3</v>
      </c>
      <c r="O4119" s="693"/>
    </row>
    <row r="4120" spans="2:15" s="645" customFormat="1" ht="21.75" customHeight="1">
      <c r="B4120" s="661">
        <v>44479</v>
      </c>
      <c r="C4120" s="662" t="s">
        <v>819</v>
      </c>
      <c r="D4120" s="663" t="s">
        <v>855</v>
      </c>
      <c r="E4120" s="664" t="s">
        <v>831</v>
      </c>
      <c r="F4120" s="665"/>
      <c r="G4120" s="663">
        <v>20</v>
      </c>
      <c r="H4120" s="662" t="s">
        <v>807</v>
      </c>
      <c r="I4120" s="666" t="s">
        <v>859</v>
      </c>
      <c r="J4120" s="667" t="s">
        <v>804</v>
      </c>
      <c r="K4120" s="662">
        <v>1</v>
      </c>
      <c r="L4120" s="685">
        <f t="shared" si="125"/>
        <v>18.8</v>
      </c>
      <c r="M4120" s="686">
        <f t="shared" si="124"/>
        <v>18.8</v>
      </c>
      <c r="O4120" s="693"/>
    </row>
    <row r="4121" spans="2:15" s="645" customFormat="1" ht="21.75" customHeight="1">
      <c r="B4121" s="661">
        <v>44479</v>
      </c>
      <c r="C4121" s="662" t="s">
        <v>819</v>
      </c>
      <c r="D4121" s="663" t="s">
        <v>855</v>
      </c>
      <c r="E4121" s="664" t="s">
        <v>831</v>
      </c>
      <c r="F4121" s="665"/>
      <c r="G4121" s="663">
        <v>20</v>
      </c>
      <c r="H4121" s="662" t="s">
        <v>807</v>
      </c>
      <c r="I4121" s="666" t="s">
        <v>863</v>
      </c>
      <c r="J4121" s="667" t="s">
        <v>804</v>
      </c>
      <c r="K4121" s="662">
        <v>2</v>
      </c>
      <c r="L4121" s="685">
        <f t="shared" si="125"/>
        <v>18.8</v>
      </c>
      <c r="M4121" s="686">
        <f t="shared" si="124"/>
        <v>37.6</v>
      </c>
      <c r="O4121" s="693"/>
    </row>
    <row r="4122" spans="2:15" s="645" customFormat="1" ht="21.75" customHeight="1">
      <c r="B4122" s="661">
        <v>44479</v>
      </c>
      <c r="C4122" s="662" t="s">
        <v>819</v>
      </c>
      <c r="D4122" s="663" t="s">
        <v>855</v>
      </c>
      <c r="E4122" s="664" t="s">
        <v>831</v>
      </c>
      <c r="F4122" s="665"/>
      <c r="G4122" s="663">
        <v>20</v>
      </c>
      <c r="H4122" s="662" t="s">
        <v>807</v>
      </c>
      <c r="I4122" s="666" t="s">
        <v>857</v>
      </c>
      <c r="J4122" s="667" t="s">
        <v>804</v>
      </c>
      <c r="K4122" s="662">
        <v>1</v>
      </c>
      <c r="L4122" s="685">
        <f t="shared" si="125"/>
        <v>18.8</v>
      </c>
      <c r="M4122" s="686">
        <f t="shared" si="124"/>
        <v>18.8</v>
      </c>
      <c r="O4122" s="693"/>
    </row>
    <row r="4123" spans="2:15" s="645" customFormat="1" ht="21.75" customHeight="1">
      <c r="B4123" s="661">
        <v>44479</v>
      </c>
      <c r="C4123" s="662" t="s">
        <v>819</v>
      </c>
      <c r="D4123" s="663" t="s">
        <v>875</v>
      </c>
      <c r="E4123" s="664" t="s">
        <v>831</v>
      </c>
      <c r="F4123" s="665"/>
      <c r="G4123" s="663">
        <v>20</v>
      </c>
      <c r="H4123" s="662" t="s">
        <v>807</v>
      </c>
      <c r="I4123" s="666" t="s">
        <v>859</v>
      </c>
      <c r="J4123" s="667" t="s">
        <v>805</v>
      </c>
      <c r="K4123" s="662">
        <v>1</v>
      </c>
      <c r="L4123" s="685">
        <f t="shared" si="125"/>
        <v>18.8</v>
      </c>
      <c r="M4123" s="686">
        <f t="shared" si="124"/>
        <v>18.8</v>
      </c>
      <c r="O4123" s="693"/>
    </row>
    <row r="4124" spans="2:15" s="645" customFormat="1" ht="21.75" customHeight="1">
      <c r="B4124" s="661">
        <v>44479</v>
      </c>
      <c r="C4124" s="662" t="s">
        <v>819</v>
      </c>
      <c r="D4124" s="663" t="s">
        <v>875</v>
      </c>
      <c r="E4124" s="664" t="s">
        <v>831</v>
      </c>
      <c r="F4124" s="665"/>
      <c r="G4124" s="663">
        <v>20</v>
      </c>
      <c r="H4124" s="662" t="s">
        <v>807</v>
      </c>
      <c r="I4124" s="666" t="s">
        <v>859</v>
      </c>
      <c r="J4124" s="667" t="s">
        <v>804</v>
      </c>
      <c r="K4124" s="662">
        <v>1</v>
      </c>
      <c r="L4124" s="685">
        <f t="shared" si="125"/>
        <v>18.8</v>
      </c>
      <c r="M4124" s="686">
        <f t="shared" si="124"/>
        <v>18.8</v>
      </c>
      <c r="O4124" s="693"/>
    </row>
    <row r="4125" spans="2:15" s="645" customFormat="1" ht="21.75" customHeight="1">
      <c r="B4125" s="661">
        <v>44479</v>
      </c>
      <c r="C4125" s="662" t="s">
        <v>819</v>
      </c>
      <c r="D4125" s="663" t="s">
        <v>867</v>
      </c>
      <c r="E4125" s="664" t="s">
        <v>831</v>
      </c>
      <c r="F4125" s="665"/>
      <c r="G4125" s="663">
        <v>20</v>
      </c>
      <c r="H4125" s="662" t="s">
        <v>807</v>
      </c>
      <c r="I4125" s="666" t="s">
        <v>863</v>
      </c>
      <c r="J4125" s="667" t="s">
        <v>804</v>
      </c>
      <c r="K4125" s="662">
        <v>2</v>
      </c>
      <c r="L4125" s="685">
        <f t="shared" si="125"/>
        <v>18.8</v>
      </c>
      <c r="M4125" s="686">
        <f t="shared" si="124"/>
        <v>37.6</v>
      </c>
      <c r="O4125" s="693"/>
    </row>
    <row r="4126" spans="2:15" s="645" customFormat="1" ht="21.75" customHeight="1">
      <c r="B4126" s="661">
        <v>44479</v>
      </c>
      <c r="C4126" s="662" t="s">
        <v>819</v>
      </c>
      <c r="D4126" s="663" t="s">
        <v>876</v>
      </c>
      <c r="E4126" s="664" t="s">
        <v>831</v>
      </c>
      <c r="F4126" s="665"/>
      <c r="G4126" s="663">
        <v>20</v>
      </c>
      <c r="H4126" s="662" t="s">
        <v>807</v>
      </c>
      <c r="I4126" s="666" t="s">
        <v>859</v>
      </c>
      <c r="J4126" s="667" t="s">
        <v>805</v>
      </c>
      <c r="K4126" s="662">
        <v>1</v>
      </c>
      <c r="L4126" s="685">
        <f t="shared" si="125"/>
        <v>18.8</v>
      </c>
      <c r="M4126" s="686">
        <f t="shared" si="124"/>
        <v>18.8</v>
      </c>
      <c r="O4126" s="693"/>
    </row>
    <row r="4127" spans="2:15" s="645" customFormat="1" ht="21.75" customHeight="1">
      <c r="B4127" s="661">
        <v>44479</v>
      </c>
      <c r="C4127" s="662" t="s">
        <v>819</v>
      </c>
      <c r="D4127" s="663" t="s">
        <v>876</v>
      </c>
      <c r="E4127" s="664" t="s">
        <v>831</v>
      </c>
      <c r="F4127" s="665"/>
      <c r="G4127" s="663">
        <v>20</v>
      </c>
      <c r="H4127" s="662" t="s">
        <v>807</v>
      </c>
      <c r="I4127" s="666" t="s">
        <v>857</v>
      </c>
      <c r="J4127" s="667" t="s">
        <v>804</v>
      </c>
      <c r="K4127" s="662">
        <v>3</v>
      </c>
      <c r="L4127" s="685">
        <f t="shared" si="125"/>
        <v>18.8</v>
      </c>
      <c r="M4127" s="686">
        <f t="shared" si="124"/>
        <v>56.400000000000006</v>
      </c>
      <c r="O4127" s="693"/>
    </row>
    <row r="4128" spans="2:15" s="645" customFormat="1" ht="21.75" customHeight="1">
      <c r="B4128" s="661">
        <v>44479</v>
      </c>
      <c r="C4128" s="662" t="s">
        <v>819</v>
      </c>
      <c r="D4128" s="663" t="s">
        <v>876</v>
      </c>
      <c r="E4128" s="664" t="s">
        <v>831</v>
      </c>
      <c r="F4128" s="665"/>
      <c r="G4128" s="663">
        <v>20</v>
      </c>
      <c r="H4128" s="662" t="s">
        <v>807</v>
      </c>
      <c r="I4128" s="666" t="s">
        <v>859</v>
      </c>
      <c r="J4128" s="667" t="s">
        <v>805</v>
      </c>
      <c r="K4128" s="662">
        <v>1</v>
      </c>
      <c r="L4128" s="685">
        <f t="shared" si="125"/>
        <v>18.8</v>
      </c>
      <c r="M4128" s="686">
        <f t="shared" si="124"/>
        <v>18.8</v>
      </c>
      <c r="O4128" s="693"/>
    </row>
    <row r="4129" spans="2:15" s="645" customFormat="1" ht="21.75" customHeight="1">
      <c r="B4129" s="661">
        <v>44479</v>
      </c>
      <c r="C4129" s="662" t="s">
        <v>819</v>
      </c>
      <c r="D4129" s="663" t="s">
        <v>876</v>
      </c>
      <c r="E4129" s="664" t="s">
        <v>831</v>
      </c>
      <c r="F4129" s="665"/>
      <c r="G4129" s="663">
        <v>20</v>
      </c>
      <c r="H4129" s="662" t="s">
        <v>807</v>
      </c>
      <c r="I4129" s="666" t="s">
        <v>857</v>
      </c>
      <c r="J4129" s="667" t="s">
        <v>804</v>
      </c>
      <c r="K4129" s="662">
        <v>1</v>
      </c>
      <c r="L4129" s="685">
        <f t="shared" si="125"/>
        <v>18.8</v>
      </c>
      <c r="M4129" s="686">
        <f t="shared" si="124"/>
        <v>18.8</v>
      </c>
      <c r="O4129" s="693"/>
    </row>
    <row r="4130" spans="2:15" s="645" customFormat="1" ht="21.75" customHeight="1">
      <c r="B4130" s="661">
        <v>44479</v>
      </c>
      <c r="C4130" s="662" t="s">
        <v>819</v>
      </c>
      <c r="D4130" s="663" t="s">
        <v>870</v>
      </c>
      <c r="E4130" s="664" t="s">
        <v>831</v>
      </c>
      <c r="F4130" s="665"/>
      <c r="G4130" s="663">
        <v>20</v>
      </c>
      <c r="H4130" s="662" t="s">
        <v>807</v>
      </c>
      <c r="I4130" s="666" t="s">
        <v>859</v>
      </c>
      <c r="J4130" s="667" t="s">
        <v>805</v>
      </c>
      <c r="K4130" s="662">
        <v>1</v>
      </c>
      <c r="L4130" s="685">
        <f t="shared" si="125"/>
        <v>18.8</v>
      </c>
      <c r="M4130" s="686">
        <f t="shared" si="124"/>
        <v>18.8</v>
      </c>
      <c r="O4130" s="693"/>
    </row>
    <row r="4131" spans="2:15" s="645" customFormat="1" ht="21.75" customHeight="1">
      <c r="B4131" s="661">
        <v>44479</v>
      </c>
      <c r="C4131" s="662" t="s">
        <v>819</v>
      </c>
      <c r="D4131" s="663" t="s">
        <v>870</v>
      </c>
      <c r="E4131" s="664" t="s">
        <v>831</v>
      </c>
      <c r="F4131" s="665"/>
      <c r="G4131" s="663">
        <v>20</v>
      </c>
      <c r="H4131" s="662" t="s">
        <v>807</v>
      </c>
      <c r="I4131" s="666" t="s">
        <v>863</v>
      </c>
      <c r="J4131" s="667" t="s">
        <v>804</v>
      </c>
      <c r="K4131" s="662">
        <v>1</v>
      </c>
      <c r="L4131" s="685">
        <f t="shared" si="125"/>
        <v>18.8</v>
      </c>
      <c r="M4131" s="686">
        <f t="shared" si="124"/>
        <v>18.8</v>
      </c>
      <c r="O4131" s="693"/>
    </row>
    <row r="4132" spans="2:15" s="645" customFormat="1" ht="21.75" customHeight="1">
      <c r="B4132" s="661">
        <v>44479</v>
      </c>
      <c r="C4132" s="662" t="s">
        <v>819</v>
      </c>
      <c r="D4132" s="663" t="s">
        <v>870</v>
      </c>
      <c r="E4132" s="664" t="s">
        <v>831</v>
      </c>
      <c r="F4132" s="665"/>
      <c r="G4132" s="663">
        <v>20</v>
      </c>
      <c r="H4132" s="662" t="s">
        <v>807</v>
      </c>
      <c r="I4132" s="666" t="s">
        <v>857</v>
      </c>
      <c r="J4132" s="667" t="s">
        <v>804</v>
      </c>
      <c r="K4132" s="662">
        <v>1</v>
      </c>
      <c r="L4132" s="685">
        <f t="shared" si="125"/>
        <v>18.8</v>
      </c>
      <c r="M4132" s="686">
        <f t="shared" si="124"/>
        <v>18.8</v>
      </c>
      <c r="O4132" s="693"/>
    </row>
    <row r="4133" spans="2:15" s="645" customFormat="1" ht="21.75" customHeight="1">
      <c r="B4133" s="661">
        <v>44479</v>
      </c>
      <c r="C4133" s="662" t="s">
        <v>819</v>
      </c>
      <c r="D4133" s="663" t="s">
        <v>873</v>
      </c>
      <c r="E4133" s="664" t="s">
        <v>831</v>
      </c>
      <c r="F4133" s="665"/>
      <c r="G4133" s="663">
        <v>20</v>
      </c>
      <c r="H4133" s="662" t="s">
        <v>807</v>
      </c>
      <c r="I4133" s="666" t="s">
        <v>863</v>
      </c>
      <c r="J4133" s="667" t="s">
        <v>804</v>
      </c>
      <c r="K4133" s="662">
        <v>1</v>
      </c>
      <c r="L4133" s="685">
        <f t="shared" si="125"/>
        <v>18.8</v>
      </c>
      <c r="M4133" s="686">
        <f t="shared" si="124"/>
        <v>18.8</v>
      </c>
      <c r="O4133" s="693"/>
    </row>
    <row r="4134" spans="2:15" s="645" customFormat="1" ht="21.75" customHeight="1">
      <c r="B4134" s="661">
        <v>44479</v>
      </c>
      <c r="C4134" s="662" t="s">
        <v>819</v>
      </c>
      <c r="D4134" s="663" t="s">
        <v>873</v>
      </c>
      <c r="E4134" s="664" t="s">
        <v>831</v>
      </c>
      <c r="F4134" s="665"/>
      <c r="G4134" s="663">
        <v>20</v>
      </c>
      <c r="H4134" s="662" t="s">
        <v>807</v>
      </c>
      <c r="I4134" s="666" t="s">
        <v>863</v>
      </c>
      <c r="J4134" s="667" t="s">
        <v>805</v>
      </c>
      <c r="K4134" s="662">
        <v>1</v>
      </c>
      <c r="L4134" s="685">
        <f t="shared" si="125"/>
        <v>18.8</v>
      </c>
      <c r="M4134" s="686">
        <f t="shared" si="124"/>
        <v>18.8</v>
      </c>
      <c r="O4134" s="693"/>
    </row>
    <row r="4135" spans="2:15" s="645" customFormat="1" ht="21.75" customHeight="1">
      <c r="B4135" s="661">
        <v>44479</v>
      </c>
      <c r="C4135" s="662" t="s">
        <v>837</v>
      </c>
      <c r="D4135" s="663" t="s">
        <v>856</v>
      </c>
      <c r="E4135" s="664" t="s">
        <v>831</v>
      </c>
      <c r="F4135" s="665"/>
      <c r="G4135" s="663">
        <v>20</v>
      </c>
      <c r="H4135" s="662" t="s">
        <v>807</v>
      </c>
      <c r="I4135" s="666" t="s">
        <v>857</v>
      </c>
      <c r="J4135" s="667" t="s">
        <v>805</v>
      </c>
      <c r="K4135" s="662">
        <v>1</v>
      </c>
      <c r="L4135" s="685">
        <f t="shared" si="125"/>
        <v>18.8</v>
      </c>
      <c r="M4135" s="686">
        <f t="shared" ref="M4135:M4198" si="126">L4135*K4135</f>
        <v>18.8</v>
      </c>
      <c r="O4135" s="693"/>
    </row>
    <row r="4136" spans="2:15" s="645" customFormat="1" ht="21.75" customHeight="1">
      <c r="B4136" s="661">
        <v>44479</v>
      </c>
      <c r="C4136" s="662" t="s">
        <v>837</v>
      </c>
      <c r="D4136" s="663" t="s">
        <v>855</v>
      </c>
      <c r="E4136" s="664" t="s">
        <v>831</v>
      </c>
      <c r="F4136" s="665"/>
      <c r="G4136" s="663">
        <v>20</v>
      </c>
      <c r="H4136" s="662" t="s">
        <v>807</v>
      </c>
      <c r="I4136" s="666" t="s">
        <v>857</v>
      </c>
      <c r="J4136" s="667" t="s">
        <v>805</v>
      </c>
      <c r="K4136" s="662">
        <v>1</v>
      </c>
      <c r="L4136" s="685">
        <f t="shared" si="125"/>
        <v>18.8</v>
      </c>
      <c r="M4136" s="686">
        <f t="shared" si="126"/>
        <v>18.8</v>
      </c>
      <c r="O4136" s="693"/>
    </row>
    <row r="4137" spans="2:15" s="645" customFormat="1" ht="21.75" customHeight="1">
      <c r="B4137" s="661">
        <v>44479</v>
      </c>
      <c r="C4137" s="662" t="s">
        <v>837</v>
      </c>
      <c r="D4137" s="663" t="s">
        <v>849</v>
      </c>
      <c r="E4137" s="664" t="s">
        <v>831</v>
      </c>
      <c r="F4137" s="665"/>
      <c r="G4137" s="663">
        <v>20</v>
      </c>
      <c r="H4137" s="662" t="s">
        <v>807</v>
      </c>
      <c r="I4137" s="666" t="s">
        <v>857</v>
      </c>
      <c r="J4137" s="667" t="s">
        <v>805</v>
      </c>
      <c r="K4137" s="662">
        <v>1</v>
      </c>
      <c r="L4137" s="685">
        <f t="shared" si="125"/>
        <v>18.8</v>
      </c>
      <c r="M4137" s="686">
        <f t="shared" si="126"/>
        <v>18.8</v>
      </c>
      <c r="O4137" s="693"/>
    </row>
    <row r="4138" spans="2:15" s="645" customFormat="1" ht="21.75" customHeight="1">
      <c r="B4138" s="661">
        <v>44479</v>
      </c>
      <c r="C4138" s="662" t="s">
        <v>837</v>
      </c>
      <c r="D4138" s="663" t="s">
        <v>875</v>
      </c>
      <c r="E4138" s="664" t="s">
        <v>831</v>
      </c>
      <c r="F4138" s="665"/>
      <c r="G4138" s="663">
        <v>20</v>
      </c>
      <c r="H4138" s="662" t="s">
        <v>807</v>
      </c>
      <c r="I4138" s="666" t="s">
        <v>857</v>
      </c>
      <c r="J4138" s="667" t="s">
        <v>805</v>
      </c>
      <c r="K4138" s="662">
        <v>1</v>
      </c>
      <c r="L4138" s="685">
        <f t="shared" si="125"/>
        <v>18.8</v>
      </c>
      <c r="M4138" s="686">
        <f t="shared" si="126"/>
        <v>18.8</v>
      </c>
      <c r="O4138" s="693"/>
    </row>
    <row r="4139" spans="2:15" s="645" customFormat="1" ht="21.75" customHeight="1">
      <c r="B4139" s="661">
        <v>44479</v>
      </c>
      <c r="C4139" s="662" t="s">
        <v>837</v>
      </c>
      <c r="D4139" s="663" t="s">
        <v>834</v>
      </c>
      <c r="E4139" s="664" t="s">
        <v>831</v>
      </c>
      <c r="F4139" s="665"/>
      <c r="G4139" s="663">
        <v>20</v>
      </c>
      <c r="H4139" s="662" t="s">
        <v>807</v>
      </c>
      <c r="I4139" s="666" t="s">
        <v>857</v>
      </c>
      <c r="J4139" s="667" t="s">
        <v>865</v>
      </c>
      <c r="K4139" s="662">
        <v>2</v>
      </c>
      <c r="L4139" s="685">
        <f t="shared" si="125"/>
        <v>18.8</v>
      </c>
      <c r="M4139" s="686">
        <f t="shared" si="126"/>
        <v>37.6</v>
      </c>
      <c r="O4139" s="693"/>
    </row>
    <row r="4140" spans="2:15" s="645" customFormat="1" ht="21.75" customHeight="1">
      <c r="B4140" s="661">
        <v>44479</v>
      </c>
      <c r="C4140" s="662" t="s">
        <v>837</v>
      </c>
      <c r="D4140" s="663" t="s">
        <v>856</v>
      </c>
      <c r="E4140" s="664" t="s">
        <v>831</v>
      </c>
      <c r="F4140" s="665"/>
      <c r="G4140" s="663">
        <v>20</v>
      </c>
      <c r="H4140" s="662" t="s">
        <v>807</v>
      </c>
      <c r="I4140" s="666" t="s">
        <v>857</v>
      </c>
      <c r="J4140" s="667" t="s">
        <v>865</v>
      </c>
      <c r="K4140" s="662">
        <v>2</v>
      </c>
      <c r="L4140" s="685">
        <f t="shared" si="125"/>
        <v>18.8</v>
      </c>
      <c r="M4140" s="686">
        <f t="shared" si="126"/>
        <v>37.6</v>
      </c>
      <c r="O4140" s="693"/>
    </row>
    <row r="4141" spans="2:15" s="645" customFormat="1" ht="21.75" customHeight="1">
      <c r="B4141" s="661">
        <v>44479</v>
      </c>
      <c r="C4141" s="662" t="s">
        <v>837</v>
      </c>
      <c r="D4141" s="663" t="s">
        <v>855</v>
      </c>
      <c r="E4141" s="664" t="s">
        <v>831</v>
      </c>
      <c r="F4141" s="665"/>
      <c r="G4141" s="663">
        <v>20</v>
      </c>
      <c r="H4141" s="662" t="s">
        <v>807</v>
      </c>
      <c r="I4141" s="666" t="s">
        <v>857</v>
      </c>
      <c r="J4141" s="667" t="s">
        <v>865</v>
      </c>
      <c r="K4141" s="662">
        <v>2</v>
      </c>
      <c r="L4141" s="685">
        <f t="shared" si="125"/>
        <v>18.8</v>
      </c>
      <c r="M4141" s="686">
        <f t="shared" si="126"/>
        <v>37.6</v>
      </c>
      <c r="O4141" s="693"/>
    </row>
    <row r="4142" spans="2:15" s="645" customFormat="1" ht="21.75" customHeight="1">
      <c r="B4142" s="661">
        <v>44479</v>
      </c>
      <c r="C4142" s="662" t="s">
        <v>837</v>
      </c>
      <c r="D4142" s="663" t="s">
        <v>849</v>
      </c>
      <c r="E4142" s="664" t="s">
        <v>831</v>
      </c>
      <c r="F4142" s="665"/>
      <c r="G4142" s="663">
        <v>20</v>
      </c>
      <c r="H4142" s="662" t="s">
        <v>807</v>
      </c>
      <c r="I4142" s="666" t="s">
        <v>857</v>
      </c>
      <c r="J4142" s="667" t="s">
        <v>865</v>
      </c>
      <c r="K4142" s="662">
        <v>1</v>
      </c>
      <c r="L4142" s="685">
        <f t="shared" si="125"/>
        <v>18.8</v>
      </c>
      <c r="M4142" s="686">
        <f t="shared" si="126"/>
        <v>18.8</v>
      </c>
      <c r="O4142" s="693"/>
    </row>
    <row r="4143" spans="2:15" s="645" customFormat="1" ht="21.75" customHeight="1">
      <c r="B4143" s="661">
        <v>44479</v>
      </c>
      <c r="C4143" s="662" t="s">
        <v>837</v>
      </c>
      <c r="D4143" s="663" t="s">
        <v>835</v>
      </c>
      <c r="E4143" s="664" t="s">
        <v>831</v>
      </c>
      <c r="F4143" s="665"/>
      <c r="G4143" s="663">
        <v>20</v>
      </c>
      <c r="H4143" s="662" t="s">
        <v>807</v>
      </c>
      <c r="I4143" s="666" t="s">
        <v>857</v>
      </c>
      <c r="J4143" s="667" t="s">
        <v>865</v>
      </c>
      <c r="K4143" s="662">
        <v>2</v>
      </c>
      <c r="L4143" s="685">
        <f t="shared" si="125"/>
        <v>18.8</v>
      </c>
      <c r="M4143" s="686">
        <f t="shared" si="126"/>
        <v>37.6</v>
      </c>
      <c r="O4143" s="693"/>
    </row>
    <row r="4144" spans="2:15" s="645" customFormat="1" ht="21.75" customHeight="1">
      <c r="B4144" s="661">
        <v>44479</v>
      </c>
      <c r="C4144" s="662" t="s">
        <v>837</v>
      </c>
      <c r="D4144" s="663" t="s">
        <v>845</v>
      </c>
      <c r="E4144" s="664" t="s">
        <v>831</v>
      </c>
      <c r="F4144" s="665"/>
      <c r="G4144" s="663">
        <v>17</v>
      </c>
      <c r="H4144" s="662" t="s">
        <v>807</v>
      </c>
      <c r="I4144" s="666" t="s">
        <v>857</v>
      </c>
      <c r="J4144" s="667" t="s">
        <v>865</v>
      </c>
      <c r="K4144" s="662">
        <v>4</v>
      </c>
      <c r="L4144" s="685">
        <f t="shared" si="125"/>
        <v>15.98</v>
      </c>
      <c r="M4144" s="686">
        <f t="shared" si="126"/>
        <v>63.92</v>
      </c>
      <c r="O4144" s="693"/>
    </row>
    <row r="4145" spans="2:15" s="645" customFormat="1" ht="21.75" customHeight="1">
      <c r="B4145" s="661">
        <v>44479</v>
      </c>
      <c r="C4145" s="662" t="s">
        <v>837</v>
      </c>
      <c r="D4145" s="663" t="s">
        <v>847</v>
      </c>
      <c r="E4145" s="664" t="s">
        <v>831</v>
      </c>
      <c r="F4145" s="665"/>
      <c r="G4145" s="663">
        <v>17</v>
      </c>
      <c r="H4145" s="662" t="s">
        <v>807</v>
      </c>
      <c r="I4145" s="666" t="s">
        <v>857</v>
      </c>
      <c r="J4145" s="667" t="s">
        <v>865</v>
      </c>
      <c r="K4145" s="662">
        <v>5</v>
      </c>
      <c r="L4145" s="685">
        <f t="shared" si="125"/>
        <v>15.98</v>
      </c>
      <c r="M4145" s="686">
        <f t="shared" si="126"/>
        <v>79.900000000000006</v>
      </c>
      <c r="O4145" s="693"/>
    </row>
    <row r="4146" spans="2:15" s="645" customFormat="1" ht="21.75" customHeight="1">
      <c r="B4146" s="661">
        <v>44479</v>
      </c>
      <c r="C4146" s="662" t="s">
        <v>837</v>
      </c>
      <c r="D4146" s="663" t="s">
        <v>878</v>
      </c>
      <c r="E4146" s="664" t="s">
        <v>831</v>
      </c>
      <c r="F4146" s="665"/>
      <c r="G4146" s="663">
        <v>15</v>
      </c>
      <c r="H4146" s="662" t="s">
        <v>807</v>
      </c>
      <c r="I4146" s="666" t="s">
        <v>857</v>
      </c>
      <c r="J4146" s="667" t="s">
        <v>865</v>
      </c>
      <c r="K4146" s="662">
        <v>2</v>
      </c>
      <c r="L4146" s="685">
        <f t="shared" si="125"/>
        <v>14.1</v>
      </c>
      <c r="M4146" s="686">
        <f t="shared" si="126"/>
        <v>28.2</v>
      </c>
      <c r="O4146" s="693"/>
    </row>
    <row r="4147" spans="2:15" s="645" customFormat="1" ht="21.75" customHeight="1">
      <c r="B4147" s="661">
        <v>44479</v>
      </c>
      <c r="C4147" s="662" t="s">
        <v>837</v>
      </c>
      <c r="D4147" s="663" t="s">
        <v>875</v>
      </c>
      <c r="E4147" s="664" t="s">
        <v>831</v>
      </c>
      <c r="F4147" s="665"/>
      <c r="G4147" s="663">
        <v>20</v>
      </c>
      <c r="H4147" s="662" t="s">
        <v>807</v>
      </c>
      <c r="I4147" s="666" t="s">
        <v>857</v>
      </c>
      <c r="J4147" s="667" t="s">
        <v>865</v>
      </c>
      <c r="K4147" s="662">
        <v>4</v>
      </c>
      <c r="L4147" s="685">
        <f t="shared" si="125"/>
        <v>18.8</v>
      </c>
      <c r="M4147" s="686">
        <f t="shared" si="126"/>
        <v>75.2</v>
      </c>
      <c r="O4147" s="693"/>
    </row>
    <row r="4148" spans="2:15" s="645" customFormat="1" ht="21.75" customHeight="1">
      <c r="B4148" s="661">
        <v>44479</v>
      </c>
      <c r="C4148" s="662" t="s">
        <v>837</v>
      </c>
      <c r="D4148" s="663" t="s">
        <v>867</v>
      </c>
      <c r="E4148" s="664" t="s">
        <v>831</v>
      </c>
      <c r="F4148" s="665"/>
      <c r="G4148" s="663">
        <v>20</v>
      </c>
      <c r="H4148" s="662" t="s">
        <v>807</v>
      </c>
      <c r="I4148" s="666" t="s">
        <v>857</v>
      </c>
      <c r="J4148" s="667" t="s">
        <v>865</v>
      </c>
      <c r="K4148" s="662">
        <v>1</v>
      </c>
      <c r="L4148" s="685">
        <f t="shared" si="125"/>
        <v>18.8</v>
      </c>
      <c r="M4148" s="686">
        <f t="shared" si="126"/>
        <v>18.8</v>
      </c>
      <c r="O4148" s="693"/>
    </row>
    <row r="4149" spans="2:15" s="645" customFormat="1" ht="21.75" customHeight="1">
      <c r="B4149" s="661">
        <v>44479</v>
      </c>
      <c r="C4149" s="662" t="s">
        <v>837</v>
      </c>
      <c r="D4149" s="663" t="s">
        <v>876</v>
      </c>
      <c r="E4149" s="664" t="s">
        <v>831</v>
      </c>
      <c r="F4149" s="665"/>
      <c r="G4149" s="663">
        <v>20</v>
      </c>
      <c r="H4149" s="662" t="s">
        <v>807</v>
      </c>
      <c r="I4149" s="666" t="s">
        <v>857</v>
      </c>
      <c r="J4149" s="667" t="s">
        <v>865</v>
      </c>
      <c r="K4149" s="662">
        <v>5</v>
      </c>
      <c r="L4149" s="685">
        <f t="shared" si="125"/>
        <v>18.8</v>
      </c>
      <c r="M4149" s="686">
        <f t="shared" si="126"/>
        <v>94</v>
      </c>
      <c r="O4149" s="693"/>
    </row>
    <row r="4150" spans="2:15" s="645" customFormat="1" ht="21.75" customHeight="1">
      <c r="B4150" s="661">
        <v>44479</v>
      </c>
      <c r="C4150" s="662" t="s">
        <v>837</v>
      </c>
      <c r="D4150" s="663" t="s">
        <v>877</v>
      </c>
      <c r="E4150" s="664" t="s">
        <v>831</v>
      </c>
      <c r="F4150" s="665"/>
      <c r="G4150" s="663">
        <v>20</v>
      </c>
      <c r="H4150" s="662" t="s">
        <v>807</v>
      </c>
      <c r="I4150" s="666" t="s">
        <v>857</v>
      </c>
      <c r="J4150" s="667" t="s">
        <v>865</v>
      </c>
      <c r="K4150" s="662">
        <v>1</v>
      </c>
      <c r="L4150" s="685">
        <f t="shared" si="125"/>
        <v>18.8</v>
      </c>
      <c r="M4150" s="686">
        <f t="shared" si="126"/>
        <v>18.8</v>
      </c>
      <c r="O4150" s="693"/>
    </row>
    <row r="4151" spans="2:15" s="645" customFormat="1" ht="21.75" customHeight="1">
      <c r="B4151" s="661">
        <v>44479</v>
      </c>
      <c r="C4151" s="662" t="s">
        <v>837</v>
      </c>
      <c r="D4151" s="663" t="s">
        <v>870</v>
      </c>
      <c r="E4151" s="664" t="s">
        <v>831</v>
      </c>
      <c r="F4151" s="665"/>
      <c r="G4151" s="663">
        <v>20</v>
      </c>
      <c r="H4151" s="662" t="s">
        <v>807</v>
      </c>
      <c r="I4151" s="666" t="s">
        <v>857</v>
      </c>
      <c r="J4151" s="667" t="s">
        <v>865</v>
      </c>
      <c r="K4151" s="662">
        <v>1</v>
      </c>
      <c r="L4151" s="685">
        <f t="shared" si="125"/>
        <v>18.8</v>
      </c>
      <c r="M4151" s="686">
        <f t="shared" si="126"/>
        <v>18.8</v>
      </c>
      <c r="O4151" s="693"/>
    </row>
    <row r="4152" spans="2:15" s="645" customFormat="1" ht="21.75" customHeight="1">
      <c r="B4152" s="708">
        <v>44479</v>
      </c>
      <c r="C4152" s="709" t="s">
        <v>819</v>
      </c>
      <c r="D4152" s="710" t="s">
        <v>849</v>
      </c>
      <c r="E4152" s="711" t="s">
        <v>831</v>
      </c>
      <c r="F4152" s="712"/>
      <c r="G4152" s="710">
        <v>20</v>
      </c>
      <c r="H4152" s="709" t="s">
        <v>807</v>
      </c>
      <c r="I4152" s="713" t="s">
        <v>859</v>
      </c>
      <c r="J4152" s="714" t="s">
        <v>802</v>
      </c>
      <c r="K4152" s="709">
        <v>1</v>
      </c>
      <c r="L4152" s="715">
        <f t="shared" si="125"/>
        <v>18.8</v>
      </c>
      <c r="M4152" s="716">
        <f t="shared" si="126"/>
        <v>18.8</v>
      </c>
      <c r="O4152" s="693"/>
    </row>
    <row r="4153" spans="2:15" s="645" customFormat="1" ht="21.75" customHeight="1">
      <c r="B4153" s="708">
        <v>44479</v>
      </c>
      <c r="C4153" s="709" t="s">
        <v>819</v>
      </c>
      <c r="D4153" s="710" t="s">
        <v>849</v>
      </c>
      <c r="E4153" s="711" t="s">
        <v>831</v>
      </c>
      <c r="F4153" s="712"/>
      <c r="G4153" s="710">
        <v>20</v>
      </c>
      <c r="H4153" s="709" t="s">
        <v>807</v>
      </c>
      <c r="I4153" s="713" t="s">
        <v>863</v>
      </c>
      <c r="J4153" s="714" t="s">
        <v>802</v>
      </c>
      <c r="K4153" s="709">
        <v>1</v>
      </c>
      <c r="L4153" s="715">
        <f t="shared" si="125"/>
        <v>18.8</v>
      </c>
      <c r="M4153" s="716">
        <f t="shared" si="126"/>
        <v>18.8</v>
      </c>
      <c r="O4153" s="693"/>
    </row>
    <row r="4154" spans="2:15" s="645" customFormat="1" ht="21.75" customHeight="1">
      <c r="B4154" s="708">
        <v>44479</v>
      </c>
      <c r="C4154" s="709" t="s">
        <v>819</v>
      </c>
      <c r="D4154" s="710" t="s">
        <v>849</v>
      </c>
      <c r="E4154" s="711" t="s">
        <v>831</v>
      </c>
      <c r="F4154" s="712"/>
      <c r="G4154" s="710">
        <v>20</v>
      </c>
      <c r="H4154" s="709" t="s">
        <v>807</v>
      </c>
      <c r="I4154" s="713" t="s">
        <v>857</v>
      </c>
      <c r="J4154" s="714" t="s">
        <v>802</v>
      </c>
      <c r="K4154" s="709">
        <v>1</v>
      </c>
      <c r="L4154" s="715">
        <f t="shared" si="125"/>
        <v>18.8</v>
      </c>
      <c r="M4154" s="716">
        <f t="shared" si="126"/>
        <v>18.8</v>
      </c>
      <c r="O4154" s="693"/>
    </row>
    <row r="4155" spans="2:15" s="645" customFormat="1" ht="21.75" customHeight="1">
      <c r="B4155" s="708">
        <v>44479</v>
      </c>
      <c r="C4155" s="709" t="s">
        <v>819</v>
      </c>
      <c r="D4155" s="710" t="s">
        <v>840</v>
      </c>
      <c r="E4155" s="711" t="s">
        <v>831</v>
      </c>
      <c r="F4155" s="712"/>
      <c r="G4155" s="710">
        <v>20</v>
      </c>
      <c r="H4155" s="709" t="s">
        <v>807</v>
      </c>
      <c r="I4155" s="713" t="s">
        <v>863</v>
      </c>
      <c r="J4155" s="714" t="s">
        <v>802</v>
      </c>
      <c r="K4155" s="709">
        <v>4</v>
      </c>
      <c r="L4155" s="715">
        <f t="shared" si="125"/>
        <v>18.8</v>
      </c>
      <c r="M4155" s="716">
        <f t="shared" si="126"/>
        <v>75.2</v>
      </c>
      <c r="O4155" s="693"/>
    </row>
    <row r="4156" spans="2:15" s="645" customFormat="1" ht="21.75" customHeight="1">
      <c r="B4156" s="708">
        <v>44479</v>
      </c>
      <c r="C4156" s="709" t="s">
        <v>819</v>
      </c>
      <c r="D4156" s="710" t="s">
        <v>834</v>
      </c>
      <c r="E4156" s="711" t="s">
        <v>831</v>
      </c>
      <c r="F4156" s="712"/>
      <c r="G4156" s="710">
        <v>20</v>
      </c>
      <c r="H4156" s="709" t="s">
        <v>807</v>
      </c>
      <c r="I4156" s="713" t="s">
        <v>863</v>
      </c>
      <c r="J4156" s="714" t="s">
        <v>802</v>
      </c>
      <c r="K4156" s="709">
        <v>2</v>
      </c>
      <c r="L4156" s="715">
        <f t="shared" si="125"/>
        <v>18.8</v>
      </c>
      <c r="M4156" s="716">
        <f t="shared" si="126"/>
        <v>37.6</v>
      </c>
      <c r="O4156" s="693"/>
    </row>
    <row r="4157" spans="2:15" s="645" customFormat="1" ht="21.75" customHeight="1">
      <c r="B4157" s="708">
        <v>44479</v>
      </c>
      <c r="C4157" s="709" t="s">
        <v>819</v>
      </c>
      <c r="D4157" s="710" t="s">
        <v>833</v>
      </c>
      <c r="E4157" s="711" t="s">
        <v>831</v>
      </c>
      <c r="F4157" s="712"/>
      <c r="G4157" s="710">
        <v>15</v>
      </c>
      <c r="H4157" s="709" t="s">
        <v>807</v>
      </c>
      <c r="I4157" s="713" t="s">
        <v>859</v>
      </c>
      <c r="J4157" s="714" t="s">
        <v>802</v>
      </c>
      <c r="K4157" s="709">
        <v>2</v>
      </c>
      <c r="L4157" s="715">
        <f t="shared" si="125"/>
        <v>14.1</v>
      </c>
      <c r="M4157" s="716">
        <f t="shared" si="126"/>
        <v>28.2</v>
      </c>
      <c r="O4157" s="693"/>
    </row>
    <row r="4158" spans="2:15" s="645" customFormat="1" ht="21.75" customHeight="1">
      <c r="B4158" s="708">
        <v>44479</v>
      </c>
      <c r="C4158" s="709" t="s">
        <v>819</v>
      </c>
      <c r="D4158" s="710" t="s">
        <v>833</v>
      </c>
      <c r="E4158" s="711" t="s">
        <v>831</v>
      </c>
      <c r="F4158" s="712"/>
      <c r="G4158" s="710">
        <v>15</v>
      </c>
      <c r="H4158" s="709" t="s">
        <v>807</v>
      </c>
      <c r="I4158" s="713" t="s">
        <v>863</v>
      </c>
      <c r="J4158" s="714" t="s">
        <v>802</v>
      </c>
      <c r="K4158" s="709">
        <v>2</v>
      </c>
      <c r="L4158" s="715">
        <f t="shared" si="125"/>
        <v>14.1</v>
      </c>
      <c r="M4158" s="716">
        <f t="shared" si="126"/>
        <v>28.2</v>
      </c>
      <c r="O4158" s="693"/>
    </row>
    <row r="4159" spans="2:15" s="645" customFormat="1" ht="21.75" customHeight="1">
      <c r="B4159" s="708">
        <v>44479</v>
      </c>
      <c r="C4159" s="709" t="s">
        <v>819</v>
      </c>
      <c r="D4159" s="710" t="s">
        <v>833</v>
      </c>
      <c r="E4159" s="711" t="s">
        <v>831</v>
      </c>
      <c r="F4159" s="712"/>
      <c r="G4159" s="710">
        <v>15</v>
      </c>
      <c r="H4159" s="709" t="s">
        <v>807</v>
      </c>
      <c r="I4159" s="713" t="s">
        <v>857</v>
      </c>
      <c r="J4159" s="714" t="s">
        <v>802</v>
      </c>
      <c r="K4159" s="709">
        <v>1</v>
      </c>
      <c r="L4159" s="715">
        <f t="shared" si="125"/>
        <v>14.1</v>
      </c>
      <c r="M4159" s="716">
        <f t="shared" si="126"/>
        <v>14.1</v>
      </c>
      <c r="O4159" s="693"/>
    </row>
    <row r="4160" spans="2:15" s="645" customFormat="1" ht="21.75" customHeight="1">
      <c r="B4160" s="708">
        <v>44479</v>
      </c>
      <c r="C4160" s="709" t="s">
        <v>819</v>
      </c>
      <c r="D4160" s="710" t="s">
        <v>845</v>
      </c>
      <c r="E4160" s="711" t="s">
        <v>831</v>
      </c>
      <c r="F4160" s="712"/>
      <c r="G4160" s="710">
        <v>17</v>
      </c>
      <c r="H4160" s="709" t="s">
        <v>807</v>
      </c>
      <c r="I4160" s="713" t="s">
        <v>863</v>
      </c>
      <c r="J4160" s="714" t="s">
        <v>802</v>
      </c>
      <c r="K4160" s="709">
        <v>3</v>
      </c>
      <c r="L4160" s="715">
        <f t="shared" si="125"/>
        <v>15.98</v>
      </c>
      <c r="M4160" s="716">
        <f t="shared" si="126"/>
        <v>47.94</v>
      </c>
      <c r="O4160" s="693"/>
    </row>
    <row r="4161" spans="2:15" s="645" customFormat="1" ht="21.75" customHeight="1">
      <c r="B4161" s="708">
        <v>44479</v>
      </c>
      <c r="C4161" s="709" t="s">
        <v>819</v>
      </c>
      <c r="D4161" s="710" t="s">
        <v>847</v>
      </c>
      <c r="E4161" s="711" t="s">
        <v>831</v>
      </c>
      <c r="F4161" s="712"/>
      <c r="G4161" s="710">
        <v>17</v>
      </c>
      <c r="H4161" s="709" t="s">
        <v>807</v>
      </c>
      <c r="I4161" s="713" t="s">
        <v>859</v>
      </c>
      <c r="J4161" s="714" t="s">
        <v>802</v>
      </c>
      <c r="K4161" s="709">
        <v>2</v>
      </c>
      <c r="L4161" s="715">
        <f t="shared" si="125"/>
        <v>15.98</v>
      </c>
      <c r="M4161" s="716">
        <f t="shared" si="126"/>
        <v>31.96</v>
      </c>
      <c r="O4161" s="693"/>
    </row>
    <row r="4162" spans="2:15" s="645" customFormat="1" ht="21.75" customHeight="1">
      <c r="B4162" s="708">
        <v>44479</v>
      </c>
      <c r="C4162" s="709" t="s">
        <v>819</v>
      </c>
      <c r="D4162" s="710" t="s">
        <v>856</v>
      </c>
      <c r="E4162" s="711" t="s">
        <v>831</v>
      </c>
      <c r="F4162" s="712"/>
      <c r="G4162" s="710">
        <v>20</v>
      </c>
      <c r="H4162" s="709" t="s">
        <v>807</v>
      </c>
      <c r="I4162" s="713" t="s">
        <v>863</v>
      </c>
      <c r="J4162" s="714" t="s">
        <v>802</v>
      </c>
      <c r="K4162" s="709">
        <v>2</v>
      </c>
      <c r="L4162" s="715">
        <f t="shared" si="125"/>
        <v>18.8</v>
      </c>
      <c r="M4162" s="716">
        <f t="shared" si="126"/>
        <v>37.6</v>
      </c>
      <c r="O4162" s="693"/>
    </row>
    <row r="4163" spans="2:15" s="645" customFormat="1" ht="21.75" customHeight="1">
      <c r="B4163" s="708">
        <v>44479</v>
      </c>
      <c r="C4163" s="709" t="s">
        <v>819</v>
      </c>
      <c r="D4163" s="710" t="s">
        <v>878</v>
      </c>
      <c r="E4163" s="711" t="s">
        <v>831</v>
      </c>
      <c r="F4163" s="712"/>
      <c r="G4163" s="710">
        <v>15</v>
      </c>
      <c r="H4163" s="709" t="s">
        <v>807</v>
      </c>
      <c r="I4163" s="713" t="s">
        <v>863</v>
      </c>
      <c r="J4163" s="714" t="s">
        <v>802</v>
      </c>
      <c r="K4163" s="709">
        <v>2</v>
      </c>
      <c r="L4163" s="715">
        <f t="shared" si="125"/>
        <v>14.1</v>
      </c>
      <c r="M4163" s="716">
        <f t="shared" si="126"/>
        <v>28.2</v>
      </c>
      <c r="O4163" s="693"/>
    </row>
    <row r="4164" spans="2:15" s="645" customFormat="1" ht="21.75" customHeight="1">
      <c r="B4164" s="708">
        <v>44479</v>
      </c>
      <c r="C4164" s="709" t="s">
        <v>819</v>
      </c>
      <c r="D4164" s="710" t="s">
        <v>855</v>
      </c>
      <c r="E4164" s="711" t="s">
        <v>831</v>
      </c>
      <c r="F4164" s="712"/>
      <c r="G4164" s="710">
        <v>20</v>
      </c>
      <c r="H4164" s="709" t="s">
        <v>807</v>
      </c>
      <c r="I4164" s="713" t="s">
        <v>857</v>
      </c>
      <c r="J4164" s="714" t="s">
        <v>802</v>
      </c>
      <c r="K4164" s="709">
        <v>1</v>
      </c>
      <c r="L4164" s="715">
        <f t="shared" si="125"/>
        <v>18.8</v>
      </c>
      <c r="M4164" s="716">
        <f t="shared" si="126"/>
        <v>18.8</v>
      </c>
      <c r="O4164" s="693"/>
    </row>
    <row r="4165" spans="2:15" s="645" customFormat="1" ht="21.75" customHeight="1">
      <c r="B4165" s="708">
        <v>44479</v>
      </c>
      <c r="C4165" s="709" t="s">
        <v>819</v>
      </c>
      <c r="D4165" s="710" t="s">
        <v>875</v>
      </c>
      <c r="E4165" s="711" t="s">
        <v>831</v>
      </c>
      <c r="F4165" s="712"/>
      <c r="G4165" s="710">
        <v>20</v>
      </c>
      <c r="H4165" s="709" t="s">
        <v>807</v>
      </c>
      <c r="I4165" s="713" t="s">
        <v>863</v>
      </c>
      <c r="J4165" s="714" t="s">
        <v>802</v>
      </c>
      <c r="K4165" s="709">
        <v>2</v>
      </c>
      <c r="L4165" s="715">
        <f t="shared" si="125"/>
        <v>18.8</v>
      </c>
      <c r="M4165" s="716">
        <f t="shared" si="126"/>
        <v>37.6</v>
      </c>
      <c r="O4165" s="693"/>
    </row>
    <row r="4166" spans="2:15" s="645" customFormat="1" ht="21.75" customHeight="1">
      <c r="B4166" s="708">
        <v>44479</v>
      </c>
      <c r="C4166" s="709" t="s">
        <v>819</v>
      </c>
      <c r="D4166" s="710" t="s">
        <v>875</v>
      </c>
      <c r="E4166" s="711" t="s">
        <v>831</v>
      </c>
      <c r="F4166" s="712"/>
      <c r="G4166" s="710">
        <v>20</v>
      </c>
      <c r="H4166" s="709" t="s">
        <v>807</v>
      </c>
      <c r="I4166" s="713" t="s">
        <v>857</v>
      </c>
      <c r="J4166" s="714" t="s">
        <v>802</v>
      </c>
      <c r="K4166" s="709">
        <v>1</v>
      </c>
      <c r="L4166" s="715">
        <f t="shared" si="125"/>
        <v>18.8</v>
      </c>
      <c r="M4166" s="716">
        <f t="shared" si="126"/>
        <v>18.8</v>
      </c>
      <c r="O4166" s="693"/>
    </row>
    <row r="4167" spans="2:15" s="645" customFormat="1" ht="21.75" customHeight="1">
      <c r="B4167" s="708">
        <v>44479</v>
      </c>
      <c r="C4167" s="709" t="s">
        <v>819</v>
      </c>
      <c r="D4167" s="710" t="s">
        <v>867</v>
      </c>
      <c r="E4167" s="711" t="s">
        <v>831</v>
      </c>
      <c r="F4167" s="712"/>
      <c r="G4167" s="710">
        <v>20</v>
      </c>
      <c r="H4167" s="709" t="s">
        <v>807</v>
      </c>
      <c r="I4167" s="713" t="s">
        <v>863</v>
      </c>
      <c r="J4167" s="714" t="s">
        <v>802</v>
      </c>
      <c r="K4167" s="709">
        <v>5</v>
      </c>
      <c r="L4167" s="715">
        <f t="shared" si="125"/>
        <v>18.8</v>
      </c>
      <c r="M4167" s="716">
        <f t="shared" si="126"/>
        <v>94</v>
      </c>
      <c r="O4167" s="693"/>
    </row>
    <row r="4168" spans="2:15" s="645" customFormat="1" ht="21.75" customHeight="1">
      <c r="B4168" s="708">
        <v>44479</v>
      </c>
      <c r="C4168" s="709" t="s">
        <v>819</v>
      </c>
      <c r="D4168" s="710" t="s">
        <v>870</v>
      </c>
      <c r="E4168" s="711" t="s">
        <v>831</v>
      </c>
      <c r="F4168" s="712"/>
      <c r="G4168" s="710">
        <v>20</v>
      </c>
      <c r="H4168" s="709" t="s">
        <v>807</v>
      </c>
      <c r="I4168" s="713" t="s">
        <v>859</v>
      </c>
      <c r="J4168" s="714" t="s">
        <v>802</v>
      </c>
      <c r="K4168" s="709">
        <v>1</v>
      </c>
      <c r="L4168" s="715">
        <f t="shared" si="125"/>
        <v>18.8</v>
      </c>
      <c r="M4168" s="716">
        <f t="shared" si="126"/>
        <v>18.8</v>
      </c>
      <c r="O4168" s="693"/>
    </row>
    <row r="4169" spans="2:15" s="645" customFormat="1" ht="21.75" customHeight="1">
      <c r="B4169" s="708">
        <v>44479</v>
      </c>
      <c r="C4169" s="709" t="s">
        <v>819</v>
      </c>
      <c r="D4169" s="710" t="s">
        <v>870</v>
      </c>
      <c r="E4169" s="711" t="s">
        <v>831</v>
      </c>
      <c r="F4169" s="712"/>
      <c r="G4169" s="710">
        <v>20</v>
      </c>
      <c r="H4169" s="709" t="s">
        <v>807</v>
      </c>
      <c r="I4169" s="713" t="s">
        <v>857</v>
      </c>
      <c r="J4169" s="714" t="s">
        <v>802</v>
      </c>
      <c r="K4169" s="709">
        <v>2</v>
      </c>
      <c r="L4169" s="715">
        <f t="shared" ref="L4169:L4232" si="127">VLOOKUP(G4169,$Q$4:$V$7,6,FALSE)</f>
        <v>18.8</v>
      </c>
      <c r="M4169" s="716">
        <f t="shared" si="126"/>
        <v>37.6</v>
      </c>
      <c r="O4169" s="693"/>
    </row>
    <row r="4170" spans="2:15" s="645" customFormat="1" ht="21.75" customHeight="1">
      <c r="B4170" s="708">
        <v>44479</v>
      </c>
      <c r="C4170" s="709" t="s">
        <v>819</v>
      </c>
      <c r="D4170" s="710" t="s">
        <v>873</v>
      </c>
      <c r="E4170" s="711" t="s">
        <v>831</v>
      </c>
      <c r="F4170" s="712"/>
      <c r="G4170" s="710">
        <v>20</v>
      </c>
      <c r="H4170" s="709" t="s">
        <v>807</v>
      </c>
      <c r="I4170" s="713" t="s">
        <v>863</v>
      </c>
      <c r="J4170" s="714" t="s">
        <v>802</v>
      </c>
      <c r="K4170" s="709">
        <v>5</v>
      </c>
      <c r="L4170" s="715">
        <f t="shared" si="127"/>
        <v>18.8</v>
      </c>
      <c r="M4170" s="716">
        <f t="shared" si="126"/>
        <v>94</v>
      </c>
      <c r="O4170" s="693"/>
    </row>
    <row r="4171" spans="2:15" s="645" customFormat="1" ht="21.75" customHeight="1">
      <c r="B4171" s="708">
        <v>44479</v>
      </c>
      <c r="C4171" s="709" t="s">
        <v>837</v>
      </c>
      <c r="D4171" s="710" t="s">
        <v>834</v>
      </c>
      <c r="E4171" s="711" t="s">
        <v>831</v>
      </c>
      <c r="F4171" s="712"/>
      <c r="G4171" s="710">
        <v>20</v>
      </c>
      <c r="H4171" s="709" t="s">
        <v>807</v>
      </c>
      <c r="I4171" s="713" t="s">
        <v>857</v>
      </c>
      <c r="J4171" s="714" t="s">
        <v>802</v>
      </c>
      <c r="K4171" s="709">
        <v>7</v>
      </c>
      <c r="L4171" s="715">
        <f t="shared" si="127"/>
        <v>18.8</v>
      </c>
      <c r="M4171" s="716">
        <f t="shared" si="126"/>
        <v>131.6</v>
      </c>
      <c r="O4171" s="693"/>
    </row>
    <row r="4172" spans="2:15" s="645" customFormat="1" ht="21.75" customHeight="1">
      <c r="B4172" s="708">
        <v>44479</v>
      </c>
      <c r="C4172" s="709" t="s">
        <v>837</v>
      </c>
      <c r="D4172" s="710" t="s">
        <v>856</v>
      </c>
      <c r="E4172" s="711" t="s">
        <v>831</v>
      </c>
      <c r="F4172" s="712"/>
      <c r="G4172" s="710">
        <v>20</v>
      </c>
      <c r="H4172" s="709" t="s">
        <v>807</v>
      </c>
      <c r="I4172" s="713" t="s">
        <v>857</v>
      </c>
      <c r="J4172" s="714" t="s">
        <v>802</v>
      </c>
      <c r="K4172" s="709">
        <v>6</v>
      </c>
      <c r="L4172" s="715">
        <f t="shared" si="127"/>
        <v>18.8</v>
      </c>
      <c r="M4172" s="716">
        <f t="shared" si="126"/>
        <v>112.80000000000001</v>
      </c>
      <c r="O4172" s="693"/>
    </row>
    <row r="4173" spans="2:15" s="645" customFormat="1" ht="21.75" customHeight="1">
      <c r="B4173" s="708">
        <v>44479</v>
      </c>
      <c r="C4173" s="709" t="s">
        <v>837</v>
      </c>
      <c r="D4173" s="710" t="s">
        <v>855</v>
      </c>
      <c r="E4173" s="711" t="s">
        <v>831</v>
      </c>
      <c r="F4173" s="712"/>
      <c r="G4173" s="710">
        <v>20</v>
      </c>
      <c r="H4173" s="709" t="s">
        <v>807</v>
      </c>
      <c r="I4173" s="713" t="s">
        <v>857</v>
      </c>
      <c r="J4173" s="714" t="s">
        <v>802</v>
      </c>
      <c r="K4173" s="709">
        <v>6</v>
      </c>
      <c r="L4173" s="715">
        <f t="shared" si="127"/>
        <v>18.8</v>
      </c>
      <c r="M4173" s="716">
        <f t="shared" si="126"/>
        <v>112.80000000000001</v>
      </c>
      <c r="O4173" s="693"/>
    </row>
    <row r="4174" spans="2:15" s="645" customFormat="1" ht="21.75" customHeight="1">
      <c r="B4174" s="708">
        <v>44479</v>
      </c>
      <c r="C4174" s="709" t="s">
        <v>837</v>
      </c>
      <c r="D4174" s="710" t="s">
        <v>849</v>
      </c>
      <c r="E4174" s="711" t="s">
        <v>831</v>
      </c>
      <c r="F4174" s="712"/>
      <c r="G4174" s="710">
        <v>20</v>
      </c>
      <c r="H4174" s="709" t="s">
        <v>807</v>
      </c>
      <c r="I4174" s="713" t="s">
        <v>857</v>
      </c>
      <c r="J4174" s="714" t="s">
        <v>802</v>
      </c>
      <c r="K4174" s="709">
        <v>7</v>
      </c>
      <c r="L4174" s="715">
        <f t="shared" si="127"/>
        <v>18.8</v>
      </c>
      <c r="M4174" s="716">
        <f t="shared" si="126"/>
        <v>131.6</v>
      </c>
      <c r="O4174" s="693"/>
    </row>
    <row r="4175" spans="2:15" s="645" customFormat="1" ht="21.75" customHeight="1">
      <c r="B4175" s="708">
        <v>44479</v>
      </c>
      <c r="C4175" s="709" t="s">
        <v>837</v>
      </c>
      <c r="D4175" s="710" t="s">
        <v>835</v>
      </c>
      <c r="E4175" s="711" t="s">
        <v>831</v>
      </c>
      <c r="F4175" s="712"/>
      <c r="G4175" s="710">
        <v>20</v>
      </c>
      <c r="H4175" s="709" t="s">
        <v>807</v>
      </c>
      <c r="I4175" s="713" t="s">
        <v>857</v>
      </c>
      <c r="J4175" s="714" t="s">
        <v>802</v>
      </c>
      <c r="K4175" s="709">
        <v>6</v>
      </c>
      <c r="L4175" s="715">
        <f t="shared" si="127"/>
        <v>18.8</v>
      </c>
      <c r="M4175" s="716">
        <f t="shared" si="126"/>
        <v>112.80000000000001</v>
      </c>
      <c r="O4175" s="693"/>
    </row>
    <row r="4176" spans="2:15" s="645" customFormat="1" ht="21.75" customHeight="1">
      <c r="B4176" s="708">
        <v>44479</v>
      </c>
      <c r="C4176" s="709" t="s">
        <v>837</v>
      </c>
      <c r="D4176" s="710" t="s">
        <v>841</v>
      </c>
      <c r="E4176" s="711" t="s">
        <v>831</v>
      </c>
      <c r="F4176" s="712"/>
      <c r="G4176" s="710">
        <v>20</v>
      </c>
      <c r="H4176" s="709" t="s">
        <v>807</v>
      </c>
      <c r="I4176" s="713" t="s">
        <v>857</v>
      </c>
      <c r="J4176" s="714" t="s">
        <v>802</v>
      </c>
      <c r="K4176" s="709">
        <v>8</v>
      </c>
      <c r="L4176" s="715">
        <f t="shared" si="127"/>
        <v>18.8</v>
      </c>
      <c r="M4176" s="716">
        <f t="shared" si="126"/>
        <v>150.4</v>
      </c>
      <c r="O4176" s="693"/>
    </row>
    <row r="4177" spans="2:15" s="645" customFormat="1" ht="21.75" customHeight="1">
      <c r="B4177" s="708">
        <v>44479</v>
      </c>
      <c r="C4177" s="709" t="s">
        <v>837</v>
      </c>
      <c r="D4177" s="710" t="s">
        <v>845</v>
      </c>
      <c r="E4177" s="711" t="s">
        <v>831</v>
      </c>
      <c r="F4177" s="712"/>
      <c r="G4177" s="710">
        <v>17</v>
      </c>
      <c r="H4177" s="709" t="s">
        <v>807</v>
      </c>
      <c r="I4177" s="713" t="s">
        <v>857</v>
      </c>
      <c r="J4177" s="714" t="s">
        <v>802</v>
      </c>
      <c r="K4177" s="709">
        <v>4</v>
      </c>
      <c r="L4177" s="715">
        <f t="shared" si="127"/>
        <v>15.98</v>
      </c>
      <c r="M4177" s="716">
        <f t="shared" si="126"/>
        <v>63.92</v>
      </c>
      <c r="O4177" s="693"/>
    </row>
    <row r="4178" spans="2:15" s="645" customFormat="1" ht="21.75" customHeight="1">
      <c r="B4178" s="708">
        <v>44479</v>
      </c>
      <c r="C4178" s="709" t="s">
        <v>837</v>
      </c>
      <c r="D4178" s="710" t="s">
        <v>847</v>
      </c>
      <c r="E4178" s="711" t="s">
        <v>831</v>
      </c>
      <c r="F4178" s="712"/>
      <c r="G4178" s="710">
        <v>17</v>
      </c>
      <c r="H4178" s="709" t="s">
        <v>807</v>
      </c>
      <c r="I4178" s="713" t="s">
        <v>857</v>
      </c>
      <c r="J4178" s="714" t="s">
        <v>802</v>
      </c>
      <c r="K4178" s="709">
        <v>3</v>
      </c>
      <c r="L4178" s="715">
        <f t="shared" si="127"/>
        <v>15.98</v>
      </c>
      <c r="M4178" s="716">
        <f t="shared" si="126"/>
        <v>47.94</v>
      </c>
      <c r="O4178" s="693"/>
    </row>
    <row r="4179" spans="2:15" s="645" customFormat="1" ht="21.75" customHeight="1">
      <c r="B4179" s="708">
        <v>44479</v>
      </c>
      <c r="C4179" s="709" t="s">
        <v>837</v>
      </c>
      <c r="D4179" s="710" t="s">
        <v>878</v>
      </c>
      <c r="E4179" s="711" t="s">
        <v>831</v>
      </c>
      <c r="F4179" s="712"/>
      <c r="G4179" s="710">
        <v>15</v>
      </c>
      <c r="H4179" s="709" t="s">
        <v>807</v>
      </c>
      <c r="I4179" s="713" t="s">
        <v>857</v>
      </c>
      <c r="J4179" s="714" t="s">
        <v>802</v>
      </c>
      <c r="K4179" s="709">
        <v>6</v>
      </c>
      <c r="L4179" s="715">
        <f t="shared" si="127"/>
        <v>14.1</v>
      </c>
      <c r="M4179" s="716">
        <f t="shared" si="126"/>
        <v>84.6</v>
      </c>
      <c r="O4179" s="693"/>
    </row>
    <row r="4180" spans="2:15" s="645" customFormat="1" ht="21.75" customHeight="1">
      <c r="B4180" s="708">
        <v>44479</v>
      </c>
      <c r="C4180" s="709" t="s">
        <v>837</v>
      </c>
      <c r="D4180" s="710" t="s">
        <v>875</v>
      </c>
      <c r="E4180" s="711" t="s">
        <v>831</v>
      </c>
      <c r="F4180" s="712"/>
      <c r="G4180" s="710">
        <v>20</v>
      </c>
      <c r="H4180" s="709" t="s">
        <v>807</v>
      </c>
      <c r="I4180" s="713" t="s">
        <v>857</v>
      </c>
      <c r="J4180" s="714" t="s">
        <v>802</v>
      </c>
      <c r="K4180" s="709">
        <v>4</v>
      </c>
      <c r="L4180" s="715">
        <f t="shared" si="127"/>
        <v>18.8</v>
      </c>
      <c r="M4180" s="716">
        <f t="shared" si="126"/>
        <v>75.2</v>
      </c>
      <c r="O4180" s="693"/>
    </row>
    <row r="4181" spans="2:15" s="645" customFormat="1" ht="21.75" customHeight="1">
      <c r="B4181" s="708">
        <v>44479</v>
      </c>
      <c r="C4181" s="709" t="s">
        <v>837</v>
      </c>
      <c r="D4181" s="710" t="s">
        <v>867</v>
      </c>
      <c r="E4181" s="711" t="s">
        <v>831</v>
      </c>
      <c r="F4181" s="712"/>
      <c r="G4181" s="710">
        <v>20</v>
      </c>
      <c r="H4181" s="709" t="s">
        <v>807</v>
      </c>
      <c r="I4181" s="713" t="s">
        <v>857</v>
      </c>
      <c r="J4181" s="714" t="s">
        <v>802</v>
      </c>
      <c r="K4181" s="709">
        <v>7</v>
      </c>
      <c r="L4181" s="715">
        <f t="shared" si="127"/>
        <v>18.8</v>
      </c>
      <c r="M4181" s="716">
        <f t="shared" si="126"/>
        <v>131.6</v>
      </c>
      <c r="O4181" s="693"/>
    </row>
    <row r="4182" spans="2:15" s="645" customFormat="1" ht="21.75" customHeight="1">
      <c r="B4182" s="708">
        <v>44479</v>
      </c>
      <c r="C4182" s="709" t="s">
        <v>837</v>
      </c>
      <c r="D4182" s="710" t="s">
        <v>876</v>
      </c>
      <c r="E4182" s="711" t="s">
        <v>831</v>
      </c>
      <c r="F4182" s="712"/>
      <c r="G4182" s="710">
        <v>20</v>
      </c>
      <c r="H4182" s="709" t="s">
        <v>807</v>
      </c>
      <c r="I4182" s="713" t="s">
        <v>857</v>
      </c>
      <c r="J4182" s="714" t="s">
        <v>802</v>
      </c>
      <c r="K4182" s="709">
        <v>3</v>
      </c>
      <c r="L4182" s="715">
        <f t="shared" si="127"/>
        <v>18.8</v>
      </c>
      <c r="M4182" s="716">
        <f t="shared" si="126"/>
        <v>56.400000000000006</v>
      </c>
      <c r="O4182" s="693"/>
    </row>
    <row r="4183" spans="2:15" s="645" customFormat="1" ht="21.75" customHeight="1">
      <c r="B4183" s="708">
        <v>44479</v>
      </c>
      <c r="C4183" s="709" t="s">
        <v>837</v>
      </c>
      <c r="D4183" s="710" t="s">
        <v>877</v>
      </c>
      <c r="E4183" s="711" t="s">
        <v>831</v>
      </c>
      <c r="F4183" s="712"/>
      <c r="G4183" s="710">
        <v>20</v>
      </c>
      <c r="H4183" s="709" t="s">
        <v>807</v>
      </c>
      <c r="I4183" s="713" t="s">
        <v>857</v>
      </c>
      <c r="J4183" s="714" t="s">
        <v>802</v>
      </c>
      <c r="K4183" s="709">
        <v>1</v>
      </c>
      <c r="L4183" s="715">
        <f t="shared" si="127"/>
        <v>18.8</v>
      </c>
      <c r="M4183" s="716">
        <f t="shared" si="126"/>
        <v>18.8</v>
      </c>
      <c r="O4183" s="693"/>
    </row>
    <row r="4184" spans="2:15" s="645" customFormat="1" ht="21.75" customHeight="1">
      <c r="B4184" s="708">
        <v>44479</v>
      </c>
      <c r="C4184" s="709" t="s">
        <v>837</v>
      </c>
      <c r="D4184" s="710" t="s">
        <v>870</v>
      </c>
      <c r="E4184" s="711" t="s">
        <v>831</v>
      </c>
      <c r="F4184" s="712"/>
      <c r="G4184" s="710">
        <v>20</v>
      </c>
      <c r="H4184" s="709" t="s">
        <v>807</v>
      </c>
      <c r="I4184" s="713" t="s">
        <v>857</v>
      </c>
      <c r="J4184" s="714" t="s">
        <v>802</v>
      </c>
      <c r="K4184" s="709">
        <v>8</v>
      </c>
      <c r="L4184" s="715">
        <f t="shared" si="127"/>
        <v>18.8</v>
      </c>
      <c r="M4184" s="716">
        <f t="shared" si="126"/>
        <v>150.4</v>
      </c>
      <c r="O4184" s="693"/>
    </row>
    <row r="4185" spans="2:15" s="645" customFormat="1" ht="21.75" customHeight="1">
      <c r="B4185" s="661">
        <v>44480</v>
      </c>
      <c r="C4185" s="662" t="s">
        <v>819</v>
      </c>
      <c r="D4185" s="663" t="s">
        <v>849</v>
      </c>
      <c r="E4185" s="664" t="s">
        <v>831</v>
      </c>
      <c r="F4185" s="665"/>
      <c r="G4185" s="663">
        <v>20</v>
      </c>
      <c r="H4185" s="662" t="s">
        <v>807</v>
      </c>
      <c r="I4185" s="666" t="s">
        <v>857</v>
      </c>
      <c r="J4185" s="667" t="s">
        <v>805</v>
      </c>
      <c r="K4185" s="662">
        <v>1</v>
      </c>
      <c r="L4185" s="685">
        <f t="shared" si="127"/>
        <v>18.8</v>
      </c>
      <c r="M4185" s="686">
        <f t="shared" si="126"/>
        <v>18.8</v>
      </c>
      <c r="O4185" s="693"/>
    </row>
    <row r="4186" spans="2:15" s="645" customFormat="1" ht="21.75" customHeight="1">
      <c r="B4186" s="661">
        <v>44480</v>
      </c>
      <c r="C4186" s="662" t="s">
        <v>819</v>
      </c>
      <c r="D4186" s="663" t="s">
        <v>840</v>
      </c>
      <c r="E4186" s="664" t="s">
        <v>831</v>
      </c>
      <c r="F4186" s="665"/>
      <c r="G4186" s="663">
        <v>20</v>
      </c>
      <c r="H4186" s="662" t="s">
        <v>807</v>
      </c>
      <c r="I4186" s="666" t="s">
        <v>857</v>
      </c>
      <c r="J4186" s="667" t="s">
        <v>805</v>
      </c>
      <c r="K4186" s="662">
        <v>2</v>
      </c>
      <c r="L4186" s="685">
        <f t="shared" si="127"/>
        <v>18.8</v>
      </c>
      <c r="M4186" s="686">
        <f t="shared" si="126"/>
        <v>37.6</v>
      </c>
      <c r="O4186" s="693"/>
    </row>
    <row r="4187" spans="2:15" s="645" customFormat="1" ht="21.75" customHeight="1">
      <c r="B4187" s="661">
        <v>44480</v>
      </c>
      <c r="C4187" s="662" t="s">
        <v>819</v>
      </c>
      <c r="D4187" s="663" t="s">
        <v>835</v>
      </c>
      <c r="E4187" s="664" t="s">
        <v>831</v>
      </c>
      <c r="F4187" s="665"/>
      <c r="G4187" s="663">
        <v>20</v>
      </c>
      <c r="H4187" s="662" t="s">
        <v>807</v>
      </c>
      <c r="I4187" s="666" t="s">
        <v>857</v>
      </c>
      <c r="J4187" s="667" t="s">
        <v>805</v>
      </c>
      <c r="K4187" s="662">
        <v>2</v>
      </c>
      <c r="L4187" s="685">
        <f t="shared" si="127"/>
        <v>18.8</v>
      </c>
      <c r="M4187" s="686">
        <f t="shared" si="126"/>
        <v>37.6</v>
      </c>
      <c r="O4187" s="693"/>
    </row>
    <row r="4188" spans="2:15" s="645" customFormat="1" ht="21.75" customHeight="1">
      <c r="B4188" s="661">
        <v>44480</v>
      </c>
      <c r="C4188" s="662" t="s">
        <v>819</v>
      </c>
      <c r="D4188" s="663" t="s">
        <v>830</v>
      </c>
      <c r="E4188" s="664" t="s">
        <v>831</v>
      </c>
      <c r="F4188" s="665"/>
      <c r="G4188" s="663">
        <v>15</v>
      </c>
      <c r="H4188" s="662" t="s">
        <v>807</v>
      </c>
      <c r="I4188" s="666" t="s">
        <v>857</v>
      </c>
      <c r="J4188" s="667" t="s">
        <v>805</v>
      </c>
      <c r="K4188" s="662">
        <v>5</v>
      </c>
      <c r="L4188" s="685">
        <f t="shared" si="127"/>
        <v>14.1</v>
      </c>
      <c r="M4188" s="686">
        <f t="shared" si="126"/>
        <v>70.5</v>
      </c>
      <c r="O4188" s="693"/>
    </row>
    <row r="4189" spans="2:15" s="645" customFormat="1" ht="21.75" customHeight="1">
      <c r="B4189" s="661">
        <v>44480</v>
      </c>
      <c r="C4189" s="662" t="s">
        <v>819</v>
      </c>
      <c r="D4189" s="663" t="s">
        <v>845</v>
      </c>
      <c r="E4189" s="664" t="s">
        <v>831</v>
      </c>
      <c r="F4189" s="665"/>
      <c r="G4189" s="663">
        <v>17</v>
      </c>
      <c r="H4189" s="662" t="s">
        <v>807</v>
      </c>
      <c r="I4189" s="666" t="s">
        <v>857</v>
      </c>
      <c r="J4189" s="667" t="s">
        <v>805</v>
      </c>
      <c r="K4189" s="662">
        <v>2</v>
      </c>
      <c r="L4189" s="685">
        <f t="shared" si="127"/>
        <v>15.98</v>
      </c>
      <c r="M4189" s="686">
        <f t="shared" si="126"/>
        <v>31.96</v>
      </c>
      <c r="O4189" s="693"/>
    </row>
    <row r="4190" spans="2:15" s="645" customFormat="1" ht="21.75" customHeight="1">
      <c r="B4190" s="661">
        <v>44480</v>
      </c>
      <c r="C4190" s="662" t="s">
        <v>819</v>
      </c>
      <c r="D4190" s="663" t="s">
        <v>847</v>
      </c>
      <c r="E4190" s="664" t="s">
        <v>831</v>
      </c>
      <c r="F4190" s="665"/>
      <c r="G4190" s="663">
        <v>17</v>
      </c>
      <c r="H4190" s="662" t="s">
        <v>807</v>
      </c>
      <c r="I4190" s="666" t="s">
        <v>857</v>
      </c>
      <c r="J4190" s="667" t="s">
        <v>805</v>
      </c>
      <c r="K4190" s="662">
        <v>2</v>
      </c>
      <c r="L4190" s="685">
        <f t="shared" si="127"/>
        <v>15.98</v>
      </c>
      <c r="M4190" s="686">
        <f t="shared" si="126"/>
        <v>31.96</v>
      </c>
      <c r="O4190" s="693"/>
    </row>
    <row r="4191" spans="2:15" s="645" customFormat="1" ht="21.75" customHeight="1">
      <c r="B4191" s="661">
        <v>44480</v>
      </c>
      <c r="C4191" s="662" t="s">
        <v>819</v>
      </c>
      <c r="D4191" s="663" t="s">
        <v>856</v>
      </c>
      <c r="E4191" s="664" t="s">
        <v>831</v>
      </c>
      <c r="F4191" s="665"/>
      <c r="G4191" s="663">
        <v>20</v>
      </c>
      <c r="H4191" s="662" t="s">
        <v>807</v>
      </c>
      <c r="I4191" s="666" t="s">
        <v>857</v>
      </c>
      <c r="J4191" s="667" t="s">
        <v>805</v>
      </c>
      <c r="K4191" s="662">
        <v>1</v>
      </c>
      <c r="L4191" s="685">
        <f t="shared" si="127"/>
        <v>18.8</v>
      </c>
      <c r="M4191" s="686">
        <f t="shared" si="126"/>
        <v>18.8</v>
      </c>
      <c r="O4191" s="693"/>
    </row>
    <row r="4192" spans="2:15" s="645" customFormat="1" ht="21.75" customHeight="1">
      <c r="B4192" s="661">
        <v>44480</v>
      </c>
      <c r="C4192" s="662" t="s">
        <v>819</v>
      </c>
      <c r="D4192" s="663" t="s">
        <v>878</v>
      </c>
      <c r="E4192" s="664" t="s">
        <v>831</v>
      </c>
      <c r="F4192" s="665"/>
      <c r="G4192" s="663">
        <v>15</v>
      </c>
      <c r="H4192" s="662" t="s">
        <v>807</v>
      </c>
      <c r="I4192" s="666" t="s">
        <v>857</v>
      </c>
      <c r="J4192" s="667" t="s">
        <v>805</v>
      </c>
      <c r="K4192" s="662">
        <v>2</v>
      </c>
      <c r="L4192" s="685">
        <f t="shared" si="127"/>
        <v>14.1</v>
      </c>
      <c r="M4192" s="686">
        <f t="shared" si="126"/>
        <v>28.2</v>
      </c>
      <c r="O4192" s="693"/>
    </row>
    <row r="4193" spans="2:15" s="645" customFormat="1" ht="21.75" customHeight="1">
      <c r="B4193" s="661">
        <v>44480</v>
      </c>
      <c r="C4193" s="662" t="s">
        <v>819</v>
      </c>
      <c r="D4193" s="663" t="s">
        <v>855</v>
      </c>
      <c r="E4193" s="664" t="s">
        <v>831</v>
      </c>
      <c r="F4193" s="665"/>
      <c r="G4193" s="663">
        <v>20</v>
      </c>
      <c r="H4193" s="662" t="s">
        <v>807</v>
      </c>
      <c r="I4193" s="666" t="s">
        <v>857</v>
      </c>
      <c r="J4193" s="667" t="s">
        <v>805</v>
      </c>
      <c r="K4193" s="662">
        <v>2</v>
      </c>
      <c r="L4193" s="685">
        <f t="shared" si="127"/>
        <v>18.8</v>
      </c>
      <c r="M4193" s="686">
        <f t="shared" si="126"/>
        <v>37.6</v>
      </c>
      <c r="O4193" s="693"/>
    </row>
    <row r="4194" spans="2:15" s="645" customFormat="1" ht="21.75" customHeight="1">
      <c r="B4194" s="661">
        <v>44480</v>
      </c>
      <c r="C4194" s="662" t="s">
        <v>819</v>
      </c>
      <c r="D4194" s="663" t="s">
        <v>875</v>
      </c>
      <c r="E4194" s="664" t="s">
        <v>831</v>
      </c>
      <c r="F4194" s="665"/>
      <c r="G4194" s="663">
        <v>20</v>
      </c>
      <c r="H4194" s="662" t="s">
        <v>807</v>
      </c>
      <c r="I4194" s="666" t="s">
        <v>857</v>
      </c>
      <c r="J4194" s="667" t="s">
        <v>805</v>
      </c>
      <c r="K4194" s="662">
        <v>1</v>
      </c>
      <c r="L4194" s="685">
        <f t="shared" si="127"/>
        <v>18.8</v>
      </c>
      <c r="M4194" s="686">
        <f t="shared" si="126"/>
        <v>18.8</v>
      </c>
      <c r="O4194" s="693"/>
    </row>
    <row r="4195" spans="2:15" s="645" customFormat="1" ht="21.75" customHeight="1">
      <c r="B4195" s="661">
        <v>44480</v>
      </c>
      <c r="C4195" s="662" t="s">
        <v>819</v>
      </c>
      <c r="D4195" s="663" t="s">
        <v>876</v>
      </c>
      <c r="E4195" s="664" t="s">
        <v>831</v>
      </c>
      <c r="F4195" s="665"/>
      <c r="G4195" s="663">
        <v>20</v>
      </c>
      <c r="H4195" s="662" t="s">
        <v>807</v>
      </c>
      <c r="I4195" s="666" t="s">
        <v>857</v>
      </c>
      <c r="J4195" s="667" t="s">
        <v>805</v>
      </c>
      <c r="K4195" s="662">
        <v>1</v>
      </c>
      <c r="L4195" s="685">
        <f t="shared" si="127"/>
        <v>18.8</v>
      </c>
      <c r="M4195" s="686">
        <f t="shared" si="126"/>
        <v>18.8</v>
      </c>
      <c r="O4195" s="693"/>
    </row>
    <row r="4196" spans="2:15" s="645" customFormat="1" ht="21.75" customHeight="1">
      <c r="B4196" s="661">
        <v>44480</v>
      </c>
      <c r="C4196" s="662" t="s">
        <v>819</v>
      </c>
      <c r="D4196" s="663" t="s">
        <v>870</v>
      </c>
      <c r="E4196" s="664" t="s">
        <v>831</v>
      </c>
      <c r="F4196" s="665"/>
      <c r="G4196" s="663">
        <v>20</v>
      </c>
      <c r="H4196" s="662" t="s">
        <v>807</v>
      </c>
      <c r="I4196" s="666" t="s">
        <v>857</v>
      </c>
      <c r="J4196" s="667" t="s">
        <v>805</v>
      </c>
      <c r="K4196" s="662">
        <v>2</v>
      </c>
      <c r="L4196" s="685">
        <f t="shared" si="127"/>
        <v>18.8</v>
      </c>
      <c r="M4196" s="686">
        <f t="shared" si="126"/>
        <v>37.6</v>
      </c>
      <c r="O4196" s="693"/>
    </row>
    <row r="4197" spans="2:15" s="645" customFormat="1" ht="21.75" customHeight="1">
      <c r="B4197" s="661">
        <v>44480</v>
      </c>
      <c r="C4197" s="662" t="s">
        <v>837</v>
      </c>
      <c r="D4197" s="663" t="s">
        <v>834</v>
      </c>
      <c r="E4197" s="664" t="s">
        <v>831</v>
      </c>
      <c r="F4197" s="665"/>
      <c r="G4197" s="663">
        <v>20</v>
      </c>
      <c r="H4197" s="662" t="s">
        <v>807</v>
      </c>
      <c r="I4197" s="666" t="s">
        <v>859</v>
      </c>
      <c r="J4197" s="667" t="s">
        <v>804</v>
      </c>
      <c r="K4197" s="662">
        <v>5</v>
      </c>
      <c r="L4197" s="685">
        <f t="shared" si="127"/>
        <v>18.8</v>
      </c>
      <c r="M4197" s="686">
        <f t="shared" si="126"/>
        <v>94</v>
      </c>
      <c r="O4197" s="693"/>
    </row>
    <row r="4198" spans="2:15" s="645" customFormat="1" ht="21.75" customHeight="1">
      <c r="B4198" s="661">
        <v>44480</v>
      </c>
      <c r="C4198" s="662" t="s">
        <v>837</v>
      </c>
      <c r="D4198" s="663" t="s">
        <v>856</v>
      </c>
      <c r="E4198" s="664" t="s">
        <v>831</v>
      </c>
      <c r="F4198" s="665"/>
      <c r="G4198" s="663">
        <v>20</v>
      </c>
      <c r="H4198" s="662" t="s">
        <v>807</v>
      </c>
      <c r="I4198" s="666" t="s">
        <v>859</v>
      </c>
      <c r="J4198" s="667" t="s">
        <v>804</v>
      </c>
      <c r="K4198" s="662">
        <v>6</v>
      </c>
      <c r="L4198" s="685">
        <f t="shared" si="127"/>
        <v>18.8</v>
      </c>
      <c r="M4198" s="686">
        <f t="shared" si="126"/>
        <v>112.80000000000001</v>
      </c>
      <c r="O4198" s="693"/>
    </row>
    <row r="4199" spans="2:15" s="645" customFormat="1" ht="21.75" customHeight="1">
      <c r="B4199" s="661">
        <v>44480</v>
      </c>
      <c r="C4199" s="662" t="s">
        <v>837</v>
      </c>
      <c r="D4199" s="663" t="s">
        <v>855</v>
      </c>
      <c r="E4199" s="664" t="s">
        <v>831</v>
      </c>
      <c r="F4199" s="665"/>
      <c r="G4199" s="663">
        <v>20</v>
      </c>
      <c r="H4199" s="662" t="s">
        <v>807</v>
      </c>
      <c r="I4199" s="666" t="s">
        <v>859</v>
      </c>
      <c r="J4199" s="667" t="s">
        <v>804</v>
      </c>
      <c r="K4199" s="662">
        <v>5</v>
      </c>
      <c r="L4199" s="685">
        <f t="shared" si="127"/>
        <v>18.8</v>
      </c>
      <c r="M4199" s="686">
        <f t="shared" ref="M4199:M4262" si="128">L4199*K4199</f>
        <v>94</v>
      </c>
      <c r="O4199" s="693"/>
    </row>
    <row r="4200" spans="2:15" s="645" customFormat="1" ht="21.75" customHeight="1">
      <c r="B4200" s="661">
        <v>44480</v>
      </c>
      <c r="C4200" s="662" t="s">
        <v>837</v>
      </c>
      <c r="D4200" s="663" t="s">
        <v>849</v>
      </c>
      <c r="E4200" s="664" t="s">
        <v>831</v>
      </c>
      <c r="F4200" s="665"/>
      <c r="G4200" s="663">
        <v>20</v>
      </c>
      <c r="H4200" s="662" t="s">
        <v>807</v>
      </c>
      <c r="I4200" s="666" t="s">
        <v>859</v>
      </c>
      <c r="J4200" s="667" t="s">
        <v>804</v>
      </c>
      <c r="K4200" s="662">
        <v>5</v>
      </c>
      <c r="L4200" s="685">
        <f t="shared" si="127"/>
        <v>18.8</v>
      </c>
      <c r="M4200" s="686">
        <f t="shared" si="128"/>
        <v>94</v>
      </c>
      <c r="O4200" s="693"/>
    </row>
    <row r="4201" spans="2:15" s="645" customFormat="1" ht="21.75" customHeight="1">
      <c r="B4201" s="661">
        <v>44480</v>
      </c>
      <c r="C4201" s="662" t="s">
        <v>837</v>
      </c>
      <c r="D4201" s="663" t="s">
        <v>835</v>
      </c>
      <c r="E4201" s="664" t="s">
        <v>831</v>
      </c>
      <c r="F4201" s="665"/>
      <c r="G4201" s="663">
        <v>20</v>
      </c>
      <c r="H4201" s="662" t="s">
        <v>807</v>
      </c>
      <c r="I4201" s="666" t="s">
        <v>859</v>
      </c>
      <c r="J4201" s="667" t="s">
        <v>804</v>
      </c>
      <c r="K4201" s="662">
        <v>6</v>
      </c>
      <c r="L4201" s="685">
        <f t="shared" si="127"/>
        <v>18.8</v>
      </c>
      <c r="M4201" s="686">
        <f t="shared" si="128"/>
        <v>112.80000000000001</v>
      </c>
      <c r="O4201" s="693"/>
    </row>
    <row r="4202" spans="2:15" s="645" customFormat="1" ht="21.75" customHeight="1">
      <c r="B4202" s="661">
        <v>44480</v>
      </c>
      <c r="C4202" s="662" t="s">
        <v>837</v>
      </c>
      <c r="D4202" s="663" t="s">
        <v>841</v>
      </c>
      <c r="E4202" s="664" t="s">
        <v>831</v>
      </c>
      <c r="F4202" s="665"/>
      <c r="G4202" s="663">
        <v>20</v>
      </c>
      <c r="H4202" s="662" t="s">
        <v>807</v>
      </c>
      <c r="I4202" s="666" t="s">
        <v>859</v>
      </c>
      <c r="J4202" s="667" t="s">
        <v>804</v>
      </c>
      <c r="K4202" s="662">
        <v>5</v>
      </c>
      <c r="L4202" s="685">
        <f t="shared" si="127"/>
        <v>18.8</v>
      </c>
      <c r="M4202" s="686">
        <f t="shared" si="128"/>
        <v>94</v>
      </c>
      <c r="O4202" s="693"/>
    </row>
    <row r="4203" spans="2:15" s="645" customFormat="1" ht="21.75" customHeight="1">
      <c r="B4203" s="661">
        <v>44480</v>
      </c>
      <c r="C4203" s="662" t="s">
        <v>837</v>
      </c>
      <c r="D4203" s="663" t="s">
        <v>836</v>
      </c>
      <c r="E4203" s="664" t="s">
        <v>831</v>
      </c>
      <c r="F4203" s="665"/>
      <c r="G4203" s="663">
        <v>20</v>
      </c>
      <c r="H4203" s="662" t="s">
        <v>807</v>
      </c>
      <c r="I4203" s="666" t="s">
        <v>859</v>
      </c>
      <c r="J4203" s="667" t="s">
        <v>804</v>
      </c>
      <c r="K4203" s="662">
        <v>5</v>
      </c>
      <c r="L4203" s="685">
        <f t="shared" si="127"/>
        <v>18.8</v>
      </c>
      <c r="M4203" s="686">
        <f t="shared" si="128"/>
        <v>94</v>
      </c>
      <c r="O4203" s="693"/>
    </row>
    <row r="4204" spans="2:15" s="645" customFormat="1" ht="21.75" customHeight="1">
      <c r="B4204" s="661">
        <v>44480</v>
      </c>
      <c r="C4204" s="662" t="s">
        <v>837</v>
      </c>
      <c r="D4204" s="663" t="s">
        <v>845</v>
      </c>
      <c r="E4204" s="664" t="s">
        <v>831</v>
      </c>
      <c r="F4204" s="665"/>
      <c r="G4204" s="663">
        <v>17</v>
      </c>
      <c r="H4204" s="662" t="s">
        <v>807</v>
      </c>
      <c r="I4204" s="666" t="s">
        <v>859</v>
      </c>
      <c r="J4204" s="667" t="s">
        <v>804</v>
      </c>
      <c r="K4204" s="662">
        <v>5</v>
      </c>
      <c r="L4204" s="685">
        <f t="shared" si="127"/>
        <v>15.98</v>
      </c>
      <c r="M4204" s="686">
        <f t="shared" si="128"/>
        <v>79.900000000000006</v>
      </c>
      <c r="O4204" s="693"/>
    </row>
    <row r="4205" spans="2:15" s="645" customFormat="1" ht="21.75" customHeight="1">
      <c r="B4205" s="661">
        <v>44480</v>
      </c>
      <c r="C4205" s="662" t="s">
        <v>837</v>
      </c>
      <c r="D4205" s="663" t="s">
        <v>847</v>
      </c>
      <c r="E4205" s="664" t="s">
        <v>831</v>
      </c>
      <c r="F4205" s="665"/>
      <c r="G4205" s="663">
        <v>17</v>
      </c>
      <c r="H4205" s="662" t="s">
        <v>807</v>
      </c>
      <c r="I4205" s="666" t="s">
        <v>859</v>
      </c>
      <c r="J4205" s="667" t="s">
        <v>804</v>
      </c>
      <c r="K4205" s="662">
        <v>4</v>
      </c>
      <c r="L4205" s="685">
        <f t="shared" si="127"/>
        <v>15.98</v>
      </c>
      <c r="M4205" s="686">
        <f t="shared" si="128"/>
        <v>63.92</v>
      </c>
      <c r="O4205" s="693"/>
    </row>
    <row r="4206" spans="2:15" s="645" customFormat="1" ht="21.75" customHeight="1">
      <c r="B4206" s="661">
        <v>44480</v>
      </c>
      <c r="C4206" s="662" t="s">
        <v>837</v>
      </c>
      <c r="D4206" s="663" t="s">
        <v>878</v>
      </c>
      <c r="E4206" s="664" t="s">
        <v>831</v>
      </c>
      <c r="F4206" s="665"/>
      <c r="G4206" s="663">
        <v>15</v>
      </c>
      <c r="H4206" s="662" t="s">
        <v>807</v>
      </c>
      <c r="I4206" s="666" t="s">
        <v>859</v>
      </c>
      <c r="J4206" s="667" t="s">
        <v>804</v>
      </c>
      <c r="K4206" s="662">
        <v>6</v>
      </c>
      <c r="L4206" s="685">
        <f t="shared" si="127"/>
        <v>14.1</v>
      </c>
      <c r="M4206" s="686">
        <f t="shared" si="128"/>
        <v>84.6</v>
      </c>
      <c r="O4206" s="693"/>
    </row>
    <row r="4207" spans="2:15" s="645" customFormat="1" ht="21.75" customHeight="1">
      <c r="B4207" s="661">
        <v>44480</v>
      </c>
      <c r="C4207" s="662" t="s">
        <v>837</v>
      </c>
      <c r="D4207" s="663" t="s">
        <v>875</v>
      </c>
      <c r="E4207" s="664" t="s">
        <v>831</v>
      </c>
      <c r="F4207" s="665"/>
      <c r="G4207" s="663">
        <v>20</v>
      </c>
      <c r="H4207" s="662" t="s">
        <v>807</v>
      </c>
      <c r="I4207" s="666" t="s">
        <v>859</v>
      </c>
      <c r="J4207" s="667" t="s">
        <v>804</v>
      </c>
      <c r="K4207" s="662">
        <v>6</v>
      </c>
      <c r="L4207" s="685">
        <f t="shared" si="127"/>
        <v>18.8</v>
      </c>
      <c r="M4207" s="686">
        <f t="shared" si="128"/>
        <v>112.80000000000001</v>
      </c>
      <c r="O4207" s="693"/>
    </row>
    <row r="4208" spans="2:15" s="645" customFormat="1" ht="21.75" customHeight="1">
      <c r="B4208" s="661">
        <v>44480</v>
      </c>
      <c r="C4208" s="662" t="s">
        <v>837</v>
      </c>
      <c r="D4208" s="663" t="s">
        <v>867</v>
      </c>
      <c r="E4208" s="664" t="s">
        <v>831</v>
      </c>
      <c r="F4208" s="665"/>
      <c r="G4208" s="663">
        <v>20</v>
      </c>
      <c r="H4208" s="662" t="s">
        <v>807</v>
      </c>
      <c r="I4208" s="666" t="s">
        <v>859</v>
      </c>
      <c r="J4208" s="667" t="s">
        <v>804</v>
      </c>
      <c r="K4208" s="662">
        <v>7</v>
      </c>
      <c r="L4208" s="685">
        <f t="shared" si="127"/>
        <v>18.8</v>
      </c>
      <c r="M4208" s="686">
        <f t="shared" si="128"/>
        <v>131.6</v>
      </c>
      <c r="O4208" s="693"/>
    </row>
    <row r="4209" spans="2:15" s="645" customFormat="1" ht="21.75" customHeight="1">
      <c r="B4209" s="661">
        <v>44480</v>
      </c>
      <c r="C4209" s="662" t="s">
        <v>837</v>
      </c>
      <c r="D4209" s="663" t="s">
        <v>876</v>
      </c>
      <c r="E4209" s="664" t="s">
        <v>831</v>
      </c>
      <c r="F4209" s="665"/>
      <c r="G4209" s="663">
        <v>20</v>
      </c>
      <c r="H4209" s="662" t="s">
        <v>807</v>
      </c>
      <c r="I4209" s="666" t="s">
        <v>859</v>
      </c>
      <c r="J4209" s="667" t="s">
        <v>804</v>
      </c>
      <c r="K4209" s="662">
        <v>6</v>
      </c>
      <c r="L4209" s="685">
        <f t="shared" si="127"/>
        <v>18.8</v>
      </c>
      <c r="M4209" s="686">
        <f t="shared" si="128"/>
        <v>112.80000000000001</v>
      </c>
      <c r="O4209" s="693"/>
    </row>
    <row r="4210" spans="2:15" s="645" customFormat="1" ht="21.75" customHeight="1">
      <c r="B4210" s="661">
        <v>44480</v>
      </c>
      <c r="C4210" s="662" t="s">
        <v>837</v>
      </c>
      <c r="D4210" s="663" t="s">
        <v>870</v>
      </c>
      <c r="E4210" s="664" t="s">
        <v>831</v>
      </c>
      <c r="F4210" s="665"/>
      <c r="G4210" s="663">
        <v>20</v>
      </c>
      <c r="H4210" s="662" t="s">
        <v>807</v>
      </c>
      <c r="I4210" s="666" t="s">
        <v>859</v>
      </c>
      <c r="J4210" s="667" t="s">
        <v>804</v>
      </c>
      <c r="K4210" s="662">
        <v>4</v>
      </c>
      <c r="L4210" s="685">
        <f t="shared" si="127"/>
        <v>18.8</v>
      </c>
      <c r="M4210" s="686">
        <f t="shared" si="128"/>
        <v>75.2</v>
      </c>
      <c r="O4210" s="693"/>
    </row>
    <row r="4211" spans="2:15" s="645" customFormat="1" ht="21.75" customHeight="1">
      <c r="B4211" s="708">
        <v>44480</v>
      </c>
      <c r="C4211" s="709" t="s">
        <v>819</v>
      </c>
      <c r="D4211" s="710" t="s">
        <v>849</v>
      </c>
      <c r="E4211" s="711" t="s">
        <v>831</v>
      </c>
      <c r="F4211" s="712"/>
      <c r="G4211" s="710">
        <v>20</v>
      </c>
      <c r="H4211" s="709" t="s">
        <v>807</v>
      </c>
      <c r="I4211" s="713" t="s">
        <v>857</v>
      </c>
      <c r="J4211" s="714" t="s">
        <v>802</v>
      </c>
      <c r="K4211" s="709">
        <v>8</v>
      </c>
      <c r="L4211" s="715">
        <f t="shared" si="127"/>
        <v>18.8</v>
      </c>
      <c r="M4211" s="716">
        <f t="shared" si="128"/>
        <v>150.4</v>
      </c>
      <c r="O4211" s="693"/>
    </row>
    <row r="4212" spans="2:15" s="645" customFormat="1" ht="21.75" customHeight="1">
      <c r="B4212" s="708">
        <v>44480</v>
      </c>
      <c r="C4212" s="709" t="s">
        <v>819</v>
      </c>
      <c r="D4212" s="710" t="s">
        <v>840</v>
      </c>
      <c r="E4212" s="711" t="s">
        <v>831</v>
      </c>
      <c r="F4212" s="712"/>
      <c r="G4212" s="710">
        <v>20</v>
      </c>
      <c r="H4212" s="709" t="s">
        <v>807</v>
      </c>
      <c r="I4212" s="713" t="s">
        <v>857</v>
      </c>
      <c r="J4212" s="714" t="s">
        <v>802</v>
      </c>
      <c r="K4212" s="709">
        <v>6</v>
      </c>
      <c r="L4212" s="715">
        <f t="shared" si="127"/>
        <v>18.8</v>
      </c>
      <c r="M4212" s="716">
        <f t="shared" si="128"/>
        <v>112.80000000000001</v>
      </c>
      <c r="O4212" s="693"/>
    </row>
    <row r="4213" spans="2:15" s="645" customFormat="1" ht="21.75" customHeight="1">
      <c r="B4213" s="708">
        <v>44480</v>
      </c>
      <c r="C4213" s="709" t="s">
        <v>819</v>
      </c>
      <c r="D4213" s="710" t="s">
        <v>835</v>
      </c>
      <c r="E4213" s="711" t="s">
        <v>831</v>
      </c>
      <c r="F4213" s="712"/>
      <c r="G4213" s="710">
        <v>20</v>
      </c>
      <c r="H4213" s="709" t="s">
        <v>807</v>
      </c>
      <c r="I4213" s="713" t="s">
        <v>857</v>
      </c>
      <c r="J4213" s="714" t="s">
        <v>802</v>
      </c>
      <c r="K4213" s="709">
        <v>8</v>
      </c>
      <c r="L4213" s="715">
        <f t="shared" si="127"/>
        <v>18.8</v>
      </c>
      <c r="M4213" s="716">
        <f t="shared" si="128"/>
        <v>150.4</v>
      </c>
      <c r="O4213" s="693"/>
    </row>
    <row r="4214" spans="2:15" s="645" customFormat="1" ht="21.75" customHeight="1">
      <c r="B4214" s="708">
        <v>44480</v>
      </c>
      <c r="C4214" s="709" t="s">
        <v>819</v>
      </c>
      <c r="D4214" s="710" t="s">
        <v>841</v>
      </c>
      <c r="E4214" s="711" t="s">
        <v>831</v>
      </c>
      <c r="F4214" s="712"/>
      <c r="G4214" s="710">
        <v>20</v>
      </c>
      <c r="H4214" s="709" t="s">
        <v>807</v>
      </c>
      <c r="I4214" s="713" t="s">
        <v>857</v>
      </c>
      <c r="J4214" s="714" t="s">
        <v>802</v>
      </c>
      <c r="K4214" s="709">
        <v>10</v>
      </c>
      <c r="L4214" s="715">
        <f t="shared" si="127"/>
        <v>18.8</v>
      </c>
      <c r="M4214" s="716">
        <f t="shared" si="128"/>
        <v>188</v>
      </c>
      <c r="O4214" s="693"/>
    </row>
    <row r="4215" spans="2:15" s="645" customFormat="1" ht="21.75" customHeight="1">
      <c r="B4215" s="708">
        <v>44480</v>
      </c>
      <c r="C4215" s="709" t="s">
        <v>819</v>
      </c>
      <c r="D4215" s="710" t="s">
        <v>834</v>
      </c>
      <c r="E4215" s="711" t="s">
        <v>831</v>
      </c>
      <c r="F4215" s="712"/>
      <c r="G4215" s="710">
        <v>20</v>
      </c>
      <c r="H4215" s="709" t="s">
        <v>807</v>
      </c>
      <c r="I4215" s="713" t="s">
        <v>857</v>
      </c>
      <c r="J4215" s="714" t="s">
        <v>802</v>
      </c>
      <c r="K4215" s="709">
        <v>9</v>
      </c>
      <c r="L4215" s="715">
        <f t="shared" si="127"/>
        <v>18.8</v>
      </c>
      <c r="M4215" s="716">
        <f t="shared" si="128"/>
        <v>169.20000000000002</v>
      </c>
      <c r="O4215" s="693"/>
    </row>
    <row r="4216" spans="2:15" s="645" customFormat="1" ht="21.75" customHeight="1">
      <c r="B4216" s="708">
        <v>44480</v>
      </c>
      <c r="C4216" s="709" t="s">
        <v>819</v>
      </c>
      <c r="D4216" s="710" t="s">
        <v>836</v>
      </c>
      <c r="E4216" s="711" t="s">
        <v>831</v>
      </c>
      <c r="F4216" s="712"/>
      <c r="G4216" s="710">
        <v>20</v>
      </c>
      <c r="H4216" s="709" t="s">
        <v>807</v>
      </c>
      <c r="I4216" s="713" t="s">
        <v>857</v>
      </c>
      <c r="J4216" s="714" t="s">
        <v>802</v>
      </c>
      <c r="K4216" s="709">
        <v>2</v>
      </c>
      <c r="L4216" s="715">
        <f t="shared" si="127"/>
        <v>18.8</v>
      </c>
      <c r="M4216" s="716">
        <f t="shared" si="128"/>
        <v>37.6</v>
      </c>
      <c r="O4216" s="693"/>
    </row>
    <row r="4217" spans="2:15" s="645" customFormat="1" ht="21.75" customHeight="1">
      <c r="B4217" s="708">
        <v>44480</v>
      </c>
      <c r="C4217" s="709" t="s">
        <v>819</v>
      </c>
      <c r="D4217" s="710" t="s">
        <v>839</v>
      </c>
      <c r="E4217" s="711" t="s">
        <v>831</v>
      </c>
      <c r="F4217" s="712"/>
      <c r="G4217" s="710">
        <v>15</v>
      </c>
      <c r="H4217" s="709" t="s">
        <v>807</v>
      </c>
      <c r="I4217" s="713" t="s">
        <v>857</v>
      </c>
      <c r="J4217" s="714" t="s">
        <v>802</v>
      </c>
      <c r="K4217" s="709">
        <v>5</v>
      </c>
      <c r="L4217" s="715">
        <f t="shared" si="127"/>
        <v>14.1</v>
      </c>
      <c r="M4217" s="716">
        <f t="shared" si="128"/>
        <v>70.5</v>
      </c>
      <c r="O4217" s="693"/>
    </row>
    <row r="4218" spans="2:15" s="645" customFormat="1" ht="21.75" customHeight="1">
      <c r="B4218" s="708">
        <v>44480</v>
      </c>
      <c r="C4218" s="709" t="s">
        <v>819</v>
      </c>
      <c r="D4218" s="710" t="s">
        <v>845</v>
      </c>
      <c r="E4218" s="711" t="s">
        <v>831</v>
      </c>
      <c r="F4218" s="712"/>
      <c r="G4218" s="710">
        <v>17</v>
      </c>
      <c r="H4218" s="709" t="s">
        <v>807</v>
      </c>
      <c r="I4218" s="713" t="s">
        <v>857</v>
      </c>
      <c r="J4218" s="714" t="s">
        <v>802</v>
      </c>
      <c r="K4218" s="709">
        <v>8</v>
      </c>
      <c r="L4218" s="715">
        <f t="shared" si="127"/>
        <v>15.98</v>
      </c>
      <c r="M4218" s="716">
        <f t="shared" si="128"/>
        <v>127.84</v>
      </c>
      <c r="O4218" s="693"/>
    </row>
    <row r="4219" spans="2:15" s="645" customFormat="1" ht="21.75" customHeight="1">
      <c r="B4219" s="708">
        <v>44480</v>
      </c>
      <c r="C4219" s="709" t="s">
        <v>819</v>
      </c>
      <c r="D4219" s="710" t="s">
        <v>847</v>
      </c>
      <c r="E4219" s="711" t="s">
        <v>831</v>
      </c>
      <c r="F4219" s="712"/>
      <c r="G4219" s="710">
        <v>17</v>
      </c>
      <c r="H4219" s="709" t="s">
        <v>807</v>
      </c>
      <c r="I4219" s="713" t="s">
        <v>857</v>
      </c>
      <c r="J4219" s="714" t="s">
        <v>802</v>
      </c>
      <c r="K4219" s="709">
        <v>8</v>
      </c>
      <c r="L4219" s="715">
        <f t="shared" si="127"/>
        <v>15.98</v>
      </c>
      <c r="M4219" s="716">
        <f t="shared" si="128"/>
        <v>127.84</v>
      </c>
      <c r="O4219" s="693"/>
    </row>
    <row r="4220" spans="2:15" s="645" customFormat="1" ht="21.75" customHeight="1">
      <c r="B4220" s="708">
        <v>44480</v>
      </c>
      <c r="C4220" s="709" t="s">
        <v>819</v>
      </c>
      <c r="D4220" s="710" t="s">
        <v>856</v>
      </c>
      <c r="E4220" s="711" t="s">
        <v>831</v>
      </c>
      <c r="F4220" s="712"/>
      <c r="G4220" s="710">
        <v>20</v>
      </c>
      <c r="H4220" s="709" t="s">
        <v>807</v>
      </c>
      <c r="I4220" s="713" t="s">
        <v>857</v>
      </c>
      <c r="J4220" s="714" t="s">
        <v>802</v>
      </c>
      <c r="K4220" s="709">
        <v>6</v>
      </c>
      <c r="L4220" s="715">
        <f t="shared" si="127"/>
        <v>18.8</v>
      </c>
      <c r="M4220" s="716">
        <f t="shared" si="128"/>
        <v>112.80000000000001</v>
      </c>
      <c r="O4220" s="693"/>
    </row>
    <row r="4221" spans="2:15" s="645" customFormat="1" ht="21.75" customHeight="1">
      <c r="B4221" s="708">
        <v>44480</v>
      </c>
      <c r="C4221" s="709" t="s">
        <v>819</v>
      </c>
      <c r="D4221" s="710" t="s">
        <v>878</v>
      </c>
      <c r="E4221" s="711" t="s">
        <v>831</v>
      </c>
      <c r="F4221" s="712"/>
      <c r="G4221" s="710">
        <v>15</v>
      </c>
      <c r="H4221" s="709" t="s">
        <v>807</v>
      </c>
      <c r="I4221" s="713" t="s">
        <v>857</v>
      </c>
      <c r="J4221" s="714" t="s">
        <v>802</v>
      </c>
      <c r="K4221" s="709">
        <v>6</v>
      </c>
      <c r="L4221" s="715">
        <f t="shared" si="127"/>
        <v>14.1</v>
      </c>
      <c r="M4221" s="716">
        <f t="shared" si="128"/>
        <v>84.6</v>
      </c>
      <c r="O4221" s="693"/>
    </row>
    <row r="4222" spans="2:15" s="645" customFormat="1" ht="21.75" customHeight="1">
      <c r="B4222" s="708">
        <v>44480</v>
      </c>
      <c r="C4222" s="709" t="s">
        <v>819</v>
      </c>
      <c r="D4222" s="710" t="s">
        <v>855</v>
      </c>
      <c r="E4222" s="711" t="s">
        <v>831</v>
      </c>
      <c r="F4222" s="712"/>
      <c r="G4222" s="710">
        <v>20</v>
      </c>
      <c r="H4222" s="709" t="s">
        <v>807</v>
      </c>
      <c r="I4222" s="713" t="s">
        <v>857</v>
      </c>
      <c r="J4222" s="714" t="s">
        <v>802</v>
      </c>
      <c r="K4222" s="709">
        <v>7</v>
      </c>
      <c r="L4222" s="715">
        <f t="shared" si="127"/>
        <v>18.8</v>
      </c>
      <c r="M4222" s="716">
        <f t="shared" si="128"/>
        <v>131.6</v>
      </c>
      <c r="O4222" s="693"/>
    </row>
    <row r="4223" spans="2:15" s="645" customFormat="1" ht="21.75" customHeight="1">
      <c r="B4223" s="708">
        <v>44480</v>
      </c>
      <c r="C4223" s="709" t="s">
        <v>819</v>
      </c>
      <c r="D4223" s="710" t="s">
        <v>875</v>
      </c>
      <c r="E4223" s="711" t="s">
        <v>831</v>
      </c>
      <c r="F4223" s="712"/>
      <c r="G4223" s="710">
        <v>20</v>
      </c>
      <c r="H4223" s="709" t="s">
        <v>807</v>
      </c>
      <c r="I4223" s="713" t="s">
        <v>857</v>
      </c>
      <c r="J4223" s="714" t="s">
        <v>802</v>
      </c>
      <c r="K4223" s="709">
        <v>10</v>
      </c>
      <c r="L4223" s="715">
        <f t="shared" si="127"/>
        <v>18.8</v>
      </c>
      <c r="M4223" s="716">
        <f t="shared" si="128"/>
        <v>188</v>
      </c>
      <c r="O4223" s="693"/>
    </row>
    <row r="4224" spans="2:15" s="645" customFormat="1" ht="21.75" customHeight="1">
      <c r="B4224" s="708">
        <v>44480</v>
      </c>
      <c r="C4224" s="709" t="s">
        <v>819</v>
      </c>
      <c r="D4224" s="710" t="s">
        <v>876</v>
      </c>
      <c r="E4224" s="711" t="s">
        <v>831</v>
      </c>
      <c r="F4224" s="712"/>
      <c r="G4224" s="710">
        <v>20</v>
      </c>
      <c r="H4224" s="709" t="s">
        <v>807</v>
      </c>
      <c r="I4224" s="713" t="s">
        <v>857</v>
      </c>
      <c r="J4224" s="714" t="s">
        <v>802</v>
      </c>
      <c r="K4224" s="709">
        <v>7</v>
      </c>
      <c r="L4224" s="715">
        <f t="shared" si="127"/>
        <v>18.8</v>
      </c>
      <c r="M4224" s="716">
        <f t="shared" si="128"/>
        <v>131.6</v>
      </c>
      <c r="O4224" s="693"/>
    </row>
    <row r="4225" spans="2:15" s="645" customFormat="1" ht="21.75" customHeight="1">
      <c r="B4225" s="708">
        <v>44480</v>
      </c>
      <c r="C4225" s="709" t="s">
        <v>819</v>
      </c>
      <c r="D4225" s="710" t="s">
        <v>870</v>
      </c>
      <c r="E4225" s="711" t="s">
        <v>831</v>
      </c>
      <c r="F4225" s="712"/>
      <c r="G4225" s="710">
        <v>20</v>
      </c>
      <c r="H4225" s="709" t="s">
        <v>807</v>
      </c>
      <c r="I4225" s="713" t="s">
        <v>857</v>
      </c>
      <c r="J4225" s="714" t="s">
        <v>802</v>
      </c>
      <c r="K4225" s="709">
        <v>6</v>
      </c>
      <c r="L4225" s="715">
        <f t="shared" si="127"/>
        <v>18.8</v>
      </c>
      <c r="M4225" s="716">
        <f t="shared" si="128"/>
        <v>112.80000000000001</v>
      </c>
      <c r="O4225" s="693"/>
    </row>
    <row r="4226" spans="2:15" s="645" customFormat="1" ht="21.75" customHeight="1">
      <c r="B4226" s="708">
        <v>44480</v>
      </c>
      <c r="C4226" s="709" t="s">
        <v>819</v>
      </c>
      <c r="D4226" s="710" t="s">
        <v>873</v>
      </c>
      <c r="E4226" s="711" t="s">
        <v>831</v>
      </c>
      <c r="F4226" s="712"/>
      <c r="G4226" s="710">
        <v>20</v>
      </c>
      <c r="H4226" s="709" t="s">
        <v>807</v>
      </c>
      <c r="I4226" s="713" t="s">
        <v>857</v>
      </c>
      <c r="J4226" s="714" t="s">
        <v>802</v>
      </c>
      <c r="K4226" s="709">
        <v>9</v>
      </c>
      <c r="L4226" s="715">
        <f t="shared" si="127"/>
        <v>18.8</v>
      </c>
      <c r="M4226" s="716">
        <f t="shared" si="128"/>
        <v>169.20000000000002</v>
      </c>
      <c r="O4226" s="693"/>
    </row>
    <row r="4227" spans="2:15" s="645" customFormat="1" ht="21.75" customHeight="1">
      <c r="B4227" s="708">
        <v>44480</v>
      </c>
      <c r="C4227" s="709" t="s">
        <v>837</v>
      </c>
      <c r="D4227" s="710" t="s">
        <v>834</v>
      </c>
      <c r="E4227" s="711" t="s">
        <v>831</v>
      </c>
      <c r="F4227" s="712"/>
      <c r="G4227" s="710">
        <v>20</v>
      </c>
      <c r="H4227" s="709" t="s">
        <v>807</v>
      </c>
      <c r="I4227" s="713" t="s">
        <v>859</v>
      </c>
      <c r="J4227" s="714" t="s">
        <v>802</v>
      </c>
      <c r="K4227" s="709">
        <v>2</v>
      </c>
      <c r="L4227" s="715">
        <f t="shared" si="127"/>
        <v>18.8</v>
      </c>
      <c r="M4227" s="716">
        <f t="shared" si="128"/>
        <v>37.6</v>
      </c>
      <c r="O4227" s="693"/>
    </row>
    <row r="4228" spans="2:15" s="645" customFormat="1" ht="21.75" customHeight="1">
      <c r="B4228" s="708">
        <v>44480</v>
      </c>
      <c r="C4228" s="709" t="s">
        <v>837</v>
      </c>
      <c r="D4228" s="710" t="s">
        <v>856</v>
      </c>
      <c r="E4228" s="711" t="s">
        <v>831</v>
      </c>
      <c r="F4228" s="712"/>
      <c r="G4228" s="710">
        <v>20</v>
      </c>
      <c r="H4228" s="709" t="s">
        <v>807</v>
      </c>
      <c r="I4228" s="713" t="s">
        <v>859</v>
      </c>
      <c r="J4228" s="714" t="s">
        <v>802</v>
      </c>
      <c r="K4228" s="709">
        <v>1</v>
      </c>
      <c r="L4228" s="715">
        <f t="shared" si="127"/>
        <v>18.8</v>
      </c>
      <c r="M4228" s="716">
        <f t="shared" si="128"/>
        <v>18.8</v>
      </c>
      <c r="O4228" s="693"/>
    </row>
    <row r="4229" spans="2:15" s="645" customFormat="1" ht="21.75" customHeight="1">
      <c r="B4229" s="708">
        <v>44480</v>
      </c>
      <c r="C4229" s="709" t="s">
        <v>837</v>
      </c>
      <c r="D4229" s="710" t="s">
        <v>855</v>
      </c>
      <c r="E4229" s="711" t="s">
        <v>831</v>
      </c>
      <c r="F4229" s="712"/>
      <c r="G4229" s="710">
        <v>20</v>
      </c>
      <c r="H4229" s="709" t="s">
        <v>807</v>
      </c>
      <c r="I4229" s="713" t="s">
        <v>859</v>
      </c>
      <c r="J4229" s="714" t="s">
        <v>802</v>
      </c>
      <c r="K4229" s="709">
        <v>1</v>
      </c>
      <c r="L4229" s="715">
        <f t="shared" si="127"/>
        <v>18.8</v>
      </c>
      <c r="M4229" s="716">
        <f t="shared" si="128"/>
        <v>18.8</v>
      </c>
      <c r="O4229" s="693"/>
    </row>
    <row r="4230" spans="2:15" s="645" customFormat="1" ht="21.75" customHeight="1">
      <c r="B4230" s="708">
        <v>44480</v>
      </c>
      <c r="C4230" s="709" t="s">
        <v>837</v>
      </c>
      <c r="D4230" s="710" t="s">
        <v>849</v>
      </c>
      <c r="E4230" s="711" t="s">
        <v>831</v>
      </c>
      <c r="F4230" s="712"/>
      <c r="G4230" s="710">
        <v>20</v>
      </c>
      <c r="H4230" s="709" t="s">
        <v>807</v>
      </c>
      <c r="I4230" s="713" t="s">
        <v>859</v>
      </c>
      <c r="J4230" s="714" t="s">
        <v>802</v>
      </c>
      <c r="K4230" s="709">
        <v>1</v>
      </c>
      <c r="L4230" s="715">
        <f t="shared" si="127"/>
        <v>18.8</v>
      </c>
      <c r="M4230" s="716">
        <f t="shared" si="128"/>
        <v>18.8</v>
      </c>
      <c r="O4230" s="693"/>
    </row>
    <row r="4231" spans="2:15" s="645" customFormat="1" ht="21.75" customHeight="1">
      <c r="B4231" s="708">
        <v>44480</v>
      </c>
      <c r="C4231" s="709" t="s">
        <v>837</v>
      </c>
      <c r="D4231" s="710" t="s">
        <v>835</v>
      </c>
      <c r="E4231" s="711" t="s">
        <v>831</v>
      </c>
      <c r="F4231" s="712"/>
      <c r="G4231" s="710">
        <v>20</v>
      </c>
      <c r="H4231" s="709" t="s">
        <v>807</v>
      </c>
      <c r="I4231" s="713" t="s">
        <v>859</v>
      </c>
      <c r="J4231" s="714" t="s">
        <v>802</v>
      </c>
      <c r="K4231" s="709">
        <v>1</v>
      </c>
      <c r="L4231" s="715">
        <f t="shared" si="127"/>
        <v>18.8</v>
      </c>
      <c r="M4231" s="716">
        <f t="shared" si="128"/>
        <v>18.8</v>
      </c>
      <c r="O4231" s="693"/>
    </row>
    <row r="4232" spans="2:15" s="645" customFormat="1" ht="21.75" customHeight="1">
      <c r="B4232" s="708">
        <v>44480</v>
      </c>
      <c r="C4232" s="709" t="s">
        <v>837</v>
      </c>
      <c r="D4232" s="710" t="s">
        <v>841</v>
      </c>
      <c r="E4232" s="711" t="s">
        <v>831</v>
      </c>
      <c r="F4232" s="712"/>
      <c r="G4232" s="710">
        <v>20</v>
      </c>
      <c r="H4232" s="709" t="s">
        <v>807</v>
      </c>
      <c r="I4232" s="713" t="s">
        <v>859</v>
      </c>
      <c r="J4232" s="714" t="s">
        <v>802</v>
      </c>
      <c r="K4232" s="709">
        <v>1</v>
      </c>
      <c r="L4232" s="715">
        <f t="shared" si="127"/>
        <v>18.8</v>
      </c>
      <c r="M4232" s="716">
        <f t="shared" si="128"/>
        <v>18.8</v>
      </c>
      <c r="O4232" s="693"/>
    </row>
    <row r="4233" spans="2:15" s="645" customFormat="1" ht="21.75" customHeight="1">
      <c r="B4233" s="708">
        <v>44480</v>
      </c>
      <c r="C4233" s="709" t="s">
        <v>837</v>
      </c>
      <c r="D4233" s="710" t="s">
        <v>836</v>
      </c>
      <c r="E4233" s="711" t="s">
        <v>831</v>
      </c>
      <c r="F4233" s="712"/>
      <c r="G4233" s="710">
        <v>20</v>
      </c>
      <c r="H4233" s="709" t="s">
        <v>807</v>
      </c>
      <c r="I4233" s="713" t="s">
        <v>859</v>
      </c>
      <c r="J4233" s="714" t="s">
        <v>802</v>
      </c>
      <c r="K4233" s="709">
        <v>1</v>
      </c>
      <c r="L4233" s="715">
        <f t="shared" ref="L4233:L4296" si="129">VLOOKUP(G4233,$Q$4:$V$7,6,FALSE)</f>
        <v>18.8</v>
      </c>
      <c r="M4233" s="716">
        <f t="shared" si="128"/>
        <v>18.8</v>
      </c>
      <c r="O4233" s="693"/>
    </row>
    <row r="4234" spans="2:15" s="645" customFormat="1" ht="21.75" customHeight="1">
      <c r="B4234" s="708">
        <v>44480</v>
      </c>
      <c r="C4234" s="709" t="s">
        <v>837</v>
      </c>
      <c r="D4234" s="710" t="s">
        <v>845</v>
      </c>
      <c r="E4234" s="711" t="s">
        <v>831</v>
      </c>
      <c r="F4234" s="712"/>
      <c r="G4234" s="710">
        <v>17</v>
      </c>
      <c r="H4234" s="709" t="s">
        <v>807</v>
      </c>
      <c r="I4234" s="713" t="s">
        <v>859</v>
      </c>
      <c r="J4234" s="714" t="s">
        <v>802</v>
      </c>
      <c r="K4234" s="709">
        <v>1</v>
      </c>
      <c r="L4234" s="715">
        <f t="shared" si="129"/>
        <v>15.98</v>
      </c>
      <c r="M4234" s="716">
        <f t="shared" si="128"/>
        <v>15.98</v>
      </c>
      <c r="O4234" s="693"/>
    </row>
    <row r="4235" spans="2:15" s="645" customFormat="1" ht="21.75" customHeight="1">
      <c r="B4235" s="708">
        <v>44480</v>
      </c>
      <c r="C4235" s="709" t="s">
        <v>837</v>
      </c>
      <c r="D4235" s="710" t="s">
        <v>847</v>
      </c>
      <c r="E4235" s="711" t="s">
        <v>831</v>
      </c>
      <c r="F4235" s="712"/>
      <c r="G4235" s="710">
        <v>17</v>
      </c>
      <c r="H4235" s="709" t="s">
        <v>807</v>
      </c>
      <c r="I4235" s="713" t="s">
        <v>859</v>
      </c>
      <c r="J4235" s="714" t="s">
        <v>802</v>
      </c>
      <c r="K4235" s="709">
        <v>2</v>
      </c>
      <c r="L4235" s="715">
        <f t="shared" si="129"/>
        <v>15.98</v>
      </c>
      <c r="M4235" s="716">
        <f t="shared" si="128"/>
        <v>31.96</v>
      </c>
      <c r="O4235" s="693"/>
    </row>
    <row r="4236" spans="2:15" s="645" customFormat="1" ht="21.75" customHeight="1">
      <c r="B4236" s="661">
        <v>44481</v>
      </c>
      <c r="C4236" s="662" t="s">
        <v>819</v>
      </c>
      <c r="D4236" s="663" t="s">
        <v>849</v>
      </c>
      <c r="E4236" s="664" t="s">
        <v>831</v>
      </c>
      <c r="F4236" s="665"/>
      <c r="G4236" s="663">
        <v>20</v>
      </c>
      <c r="H4236" s="662" t="s">
        <v>807</v>
      </c>
      <c r="I4236" s="666" t="s">
        <v>859</v>
      </c>
      <c r="J4236" s="667" t="s">
        <v>805</v>
      </c>
      <c r="K4236" s="662">
        <v>3</v>
      </c>
      <c r="L4236" s="685">
        <f t="shared" si="129"/>
        <v>18.8</v>
      </c>
      <c r="M4236" s="686">
        <f t="shared" si="128"/>
        <v>56.400000000000006</v>
      </c>
      <c r="O4236" s="693"/>
    </row>
    <row r="4237" spans="2:15" s="645" customFormat="1" ht="21.75" customHeight="1">
      <c r="B4237" s="661">
        <v>44481</v>
      </c>
      <c r="C4237" s="662" t="s">
        <v>819</v>
      </c>
      <c r="D4237" s="663" t="s">
        <v>840</v>
      </c>
      <c r="E4237" s="664" t="s">
        <v>831</v>
      </c>
      <c r="F4237" s="665"/>
      <c r="G4237" s="663">
        <v>20</v>
      </c>
      <c r="H4237" s="662" t="s">
        <v>807</v>
      </c>
      <c r="I4237" s="666" t="s">
        <v>859</v>
      </c>
      <c r="J4237" s="667" t="s">
        <v>805</v>
      </c>
      <c r="K4237" s="662">
        <v>8</v>
      </c>
      <c r="L4237" s="685">
        <f t="shared" si="129"/>
        <v>18.8</v>
      </c>
      <c r="M4237" s="686">
        <f t="shared" si="128"/>
        <v>150.4</v>
      </c>
      <c r="O4237" s="693"/>
    </row>
    <row r="4238" spans="2:15" s="645" customFormat="1" ht="21.75" customHeight="1">
      <c r="B4238" s="661">
        <v>44481</v>
      </c>
      <c r="C4238" s="662" t="s">
        <v>819</v>
      </c>
      <c r="D4238" s="663" t="s">
        <v>830</v>
      </c>
      <c r="E4238" s="664" t="s">
        <v>831</v>
      </c>
      <c r="F4238" s="665"/>
      <c r="G4238" s="663">
        <v>15</v>
      </c>
      <c r="H4238" s="662" t="s">
        <v>807</v>
      </c>
      <c r="I4238" s="666" t="s">
        <v>859</v>
      </c>
      <c r="J4238" s="667" t="s">
        <v>805</v>
      </c>
      <c r="K4238" s="662">
        <v>7</v>
      </c>
      <c r="L4238" s="685">
        <f t="shared" si="129"/>
        <v>14.1</v>
      </c>
      <c r="M4238" s="686">
        <f t="shared" si="128"/>
        <v>98.7</v>
      </c>
      <c r="O4238" s="693"/>
    </row>
    <row r="4239" spans="2:15" s="645" customFormat="1" ht="21.75" customHeight="1">
      <c r="B4239" s="661">
        <v>44481</v>
      </c>
      <c r="C4239" s="662" t="s">
        <v>819</v>
      </c>
      <c r="D4239" s="663" t="s">
        <v>850</v>
      </c>
      <c r="E4239" s="664" t="s">
        <v>831</v>
      </c>
      <c r="F4239" s="665"/>
      <c r="G4239" s="663">
        <v>15</v>
      </c>
      <c r="H4239" s="662" t="s">
        <v>807</v>
      </c>
      <c r="I4239" s="666" t="s">
        <v>859</v>
      </c>
      <c r="J4239" s="667" t="s">
        <v>805</v>
      </c>
      <c r="K4239" s="662">
        <v>3</v>
      </c>
      <c r="L4239" s="685">
        <f t="shared" si="129"/>
        <v>14.1</v>
      </c>
      <c r="M4239" s="686">
        <f t="shared" si="128"/>
        <v>42.3</v>
      </c>
      <c r="O4239" s="693"/>
    </row>
    <row r="4240" spans="2:15" s="645" customFormat="1" ht="21.75" customHeight="1">
      <c r="B4240" s="661">
        <v>44481</v>
      </c>
      <c r="C4240" s="662" t="s">
        <v>819</v>
      </c>
      <c r="D4240" s="663" t="s">
        <v>845</v>
      </c>
      <c r="E4240" s="664" t="s">
        <v>831</v>
      </c>
      <c r="F4240" s="665"/>
      <c r="G4240" s="663">
        <v>17</v>
      </c>
      <c r="H4240" s="662" t="s">
        <v>807</v>
      </c>
      <c r="I4240" s="666" t="s">
        <v>859</v>
      </c>
      <c r="J4240" s="667" t="s">
        <v>805</v>
      </c>
      <c r="K4240" s="662">
        <v>3</v>
      </c>
      <c r="L4240" s="685">
        <f t="shared" si="129"/>
        <v>15.98</v>
      </c>
      <c r="M4240" s="686">
        <f t="shared" si="128"/>
        <v>47.94</v>
      </c>
      <c r="O4240" s="693"/>
    </row>
    <row r="4241" spans="2:15" s="645" customFormat="1" ht="21.75" customHeight="1">
      <c r="B4241" s="661">
        <v>44481</v>
      </c>
      <c r="C4241" s="662" t="s">
        <v>819</v>
      </c>
      <c r="D4241" s="663" t="s">
        <v>847</v>
      </c>
      <c r="E4241" s="664" t="s">
        <v>831</v>
      </c>
      <c r="F4241" s="665"/>
      <c r="G4241" s="663">
        <v>17</v>
      </c>
      <c r="H4241" s="662" t="s">
        <v>807</v>
      </c>
      <c r="I4241" s="666" t="s">
        <v>859</v>
      </c>
      <c r="J4241" s="667" t="s">
        <v>805</v>
      </c>
      <c r="K4241" s="662">
        <v>4</v>
      </c>
      <c r="L4241" s="685">
        <f t="shared" si="129"/>
        <v>15.98</v>
      </c>
      <c r="M4241" s="686">
        <f t="shared" si="128"/>
        <v>63.92</v>
      </c>
      <c r="O4241" s="693"/>
    </row>
    <row r="4242" spans="2:15" s="645" customFormat="1" ht="21.75" customHeight="1">
      <c r="B4242" s="661">
        <v>44481</v>
      </c>
      <c r="C4242" s="662" t="s">
        <v>819</v>
      </c>
      <c r="D4242" s="663" t="s">
        <v>856</v>
      </c>
      <c r="E4242" s="664" t="s">
        <v>831</v>
      </c>
      <c r="F4242" s="665"/>
      <c r="G4242" s="663">
        <v>20</v>
      </c>
      <c r="H4242" s="662" t="s">
        <v>807</v>
      </c>
      <c r="I4242" s="666" t="s">
        <v>859</v>
      </c>
      <c r="J4242" s="667" t="s">
        <v>805</v>
      </c>
      <c r="K4242" s="662">
        <v>3</v>
      </c>
      <c r="L4242" s="685">
        <f t="shared" si="129"/>
        <v>18.8</v>
      </c>
      <c r="M4242" s="686">
        <f t="shared" si="128"/>
        <v>56.400000000000006</v>
      </c>
      <c r="O4242" s="693"/>
    </row>
    <row r="4243" spans="2:15" s="645" customFormat="1" ht="21.75" customHeight="1">
      <c r="B4243" s="661">
        <v>44481</v>
      </c>
      <c r="C4243" s="662" t="s">
        <v>819</v>
      </c>
      <c r="D4243" s="663" t="s">
        <v>878</v>
      </c>
      <c r="E4243" s="664" t="s">
        <v>831</v>
      </c>
      <c r="F4243" s="665"/>
      <c r="G4243" s="663">
        <v>15</v>
      </c>
      <c r="H4243" s="662" t="s">
        <v>807</v>
      </c>
      <c r="I4243" s="666" t="s">
        <v>805</v>
      </c>
      <c r="J4243" s="667" t="s">
        <v>805</v>
      </c>
      <c r="K4243" s="662">
        <v>2</v>
      </c>
      <c r="L4243" s="685">
        <f t="shared" si="129"/>
        <v>14.1</v>
      </c>
      <c r="M4243" s="686">
        <f t="shared" si="128"/>
        <v>28.2</v>
      </c>
      <c r="O4243" s="693"/>
    </row>
    <row r="4244" spans="2:15" s="645" customFormat="1" ht="21.75" customHeight="1">
      <c r="B4244" s="661">
        <v>44481</v>
      </c>
      <c r="C4244" s="662" t="s">
        <v>819</v>
      </c>
      <c r="D4244" s="663" t="s">
        <v>878</v>
      </c>
      <c r="E4244" s="664" t="s">
        <v>831</v>
      </c>
      <c r="F4244" s="665"/>
      <c r="G4244" s="663">
        <v>15</v>
      </c>
      <c r="H4244" s="662" t="s">
        <v>807</v>
      </c>
      <c r="I4244" s="666" t="s">
        <v>859</v>
      </c>
      <c r="J4244" s="667" t="s">
        <v>805</v>
      </c>
      <c r="K4244" s="662">
        <v>1</v>
      </c>
      <c r="L4244" s="685">
        <f t="shared" si="129"/>
        <v>14.1</v>
      </c>
      <c r="M4244" s="686">
        <f t="shared" si="128"/>
        <v>14.1</v>
      </c>
      <c r="O4244" s="693"/>
    </row>
    <row r="4245" spans="2:15" s="645" customFormat="1" ht="21.75" customHeight="1">
      <c r="B4245" s="661">
        <v>44481</v>
      </c>
      <c r="C4245" s="662" t="s">
        <v>819</v>
      </c>
      <c r="D4245" s="663" t="s">
        <v>855</v>
      </c>
      <c r="E4245" s="664" t="s">
        <v>831</v>
      </c>
      <c r="F4245" s="665"/>
      <c r="G4245" s="663">
        <v>20</v>
      </c>
      <c r="H4245" s="662" t="s">
        <v>807</v>
      </c>
      <c r="I4245" s="666" t="s">
        <v>859</v>
      </c>
      <c r="J4245" s="667" t="s">
        <v>805</v>
      </c>
      <c r="K4245" s="662">
        <v>7</v>
      </c>
      <c r="L4245" s="685">
        <f t="shared" si="129"/>
        <v>18.8</v>
      </c>
      <c r="M4245" s="686">
        <f t="shared" si="128"/>
        <v>131.6</v>
      </c>
      <c r="O4245" s="693"/>
    </row>
    <row r="4246" spans="2:15" s="645" customFormat="1" ht="21.75" customHeight="1">
      <c r="B4246" s="661">
        <v>44481</v>
      </c>
      <c r="C4246" s="662" t="s">
        <v>819</v>
      </c>
      <c r="D4246" s="663" t="s">
        <v>867</v>
      </c>
      <c r="E4246" s="664" t="s">
        <v>831</v>
      </c>
      <c r="F4246" s="665"/>
      <c r="G4246" s="663">
        <v>20</v>
      </c>
      <c r="H4246" s="662" t="s">
        <v>807</v>
      </c>
      <c r="I4246" s="666" t="s">
        <v>859</v>
      </c>
      <c r="J4246" s="667" t="s">
        <v>805</v>
      </c>
      <c r="K4246" s="662">
        <v>4</v>
      </c>
      <c r="L4246" s="685">
        <f t="shared" si="129"/>
        <v>18.8</v>
      </c>
      <c r="M4246" s="686">
        <f t="shared" si="128"/>
        <v>75.2</v>
      </c>
      <c r="O4246" s="693"/>
    </row>
    <row r="4247" spans="2:15" s="645" customFormat="1" ht="21.75" customHeight="1">
      <c r="B4247" s="661">
        <v>44481</v>
      </c>
      <c r="C4247" s="662" t="s">
        <v>819</v>
      </c>
      <c r="D4247" s="663" t="s">
        <v>876</v>
      </c>
      <c r="E4247" s="664" t="s">
        <v>831</v>
      </c>
      <c r="F4247" s="665"/>
      <c r="G4247" s="663">
        <v>20</v>
      </c>
      <c r="H4247" s="662" t="s">
        <v>807</v>
      </c>
      <c r="I4247" s="666" t="s">
        <v>859</v>
      </c>
      <c r="J4247" s="667" t="s">
        <v>805</v>
      </c>
      <c r="K4247" s="662">
        <v>5</v>
      </c>
      <c r="L4247" s="685">
        <f t="shared" si="129"/>
        <v>18.8</v>
      </c>
      <c r="M4247" s="686">
        <f t="shared" si="128"/>
        <v>94</v>
      </c>
      <c r="O4247" s="693"/>
    </row>
    <row r="4248" spans="2:15" s="645" customFormat="1" ht="21.75" customHeight="1">
      <c r="B4248" s="661">
        <v>44481</v>
      </c>
      <c r="C4248" s="662" t="s">
        <v>819</v>
      </c>
      <c r="D4248" s="663" t="s">
        <v>870</v>
      </c>
      <c r="E4248" s="664" t="s">
        <v>831</v>
      </c>
      <c r="F4248" s="665"/>
      <c r="G4248" s="663">
        <v>20</v>
      </c>
      <c r="H4248" s="662" t="s">
        <v>807</v>
      </c>
      <c r="I4248" s="666" t="s">
        <v>859</v>
      </c>
      <c r="J4248" s="667" t="s">
        <v>805</v>
      </c>
      <c r="K4248" s="662">
        <v>3</v>
      </c>
      <c r="L4248" s="685">
        <f t="shared" si="129"/>
        <v>18.8</v>
      </c>
      <c r="M4248" s="686">
        <f t="shared" si="128"/>
        <v>56.400000000000006</v>
      </c>
      <c r="O4248" s="693"/>
    </row>
    <row r="4249" spans="2:15" s="645" customFormat="1" ht="21.75" customHeight="1">
      <c r="B4249" s="661">
        <v>44481</v>
      </c>
      <c r="C4249" s="662" t="s">
        <v>819</v>
      </c>
      <c r="D4249" s="663" t="s">
        <v>873</v>
      </c>
      <c r="E4249" s="664" t="s">
        <v>831</v>
      </c>
      <c r="F4249" s="665"/>
      <c r="G4249" s="663">
        <v>20</v>
      </c>
      <c r="H4249" s="662" t="s">
        <v>807</v>
      </c>
      <c r="I4249" s="666" t="s">
        <v>859</v>
      </c>
      <c r="J4249" s="667" t="s">
        <v>805</v>
      </c>
      <c r="K4249" s="662">
        <v>1</v>
      </c>
      <c r="L4249" s="685">
        <f t="shared" si="129"/>
        <v>18.8</v>
      </c>
      <c r="M4249" s="686">
        <f t="shared" si="128"/>
        <v>18.8</v>
      </c>
      <c r="O4249" s="693"/>
    </row>
    <row r="4250" spans="2:15" s="645" customFormat="1" ht="21.75" customHeight="1">
      <c r="B4250" s="661">
        <v>44481</v>
      </c>
      <c r="C4250" s="662" t="s">
        <v>837</v>
      </c>
      <c r="D4250" s="663" t="s">
        <v>834</v>
      </c>
      <c r="E4250" s="664" t="s">
        <v>831</v>
      </c>
      <c r="F4250" s="665"/>
      <c r="G4250" s="663">
        <v>20</v>
      </c>
      <c r="H4250" s="662" t="s">
        <v>807</v>
      </c>
      <c r="I4250" s="666" t="s">
        <v>859</v>
      </c>
      <c r="J4250" s="667" t="s">
        <v>805</v>
      </c>
      <c r="K4250" s="662">
        <v>9</v>
      </c>
      <c r="L4250" s="685">
        <f t="shared" si="129"/>
        <v>18.8</v>
      </c>
      <c r="M4250" s="686">
        <f t="shared" si="128"/>
        <v>169.20000000000002</v>
      </c>
      <c r="O4250" s="693"/>
    </row>
    <row r="4251" spans="2:15" s="645" customFormat="1" ht="21.75" customHeight="1">
      <c r="B4251" s="661">
        <v>44481</v>
      </c>
      <c r="C4251" s="662" t="s">
        <v>837</v>
      </c>
      <c r="D4251" s="663" t="s">
        <v>856</v>
      </c>
      <c r="E4251" s="664" t="s">
        <v>831</v>
      </c>
      <c r="F4251" s="665"/>
      <c r="G4251" s="663">
        <v>20</v>
      </c>
      <c r="H4251" s="662" t="s">
        <v>807</v>
      </c>
      <c r="I4251" s="666" t="s">
        <v>859</v>
      </c>
      <c r="J4251" s="667" t="s">
        <v>805</v>
      </c>
      <c r="K4251" s="662">
        <v>9</v>
      </c>
      <c r="L4251" s="685">
        <f t="shared" si="129"/>
        <v>18.8</v>
      </c>
      <c r="M4251" s="686">
        <f t="shared" si="128"/>
        <v>169.20000000000002</v>
      </c>
      <c r="O4251" s="693"/>
    </row>
    <row r="4252" spans="2:15" s="645" customFormat="1" ht="21.75" customHeight="1">
      <c r="B4252" s="661">
        <v>44481</v>
      </c>
      <c r="C4252" s="662" t="s">
        <v>837</v>
      </c>
      <c r="D4252" s="663" t="s">
        <v>855</v>
      </c>
      <c r="E4252" s="664" t="s">
        <v>831</v>
      </c>
      <c r="F4252" s="665"/>
      <c r="G4252" s="663">
        <v>20</v>
      </c>
      <c r="H4252" s="662" t="s">
        <v>807</v>
      </c>
      <c r="I4252" s="666" t="s">
        <v>859</v>
      </c>
      <c r="J4252" s="667" t="s">
        <v>805</v>
      </c>
      <c r="K4252" s="662">
        <v>11</v>
      </c>
      <c r="L4252" s="685">
        <f t="shared" si="129"/>
        <v>18.8</v>
      </c>
      <c r="M4252" s="686">
        <f t="shared" si="128"/>
        <v>206.8</v>
      </c>
      <c r="O4252" s="693"/>
    </row>
    <row r="4253" spans="2:15" s="645" customFormat="1" ht="21.75" customHeight="1">
      <c r="B4253" s="661">
        <v>44481</v>
      </c>
      <c r="C4253" s="662" t="s">
        <v>837</v>
      </c>
      <c r="D4253" s="663" t="s">
        <v>849</v>
      </c>
      <c r="E4253" s="664" t="s">
        <v>831</v>
      </c>
      <c r="F4253" s="665"/>
      <c r="G4253" s="663">
        <v>20</v>
      </c>
      <c r="H4253" s="662" t="s">
        <v>807</v>
      </c>
      <c r="I4253" s="666" t="s">
        <v>859</v>
      </c>
      <c r="J4253" s="667" t="s">
        <v>805</v>
      </c>
      <c r="K4253" s="662">
        <v>4</v>
      </c>
      <c r="L4253" s="685">
        <f t="shared" si="129"/>
        <v>18.8</v>
      </c>
      <c r="M4253" s="686">
        <f t="shared" si="128"/>
        <v>75.2</v>
      </c>
      <c r="O4253" s="693"/>
    </row>
    <row r="4254" spans="2:15" s="645" customFormat="1" ht="21.75" customHeight="1">
      <c r="B4254" s="661">
        <v>44481</v>
      </c>
      <c r="C4254" s="662" t="s">
        <v>837</v>
      </c>
      <c r="D4254" s="663" t="s">
        <v>835</v>
      </c>
      <c r="E4254" s="664" t="s">
        <v>831</v>
      </c>
      <c r="F4254" s="665"/>
      <c r="G4254" s="663">
        <v>20</v>
      </c>
      <c r="H4254" s="662" t="s">
        <v>807</v>
      </c>
      <c r="I4254" s="666" t="s">
        <v>859</v>
      </c>
      <c r="J4254" s="667" t="s">
        <v>805</v>
      </c>
      <c r="K4254" s="662">
        <v>11</v>
      </c>
      <c r="L4254" s="685">
        <f t="shared" si="129"/>
        <v>18.8</v>
      </c>
      <c r="M4254" s="686">
        <f t="shared" si="128"/>
        <v>206.8</v>
      </c>
      <c r="O4254" s="693"/>
    </row>
    <row r="4255" spans="2:15" s="645" customFormat="1" ht="21.75" customHeight="1">
      <c r="B4255" s="661">
        <v>44481</v>
      </c>
      <c r="C4255" s="662" t="s">
        <v>837</v>
      </c>
      <c r="D4255" s="663" t="s">
        <v>841</v>
      </c>
      <c r="E4255" s="664" t="s">
        <v>831</v>
      </c>
      <c r="F4255" s="665"/>
      <c r="G4255" s="663">
        <v>20</v>
      </c>
      <c r="H4255" s="662" t="s">
        <v>807</v>
      </c>
      <c r="I4255" s="666" t="s">
        <v>859</v>
      </c>
      <c r="J4255" s="667" t="s">
        <v>805</v>
      </c>
      <c r="K4255" s="662">
        <v>6</v>
      </c>
      <c r="L4255" s="685">
        <f t="shared" si="129"/>
        <v>18.8</v>
      </c>
      <c r="M4255" s="686">
        <f t="shared" si="128"/>
        <v>112.80000000000001</v>
      </c>
      <c r="O4255" s="693"/>
    </row>
    <row r="4256" spans="2:15" s="645" customFormat="1" ht="21.75" customHeight="1">
      <c r="B4256" s="661">
        <v>44481</v>
      </c>
      <c r="C4256" s="662" t="s">
        <v>837</v>
      </c>
      <c r="D4256" s="663" t="s">
        <v>833</v>
      </c>
      <c r="E4256" s="664" t="s">
        <v>831</v>
      </c>
      <c r="F4256" s="665"/>
      <c r="G4256" s="663">
        <v>15</v>
      </c>
      <c r="H4256" s="662" t="s">
        <v>807</v>
      </c>
      <c r="I4256" s="666" t="s">
        <v>859</v>
      </c>
      <c r="J4256" s="667" t="s">
        <v>805</v>
      </c>
      <c r="K4256" s="662">
        <v>6</v>
      </c>
      <c r="L4256" s="685">
        <f t="shared" si="129"/>
        <v>14.1</v>
      </c>
      <c r="M4256" s="686">
        <f t="shared" si="128"/>
        <v>84.6</v>
      </c>
      <c r="O4256" s="693"/>
    </row>
    <row r="4257" spans="2:15" s="645" customFormat="1" ht="21.75" customHeight="1">
      <c r="B4257" s="661">
        <v>44481</v>
      </c>
      <c r="C4257" s="662" t="s">
        <v>837</v>
      </c>
      <c r="D4257" s="663" t="s">
        <v>845</v>
      </c>
      <c r="E4257" s="664" t="s">
        <v>831</v>
      </c>
      <c r="F4257" s="665"/>
      <c r="G4257" s="663">
        <v>17</v>
      </c>
      <c r="H4257" s="662" t="s">
        <v>807</v>
      </c>
      <c r="I4257" s="666" t="s">
        <v>859</v>
      </c>
      <c r="J4257" s="667" t="s">
        <v>805</v>
      </c>
      <c r="K4257" s="662">
        <v>10</v>
      </c>
      <c r="L4257" s="685">
        <f t="shared" si="129"/>
        <v>15.98</v>
      </c>
      <c r="M4257" s="686">
        <f t="shared" si="128"/>
        <v>159.80000000000001</v>
      </c>
      <c r="O4257" s="693"/>
    </row>
    <row r="4258" spans="2:15" s="645" customFormat="1" ht="21.75" customHeight="1">
      <c r="B4258" s="661">
        <v>44481</v>
      </c>
      <c r="C4258" s="662" t="s">
        <v>837</v>
      </c>
      <c r="D4258" s="663" t="s">
        <v>847</v>
      </c>
      <c r="E4258" s="664" t="s">
        <v>831</v>
      </c>
      <c r="F4258" s="665"/>
      <c r="G4258" s="663">
        <v>17</v>
      </c>
      <c r="H4258" s="662" t="s">
        <v>807</v>
      </c>
      <c r="I4258" s="666" t="s">
        <v>859</v>
      </c>
      <c r="J4258" s="667" t="s">
        <v>805</v>
      </c>
      <c r="K4258" s="662">
        <v>8</v>
      </c>
      <c r="L4258" s="685">
        <f t="shared" si="129"/>
        <v>15.98</v>
      </c>
      <c r="M4258" s="686">
        <f t="shared" si="128"/>
        <v>127.84</v>
      </c>
      <c r="O4258" s="693"/>
    </row>
    <row r="4259" spans="2:15" s="645" customFormat="1" ht="21.75" customHeight="1">
      <c r="B4259" s="661">
        <v>44481</v>
      </c>
      <c r="C4259" s="662" t="s">
        <v>837</v>
      </c>
      <c r="D4259" s="663" t="s">
        <v>875</v>
      </c>
      <c r="E4259" s="664" t="s">
        <v>831</v>
      </c>
      <c r="F4259" s="665"/>
      <c r="G4259" s="663">
        <v>20</v>
      </c>
      <c r="H4259" s="662" t="s">
        <v>807</v>
      </c>
      <c r="I4259" s="666" t="s">
        <v>859</v>
      </c>
      <c r="J4259" s="667" t="s">
        <v>805</v>
      </c>
      <c r="K4259" s="662">
        <v>10</v>
      </c>
      <c r="L4259" s="685">
        <f t="shared" si="129"/>
        <v>18.8</v>
      </c>
      <c r="M4259" s="686">
        <f t="shared" si="128"/>
        <v>188</v>
      </c>
      <c r="O4259" s="693"/>
    </row>
    <row r="4260" spans="2:15" s="645" customFormat="1" ht="21.75" customHeight="1">
      <c r="B4260" s="661">
        <v>44481</v>
      </c>
      <c r="C4260" s="662" t="s">
        <v>837</v>
      </c>
      <c r="D4260" s="663" t="s">
        <v>867</v>
      </c>
      <c r="E4260" s="664" t="s">
        <v>831</v>
      </c>
      <c r="F4260" s="665"/>
      <c r="G4260" s="663">
        <v>20</v>
      </c>
      <c r="H4260" s="662" t="s">
        <v>807</v>
      </c>
      <c r="I4260" s="666" t="s">
        <v>859</v>
      </c>
      <c r="J4260" s="667" t="s">
        <v>805</v>
      </c>
      <c r="K4260" s="662">
        <v>11</v>
      </c>
      <c r="L4260" s="685">
        <f t="shared" si="129"/>
        <v>18.8</v>
      </c>
      <c r="M4260" s="686">
        <f t="shared" si="128"/>
        <v>206.8</v>
      </c>
      <c r="O4260" s="693"/>
    </row>
    <row r="4261" spans="2:15" s="645" customFormat="1" ht="21.75" customHeight="1">
      <c r="B4261" s="661">
        <v>44481</v>
      </c>
      <c r="C4261" s="662" t="s">
        <v>837</v>
      </c>
      <c r="D4261" s="663" t="s">
        <v>876</v>
      </c>
      <c r="E4261" s="664" t="s">
        <v>831</v>
      </c>
      <c r="F4261" s="665"/>
      <c r="G4261" s="663">
        <v>20</v>
      </c>
      <c r="H4261" s="662" t="s">
        <v>807</v>
      </c>
      <c r="I4261" s="666" t="s">
        <v>859</v>
      </c>
      <c r="J4261" s="667" t="s">
        <v>805</v>
      </c>
      <c r="K4261" s="662">
        <v>11</v>
      </c>
      <c r="L4261" s="685">
        <f t="shared" si="129"/>
        <v>18.8</v>
      </c>
      <c r="M4261" s="686">
        <f t="shared" si="128"/>
        <v>206.8</v>
      </c>
      <c r="O4261" s="693"/>
    </row>
    <row r="4262" spans="2:15" s="645" customFormat="1" ht="21.75" customHeight="1">
      <c r="B4262" s="661">
        <v>44481</v>
      </c>
      <c r="C4262" s="662" t="s">
        <v>837</v>
      </c>
      <c r="D4262" s="663" t="s">
        <v>870</v>
      </c>
      <c r="E4262" s="664" t="s">
        <v>831</v>
      </c>
      <c r="F4262" s="665"/>
      <c r="G4262" s="663">
        <v>20</v>
      </c>
      <c r="H4262" s="662" t="s">
        <v>807</v>
      </c>
      <c r="I4262" s="666" t="s">
        <v>859</v>
      </c>
      <c r="J4262" s="667" t="s">
        <v>805</v>
      </c>
      <c r="K4262" s="662">
        <v>12</v>
      </c>
      <c r="L4262" s="685">
        <f t="shared" si="129"/>
        <v>18.8</v>
      </c>
      <c r="M4262" s="686">
        <f t="shared" si="128"/>
        <v>225.60000000000002</v>
      </c>
      <c r="O4262" s="693"/>
    </row>
    <row r="4263" spans="2:15" s="645" customFormat="1" ht="21.75" customHeight="1">
      <c r="B4263" s="661">
        <v>44481</v>
      </c>
      <c r="C4263" s="662" t="s">
        <v>837</v>
      </c>
      <c r="D4263" s="663" t="s">
        <v>873</v>
      </c>
      <c r="E4263" s="664" t="s">
        <v>831</v>
      </c>
      <c r="F4263" s="665"/>
      <c r="G4263" s="663">
        <v>20</v>
      </c>
      <c r="H4263" s="662" t="s">
        <v>807</v>
      </c>
      <c r="I4263" s="666" t="s">
        <v>859</v>
      </c>
      <c r="J4263" s="667" t="s">
        <v>805</v>
      </c>
      <c r="K4263" s="662">
        <v>2</v>
      </c>
      <c r="L4263" s="685">
        <f t="shared" si="129"/>
        <v>18.8</v>
      </c>
      <c r="M4263" s="686">
        <f t="shared" ref="M4263:M4326" si="130">L4263*K4263</f>
        <v>37.6</v>
      </c>
      <c r="O4263" s="693"/>
    </row>
    <row r="4264" spans="2:15" s="645" customFormat="1" ht="21.75" customHeight="1">
      <c r="B4264" s="708">
        <v>44481</v>
      </c>
      <c r="C4264" s="709" t="s">
        <v>819</v>
      </c>
      <c r="D4264" s="710" t="s">
        <v>849</v>
      </c>
      <c r="E4264" s="711" t="s">
        <v>831</v>
      </c>
      <c r="F4264" s="712"/>
      <c r="G4264" s="710">
        <v>20</v>
      </c>
      <c r="H4264" s="709" t="s">
        <v>807</v>
      </c>
      <c r="I4264" s="713" t="s">
        <v>859</v>
      </c>
      <c r="J4264" s="714" t="s">
        <v>802</v>
      </c>
      <c r="K4264" s="709">
        <v>4</v>
      </c>
      <c r="L4264" s="715">
        <f t="shared" si="129"/>
        <v>18.8</v>
      </c>
      <c r="M4264" s="716">
        <f t="shared" si="130"/>
        <v>75.2</v>
      </c>
      <c r="O4264" s="693"/>
    </row>
    <row r="4265" spans="2:15" s="645" customFormat="1" ht="21.75" customHeight="1">
      <c r="B4265" s="708">
        <v>44481</v>
      </c>
      <c r="C4265" s="709" t="s">
        <v>819</v>
      </c>
      <c r="D4265" s="710" t="s">
        <v>840</v>
      </c>
      <c r="E4265" s="711" t="s">
        <v>831</v>
      </c>
      <c r="F4265" s="712"/>
      <c r="G4265" s="710">
        <v>20</v>
      </c>
      <c r="H4265" s="709" t="s">
        <v>807</v>
      </c>
      <c r="I4265" s="713" t="s">
        <v>859</v>
      </c>
      <c r="J4265" s="714" t="s">
        <v>802</v>
      </c>
      <c r="K4265" s="709">
        <v>2</v>
      </c>
      <c r="L4265" s="715">
        <f t="shared" si="129"/>
        <v>18.8</v>
      </c>
      <c r="M4265" s="716">
        <f t="shared" si="130"/>
        <v>37.6</v>
      </c>
      <c r="O4265" s="693"/>
    </row>
    <row r="4266" spans="2:15" s="645" customFormat="1" ht="21.75" customHeight="1">
      <c r="B4266" s="708">
        <v>44481</v>
      </c>
      <c r="C4266" s="709" t="s">
        <v>819</v>
      </c>
      <c r="D4266" s="710" t="s">
        <v>835</v>
      </c>
      <c r="E4266" s="711" t="s">
        <v>831</v>
      </c>
      <c r="F4266" s="712"/>
      <c r="G4266" s="710">
        <v>20</v>
      </c>
      <c r="H4266" s="709" t="s">
        <v>807</v>
      </c>
      <c r="I4266" s="713" t="s">
        <v>859</v>
      </c>
      <c r="J4266" s="714" t="s">
        <v>802</v>
      </c>
      <c r="K4266" s="709">
        <v>5</v>
      </c>
      <c r="L4266" s="715">
        <f t="shared" si="129"/>
        <v>18.8</v>
      </c>
      <c r="M4266" s="716">
        <f t="shared" si="130"/>
        <v>94</v>
      </c>
      <c r="O4266" s="693"/>
    </row>
    <row r="4267" spans="2:15" s="645" customFormat="1" ht="21.75" customHeight="1">
      <c r="B4267" s="708">
        <v>44481</v>
      </c>
      <c r="C4267" s="709" t="s">
        <v>819</v>
      </c>
      <c r="D4267" s="710" t="s">
        <v>841</v>
      </c>
      <c r="E4267" s="711" t="s">
        <v>831</v>
      </c>
      <c r="F4267" s="712"/>
      <c r="G4267" s="710">
        <v>20</v>
      </c>
      <c r="H4267" s="709" t="s">
        <v>807</v>
      </c>
      <c r="I4267" s="713" t="s">
        <v>859</v>
      </c>
      <c r="J4267" s="714" t="s">
        <v>802</v>
      </c>
      <c r="K4267" s="709">
        <v>3</v>
      </c>
      <c r="L4267" s="715">
        <f t="shared" si="129"/>
        <v>18.8</v>
      </c>
      <c r="M4267" s="716">
        <f t="shared" si="130"/>
        <v>56.400000000000006</v>
      </c>
      <c r="O4267" s="693"/>
    </row>
    <row r="4268" spans="2:15" s="645" customFormat="1" ht="21.75" customHeight="1">
      <c r="B4268" s="708">
        <v>44481</v>
      </c>
      <c r="C4268" s="709" t="s">
        <v>819</v>
      </c>
      <c r="D4268" s="710" t="s">
        <v>834</v>
      </c>
      <c r="E4268" s="711" t="s">
        <v>831</v>
      </c>
      <c r="F4268" s="712"/>
      <c r="G4268" s="710">
        <v>20</v>
      </c>
      <c r="H4268" s="709" t="s">
        <v>807</v>
      </c>
      <c r="I4268" s="713" t="s">
        <v>859</v>
      </c>
      <c r="J4268" s="714" t="s">
        <v>802</v>
      </c>
      <c r="K4268" s="709">
        <v>3</v>
      </c>
      <c r="L4268" s="715">
        <f t="shared" si="129"/>
        <v>18.8</v>
      </c>
      <c r="M4268" s="716">
        <f t="shared" si="130"/>
        <v>56.400000000000006</v>
      </c>
      <c r="O4268" s="693"/>
    </row>
    <row r="4269" spans="2:15" s="645" customFormat="1" ht="21.75" customHeight="1">
      <c r="B4269" s="708">
        <v>44481</v>
      </c>
      <c r="C4269" s="709" t="s">
        <v>819</v>
      </c>
      <c r="D4269" s="710" t="s">
        <v>833</v>
      </c>
      <c r="E4269" s="711" t="s">
        <v>831</v>
      </c>
      <c r="F4269" s="712"/>
      <c r="G4269" s="710">
        <v>15</v>
      </c>
      <c r="H4269" s="709" t="s">
        <v>807</v>
      </c>
      <c r="I4269" s="713" t="s">
        <v>859</v>
      </c>
      <c r="J4269" s="714" t="s">
        <v>802</v>
      </c>
      <c r="K4269" s="709">
        <v>2</v>
      </c>
      <c r="L4269" s="715">
        <f t="shared" si="129"/>
        <v>14.1</v>
      </c>
      <c r="M4269" s="716">
        <f t="shared" si="130"/>
        <v>28.2</v>
      </c>
      <c r="O4269" s="693"/>
    </row>
    <row r="4270" spans="2:15" s="645" customFormat="1" ht="21.75" customHeight="1">
      <c r="B4270" s="708">
        <v>44481</v>
      </c>
      <c r="C4270" s="709" t="s">
        <v>819</v>
      </c>
      <c r="D4270" s="710" t="s">
        <v>850</v>
      </c>
      <c r="E4270" s="711" t="s">
        <v>831</v>
      </c>
      <c r="F4270" s="712"/>
      <c r="G4270" s="710">
        <v>15</v>
      </c>
      <c r="H4270" s="709" t="s">
        <v>807</v>
      </c>
      <c r="I4270" s="713" t="s">
        <v>859</v>
      </c>
      <c r="J4270" s="714" t="s">
        <v>802</v>
      </c>
      <c r="K4270" s="709">
        <v>2</v>
      </c>
      <c r="L4270" s="715">
        <f t="shared" si="129"/>
        <v>14.1</v>
      </c>
      <c r="M4270" s="716">
        <f t="shared" si="130"/>
        <v>28.2</v>
      </c>
      <c r="O4270" s="693"/>
    </row>
    <row r="4271" spans="2:15" s="645" customFormat="1" ht="21.75" customHeight="1">
      <c r="B4271" s="708">
        <v>44481</v>
      </c>
      <c r="C4271" s="709" t="s">
        <v>819</v>
      </c>
      <c r="D4271" s="710" t="s">
        <v>845</v>
      </c>
      <c r="E4271" s="711" t="s">
        <v>831</v>
      </c>
      <c r="F4271" s="712"/>
      <c r="G4271" s="710">
        <v>17</v>
      </c>
      <c r="H4271" s="709" t="s">
        <v>807</v>
      </c>
      <c r="I4271" s="713" t="s">
        <v>859</v>
      </c>
      <c r="J4271" s="714" t="s">
        <v>802</v>
      </c>
      <c r="K4271" s="709">
        <v>4</v>
      </c>
      <c r="L4271" s="715">
        <f t="shared" si="129"/>
        <v>15.98</v>
      </c>
      <c r="M4271" s="716">
        <f t="shared" si="130"/>
        <v>63.92</v>
      </c>
      <c r="O4271" s="693"/>
    </row>
    <row r="4272" spans="2:15" s="645" customFormat="1" ht="21.75" customHeight="1">
      <c r="B4272" s="708">
        <v>44481</v>
      </c>
      <c r="C4272" s="709" t="s">
        <v>819</v>
      </c>
      <c r="D4272" s="710" t="s">
        <v>847</v>
      </c>
      <c r="E4272" s="711" t="s">
        <v>831</v>
      </c>
      <c r="F4272" s="712"/>
      <c r="G4272" s="710">
        <v>17</v>
      </c>
      <c r="H4272" s="709" t="s">
        <v>807</v>
      </c>
      <c r="I4272" s="713" t="s">
        <v>859</v>
      </c>
      <c r="J4272" s="714" t="s">
        <v>802</v>
      </c>
      <c r="K4272" s="709">
        <v>5</v>
      </c>
      <c r="L4272" s="715">
        <f t="shared" si="129"/>
        <v>15.98</v>
      </c>
      <c r="M4272" s="716">
        <f t="shared" si="130"/>
        <v>79.900000000000006</v>
      </c>
      <c r="O4272" s="693"/>
    </row>
    <row r="4273" spans="2:15" s="645" customFormat="1" ht="21.75" customHeight="1">
      <c r="B4273" s="708">
        <v>44481</v>
      </c>
      <c r="C4273" s="709" t="s">
        <v>819</v>
      </c>
      <c r="D4273" s="710" t="s">
        <v>856</v>
      </c>
      <c r="E4273" s="711" t="s">
        <v>831</v>
      </c>
      <c r="F4273" s="712"/>
      <c r="G4273" s="710">
        <v>20</v>
      </c>
      <c r="H4273" s="709" t="s">
        <v>807</v>
      </c>
      <c r="I4273" s="713" t="s">
        <v>859</v>
      </c>
      <c r="J4273" s="714" t="s">
        <v>802</v>
      </c>
      <c r="K4273" s="709">
        <v>4</v>
      </c>
      <c r="L4273" s="715">
        <f t="shared" si="129"/>
        <v>18.8</v>
      </c>
      <c r="M4273" s="716">
        <f t="shared" si="130"/>
        <v>75.2</v>
      </c>
      <c r="O4273" s="693"/>
    </row>
    <row r="4274" spans="2:15" s="645" customFormat="1" ht="21.75" customHeight="1">
      <c r="B4274" s="708">
        <v>44481</v>
      </c>
      <c r="C4274" s="709" t="s">
        <v>819</v>
      </c>
      <c r="D4274" s="710" t="s">
        <v>878</v>
      </c>
      <c r="E4274" s="711" t="s">
        <v>831</v>
      </c>
      <c r="F4274" s="712"/>
      <c r="G4274" s="710">
        <v>15</v>
      </c>
      <c r="H4274" s="709" t="s">
        <v>807</v>
      </c>
      <c r="I4274" s="713" t="s">
        <v>859</v>
      </c>
      <c r="J4274" s="714" t="s">
        <v>802</v>
      </c>
      <c r="K4274" s="709">
        <v>3</v>
      </c>
      <c r="L4274" s="715">
        <f t="shared" si="129"/>
        <v>14.1</v>
      </c>
      <c r="M4274" s="716">
        <f t="shared" si="130"/>
        <v>42.3</v>
      </c>
      <c r="O4274" s="693"/>
    </row>
    <row r="4275" spans="2:15" s="645" customFormat="1" ht="21.75" customHeight="1">
      <c r="B4275" s="708">
        <v>44481</v>
      </c>
      <c r="C4275" s="709" t="s">
        <v>819</v>
      </c>
      <c r="D4275" s="710" t="s">
        <v>855</v>
      </c>
      <c r="E4275" s="711" t="s">
        <v>831</v>
      </c>
      <c r="F4275" s="712"/>
      <c r="G4275" s="710">
        <v>20</v>
      </c>
      <c r="H4275" s="709" t="s">
        <v>807</v>
      </c>
      <c r="I4275" s="713" t="s">
        <v>859</v>
      </c>
      <c r="J4275" s="714" t="s">
        <v>802</v>
      </c>
      <c r="K4275" s="709">
        <v>3</v>
      </c>
      <c r="L4275" s="715">
        <f t="shared" si="129"/>
        <v>18.8</v>
      </c>
      <c r="M4275" s="716">
        <f t="shared" si="130"/>
        <v>56.400000000000006</v>
      </c>
      <c r="O4275" s="693"/>
    </row>
    <row r="4276" spans="2:15" s="645" customFormat="1" ht="21.75" customHeight="1">
      <c r="B4276" s="708">
        <v>44481</v>
      </c>
      <c r="C4276" s="709" t="s">
        <v>819</v>
      </c>
      <c r="D4276" s="710" t="s">
        <v>875</v>
      </c>
      <c r="E4276" s="711" t="s">
        <v>831</v>
      </c>
      <c r="F4276" s="712"/>
      <c r="G4276" s="710">
        <v>20</v>
      </c>
      <c r="H4276" s="709" t="s">
        <v>807</v>
      </c>
      <c r="I4276" s="713" t="s">
        <v>859</v>
      </c>
      <c r="J4276" s="714" t="s">
        <v>802</v>
      </c>
      <c r="K4276" s="709">
        <v>7</v>
      </c>
      <c r="L4276" s="715">
        <f t="shared" si="129"/>
        <v>18.8</v>
      </c>
      <c r="M4276" s="716">
        <f t="shared" si="130"/>
        <v>131.6</v>
      </c>
      <c r="O4276" s="693"/>
    </row>
    <row r="4277" spans="2:15" s="645" customFormat="1" ht="21.75" customHeight="1">
      <c r="B4277" s="708">
        <v>44481</v>
      </c>
      <c r="C4277" s="709" t="s">
        <v>819</v>
      </c>
      <c r="D4277" s="710" t="s">
        <v>867</v>
      </c>
      <c r="E4277" s="711" t="s">
        <v>831</v>
      </c>
      <c r="F4277" s="712"/>
      <c r="G4277" s="710">
        <v>20</v>
      </c>
      <c r="H4277" s="709" t="s">
        <v>807</v>
      </c>
      <c r="I4277" s="713" t="s">
        <v>859</v>
      </c>
      <c r="J4277" s="714" t="s">
        <v>802</v>
      </c>
      <c r="K4277" s="709">
        <v>6</v>
      </c>
      <c r="L4277" s="715">
        <f t="shared" si="129"/>
        <v>18.8</v>
      </c>
      <c r="M4277" s="716">
        <f t="shared" si="130"/>
        <v>112.80000000000001</v>
      </c>
      <c r="O4277" s="693"/>
    </row>
    <row r="4278" spans="2:15" s="645" customFormat="1" ht="21.75" customHeight="1">
      <c r="B4278" s="708">
        <v>44481</v>
      </c>
      <c r="C4278" s="709" t="s">
        <v>819</v>
      </c>
      <c r="D4278" s="710" t="s">
        <v>876</v>
      </c>
      <c r="E4278" s="711" t="s">
        <v>831</v>
      </c>
      <c r="F4278" s="712"/>
      <c r="G4278" s="710">
        <v>20</v>
      </c>
      <c r="H4278" s="709" t="s">
        <v>807</v>
      </c>
      <c r="I4278" s="713" t="s">
        <v>859</v>
      </c>
      <c r="J4278" s="714" t="s">
        <v>802</v>
      </c>
      <c r="K4278" s="709">
        <v>5</v>
      </c>
      <c r="L4278" s="715">
        <f t="shared" si="129"/>
        <v>18.8</v>
      </c>
      <c r="M4278" s="716">
        <f t="shared" si="130"/>
        <v>94</v>
      </c>
      <c r="O4278" s="693"/>
    </row>
    <row r="4279" spans="2:15" s="645" customFormat="1" ht="21.75" customHeight="1">
      <c r="B4279" s="708">
        <v>44481</v>
      </c>
      <c r="C4279" s="709" t="s">
        <v>819</v>
      </c>
      <c r="D4279" s="710" t="s">
        <v>870</v>
      </c>
      <c r="E4279" s="711" t="s">
        <v>831</v>
      </c>
      <c r="F4279" s="712"/>
      <c r="G4279" s="710">
        <v>20</v>
      </c>
      <c r="H4279" s="709" t="s">
        <v>807</v>
      </c>
      <c r="I4279" s="713" t="s">
        <v>859</v>
      </c>
      <c r="J4279" s="714" t="s">
        <v>802</v>
      </c>
      <c r="K4279" s="709">
        <v>2</v>
      </c>
      <c r="L4279" s="715">
        <f t="shared" si="129"/>
        <v>18.8</v>
      </c>
      <c r="M4279" s="716">
        <f t="shared" si="130"/>
        <v>37.6</v>
      </c>
      <c r="O4279" s="693"/>
    </row>
    <row r="4280" spans="2:15" s="645" customFormat="1" ht="21.75" customHeight="1">
      <c r="B4280" s="708">
        <v>44481</v>
      </c>
      <c r="C4280" s="709" t="s">
        <v>819</v>
      </c>
      <c r="D4280" s="710" t="s">
        <v>873</v>
      </c>
      <c r="E4280" s="711" t="s">
        <v>831</v>
      </c>
      <c r="F4280" s="712"/>
      <c r="G4280" s="710">
        <v>20</v>
      </c>
      <c r="H4280" s="709" t="s">
        <v>807</v>
      </c>
      <c r="I4280" s="713" t="s">
        <v>859</v>
      </c>
      <c r="J4280" s="714" t="s">
        <v>802</v>
      </c>
      <c r="K4280" s="709">
        <v>4</v>
      </c>
      <c r="L4280" s="715">
        <f t="shared" si="129"/>
        <v>18.8</v>
      </c>
      <c r="M4280" s="716">
        <f t="shared" si="130"/>
        <v>75.2</v>
      </c>
      <c r="O4280" s="693"/>
    </row>
    <row r="4281" spans="2:15" s="645" customFormat="1" ht="21.75" customHeight="1">
      <c r="B4281" s="708">
        <v>44481</v>
      </c>
      <c r="C4281" s="709" t="s">
        <v>837</v>
      </c>
      <c r="D4281" s="710" t="s">
        <v>834</v>
      </c>
      <c r="E4281" s="711" t="s">
        <v>831</v>
      </c>
      <c r="F4281" s="712"/>
      <c r="G4281" s="710">
        <v>20</v>
      </c>
      <c r="H4281" s="709" t="s">
        <v>807</v>
      </c>
      <c r="I4281" s="713" t="s">
        <v>859</v>
      </c>
      <c r="J4281" s="714" t="s">
        <v>802</v>
      </c>
      <c r="K4281" s="709">
        <v>1</v>
      </c>
      <c r="L4281" s="715">
        <f t="shared" si="129"/>
        <v>18.8</v>
      </c>
      <c r="M4281" s="716">
        <f t="shared" si="130"/>
        <v>18.8</v>
      </c>
      <c r="O4281" s="693"/>
    </row>
    <row r="4282" spans="2:15" s="645" customFormat="1" ht="21.75" customHeight="1">
      <c r="B4282" s="708">
        <v>44481</v>
      </c>
      <c r="C4282" s="709" t="s">
        <v>837</v>
      </c>
      <c r="D4282" s="710" t="s">
        <v>856</v>
      </c>
      <c r="E4282" s="711" t="s">
        <v>831</v>
      </c>
      <c r="F4282" s="712"/>
      <c r="G4282" s="710">
        <v>20</v>
      </c>
      <c r="H4282" s="709" t="s">
        <v>807</v>
      </c>
      <c r="I4282" s="713" t="s">
        <v>859</v>
      </c>
      <c r="J4282" s="714" t="s">
        <v>802</v>
      </c>
      <c r="K4282" s="709">
        <v>2</v>
      </c>
      <c r="L4282" s="715">
        <f t="shared" si="129"/>
        <v>18.8</v>
      </c>
      <c r="M4282" s="716">
        <f t="shared" si="130"/>
        <v>37.6</v>
      </c>
      <c r="O4282" s="693"/>
    </row>
    <row r="4283" spans="2:15" s="645" customFormat="1" ht="21.75" customHeight="1">
      <c r="B4283" s="708">
        <v>44481</v>
      </c>
      <c r="C4283" s="709" t="s">
        <v>837</v>
      </c>
      <c r="D4283" s="710" t="s">
        <v>855</v>
      </c>
      <c r="E4283" s="711" t="s">
        <v>831</v>
      </c>
      <c r="F4283" s="712"/>
      <c r="G4283" s="710">
        <v>20</v>
      </c>
      <c r="H4283" s="709" t="s">
        <v>807</v>
      </c>
      <c r="I4283" s="713" t="s">
        <v>859</v>
      </c>
      <c r="J4283" s="714" t="s">
        <v>802</v>
      </c>
      <c r="K4283" s="709">
        <v>1</v>
      </c>
      <c r="L4283" s="715">
        <f t="shared" si="129"/>
        <v>18.8</v>
      </c>
      <c r="M4283" s="716">
        <f t="shared" si="130"/>
        <v>18.8</v>
      </c>
      <c r="O4283" s="693"/>
    </row>
    <row r="4284" spans="2:15" s="645" customFormat="1" ht="21.75" customHeight="1">
      <c r="B4284" s="708">
        <v>44481</v>
      </c>
      <c r="C4284" s="709" t="s">
        <v>837</v>
      </c>
      <c r="D4284" s="710" t="s">
        <v>835</v>
      </c>
      <c r="E4284" s="711" t="s">
        <v>831</v>
      </c>
      <c r="F4284" s="712"/>
      <c r="G4284" s="710">
        <v>20</v>
      </c>
      <c r="H4284" s="709" t="s">
        <v>807</v>
      </c>
      <c r="I4284" s="713" t="s">
        <v>859</v>
      </c>
      <c r="J4284" s="714" t="s">
        <v>802</v>
      </c>
      <c r="K4284" s="709">
        <v>1</v>
      </c>
      <c r="L4284" s="715">
        <f t="shared" si="129"/>
        <v>18.8</v>
      </c>
      <c r="M4284" s="716">
        <f t="shared" si="130"/>
        <v>18.8</v>
      </c>
      <c r="O4284" s="693"/>
    </row>
    <row r="4285" spans="2:15" s="645" customFormat="1" ht="21.75" customHeight="1">
      <c r="B4285" s="708">
        <v>44481</v>
      </c>
      <c r="C4285" s="709" t="s">
        <v>837</v>
      </c>
      <c r="D4285" s="710" t="s">
        <v>841</v>
      </c>
      <c r="E4285" s="711" t="s">
        <v>831</v>
      </c>
      <c r="F4285" s="712"/>
      <c r="G4285" s="710">
        <v>20</v>
      </c>
      <c r="H4285" s="709" t="s">
        <v>807</v>
      </c>
      <c r="I4285" s="713" t="s">
        <v>859</v>
      </c>
      <c r="J4285" s="714" t="s">
        <v>802</v>
      </c>
      <c r="K4285" s="709">
        <v>2</v>
      </c>
      <c r="L4285" s="715">
        <f t="shared" si="129"/>
        <v>18.8</v>
      </c>
      <c r="M4285" s="716">
        <f t="shared" si="130"/>
        <v>37.6</v>
      </c>
      <c r="O4285" s="693"/>
    </row>
    <row r="4286" spans="2:15" s="645" customFormat="1" ht="21.75" customHeight="1">
      <c r="B4286" s="708">
        <v>44481</v>
      </c>
      <c r="C4286" s="709" t="s">
        <v>837</v>
      </c>
      <c r="D4286" s="710" t="s">
        <v>833</v>
      </c>
      <c r="E4286" s="711" t="s">
        <v>831</v>
      </c>
      <c r="F4286" s="712"/>
      <c r="G4286" s="710">
        <v>15</v>
      </c>
      <c r="H4286" s="709" t="s">
        <v>807</v>
      </c>
      <c r="I4286" s="713" t="s">
        <v>859</v>
      </c>
      <c r="J4286" s="714" t="s">
        <v>802</v>
      </c>
      <c r="K4286" s="709">
        <v>1</v>
      </c>
      <c r="L4286" s="715">
        <f t="shared" si="129"/>
        <v>14.1</v>
      </c>
      <c r="M4286" s="716">
        <f t="shared" si="130"/>
        <v>14.1</v>
      </c>
      <c r="O4286" s="693"/>
    </row>
    <row r="4287" spans="2:15" s="645" customFormat="1" ht="21.75" customHeight="1">
      <c r="B4287" s="708">
        <v>44481</v>
      </c>
      <c r="C4287" s="709" t="s">
        <v>837</v>
      </c>
      <c r="D4287" s="710" t="s">
        <v>845</v>
      </c>
      <c r="E4287" s="711" t="s">
        <v>831</v>
      </c>
      <c r="F4287" s="712"/>
      <c r="G4287" s="710">
        <v>17</v>
      </c>
      <c r="H4287" s="709" t="s">
        <v>807</v>
      </c>
      <c r="I4287" s="713" t="s">
        <v>859</v>
      </c>
      <c r="J4287" s="714" t="s">
        <v>802</v>
      </c>
      <c r="K4287" s="709">
        <v>2</v>
      </c>
      <c r="L4287" s="715">
        <f t="shared" si="129"/>
        <v>15.98</v>
      </c>
      <c r="M4287" s="716">
        <f t="shared" si="130"/>
        <v>31.96</v>
      </c>
      <c r="O4287" s="693"/>
    </row>
    <row r="4288" spans="2:15" s="645" customFormat="1" ht="21.75" customHeight="1">
      <c r="B4288" s="708">
        <v>44481</v>
      </c>
      <c r="C4288" s="709" t="s">
        <v>837</v>
      </c>
      <c r="D4288" s="710" t="s">
        <v>847</v>
      </c>
      <c r="E4288" s="711" t="s">
        <v>831</v>
      </c>
      <c r="F4288" s="712"/>
      <c r="G4288" s="710">
        <v>17</v>
      </c>
      <c r="H4288" s="709" t="s">
        <v>807</v>
      </c>
      <c r="I4288" s="713" t="s">
        <v>859</v>
      </c>
      <c r="J4288" s="714" t="s">
        <v>802</v>
      </c>
      <c r="K4288" s="709">
        <v>3</v>
      </c>
      <c r="L4288" s="715">
        <f t="shared" si="129"/>
        <v>15.98</v>
      </c>
      <c r="M4288" s="716">
        <f t="shared" si="130"/>
        <v>47.94</v>
      </c>
      <c r="O4288" s="693"/>
    </row>
    <row r="4289" spans="2:15" s="645" customFormat="1" ht="21.75" customHeight="1">
      <c r="B4289" s="708">
        <v>44481</v>
      </c>
      <c r="C4289" s="709" t="s">
        <v>837</v>
      </c>
      <c r="D4289" s="710" t="s">
        <v>878</v>
      </c>
      <c r="E4289" s="711" t="s">
        <v>831</v>
      </c>
      <c r="F4289" s="712"/>
      <c r="G4289" s="710">
        <v>15</v>
      </c>
      <c r="H4289" s="709" t="s">
        <v>807</v>
      </c>
      <c r="I4289" s="713" t="s">
        <v>859</v>
      </c>
      <c r="J4289" s="714" t="s">
        <v>802</v>
      </c>
      <c r="K4289" s="709">
        <v>12</v>
      </c>
      <c r="L4289" s="715">
        <f t="shared" si="129"/>
        <v>14.1</v>
      </c>
      <c r="M4289" s="716">
        <f t="shared" si="130"/>
        <v>169.2</v>
      </c>
      <c r="O4289" s="693"/>
    </row>
    <row r="4290" spans="2:15" s="645" customFormat="1" ht="21.75" customHeight="1">
      <c r="B4290" s="708">
        <v>44481</v>
      </c>
      <c r="C4290" s="709" t="s">
        <v>837</v>
      </c>
      <c r="D4290" s="710" t="s">
        <v>875</v>
      </c>
      <c r="E4290" s="711" t="s">
        <v>831</v>
      </c>
      <c r="F4290" s="712"/>
      <c r="G4290" s="710">
        <v>20</v>
      </c>
      <c r="H4290" s="709" t="s">
        <v>807</v>
      </c>
      <c r="I4290" s="713" t="s">
        <v>859</v>
      </c>
      <c r="J4290" s="714" t="s">
        <v>802</v>
      </c>
      <c r="K4290" s="709">
        <v>2</v>
      </c>
      <c r="L4290" s="715">
        <f t="shared" si="129"/>
        <v>18.8</v>
      </c>
      <c r="M4290" s="716">
        <f t="shared" si="130"/>
        <v>37.6</v>
      </c>
      <c r="O4290" s="693"/>
    </row>
    <row r="4291" spans="2:15" s="645" customFormat="1" ht="21.75" customHeight="1">
      <c r="B4291" s="708">
        <v>44481</v>
      </c>
      <c r="C4291" s="709" t="s">
        <v>837</v>
      </c>
      <c r="D4291" s="710" t="s">
        <v>867</v>
      </c>
      <c r="E4291" s="711" t="s">
        <v>831</v>
      </c>
      <c r="F4291" s="712"/>
      <c r="G4291" s="710">
        <v>20</v>
      </c>
      <c r="H4291" s="709" t="s">
        <v>807</v>
      </c>
      <c r="I4291" s="713" t="s">
        <v>859</v>
      </c>
      <c r="J4291" s="714" t="s">
        <v>802</v>
      </c>
      <c r="K4291" s="709">
        <v>2</v>
      </c>
      <c r="L4291" s="715">
        <f t="shared" si="129"/>
        <v>18.8</v>
      </c>
      <c r="M4291" s="716">
        <f t="shared" si="130"/>
        <v>37.6</v>
      </c>
      <c r="O4291" s="693"/>
    </row>
    <row r="4292" spans="2:15" s="645" customFormat="1" ht="21.75" customHeight="1">
      <c r="B4292" s="708">
        <v>44481</v>
      </c>
      <c r="C4292" s="709" t="s">
        <v>837</v>
      </c>
      <c r="D4292" s="710" t="s">
        <v>876</v>
      </c>
      <c r="E4292" s="711" t="s">
        <v>831</v>
      </c>
      <c r="F4292" s="712"/>
      <c r="G4292" s="710">
        <v>20</v>
      </c>
      <c r="H4292" s="709" t="s">
        <v>807</v>
      </c>
      <c r="I4292" s="713" t="s">
        <v>859</v>
      </c>
      <c r="J4292" s="714" t="s">
        <v>802</v>
      </c>
      <c r="K4292" s="709">
        <v>1</v>
      </c>
      <c r="L4292" s="715">
        <f t="shared" si="129"/>
        <v>18.8</v>
      </c>
      <c r="M4292" s="716">
        <f t="shared" si="130"/>
        <v>18.8</v>
      </c>
      <c r="O4292" s="693"/>
    </row>
    <row r="4293" spans="2:15" s="645" customFormat="1" ht="21.75" customHeight="1">
      <c r="B4293" s="708">
        <v>44481</v>
      </c>
      <c r="C4293" s="709" t="s">
        <v>837</v>
      </c>
      <c r="D4293" s="710" t="s">
        <v>870</v>
      </c>
      <c r="E4293" s="711" t="s">
        <v>831</v>
      </c>
      <c r="F4293" s="712"/>
      <c r="G4293" s="710">
        <v>20</v>
      </c>
      <c r="H4293" s="709" t="s">
        <v>807</v>
      </c>
      <c r="I4293" s="713" t="s">
        <v>859</v>
      </c>
      <c r="J4293" s="714" t="s">
        <v>802</v>
      </c>
      <c r="K4293" s="709">
        <v>1</v>
      </c>
      <c r="L4293" s="715">
        <f t="shared" si="129"/>
        <v>18.8</v>
      </c>
      <c r="M4293" s="716">
        <f t="shared" si="130"/>
        <v>18.8</v>
      </c>
      <c r="O4293" s="693"/>
    </row>
    <row r="4294" spans="2:15" s="645" customFormat="1" ht="21.75" customHeight="1">
      <c r="B4294" s="717">
        <v>44481</v>
      </c>
      <c r="C4294" s="718" t="s">
        <v>819</v>
      </c>
      <c r="D4294" s="719" t="s">
        <v>845</v>
      </c>
      <c r="E4294" s="720" t="s">
        <v>831</v>
      </c>
      <c r="F4294" s="721"/>
      <c r="G4294" s="719">
        <v>17</v>
      </c>
      <c r="H4294" s="718" t="s">
        <v>806</v>
      </c>
      <c r="I4294" s="722" t="s">
        <v>890</v>
      </c>
      <c r="J4294" s="723" t="s">
        <v>892</v>
      </c>
      <c r="K4294" s="718">
        <v>8</v>
      </c>
      <c r="L4294" s="724">
        <f t="shared" si="129"/>
        <v>15.98</v>
      </c>
      <c r="M4294" s="725">
        <f t="shared" si="130"/>
        <v>127.84</v>
      </c>
      <c r="O4294" s="693"/>
    </row>
    <row r="4295" spans="2:15" s="645" customFormat="1" ht="21.75" customHeight="1">
      <c r="B4295" s="717">
        <v>44481</v>
      </c>
      <c r="C4295" s="718" t="s">
        <v>819</v>
      </c>
      <c r="D4295" s="719" t="s">
        <v>856</v>
      </c>
      <c r="E4295" s="720" t="s">
        <v>831</v>
      </c>
      <c r="F4295" s="721"/>
      <c r="G4295" s="719">
        <v>20</v>
      </c>
      <c r="H4295" s="718" t="s">
        <v>806</v>
      </c>
      <c r="I4295" s="722" t="s">
        <v>890</v>
      </c>
      <c r="J4295" s="723" t="s">
        <v>892</v>
      </c>
      <c r="K4295" s="718">
        <v>1</v>
      </c>
      <c r="L4295" s="724">
        <f t="shared" si="129"/>
        <v>18.8</v>
      </c>
      <c r="M4295" s="725">
        <f t="shared" si="130"/>
        <v>18.8</v>
      </c>
      <c r="O4295" s="693"/>
    </row>
    <row r="4296" spans="2:15" s="645" customFormat="1" ht="21.75" customHeight="1">
      <c r="B4296" s="661">
        <v>44482</v>
      </c>
      <c r="C4296" s="662" t="s">
        <v>819</v>
      </c>
      <c r="D4296" s="663" t="s">
        <v>849</v>
      </c>
      <c r="E4296" s="664" t="s">
        <v>831</v>
      </c>
      <c r="F4296" s="665"/>
      <c r="G4296" s="663">
        <v>20</v>
      </c>
      <c r="H4296" s="662" t="s">
        <v>807</v>
      </c>
      <c r="I4296" s="666" t="s">
        <v>859</v>
      </c>
      <c r="J4296" s="667" t="s">
        <v>805</v>
      </c>
      <c r="K4296" s="662">
        <v>3</v>
      </c>
      <c r="L4296" s="685">
        <f t="shared" si="129"/>
        <v>18.8</v>
      </c>
      <c r="M4296" s="686">
        <f t="shared" si="130"/>
        <v>56.400000000000006</v>
      </c>
      <c r="O4296" s="693"/>
    </row>
    <row r="4297" spans="2:15" s="645" customFormat="1" ht="21.75" customHeight="1">
      <c r="B4297" s="661">
        <v>44482</v>
      </c>
      <c r="C4297" s="662" t="s">
        <v>819</v>
      </c>
      <c r="D4297" s="663" t="s">
        <v>840</v>
      </c>
      <c r="E4297" s="664" t="s">
        <v>831</v>
      </c>
      <c r="F4297" s="665"/>
      <c r="G4297" s="663">
        <v>20</v>
      </c>
      <c r="H4297" s="662" t="s">
        <v>807</v>
      </c>
      <c r="I4297" s="666" t="s">
        <v>859</v>
      </c>
      <c r="J4297" s="667" t="s">
        <v>805</v>
      </c>
      <c r="K4297" s="662">
        <v>7</v>
      </c>
      <c r="L4297" s="685">
        <f t="shared" ref="L4297:L4360" si="131">VLOOKUP(G4297,$Q$4:$V$7,6,FALSE)</f>
        <v>18.8</v>
      </c>
      <c r="M4297" s="686">
        <f t="shared" si="130"/>
        <v>131.6</v>
      </c>
      <c r="O4297" s="693"/>
    </row>
    <row r="4298" spans="2:15" s="645" customFormat="1" ht="21.75" customHeight="1">
      <c r="B4298" s="661">
        <v>44482</v>
      </c>
      <c r="C4298" s="662" t="s">
        <v>819</v>
      </c>
      <c r="D4298" s="663" t="s">
        <v>835</v>
      </c>
      <c r="E4298" s="664" t="s">
        <v>831</v>
      </c>
      <c r="F4298" s="665"/>
      <c r="G4298" s="663">
        <v>20</v>
      </c>
      <c r="H4298" s="662" t="s">
        <v>807</v>
      </c>
      <c r="I4298" s="666" t="s">
        <v>859</v>
      </c>
      <c r="J4298" s="667" t="s">
        <v>805</v>
      </c>
      <c r="K4298" s="662">
        <v>6</v>
      </c>
      <c r="L4298" s="685">
        <f t="shared" si="131"/>
        <v>18.8</v>
      </c>
      <c r="M4298" s="686">
        <f t="shared" si="130"/>
        <v>112.80000000000001</v>
      </c>
      <c r="O4298" s="693"/>
    </row>
    <row r="4299" spans="2:15" s="645" customFormat="1" ht="21.75" customHeight="1">
      <c r="B4299" s="661">
        <v>44482</v>
      </c>
      <c r="C4299" s="662" t="s">
        <v>819</v>
      </c>
      <c r="D4299" s="663" t="s">
        <v>841</v>
      </c>
      <c r="E4299" s="664" t="s">
        <v>831</v>
      </c>
      <c r="F4299" s="665"/>
      <c r="G4299" s="663">
        <v>20</v>
      </c>
      <c r="H4299" s="662" t="s">
        <v>807</v>
      </c>
      <c r="I4299" s="666" t="s">
        <v>859</v>
      </c>
      <c r="J4299" s="667" t="s">
        <v>805</v>
      </c>
      <c r="K4299" s="662">
        <v>5</v>
      </c>
      <c r="L4299" s="685">
        <f t="shared" si="131"/>
        <v>18.8</v>
      </c>
      <c r="M4299" s="686">
        <f t="shared" si="130"/>
        <v>94</v>
      </c>
      <c r="O4299" s="693"/>
    </row>
    <row r="4300" spans="2:15" s="645" customFormat="1" ht="21.75" customHeight="1">
      <c r="B4300" s="661">
        <v>44482</v>
      </c>
      <c r="C4300" s="662" t="s">
        <v>819</v>
      </c>
      <c r="D4300" s="663" t="s">
        <v>834</v>
      </c>
      <c r="E4300" s="664" t="s">
        <v>831</v>
      </c>
      <c r="F4300" s="665"/>
      <c r="G4300" s="663">
        <v>20</v>
      </c>
      <c r="H4300" s="662" t="s">
        <v>807</v>
      </c>
      <c r="I4300" s="666" t="s">
        <v>859</v>
      </c>
      <c r="J4300" s="667" t="s">
        <v>805</v>
      </c>
      <c r="K4300" s="662">
        <v>8</v>
      </c>
      <c r="L4300" s="685">
        <f t="shared" si="131"/>
        <v>18.8</v>
      </c>
      <c r="M4300" s="686">
        <f t="shared" si="130"/>
        <v>150.4</v>
      </c>
      <c r="O4300" s="693"/>
    </row>
    <row r="4301" spans="2:15" s="645" customFormat="1" ht="21.75" customHeight="1">
      <c r="B4301" s="661">
        <v>44482</v>
      </c>
      <c r="C4301" s="662" t="s">
        <v>819</v>
      </c>
      <c r="D4301" s="663" t="s">
        <v>830</v>
      </c>
      <c r="E4301" s="664" t="s">
        <v>831</v>
      </c>
      <c r="F4301" s="665"/>
      <c r="G4301" s="663">
        <v>15</v>
      </c>
      <c r="H4301" s="662" t="s">
        <v>807</v>
      </c>
      <c r="I4301" s="666" t="s">
        <v>859</v>
      </c>
      <c r="J4301" s="667" t="s">
        <v>805</v>
      </c>
      <c r="K4301" s="662">
        <v>8</v>
      </c>
      <c r="L4301" s="685">
        <f t="shared" si="131"/>
        <v>14.1</v>
      </c>
      <c r="M4301" s="686">
        <f t="shared" si="130"/>
        <v>112.8</v>
      </c>
      <c r="O4301" s="693"/>
    </row>
    <row r="4302" spans="2:15" s="645" customFormat="1" ht="21.75" customHeight="1">
      <c r="B4302" s="661">
        <v>44482</v>
      </c>
      <c r="C4302" s="662" t="s">
        <v>819</v>
      </c>
      <c r="D4302" s="663" t="s">
        <v>850</v>
      </c>
      <c r="E4302" s="664" t="s">
        <v>831</v>
      </c>
      <c r="F4302" s="665"/>
      <c r="G4302" s="663">
        <v>15</v>
      </c>
      <c r="H4302" s="662" t="s">
        <v>807</v>
      </c>
      <c r="I4302" s="666" t="s">
        <v>859</v>
      </c>
      <c r="J4302" s="667" t="s">
        <v>805</v>
      </c>
      <c r="K4302" s="662">
        <v>2</v>
      </c>
      <c r="L4302" s="685">
        <f t="shared" si="131"/>
        <v>14.1</v>
      </c>
      <c r="M4302" s="686">
        <f t="shared" si="130"/>
        <v>28.2</v>
      </c>
      <c r="O4302" s="693"/>
    </row>
    <row r="4303" spans="2:15" s="645" customFormat="1" ht="21.75" customHeight="1">
      <c r="B4303" s="661">
        <v>44482</v>
      </c>
      <c r="C4303" s="662" t="s">
        <v>819</v>
      </c>
      <c r="D4303" s="663" t="s">
        <v>839</v>
      </c>
      <c r="E4303" s="664" t="s">
        <v>831</v>
      </c>
      <c r="F4303" s="665"/>
      <c r="G4303" s="663">
        <v>15</v>
      </c>
      <c r="H4303" s="662" t="s">
        <v>807</v>
      </c>
      <c r="I4303" s="666" t="s">
        <v>859</v>
      </c>
      <c r="J4303" s="667" t="s">
        <v>805</v>
      </c>
      <c r="K4303" s="662">
        <v>6</v>
      </c>
      <c r="L4303" s="685">
        <f t="shared" si="131"/>
        <v>14.1</v>
      </c>
      <c r="M4303" s="686">
        <f t="shared" si="130"/>
        <v>84.6</v>
      </c>
      <c r="O4303" s="693"/>
    </row>
    <row r="4304" spans="2:15" s="645" customFormat="1" ht="21.75" customHeight="1">
      <c r="B4304" s="661">
        <v>44482</v>
      </c>
      <c r="C4304" s="662" t="s">
        <v>819</v>
      </c>
      <c r="D4304" s="663" t="s">
        <v>845</v>
      </c>
      <c r="E4304" s="664" t="s">
        <v>831</v>
      </c>
      <c r="F4304" s="665"/>
      <c r="G4304" s="663">
        <v>17</v>
      </c>
      <c r="H4304" s="662" t="s">
        <v>807</v>
      </c>
      <c r="I4304" s="666" t="s">
        <v>859</v>
      </c>
      <c r="J4304" s="667" t="s">
        <v>805</v>
      </c>
      <c r="K4304" s="662">
        <v>6</v>
      </c>
      <c r="L4304" s="685">
        <f t="shared" si="131"/>
        <v>15.98</v>
      </c>
      <c r="M4304" s="686">
        <f t="shared" si="130"/>
        <v>95.88</v>
      </c>
      <c r="O4304" s="693"/>
    </row>
    <row r="4305" spans="2:15" s="645" customFormat="1" ht="21.75" customHeight="1">
      <c r="B4305" s="661">
        <v>44482</v>
      </c>
      <c r="C4305" s="662" t="s">
        <v>819</v>
      </c>
      <c r="D4305" s="663" t="s">
        <v>856</v>
      </c>
      <c r="E4305" s="664" t="s">
        <v>831</v>
      </c>
      <c r="F4305" s="665"/>
      <c r="G4305" s="663">
        <v>20</v>
      </c>
      <c r="H4305" s="662" t="s">
        <v>807</v>
      </c>
      <c r="I4305" s="666" t="s">
        <v>859</v>
      </c>
      <c r="J4305" s="667" t="s">
        <v>805</v>
      </c>
      <c r="K4305" s="662">
        <v>6</v>
      </c>
      <c r="L4305" s="685">
        <f t="shared" si="131"/>
        <v>18.8</v>
      </c>
      <c r="M4305" s="686">
        <f t="shared" si="130"/>
        <v>112.80000000000001</v>
      </c>
      <c r="O4305" s="693"/>
    </row>
    <row r="4306" spans="2:15" s="645" customFormat="1" ht="21.75" customHeight="1">
      <c r="B4306" s="661">
        <v>44482</v>
      </c>
      <c r="C4306" s="662" t="s">
        <v>819</v>
      </c>
      <c r="D4306" s="663" t="s">
        <v>878</v>
      </c>
      <c r="E4306" s="664" t="s">
        <v>831</v>
      </c>
      <c r="F4306" s="665"/>
      <c r="G4306" s="663">
        <v>15</v>
      </c>
      <c r="H4306" s="662" t="s">
        <v>807</v>
      </c>
      <c r="I4306" s="666" t="s">
        <v>859</v>
      </c>
      <c r="J4306" s="667" t="s">
        <v>805</v>
      </c>
      <c r="K4306" s="662">
        <v>5</v>
      </c>
      <c r="L4306" s="685">
        <f t="shared" si="131"/>
        <v>14.1</v>
      </c>
      <c r="M4306" s="686">
        <f t="shared" si="130"/>
        <v>70.5</v>
      </c>
      <c r="O4306" s="693"/>
    </row>
    <row r="4307" spans="2:15" s="645" customFormat="1" ht="21.75" customHeight="1">
      <c r="B4307" s="661">
        <v>44482</v>
      </c>
      <c r="C4307" s="662" t="s">
        <v>819</v>
      </c>
      <c r="D4307" s="663" t="s">
        <v>855</v>
      </c>
      <c r="E4307" s="664" t="s">
        <v>831</v>
      </c>
      <c r="F4307" s="665"/>
      <c r="G4307" s="663">
        <v>20</v>
      </c>
      <c r="H4307" s="662" t="s">
        <v>807</v>
      </c>
      <c r="I4307" s="666" t="s">
        <v>859</v>
      </c>
      <c r="J4307" s="667" t="s">
        <v>805</v>
      </c>
      <c r="K4307" s="662">
        <v>3</v>
      </c>
      <c r="L4307" s="685">
        <f t="shared" si="131"/>
        <v>18.8</v>
      </c>
      <c r="M4307" s="686">
        <f t="shared" si="130"/>
        <v>56.400000000000006</v>
      </c>
      <c r="O4307" s="693"/>
    </row>
    <row r="4308" spans="2:15" s="645" customFormat="1" ht="21.75" customHeight="1">
      <c r="B4308" s="661">
        <v>44482</v>
      </c>
      <c r="C4308" s="662" t="s">
        <v>819</v>
      </c>
      <c r="D4308" s="663" t="s">
        <v>875</v>
      </c>
      <c r="E4308" s="664" t="s">
        <v>831</v>
      </c>
      <c r="F4308" s="665"/>
      <c r="G4308" s="663">
        <v>20</v>
      </c>
      <c r="H4308" s="662" t="s">
        <v>807</v>
      </c>
      <c r="I4308" s="666" t="s">
        <v>859</v>
      </c>
      <c r="J4308" s="667" t="s">
        <v>805</v>
      </c>
      <c r="K4308" s="662">
        <v>1</v>
      </c>
      <c r="L4308" s="685">
        <f t="shared" si="131"/>
        <v>18.8</v>
      </c>
      <c r="M4308" s="686">
        <f t="shared" si="130"/>
        <v>18.8</v>
      </c>
      <c r="O4308" s="693"/>
    </row>
    <row r="4309" spans="2:15" s="645" customFormat="1" ht="21.75" customHeight="1">
      <c r="B4309" s="661">
        <v>44482</v>
      </c>
      <c r="C4309" s="662" t="s">
        <v>819</v>
      </c>
      <c r="D4309" s="663" t="s">
        <v>867</v>
      </c>
      <c r="E4309" s="664" t="s">
        <v>831</v>
      </c>
      <c r="F4309" s="665"/>
      <c r="G4309" s="663">
        <v>20</v>
      </c>
      <c r="H4309" s="662" t="s">
        <v>807</v>
      </c>
      <c r="I4309" s="666" t="s">
        <v>859</v>
      </c>
      <c r="J4309" s="667" t="s">
        <v>805</v>
      </c>
      <c r="K4309" s="662">
        <v>6</v>
      </c>
      <c r="L4309" s="685">
        <f t="shared" si="131"/>
        <v>18.8</v>
      </c>
      <c r="M4309" s="686">
        <f t="shared" si="130"/>
        <v>112.80000000000001</v>
      </c>
      <c r="O4309" s="693"/>
    </row>
    <row r="4310" spans="2:15" s="645" customFormat="1" ht="21.75" customHeight="1">
      <c r="B4310" s="661">
        <v>44482</v>
      </c>
      <c r="C4310" s="662" t="s">
        <v>819</v>
      </c>
      <c r="D4310" s="663" t="s">
        <v>876</v>
      </c>
      <c r="E4310" s="664" t="s">
        <v>831</v>
      </c>
      <c r="F4310" s="665"/>
      <c r="G4310" s="663">
        <v>20</v>
      </c>
      <c r="H4310" s="662" t="s">
        <v>807</v>
      </c>
      <c r="I4310" s="666" t="s">
        <v>859</v>
      </c>
      <c r="J4310" s="667" t="s">
        <v>805</v>
      </c>
      <c r="K4310" s="662">
        <v>5</v>
      </c>
      <c r="L4310" s="685">
        <f t="shared" si="131"/>
        <v>18.8</v>
      </c>
      <c r="M4310" s="686">
        <f t="shared" si="130"/>
        <v>94</v>
      </c>
      <c r="O4310" s="693"/>
    </row>
    <row r="4311" spans="2:15" s="645" customFormat="1" ht="21.75" customHeight="1">
      <c r="B4311" s="661">
        <v>44482</v>
      </c>
      <c r="C4311" s="662" t="s">
        <v>819</v>
      </c>
      <c r="D4311" s="663" t="s">
        <v>868</v>
      </c>
      <c r="E4311" s="664" t="s">
        <v>831</v>
      </c>
      <c r="F4311" s="665"/>
      <c r="G4311" s="663">
        <v>20</v>
      </c>
      <c r="H4311" s="662" t="s">
        <v>807</v>
      </c>
      <c r="I4311" s="666" t="s">
        <v>859</v>
      </c>
      <c r="J4311" s="667" t="s">
        <v>805</v>
      </c>
      <c r="K4311" s="662">
        <v>6</v>
      </c>
      <c r="L4311" s="685">
        <f t="shared" si="131"/>
        <v>18.8</v>
      </c>
      <c r="M4311" s="686">
        <f t="shared" si="130"/>
        <v>112.80000000000001</v>
      </c>
      <c r="O4311" s="693"/>
    </row>
    <row r="4312" spans="2:15" s="645" customFormat="1" ht="21.75" customHeight="1">
      <c r="B4312" s="661">
        <v>44482</v>
      </c>
      <c r="C4312" s="662" t="s">
        <v>819</v>
      </c>
      <c r="D4312" s="663" t="s">
        <v>870</v>
      </c>
      <c r="E4312" s="664" t="s">
        <v>831</v>
      </c>
      <c r="F4312" s="665"/>
      <c r="G4312" s="663">
        <v>20</v>
      </c>
      <c r="H4312" s="662" t="s">
        <v>807</v>
      </c>
      <c r="I4312" s="666" t="s">
        <v>859</v>
      </c>
      <c r="J4312" s="667" t="s">
        <v>805</v>
      </c>
      <c r="K4312" s="662">
        <v>8</v>
      </c>
      <c r="L4312" s="685">
        <f t="shared" si="131"/>
        <v>18.8</v>
      </c>
      <c r="M4312" s="686">
        <f t="shared" si="130"/>
        <v>150.4</v>
      </c>
      <c r="O4312" s="693"/>
    </row>
    <row r="4313" spans="2:15" s="645" customFormat="1" ht="21.75" customHeight="1">
      <c r="B4313" s="661">
        <v>44482</v>
      </c>
      <c r="C4313" s="662" t="s">
        <v>819</v>
      </c>
      <c r="D4313" s="663" t="s">
        <v>873</v>
      </c>
      <c r="E4313" s="664" t="s">
        <v>831</v>
      </c>
      <c r="F4313" s="665"/>
      <c r="G4313" s="663">
        <v>20</v>
      </c>
      <c r="H4313" s="662" t="s">
        <v>807</v>
      </c>
      <c r="I4313" s="666" t="s">
        <v>859</v>
      </c>
      <c r="J4313" s="667" t="s">
        <v>805</v>
      </c>
      <c r="K4313" s="662">
        <v>6</v>
      </c>
      <c r="L4313" s="685">
        <f t="shared" si="131"/>
        <v>18.8</v>
      </c>
      <c r="M4313" s="686">
        <f t="shared" si="130"/>
        <v>112.80000000000001</v>
      </c>
      <c r="O4313" s="693"/>
    </row>
    <row r="4314" spans="2:15" s="645" customFormat="1" ht="21.75" customHeight="1">
      <c r="B4314" s="661">
        <v>44482</v>
      </c>
      <c r="C4314" s="662" t="s">
        <v>837</v>
      </c>
      <c r="D4314" s="663" t="s">
        <v>834</v>
      </c>
      <c r="E4314" s="664" t="s">
        <v>831</v>
      </c>
      <c r="F4314" s="665"/>
      <c r="G4314" s="663">
        <v>20</v>
      </c>
      <c r="H4314" s="662" t="s">
        <v>807</v>
      </c>
      <c r="I4314" s="666" t="s">
        <v>859</v>
      </c>
      <c r="J4314" s="667" t="s">
        <v>805</v>
      </c>
      <c r="K4314" s="662">
        <v>1</v>
      </c>
      <c r="L4314" s="685">
        <f t="shared" si="131"/>
        <v>18.8</v>
      </c>
      <c r="M4314" s="686">
        <f t="shared" si="130"/>
        <v>18.8</v>
      </c>
      <c r="O4314" s="693"/>
    </row>
    <row r="4315" spans="2:15" s="645" customFormat="1" ht="21.75" customHeight="1">
      <c r="B4315" s="661">
        <v>44482</v>
      </c>
      <c r="C4315" s="662" t="s">
        <v>837</v>
      </c>
      <c r="D4315" s="663" t="s">
        <v>856</v>
      </c>
      <c r="E4315" s="664" t="s">
        <v>831</v>
      </c>
      <c r="F4315" s="665"/>
      <c r="G4315" s="663">
        <v>20</v>
      </c>
      <c r="H4315" s="662" t="s">
        <v>807</v>
      </c>
      <c r="I4315" s="666" t="s">
        <v>859</v>
      </c>
      <c r="J4315" s="667" t="s">
        <v>805</v>
      </c>
      <c r="K4315" s="662">
        <v>3</v>
      </c>
      <c r="L4315" s="685">
        <f t="shared" si="131"/>
        <v>18.8</v>
      </c>
      <c r="M4315" s="686">
        <f t="shared" si="130"/>
        <v>56.400000000000006</v>
      </c>
      <c r="O4315" s="693"/>
    </row>
    <row r="4316" spans="2:15" s="645" customFormat="1" ht="21.75" customHeight="1">
      <c r="B4316" s="661">
        <v>44482</v>
      </c>
      <c r="C4316" s="662" t="s">
        <v>837</v>
      </c>
      <c r="D4316" s="663" t="s">
        <v>855</v>
      </c>
      <c r="E4316" s="664" t="s">
        <v>831</v>
      </c>
      <c r="F4316" s="665"/>
      <c r="G4316" s="663">
        <v>20</v>
      </c>
      <c r="H4316" s="662" t="s">
        <v>807</v>
      </c>
      <c r="I4316" s="666" t="s">
        <v>859</v>
      </c>
      <c r="J4316" s="667" t="s">
        <v>805</v>
      </c>
      <c r="K4316" s="662">
        <v>8</v>
      </c>
      <c r="L4316" s="685">
        <f t="shared" si="131"/>
        <v>18.8</v>
      </c>
      <c r="M4316" s="686">
        <f t="shared" si="130"/>
        <v>150.4</v>
      </c>
      <c r="O4316" s="693"/>
    </row>
    <row r="4317" spans="2:15" s="645" customFormat="1" ht="21.75" customHeight="1">
      <c r="B4317" s="661">
        <v>44482</v>
      </c>
      <c r="C4317" s="662" t="s">
        <v>837</v>
      </c>
      <c r="D4317" s="663" t="s">
        <v>849</v>
      </c>
      <c r="E4317" s="664" t="s">
        <v>831</v>
      </c>
      <c r="F4317" s="665"/>
      <c r="G4317" s="663">
        <v>20</v>
      </c>
      <c r="H4317" s="662" t="s">
        <v>807</v>
      </c>
      <c r="I4317" s="666" t="s">
        <v>859</v>
      </c>
      <c r="J4317" s="667" t="s">
        <v>805</v>
      </c>
      <c r="K4317" s="662">
        <v>6</v>
      </c>
      <c r="L4317" s="685">
        <f t="shared" si="131"/>
        <v>18.8</v>
      </c>
      <c r="M4317" s="686">
        <f t="shared" si="130"/>
        <v>112.80000000000001</v>
      </c>
      <c r="O4317" s="693"/>
    </row>
    <row r="4318" spans="2:15" s="645" customFormat="1" ht="21.75" customHeight="1">
      <c r="B4318" s="661">
        <v>44482</v>
      </c>
      <c r="C4318" s="662" t="s">
        <v>837</v>
      </c>
      <c r="D4318" s="663" t="s">
        <v>835</v>
      </c>
      <c r="E4318" s="664" t="s">
        <v>831</v>
      </c>
      <c r="F4318" s="665"/>
      <c r="G4318" s="663">
        <v>20</v>
      </c>
      <c r="H4318" s="662" t="s">
        <v>807</v>
      </c>
      <c r="I4318" s="666" t="s">
        <v>859</v>
      </c>
      <c r="J4318" s="667" t="s">
        <v>805</v>
      </c>
      <c r="K4318" s="662">
        <v>6</v>
      </c>
      <c r="L4318" s="685">
        <f t="shared" si="131"/>
        <v>18.8</v>
      </c>
      <c r="M4318" s="686">
        <f t="shared" si="130"/>
        <v>112.80000000000001</v>
      </c>
      <c r="O4318" s="693"/>
    </row>
    <row r="4319" spans="2:15" s="645" customFormat="1" ht="21.75" customHeight="1">
      <c r="B4319" s="661">
        <v>44482</v>
      </c>
      <c r="C4319" s="662" t="s">
        <v>837</v>
      </c>
      <c r="D4319" s="663" t="s">
        <v>841</v>
      </c>
      <c r="E4319" s="664" t="s">
        <v>831</v>
      </c>
      <c r="F4319" s="665"/>
      <c r="G4319" s="663">
        <v>20</v>
      </c>
      <c r="H4319" s="662" t="s">
        <v>807</v>
      </c>
      <c r="I4319" s="666" t="s">
        <v>859</v>
      </c>
      <c r="J4319" s="667" t="s">
        <v>805</v>
      </c>
      <c r="K4319" s="662">
        <v>7</v>
      </c>
      <c r="L4319" s="685">
        <f t="shared" si="131"/>
        <v>18.8</v>
      </c>
      <c r="M4319" s="686">
        <f t="shared" si="130"/>
        <v>131.6</v>
      </c>
      <c r="O4319" s="693"/>
    </row>
    <row r="4320" spans="2:15" s="645" customFormat="1" ht="21.75" customHeight="1">
      <c r="B4320" s="661">
        <v>44482</v>
      </c>
      <c r="C4320" s="662" t="s">
        <v>837</v>
      </c>
      <c r="D4320" s="663" t="s">
        <v>845</v>
      </c>
      <c r="E4320" s="664" t="s">
        <v>831</v>
      </c>
      <c r="F4320" s="665"/>
      <c r="G4320" s="663">
        <v>17</v>
      </c>
      <c r="H4320" s="662" t="s">
        <v>807</v>
      </c>
      <c r="I4320" s="666" t="s">
        <v>859</v>
      </c>
      <c r="J4320" s="667" t="s">
        <v>805</v>
      </c>
      <c r="K4320" s="662">
        <v>8</v>
      </c>
      <c r="L4320" s="685">
        <f t="shared" si="131"/>
        <v>15.98</v>
      </c>
      <c r="M4320" s="686">
        <f t="shared" si="130"/>
        <v>127.84</v>
      </c>
      <c r="O4320" s="693"/>
    </row>
    <row r="4321" spans="2:15" s="645" customFormat="1" ht="21.75" customHeight="1">
      <c r="B4321" s="661">
        <v>44482</v>
      </c>
      <c r="C4321" s="662" t="s">
        <v>837</v>
      </c>
      <c r="D4321" s="663" t="s">
        <v>847</v>
      </c>
      <c r="E4321" s="664" t="s">
        <v>831</v>
      </c>
      <c r="F4321" s="665"/>
      <c r="G4321" s="663">
        <v>17</v>
      </c>
      <c r="H4321" s="662" t="s">
        <v>807</v>
      </c>
      <c r="I4321" s="666" t="s">
        <v>859</v>
      </c>
      <c r="J4321" s="667" t="s">
        <v>805</v>
      </c>
      <c r="K4321" s="662">
        <v>7</v>
      </c>
      <c r="L4321" s="685">
        <f t="shared" si="131"/>
        <v>15.98</v>
      </c>
      <c r="M4321" s="686">
        <f t="shared" si="130"/>
        <v>111.86</v>
      </c>
      <c r="O4321" s="693"/>
    </row>
    <row r="4322" spans="2:15" s="645" customFormat="1" ht="21.75" customHeight="1">
      <c r="B4322" s="661">
        <v>44482</v>
      </c>
      <c r="C4322" s="662" t="s">
        <v>837</v>
      </c>
      <c r="D4322" s="663" t="s">
        <v>878</v>
      </c>
      <c r="E4322" s="664" t="s">
        <v>831</v>
      </c>
      <c r="F4322" s="665"/>
      <c r="G4322" s="663">
        <v>15</v>
      </c>
      <c r="H4322" s="662" t="s">
        <v>807</v>
      </c>
      <c r="I4322" s="666" t="s">
        <v>859</v>
      </c>
      <c r="J4322" s="667" t="s">
        <v>805</v>
      </c>
      <c r="K4322" s="662">
        <v>6</v>
      </c>
      <c r="L4322" s="685">
        <f t="shared" si="131"/>
        <v>14.1</v>
      </c>
      <c r="M4322" s="686">
        <f t="shared" si="130"/>
        <v>84.6</v>
      </c>
      <c r="O4322" s="693"/>
    </row>
    <row r="4323" spans="2:15" s="645" customFormat="1" ht="21.75" customHeight="1">
      <c r="B4323" s="661">
        <v>44482</v>
      </c>
      <c r="C4323" s="662" t="s">
        <v>837</v>
      </c>
      <c r="D4323" s="663" t="s">
        <v>875</v>
      </c>
      <c r="E4323" s="664" t="s">
        <v>831</v>
      </c>
      <c r="F4323" s="665"/>
      <c r="G4323" s="663">
        <v>20</v>
      </c>
      <c r="H4323" s="662" t="s">
        <v>807</v>
      </c>
      <c r="I4323" s="666" t="s">
        <v>859</v>
      </c>
      <c r="J4323" s="667" t="s">
        <v>805</v>
      </c>
      <c r="K4323" s="662">
        <v>6</v>
      </c>
      <c r="L4323" s="685">
        <f t="shared" si="131"/>
        <v>18.8</v>
      </c>
      <c r="M4323" s="686">
        <f t="shared" si="130"/>
        <v>112.80000000000001</v>
      </c>
      <c r="O4323" s="693"/>
    </row>
    <row r="4324" spans="2:15" s="645" customFormat="1" ht="21.75" customHeight="1">
      <c r="B4324" s="661">
        <v>44482</v>
      </c>
      <c r="C4324" s="662" t="s">
        <v>837</v>
      </c>
      <c r="D4324" s="663" t="s">
        <v>867</v>
      </c>
      <c r="E4324" s="664" t="s">
        <v>831</v>
      </c>
      <c r="F4324" s="665"/>
      <c r="G4324" s="663">
        <v>20</v>
      </c>
      <c r="H4324" s="662" t="s">
        <v>807</v>
      </c>
      <c r="I4324" s="666" t="s">
        <v>859</v>
      </c>
      <c r="J4324" s="667" t="s">
        <v>805</v>
      </c>
      <c r="K4324" s="662">
        <v>6</v>
      </c>
      <c r="L4324" s="685">
        <f t="shared" si="131"/>
        <v>18.8</v>
      </c>
      <c r="M4324" s="686">
        <f t="shared" si="130"/>
        <v>112.80000000000001</v>
      </c>
      <c r="O4324" s="693"/>
    </row>
    <row r="4325" spans="2:15" s="645" customFormat="1" ht="21.75" customHeight="1">
      <c r="B4325" s="661">
        <v>44482</v>
      </c>
      <c r="C4325" s="662" t="s">
        <v>837</v>
      </c>
      <c r="D4325" s="663" t="s">
        <v>876</v>
      </c>
      <c r="E4325" s="664" t="s">
        <v>831</v>
      </c>
      <c r="F4325" s="665"/>
      <c r="G4325" s="663">
        <v>20</v>
      </c>
      <c r="H4325" s="662" t="s">
        <v>807</v>
      </c>
      <c r="I4325" s="666" t="s">
        <v>859</v>
      </c>
      <c r="J4325" s="667" t="s">
        <v>805</v>
      </c>
      <c r="K4325" s="662">
        <v>9</v>
      </c>
      <c r="L4325" s="685">
        <f t="shared" si="131"/>
        <v>18.8</v>
      </c>
      <c r="M4325" s="686">
        <f t="shared" si="130"/>
        <v>169.20000000000002</v>
      </c>
      <c r="O4325" s="693"/>
    </row>
    <row r="4326" spans="2:15" s="645" customFormat="1" ht="21.75" customHeight="1">
      <c r="B4326" s="661">
        <v>44482</v>
      </c>
      <c r="C4326" s="662" t="s">
        <v>837</v>
      </c>
      <c r="D4326" s="663" t="s">
        <v>877</v>
      </c>
      <c r="E4326" s="664" t="s">
        <v>831</v>
      </c>
      <c r="F4326" s="665"/>
      <c r="G4326" s="663">
        <v>20</v>
      </c>
      <c r="H4326" s="662" t="s">
        <v>807</v>
      </c>
      <c r="I4326" s="666" t="s">
        <v>859</v>
      </c>
      <c r="J4326" s="667" t="s">
        <v>805</v>
      </c>
      <c r="K4326" s="662">
        <v>3</v>
      </c>
      <c r="L4326" s="685">
        <f t="shared" si="131"/>
        <v>18.8</v>
      </c>
      <c r="M4326" s="686">
        <f t="shared" si="130"/>
        <v>56.400000000000006</v>
      </c>
      <c r="O4326" s="693"/>
    </row>
    <row r="4327" spans="2:15" s="645" customFormat="1" ht="21.75" customHeight="1">
      <c r="B4327" s="661">
        <v>44482</v>
      </c>
      <c r="C4327" s="662" t="s">
        <v>837</v>
      </c>
      <c r="D4327" s="663" t="s">
        <v>870</v>
      </c>
      <c r="E4327" s="664" t="s">
        <v>831</v>
      </c>
      <c r="F4327" s="665"/>
      <c r="G4327" s="663">
        <v>20</v>
      </c>
      <c r="H4327" s="662" t="s">
        <v>807</v>
      </c>
      <c r="I4327" s="666" t="s">
        <v>859</v>
      </c>
      <c r="J4327" s="667" t="s">
        <v>805</v>
      </c>
      <c r="K4327" s="662">
        <v>6</v>
      </c>
      <c r="L4327" s="685">
        <f t="shared" si="131"/>
        <v>18.8</v>
      </c>
      <c r="M4327" s="686">
        <f t="shared" ref="M4327:M4390" si="132">L4327*K4327</f>
        <v>112.80000000000001</v>
      </c>
      <c r="O4327" s="693"/>
    </row>
    <row r="4328" spans="2:15" s="645" customFormat="1" ht="21.75" customHeight="1">
      <c r="B4328" s="708">
        <v>44482</v>
      </c>
      <c r="C4328" s="709" t="s">
        <v>819</v>
      </c>
      <c r="D4328" s="710" t="s">
        <v>849</v>
      </c>
      <c r="E4328" s="711" t="s">
        <v>831</v>
      </c>
      <c r="F4328" s="712"/>
      <c r="G4328" s="710">
        <v>20</v>
      </c>
      <c r="H4328" s="709" t="s">
        <v>807</v>
      </c>
      <c r="I4328" s="713" t="s">
        <v>859</v>
      </c>
      <c r="J4328" s="714" t="s">
        <v>802</v>
      </c>
      <c r="K4328" s="709">
        <v>3</v>
      </c>
      <c r="L4328" s="715">
        <f t="shared" si="131"/>
        <v>18.8</v>
      </c>
      <c r="M4328" s="716">
        <f t="shared" si="132"/>
        <v>56.400000000000006</v>
      </c>
      <c r="O4328" s="693"/>
    </row>
    <row r="4329" spans="2:15" s="645" customFormat="1" ht="21.75" customHeight="1">
      <c r="B4329" s="708">
        <v>44482</v>
      </c>
      <c r="C4329" s="709" t="s">
        <v>819</v>
      </c>
      <c r="D4329" s="710" t="s">
        <v>840</v>
      </c>
      <c r="E4329" s="711" t="s">
        <v>831</v>
      </c>
      <c r="F4329" s="712"/>
      <c r="G4329" s="710">
        <v>20</v>
      </c>
      <c r="H4329" s="709" t="s">
        <v>807</v>
      </c>
      <c r="I4329" s="713" t="s">
        <v>859</v>
      </c>
      <c r="J4329" s="714" t="s">
        <v>802</v>
      </c>
      <c r="K4329" s="709">
        <v>1</v>
      </c>
      <c r="L4329" s="715">
        <f t="shared" si="131"/>
        <v>18.8</v>
      </c>
      <c r="M4329" s="716">
        <f t="shared" si="132"/>
        <v>18.8</v>
      </c>
      <c r="O4329" s="693"/>
    </row>
    <row r="4330" spans="2:15" s="645" customFormat="1" ht="21.75" customHeight="1">
      <c r="B4330" s="708">
        <v>44482</v>
      </c>
      <c r="C4330" s="709" t="s">
        <v>819</v>
      </c>
      <c r="D4330" s="710" t="s">
        <v>841</v>
      </c>
      <c r="E4330" s="711" t="s">
        <v>831</v>
      </c>
      <c r="F4330" s="712"/>
      <c r="G4330" s="710">
        <v>20</v>
      </c>
      <c r="H4330" s="709" t="s">
        <v>807</v>
      </c>
      <c r="I4330" s="713" t="s">
        <v>859</v>
      </c>
      <c r="J4330" s="714" t="s">
        <v>802</v>
      </c>
      <c r="K4330" s="709">
        <v>3</v>
      </c>
      <c r="L4330" s="715">
        <f t="shared" si="131"/>
        <v>18.8</v>
      </c>
      <c r="M4330" s="716">
        <f t="shared" si="132"/>
        <v>56.400000000000006</v>
      </c>
      <c r="O4330" s="693"/>
    </row>
    <row r="4331" spans="2:15" s="645" customFormat="1" ht="21.75" customHeight="1">
      <c r="B4331" s="708">
        <v>44482</v>
      </c>
      <c r="C4331" s="709" t="s">
        <v>819</v>
      </c>
      <c r="D4331" s="710" t="s">
        <v>850</v>
      </c>
      <c r="E4331" s="711" t="s">
        <v>831</v>
      </c>
      <c r="F4331" s="712"/>
      <c r="G4331" s="710">
        <v>15</v>
      </c>
      <c r="H4331" s="709" t="s">
        <v>807</v>
      </c>
      <c r="I4331" s="713" t="s">
        <v>859</v>
      </c>
      <c r="J4331" s="714" t="s">
        <v>802</v>
      </c>
      <c r="K4331" s="709">
        <v>5</v>
      </c>
      <c r="L4331" s="715">
        <f t="shared" si="131"/>
        <v>14.1</v>
      </c>
      <c r="M4331" s="716">
        <f t="shared" si="132"/>
        <v>70.5</v>
      </c>
      <c r="O4331" s="693"/>
    </row>
    <row r="4332" spans="2:15" s="645" customFormat="1" ht="21.75" customHeight="1">
      <c r="B4332" s="708">
        <v>44482</v>
      </c>
      <c r="C4332" s="709" t="s">
        <v>819</v>
      </c>
      <c r="D4332" s="710" t="s">
        <v>839</v>
      </c>
      <c r="E4332" s="711" t="s">
        <v>831</v>
      </c>
      <c r="F4332" s="712"/>
      <c r="G4332" s="710">
        <v>15</v>
      </c>
      <c r="H4332" s="709" t="s">
        <v>807</v>
      </c>
      <c r="I4332" s="713" t="s">
        <v>859</v>
      </c>
      <c r="J4332" s="714" t="s">
        <v>802</v>
      </c>
      <c r="K4332" s="709">
        <v>2</v>
      </c>
      <c r="L4332" s="715">
        <f t="shared" si="131"/>
        <v>14.1</v>
      </c>
      <c r="M4332" s="716">
        <f t="shared" si="132"/>
        <v>28.2</v>
      </c>
      <c r="O4332" s="693"/>
    </row>
    <row r="4333" spans="2:15" s="645" customFormat="1" ht="21.75" customHeight="1">
      <c r="B4333" s="708">
        <v>44482</v>
      </c>
      <c r="C4333" s="709" t="s">
        <v>819</v>
      </c>
      <c r="D4333" s="710" t="s">
        <v>856</v>
      </c>
      <c r="E4333" s="711" t="s">
        <v>831</v>
      </c>
      <c r="F4333" s="712"/>
      <c r="G4333" s="710">
        <v>20</v>
      </c>
      <c r="H4333" s="709" t="s">
        <v>807</v>
      </c>
      <c r="I4333" s="713" t="s">
        <v>859</v>
      </c>
      <c r="J4333" s="714" t="s">
        <v>802</v>
      </c>
      <c r="K4333" s="709">
        <v>3</v>
      </c>
      <c r="L4333" s="715">
        <f t="shared" si="131"/>
        <v>18.8</v>
      </c>
      <c r="M4333" s="716">
        <f t="shared" si="132"/>
        <v>56.400000000000006</v>
      </c>
      <c r="O4333" s="693"/>
    </row>
    <row r="4334" spans="2:15" s="645" customFormat="1" ht="21.75" customHeight="1">
      <c r="B4334" s="708">
        <v>44482</v>
      </c>
      <c r="C4334" s="709" t="s">
        <v>819</v>
      </c>
      <c r="D4334" s="710" t="s">
        <v>878</v>
      </c>
      <c r="E4334" s="711" t="s">
        <v>831</v>
      </c>
      <c r="F4334" s="712"/>
      <c r="G4334" s="710">
        <v>15</v>
      </c>
      <c r="H4334" s="709" t="s">
        <v>807</v>
      </c>
      <c r="I4334" s="713" t="s">
        <v>859</v>
      </c>
      <c r="J4334" s="714" t="s">
        <v>802</v>
      </c>
      <c r="K4334" s="709">
        <v>1</v>
      </c>
      <c r="L4334" s="715">
        <f t="shared" si="131"/>
        <v>14.1</v>
      </c>
      <c r="M4334" s="716">
        <f t="shared" si="132"/>
        <v>14.1</v>
      </c>
      <c r="O4334" s="693"/>
    </row>
    <row r="4335" spans="2:15" s="645" customFormat="1" ht="21.75" customHeight="1">
      <c r="B4335" s="708">
        <v>44482</v>
      </c>
      <c r="C4335" s="709" t="s">
        <v>819</v>
      </c>
      <c r="D4335" s="710" t="s">
        <v>855</v>
      </c>
      <c r="E4335" s="711" t="s">
        <v>831</v>
      </c>
      <c r="F4335" s="712"/>
      <c r="G4335" s="710">
        <v>20</v>
      </c>
      <c r="H4335" s="709" t="s">
        <v>807</v>
      </c>
      <c r="I4335" s="713" t="s">
        <v>859</v>
      </c>
      <c r="J4335" s="714" t="s">
        <v>802</v>
      </c>
      <c r="K4335" s="709">
        <v>2</v>
      </c>
      <c r="L4335" s="715">
        <f t="shared" si="131"/>
        <v>18.8</v>
      </c>
      <c r="M4335" s="716">
        <f t="shared" si="132"/>
        <v>37.6</v>
      </c>
      <c r="O4335" s="693"/>
    </row>
    <row r="4336" spans="2:15" s="645" customFormat="1" ht="21.75" customHeight="1">
      <c r="B4336" s="708">
        <v>44482</v>
      </c>
      <c r="C4336" s="709" t="s">
        <v>819</v>
      </c>
      <c r="D4336" s="710" t="s">
        <v>875</v>
      </c>
      <c r="E4336" s="711" t="s">
        <v>831</v>
      </c>
      <c r="F4336" s="712"/>
      <c r="G4336" s="710">
        <v>20</v>
      </c>
      <c r="H4336" s="709" t="s">
        <v>807</v>
      </c>
      <c r="I4336" s="713" t="s">
        <v>859</v>
      </c>
      <c r="J4336" s="714" t="s">
        <v>802</v>
      </c>
      <c r="K4336" s="709">
        <v>2</v>
      </c>
      <c r="L4336" s="715">
        <f t="shared" si="131"/>
        <v>18.8</v>
      </c>
      <c r="M4336" s="716">
        <f t="shared" si="132"/>
        <v>37.6</v>
      </c>
      <c r="O4336" s="693"/>
    </row>
    <row r="4337" spans="2:15" s="645" customFormat="1" ht="21.75" customHeight="1">
      <c r="B4337" s="708">
        <v>44482</v>
      </c>
      <c r="C4337" s="709" t="s">
        <v>819</v>
      </c>
      <c r="D4337" s="710" t="s">
        <v>867</v>
      </c>
      <c r="E4337" s="711" t="s">
        <v>831</v>
      </c>
      <c r="F4337" s="712"/>
      <c r="G4337" s="710">
        <v>20</v>
      </c>
      <c r="H4337" s="709" t="s">
        <v>807</v>
      </c>
      <c r="I4337" s="713" t="s">
        <v>859</v>
      </c>
      <c r="J4337" s="714" t="s">
        <v>802</v>
      </c>
      <c r="K4337" s="709">
        <v>1</v>
      </c>
      <c r="L4337" s="715">
        <f t="shared" si="131"/>
        <v>18.8</v>
      </c>
      <c r="M4337" s="716">
        <f t="shared" si="132"/>
        <v>18.8</v>
      </c>
      <c r="O4337" s="693"/>
    </row>
    <row r="4338" spans="2:15" s="645" customFormat="1" ht="21.75" customHeight="1">
      <c r="B4338" s="708">
        <v>44482</v>
      </c>
      <c r="C4338" s="709" t="s">
        <v>819</v>
      </c>
      <c r="D4338" s="710" t="s">
        <v>876</v>
      </c>
      <c r="E4338" s="711" t="s">
        <v>831</v>
      </c>
      <c r="F4338" s="712"/>
      <c r="G4338" s="710">
        <v>20</v>
      </c>
      <c r="H4338" s="709" t="s">
        <v>807</v>
      </c>
      <c r="I4338" s="713" t="s">
        <v>859</v>
      </c>
      <c r="J4338" s="714" t="s">
        <v>802</v>
      </c>
      <c r="K4338" s="709">
        <v>1</v>
      </c>
      <c r="L4338" s="715">
        <f t="shared" si="131"/>
        <v>18.8</v>
      </c>
      <c r="M4338" s="716">
        <f t="shared" si="132"/>
        <v>18.8</v>
      </c>
      <c r="O4338" s="693"/>
    </row>
    <row r="4339" spans="2:15" s="645" customFormat="1" ht="21.75" customHeight="1">
      <c r="B4339" s="708">
        <v>44482</v>
      </c>
      <c r="C4339" s="709" t="s">
        <v>819</v>
      </c>
      <c r="D4339" s="710" t="s">
        <v>868</v>
      </c>
      <c r="E4339" s="711" t="s">
        <v>831</v>
      </c>
      <c r="F4339" s="712"/>
      <c r="G4339" s="710">
        <v>20</v>
      </c>
      <c r="H4339" s="709" t="s">
        <v>807</v>
      </c>
      <c r="I4339" s="713" t="s">
        <v>859</v>
      </c>
      <c r="J4339" s="714" t="s">
        <v>802</v>
      </c>
      <c r="K4339" s="709">
        <v>2</v>
      </c>
      <c r="L4339" s="715">
        <f t="shared" si="131"/>
        <v>18.8</v>
      </c>
      <c r="M4339" s="716">
        <f t="shared" si="132"/>
        <v>37.6</v>
      </c>
      <c r="O4339" s="693"/>
    </row>
    <row r="4340" spans="2:15" s="645" customFormat="1" ht="21.75" customHeight="1">
      <c r="B4340" s="708">
        <v>44482</v>
      </c>
      <c r="C4340" s="709" t="s">
        <v>819</v>
      </c>
      <c r="D4340" s="710" t="s">
        <v>873</v>
      </c>
      <c r="E4340" s="711" t="s">
        <v>831</v>
      </c>
      <c r="F4340" s="712"/>
      <c r="G4340" s="710">
        <v>20</v>
      </c>
      <c r="H4340" s="709" t="s">
        <v>807</v>
      </c>
      <c r="I4340" s="713" t="s">
        <v>859</v>
      </c>
      <c r="J4340" s="714" t="s">
        <v>802</v>
      </c>
      <c r="K4340" s="709">
        <v>3</v>
      </c>
      <c r="L4340" s="715">
        <f t="shared" si="131"/>
        <v>18.8</v>
      </c>
      <c r="M4340" s="716">
        <f t="shared" si="132"/>
        <v>56.400000000000006</v>
      </c>
      <c r="O4340" s="693"/>
    </row>
    <row r="4341" spans="2:15" s="645" customFormat="1" ht="21.75" customHeight="1">
      <c r="B4341" s="708">
        <v>44482</v>
      </c>
      <c r="C4341" s="709" t="s">
        <v>837</v>
      </c>
      <c r="D4341" s="710" t="s">
        <v>834</v>
      </c>
      <c r="E4341" s="711" t="s">
        <v>831</v>
      </c>
      <c r="F4341" s="712"/>
      <c r="G4341" s="710">
        <v>20</v>
      </c>
      <c r="H4341" s="709" t="s">
        <v>807</v>
      </c>
      <c r="I4341" s="713" t="s">
        <v>859</v>
      </c>
      <c r="J4341" s="714" t="s">
        <v>802</v>
      </c>
      <c r="K4341" s="709">
        <v>2</v>
      </c>
      <c r="L4341" s="715">
        <f t="shared" si="131"/>
        <v>18.8</v>
      </c>
      <c r="M4341" s="716">
        <f t="shared" si="132"/>
        <v>37.6</v>
      </c>
      <c r="O4341" s="693"/>
    </row>
    <row r="4342" spans="2:15" s="645" customFormat="1" ht="21.75" customHeight="1">
      <c r="B4342" s="708">
        <v>44482</v>
      </c>
      <c r="C4342" s="709" t="s">
        <v>837</v>
      </c>
      <c r="D4342" s="710" t="s">
        <v>856</v>
      </c>
      <c r="E4342" s="711" t="s">
        <v>831</v>
      </c>
      <c r="F4342" s="712"/>
      <c r="G4342" s="710">
        <v>20</v>
      </c>
      <c r="H4342" s="709" t="s">
        <v>807</v>
      </c>
      <c r="I4342" s="713" t="s">
        <v>859</v>
      </c>
      <c r="J4342" s="714" t="s">
        <v>802</v>
      </c>
      <c r="K4342" s="709">
        <v>1</v>
      </c>
      <c r="L4342" s="715">
        <f t="shared" si="131"/>
        <v>18.8</v>
      </c>
      <c r="M4342" s="716">
        <f t="shared" si="132"/>
        <v>18.8</v>
      </c>
      <c r="O4342" s="693"/>
    </row>
    <row r="4343" spans="2:15" s="645" customFormat="1" ht="21.75" customHeight="1">
      <c r="B4343" s="708">
        <v>44482</v>
      </c>
      <c r="C4343" s="709" t="s">
        <v>837</v>
      </c>
      <c r="D4343" s="710" t="s">
        <v>855</v>
      </c>
      <c r="E4343" s="711" t="s">
        <v>831</v>
      </c>
      <c r="F4343" s="712"/>
      <c r="G4343" s="710">
        <v>20</v>
      </c>
      <c r="H4343" s="709" t="s">
        <v>807</v>
      </c>
      <c r="I4343" s="713" t="s">
        <v>859</v>
      </c>
      <c r="J4343" s="714" t="s">
        <v>802</v>
      </c>
      <c r="K4343" s="709">
        <v>1</v>
      </c>
      <c r="L4343" s="715">
        <f t="shared" si="131"/>
        <v>18.8</v>
      </c>
      <c r="M4343" s="716">
        <f t="shared" si="132"/>
        <v>18.8</v>
      </c>
      <c r="O4343" s="693"/>
    </row>
    <row r="4344" spans="2:15" s="645" customFormat="1" ht="21.75" customHeight="1">
      <c r="B4344" s="708">
        <v>44482</v>
      </c>
      <c r="C4344" s="709" t="s">
        <v>837</v>
      </c>
      <c r="D4344" s="710" t="s">
        <v>849</v>
      </c>
      <c r="E4344" s="711" t="s">
        <v>831</v>
      </c>
      <c r="F4344" s="712"/>
      <c r="G4344" s="710">
        <v>20</v>
      </c>
      <c r="H4344" s="709" t="s">
        <v>807</v>
      </c>
      <c r="I4344" s="713" t="s">
        <v>859</v>
      </c>
      <c r="J4344" s="714" t="s">
        <v>802</v>
      </c>
      <c r="K4344" s="709">
        <v>4</v>
      </c>
      <c r="L4344" s="715">
        <f t="shared" si="131"/>
        <v>18.8</v>
      </c>
      <c r="M4344" s="716">
        <f t="shared" si="132"/>
        <v>75.2</v>
      </c>
      <c r="O4344" s="693"/>
    </row>
    <row r="4345" spans="2:15" s="645" customFormat="1" ht="21.75" customHeight="1">
      <c r="B4345" s="708">
        <v>44482</v>
      </c>
      <c r="C4345" s="709" t="s">
        <v>837</v>
      </c>
      <c r="D4345" s="710" t="s">
        <v>835</v>
      </c>
      <c r="E4345" s="711" t="s">
        <v>831</v>
      </c>
      <c r="F4345" s="712"/>
      <c r="G4345" s="710">
        <v>20</v>
      </c>
      <c r="H4345" s="709" t="s">
        <v>807</v>
      </c>
      <c r="I4345" s="713" t="s">
        <v>859</v>
      </c>
      <c r="J4345" s="714" t="s">
        <v>802</v>
      </c>
      <c r="K4345" s="709">
        <v>4</v>
      </c>
      <c r="L4345" s="715">
        <f t="shared" si="131"/>
        <v>18.8</v>
      </c>
      <c r="M4345" s="716">
        <f t="shared" si="132"/>
        <v>75.2</v>
      </c>
      <c r="O4345" s="693"/>
    </row>
    <row r="4346" spans="2:15" s="645" customFormat="1" ht="21.75" customHeight="1">
      <c r="B4346" s="708">
        <v>44482</v>
      </c>
      <c r="C4346" s="709" t="s">
        <v>837</v>
      </c>
      <c r="D4346" s="710" t="s">
        <v>841</v>
      </c>
      <c r="E4346" s="711" t="s">
        <v>831</v>
      </c>
      <c r="F4346" s="712"/>
      <c r="G4346" s="710">
        <v>20</v>
      </c>
      <c r="H4346" s="709" t="s">
        <v>807</v>
      </c>
      <c r="I4346" s="713" t="s">
        <v>859</v>
      </c>
      <c r="J4346" s="714" t="s">
        <v>802</v>
      </c>
      <c r="K4346" s="709">
        <v>2</v>
      </c>
      <c r="L4346" s="715">
        <f t="shared" si="131"/>
        <v>18.8</v>
      </c>
      <c r="M4346" s="716">
        <f t="shared" si="132"/>
        <v>37.6</v>
      </c>
      <c r="O4346" s="693"/>
    </row>
    <row r="4347" spans="2:15" s="645" customFormat="1" ht="21.75" customHeight="1">
      <c r="B4347" s="708">
        <v>44482</v>
      </c>
      <c r="C4347" s="709" t="s">
        <v>837</v>
      </c>
      <c r="D4347" s="710" t="s">
        <v>845</v>
      </c>
      <c r="E4347" s="711" t="s">
        <v>831</v>
      </c>
      <c r="F4347" s="712"/>
      <c r="G4347" s="710">
        <v>17</v>
      </c>
      <c r="H4347" s="709" t="s">
        <v>807</v>
      </c>
      <c r="I4347" s="713" t="s">
        <v>859</v>
      </c>
      <c r="J4347" s="714" t="s">
        <v>802</v>
      </c>
      <c r="K4347" s="709">
        <v>2</v>
      </c>
      <c r="L4347" s="715">
        <f t="shared" si="131"/>
        <v>15.98</v>
      </c>
      <c r="M4347" s="716">
        <f t="shared" si="132"/>
        <v>31.96</v>
      </c>
      <c r="O4347" s="693"/>
    </row>
    <row r="4348" spans="2:15" s="645" customFormat="1" ht="21.75" customHeight="1">
      <c r="B4348" s="708">
        <v>44482</v>
      </c>
      <c r="C4348" s="709" t="s">
        <v>837</v>
      </c>
      <c r="D4348" s="710" t="s">
        <v>847</v>
      </c>
      <c r="E4348" s="711" t="s">
        <v>831</v>
      </c>
      <c r="F4348" s="712"/>
      <c r="G4348" s="710">
        <v>17</v>
      </c>
      <c r="H4348" s="709" t="s">
        <v>807</v>
      </c>
      <c r="I4348" s="713" t="s">
        <v>859</v>
      </c>
      <c r="J4348" s="714" t="s">
        <v>802</v>
      </c>
      <c r="K4348" s="709">
        <v>2</v>
      </c>
      <c r="L4348" s="715">
        <f t="shared" si="131"/>
        <v>15.98</v>
      </c>
      <c r="M4348" s="716">
        <f t="shared" si="132"/>
        <v>31.96</v>
      </c>
      <c r="O4348" s="693"/>
    </row>
    <row r="4349" spans="2:15" s="645" customFormat="1" ht="21.75" customHeight="1">
      <c r="B4349" s="708">
        <v>44482</v>
      </c>
      <c r="C4349" s="709" t="s">
        <v>837</v>
      </c>
      <c r="D4349" s="710" t="s">
        <v>878</v>
      </c>
      <c r="E4349" s="711" t="s">
        <v>831</v>
      </c>
      <c r="F4349" s="712"/>
      <c r="G4349" s="710">
        <v>15</v>
      </c>
      <c r="H4349" s="709" t="s">
        <v>807</v>
      </c>
      <c r="I4349" s="713" t="s">
        <v>859</v>
      </c>
      <c r="J4349" s="714" t="s">
        <v>802</v>
      </c>
      <c r="K4349" s="709">
        <v>4</v>
      </c>
      <c r="L4349" s="715">
        <f t="shared" si="131"/>
        <v>14.1</v>
      </c>
      <c r="M4349" s="716">
        <f t="shared" si="132"/>
        <v>56.4</v>
      </c>
      <c r="O4349" s="693"/>
    </row>
    <row r="4350" spans="2:15" s="645" customFormat="1" ht="21.75" customHeight="1">
      <c r="B4350" s="708">
        <v>44482</v>
      </c>
      <c r="C4350" s="709" t="s">
        <v>837</v>
      </c>
      <c r="D4350" s="710" t="s">
        <v>875</v>
      </c>
      <c r="E4350" s="711" t="s">
        <v>831</v>
      </c>
      <c r="F4350" s="712"/>
      <c r="G4350" s="710">
        <v>20</v>
      </c>
      <c r="H4350" s="709" t="s">
        <v>807</v>
      </c>
      <c r="I4350" s="713" t="s">
        <v>859</v>
      </c>
      <c r="J4350" s="714" t="s">
        <v>802</v>
      </c>
      <c r="K4350" s="709">
        <v>4</v>
      </c>
      <c r="L4350" s="715">
        <f t="shared" si="131"/>
        <v>18.8</v>
      </c>
      <c r="M4350" s="716">
        <f t="shared" si="132"/>
        <v>75.2</v>
      </c>
      <c r="O4350" s="693"/>
    </row>
    <row r="4351" spans="2:15" s="645" customFormat="1" ht="21.75" customHeight="1">
      <c r="B4351" s="708">
        <v>44482</v>
      </c>
      <c r="C4351" s="709" t="s">
        <v>837</v>
      </c>
      <c r="D4351" s="710" t="s">
        <v>867</v>
      </c>
      <c r="E4351" s="711" t="s">
        <v>831</v>
      </c>
      <c r="F4351" s="712"/>
      <c r="G4351" s="710">
        <v>20</v>
      </c>
      <c r="H4351" s="709" t="s">
        <v>807</v>
      </c>
      <c r="I4351" s="713" t="s">
        <v>859</v>
      </c>
      <c r="J4351" s="714" t="s">
        <v>802</v>
      </c>
      <c r="K4351" s="709">
        <v>1</v>
      </c>
      <c r="L4351" s="715">
        <f t="shared" si="131"/>
        <v>18.8</v>
      </c>
      <c r="M4351" s="716">
        <f t="shared" si="132"/>
        <v>18.8</v>
      </c>
      <c r="O4351" s="693"/>
    </row>
    <row r="4352" spans="2:15" s="645" customFormat="1" ht="21.75" customHeight="1">
      <c r="B4352" s="708">
        <v>44482</v>
      </c>
      <c r="C4352" s="709" t="s">
        <v>837</v>
      </c>
      <c r="D4352" s="710" t="s">
        <v>870</v>
      </c>
      <c r="E4352" s="711" t="s">
        <v>831</v>
      </c>
      <c r="F4352" s="712"/>
      <c r="G4352" s="710">
        <v>20</v>
      </c>
      <c r="H4352" s="709" t="s">
        <v>807</v>
      </c>
      <c r="I4352" s="713" t="s">
        <v>859</v>
      </c>
      <c r="J4352" s="714" t="s">
        <v>802</v>
      </c>
      <c r="K4352" s="709">
        <v>5</v>
      </c>
      <c r="L4352" s="715">
        <f t="shared" si="131"/>
        <v>18.8</v>
      </c>
      <c r="M4352" s="716">
        <f t="shared" si="132"/>
        <v>94</v>
      </c>
      <c r="O4352" s="693"/>
    </row>
    <row r="4353" spans="2:15" s="645" customFormat="1" ht="21.75" customHeight="1">
      <c r="B4353" s="661">
        <v>44483</v>
      </c>
      <c r="C4353" s="662" t="s">
        <v>819</v>
      </c>
      <c r="D4353" s="663" t="s">
        <v>849</v>
      </c>
      <c r="E4353" s="664" t="s">
        <v>831</v>
      </c>
      <c r="F4353" s="665"/>
      <c r="G4353" s="663">
        <v>20</v>
      </c>
      <c r="H4353" s="662" t="s">
        <v>807</v>
      </c>
      <c r="I4353" s="666" t="s">
        <v>859</v>
      </c>
      <c r="J4353" s="667" t="s">
        <v>805</v>
      </c>
      <c r="K4353" s="662">
        <v>3</v>
      </c>
      <c r="L4353" s="685">
        <f t="shared" si="131"/>
        <v>18.8</v>
      </c>
      <c r="M4353" s="686">
        <f t="shared" si="132"/>
        <v>56.400000000000006</v>
      </c>
      <c r="O4353" s="693"/>
    </row>
    <row r="4354" spans="2:15" s="645" customFormat="1" ht="21.75" customHeight="1">
      <c r="B4354" s="661">
        <v>44483</v>
      </c>
      <c r="C4354" s="662" t="s">
        <v>819</v>
      </c>
      <c r="D4354" s="663" t="s">
        <v>840</v>
      </c>
      <c r="E4354" s="664" t="s">
        <v>831</v>
      </c>
      <c r="F4354" s="665"/>
      <c r="G4354" s="663">
        <v>20</v>
      </c>
      <c r="H4354" s="662" t="s">
        <v>807</v>
      </c>
      <c r="I4354" s="666" t="s">
        <v>859</v>
      </c>
      <c r="J4354" s="667" t="s">
        <v>805</v>
      </c>
      <c r="K4354" s="662">
        <v>4</v>
      </c>
      <c r="L4354" s="685">
        <f t="shared" si="131"/>
        <v>18.8</v>
      </c>
      <c r="M4354" s="686">
        <f t="shared" si="132"/>
        <v>75.2</v>
      </c>
      <c r="O4354" s="693"/>
    </row>
    <row r="4355" spans="2:15" s="645" customFormat="1" ht="21.75" customHeight="1">
      <c r="B4355" s="661">
        <v>44483</v>
      </c>
      <c r="C4355" s="662" t="s">
        <v>819</v>
      </c>
      <c r="D4355" s="663" t="s">
        <v>835</v>
      </c>
      <c r="E4355" s="664" t="s">
        <v>831</v>
      </c>
      <c r="F4355" s="665"/>
      <c r="G4355" s="663">
        <v>20</v>
      </c>
      <c r="H4355" s="662" t="s">
        <v>807</v>
      </c>
      <c r="I4355" s="666" t="s">
        <v>859</v>
      </c>
      <c r="J4355" s="667" t="s">
        <v>805</v>
      </c>
      <c r="K4355" s="662">
        <v>3</v>
      </c>
      <c r="L4355" s="685">
        <f t="shared" si="131"/>
        <v>18.8</v>
      </c>
      <c r="M4355" s="686">
        <f t="shared" si="132"/>
        <v>56.400000000000006</v>
      </c>
      <c r="O4355" s="693"/>
    </row>
    <row r="4356" spans="2:15" s="645" customFormat="1" ht="21.75" customHeight="1">
      <c r="B4356" s="661">
        <v>44483</v>
      </c>
      <c r="C4356" s="662" t="s">
        <v>819</v>
      </c>
      <c r="D4356" s="663" t="s">
        <v>834</v>
      </c>
      <c r="E4356" s="664" t="s">
        <v>831</v>
      </c>
      <c r="F4356" s="665"/>
      <c r="G4356" s="663">
        <v>20</v>
      </c>
      <c r="H4356" s="662" t="s">
        <v>807</v>
      </c>
      <c r="I4356" s="666" t="s">
        <v>859</v>
      </c>
      <c r="J4356" s="667" t="s">
        <v>805</v>
      </c>
      <c r="K4356" s="662">
        <v>4</v>
      </c>
      <c r="L4356" s="685">
        <f t="shared" si="131"/>
        <v>18.8</v>
      </c>
      <c r="M4356" s="686">
        <f t="shared" si="132"/>
        <v>75.2</v>
      </c>
      <c r="O4356" s="693"/>
    </row>
    <row r="4357" spans="2:15" s="645" customFormat="1" ht="21.75" customHeight="1">
      <c r="B4357" s="661">
        <v>44483</v>
      </c>
      <c r="C4357" s="662" t="s">
        <v>819</v>
      </c>
      <c r="D4357" s="663" t="s">
        <v>833</v>
      </c>
      <c r="E4357" s="664" t="s">
        <v>831</v>
      </c>
      <c r="F4357" s="665"/>
      <c r="G4357" s="663">
        <v>15</v>
      </c>
      <c r="H4357" s="662" t="s">
        <v>807</v>
      </c>
      <c r="I4357" s="666" t="s">
        <v>859</v>
      </c>
      <c r="J4357" s="667" t="s">
        <v>805</v>
      </c>
      <c r="K4357" s="662">
        <v>4</v>
      </c>
      <c r="L4357" s="685">
        <f t="shared" si="131"/>
        <v>14.1</v>
      </c>
      <c r="M4357" s="686">
        <f t="shared" si="132"/>
        <v>56.4</v>
      </c>
      <c r="O4357" s="693"/>
    </row>
    <row r="4358" spans="2:15" s="645" customFormat="1" ht="21.75" customHeight="1">
      <c r="B4358" s="661">
        <v>44483</v>
      </c>
      <c r="C4358" s="662" t="s">
        <v>819</v>
      </c>
      <c r="D4358" s="663" t="s">
        <v>830</v>
      </c>
      <c r="E4358" s="664" t="s">
        <v>831</v>
      </c>
      <c r="F4358" s="665"/>
      <c r="G4358" s="663">
        <v>15</v>
      </c>
      <c r="H4358" s="662" t="s">
        <v>807</v>
      </c>
      <c r="I4358" s="666" t="s">
        <v>859</v>
      </c>
      <c r="J4358" s="667" t="s">
        <v>805</v>
      </c>
      <c r="K4358" s="662">
        <v>2</v>
      </c>
      <c r="L4358" s="685">
        <f t="shared" si="131"/>
        <v>14.1</v>
      </c>
      <c r="M4358" s="686">
        <f t="shared" si="132"/>
        <v>28.2</v>
      </c>
      <c r="O4358" s="693"/>
    </row>
    <row r="4359" spans="2:15" s="645" customFormat="1" ht="21.75" customHeight="1">
      <c r="B4359" s="661">
        <v>44483</v>
      </c>
      <c r="C4359" s="662" t="s">
        <v>819</v>
      </c>
      <c r="D4359" s="663" t="s">
        <v>850</v>
      </c>
      <c r="E4359" s="664" t="s">
        <v>831</v>
      </c>
      <c r="F4359" s="665"/>
      <c r="G4359" s="663">
        <v>15</v>
      </c>
      <c r="H4359" s="662" t="s">
        <v>807</v>
      </c>
      <c r="I4359" s="666" t="s">
        <v>859</v>
      </c>
      <c r="J4359" s="667" t="s">
        <v>805</v>
      </c>
      <c r="K4359" s="662">
        <v>4</v>
      </c>
      <c r="L4359" s="685">
        <f t="shared" si="131"/>
        <v>14.1</v>
      </c>
      <c r="M4359" s="686">
        <f t="shared" si="132"/>
        <v>56.4</v>
      </c>
      <c r="O4359" s="693"/>
    </row>
    <row r="4360" spans="2:15" s="645" customFormat="1" ht="21.75" customHeight="1">
      <c r="B4360" s="661">
        <v>44483</v>
      </c>
      <c r="C4360" s="662" t="s">
        <v>819</v>
      </c>
      <c r="D4360" s="663" t="s">
        <v>839</v>
      </c>
      <c r="E4360" s="664" t="s">
        <v>831</v>
      </c>
      <c r="F4360" s="665"/>
      <c r="G4360" s="663">
        <v>15</v>
      </c>
      <c r="H4360" s="662" t="s">
        <v>807</v>
      </c>
      <c r="I4360" s="666" t="s">
        <v>859</v>
      </c>
      <c r="J4360" s="667" t="s">
        <v>805</v>
      </c>
      <c r="K4360" s="662">
        <v>1</v>
      </c>
      <c r="L4360" s="685">
        <f t="shared" si="131"/>
        <v>14.1</v>
      </c>
      <c r="M4360" s="686">
        <f t="shared" si="132"/>
        <v>14.1</v>
      </c>
      <c r="O4360" s="693"/>
    </row>
    <row r="4361" spans="2:15" s="645" customFormat="1" ht="21.75" customHeight="1">
      <c r="B4361" s="661">
        <v>44483</v>
      </c>
      <c r="C4361" s="662" t="s">
        <v>819</v>
      </c>
      <c r="D4361" s="663" t="s">
        <v>839</v>
      </c>
      <c r="E4361" s="664" t="s">
        <v>831</v>
      </c>
      <c r="F4361" s="665"/>
      <c r="G4361" s="663">
        <v>15</v>
      </c>
      <c r="H4361" s="662" t="s">
        <v>807</v>
      </c>
      <c r="I4361" s="666" t="s">
        <v>859</v>
      </c>
      <c r="J4361" s="667" t="s">
        <v>805</v>
      </c>
      <c r="K4361" s="662">
        <v>1</v>
      </c>
      <c r="L4361" s="685">
        <f t="shared" ref="L4361:L4424" si="133">VLOOKUP(G4361,$Q$4:$V$7,6,FALSE)</f>
        <v>14.1</v>
      </c>
      <c r="M4361" s="686">
        <f t="shared" si="132"/>
        <v>14.1</v>
      </c>
      <c r="O4361" s="693"/>
    </row>
    <row r="4362" spans="2:15" s="645" customFormat="1" ht="21.75" customHeight="1">
      <c r="B4362" s="661">
        <v>44483</v>
      </c>
      <c r="C4362" s="662" t="s">
        <v>819</v>
      </c>
      <c r="D4362" s="663" t="s">
        <v>845</v>
      </c>
      <c r="E4362" s="664" t="s">
        <v>831</v>
      </c>
      <c r="F4362" s="665"/>
      <c r="G4362" s="663">
        <v>17</v>
      </c>
      <c r="H4362" s="662" t="s">
        <v>807</v>
      </c>
      <c r="I4362" s="666" t="s">
        <v>859</v>
      </c>
      <c r="J4362" s="667" t="s">
        <v>805</v>
      </c>
      <c r="K4362" s="662">
        <v>4</v>
      </c>
      <c r="L4362" s="685">
        <f t="shared" si="133"/>
        <v>15.98</v>
      </c>
      <c r="M4362" s="686">
        <f t="shared" si="132"/>
        <v>63.92</v>
      </c>
      <c r="O4362" s="693"/>
    </row>
    <row r="4363" spans="2:15" s="645" customFormat="1" ht="21.75" customHeight="1">
      <c r="B4363" s="661">
        <v>44483</v>
      </c>
      <c r="C4363" s="662" t="s">
        <v>819</v>
      </c>
      <c r="D4363" s="663" t="s">
        <v>847</v>
      </c>
      <c r="E4363" s="664" t="s">
        <v>831</v>
      </c>
      <c r="F4363" s="665"/>
      <c r="G4363" s="663">
        <v>17</v>
      </c>
      <c r="H4363" s="662" t="s">
        <v>807</v>
      </c>
      <c r="I4363" s="666" t="s">
        <v>859</v>
      </c>
      <c r="J4363" s="667" t="s">
        <v>805</v>
      </c>
      <c r="K4363" s="662">
        <v>3</v>
      </c>
      <c r="L4363" s="685">
        <f t="shared" si="133"/>
        <v>15.98</v>
      </c>
      <c r="M4363" s="686">
        <f t="shared" si="132"/>
        <v>47.94</v>
      </c>
      <c r="O4363" s="693"/>
    </row>
    <row r="4364" spans="2:15" s="645" customFormat="1" ht="21.75" customHeight="1">
      <c r="B4364" s="661">
        <v>44483</v>
      </c>
      <c r="C4364" s="662" t="s">
        <v>819</v>
      </c>
      <c r="D4364" s="663" t="s">
        <v>856</v>
      </c>
      <c r="E4364" s="664" t="s">
        <v>831</v>
      </c>
      <c r="F4364" s="665"/>
      <c r="G4364" s="663">
        <v>20</v>
      </c>
      <c r="H4364" s="662" t="s">
        <v>807</v>
      </c>
      <c r="I4364" s="666" t="s">
        <v>859</v>
      </c>
      <c r="J4364" s="667" t="s">
        <v>805</v>
      </c>
      <c r="K4364" s="662">
        <v>3</v>
      </c>
      <c r="L4364" s="685">
        <f t="shared" si="133"/>
        <v>18.8</v>
      </c>
      <c r="M4364" s="686">
        <f t="shared" si="132"/>
        <v>56.400000000000006</v>
      </c>
      <c r="O4364" s="693"/>
    </row>
    <row r="4365" spans="2:15" s="645" customFormat="1" ht="21.75" customHeight="1">
      <c r="B4365" s="661">
        <v>44483</v>
      </c>
      <c r="C4365" s="662" t="s">
        <v>819</v>
      </c>
      <c r="D4365" s="663" t="s">
        <v>878</v>
      </c>
      <c r="E4365" s="664" t="s">
        <v>831</v>
      </c>
      <c r="F4365" s="665"/>
      <c r="G4365" s="663">
        <v>15</v>
      </c>
      <c r="H4365" s="662" t="s">
        <v>807</v>
      </c>
      <c r="I4365" s="666" t="s">
        <v>859</v>
      </c>
      <c r="J4365" s="667" t="s">
        <v>805</v>
      </c>
      <c r="K4365" s="662">
        <v>2</v>
      </c>
      <c r="L4365" s="685">
        <f t="shared" si="133"/>
        <v>14.1</v>
      </c>
      <c r="M4365" s="686">
        <f t="shared" si="132"/>
        <v>28.2</v>
      </c>
      <c r="O4365" s="693"/>
    </row>
    <row r="4366" spans="2:15" s="645" customFormat="1" ht="21.75" customHeight="1">
      <c r="B4366" s="661">
        <v>44483</v>
      </c>
      <c r="C4366" s="662" t="s">
        <v>819</v>
      </c>
      <c r="D4366" s="663" t="s">
        <v>855</v>
      </c>
      <c r="E4366" s="664" t="s">
        <v>831</v>
      </c>
      <c r="F4366" s="665"/>
      <c r="G4366" s="663">
        <v>20</v>
      </c>
      <c r="H4366" s="662" t="s">
        <v>807</v>
      </c>
      <c r="I4366" s="666" t="s">
        <v>859</v>
      </c>
      <c r="J4366" s="667" t="s">
        <v>805</v>
      </c>
      <c r="K4366" s="662">
        <v>4</v>
      </c>
      <c r="L4366" s="685">
        <f t="shared" si="133"/>
        <v>18.8</v>
      </c>
      <c r="M4366" s="686">
        <f t="shared" si="132"/>
        <v>75.2</v>
      </c>
      <c r="O4366" s="693"/>
    </row>
    <row r="4367" spans="2:15" s="645" customFormat="1" ht="21.75" customHeight="1">
      <c r="B4367" s="661">
        <v>44483</v>
      </c>
      <c r="C4367" s="662" t="s">
        <v>819</v>
      </c>
      <c r="D4367" s="663" t="s">
        <v>875</v>
      </c>
      <c r="E4367" s="664" t="s">
        <v>831</v>
      </c>
      <c r="F4367" s="665"/>
      <c r="G4367" s="663">
        <v>20</v>
      </c>
      <c r="H4367" s="662" t="s">
        <v>807</v>
      </c>
      <c r="I4367" s="666" t="s">
        <v>859</v>
      </c>
      <c r="J4367" s="667" t="s">
        <v>805</v>
      </c>
      <c r="K4367" s="662">
        <v>1</v>
      </c>
      <c r="L4367" s="685">
        <f t="shared" si="133"/>
        <v>18.8</v>
      </c>
      <c r="M4367" s="686">
        <f t="shared" si="132"/>
        <v>18.8</v>
      </c>
      <c r="O4367" s="693"/>
    </row>
    <row r="4368" spans="2:15" s="645" customFormat="1" ht="21.75" customHeight="1">
      <c r="B4368" s="661">
        <v>44483</v>
      </c>
      <c r="C4368" s="662" t="s">
        <v>819</v>
      </c>
      <c r="D4368" s="663" t="s">
        <v>867</v>
      </c>
      <c r="E4368" s="664" t="s">
        <v>831</v>
      </c>
      <c r="F4368" s="665"/>
      <c r="G4368" s="663">
        <v>20</v>
      </c>
      <c r="H4368" s="662" t="s">
        <v>807</v>
      </c>
      <c r="I4368" s="666" t="s">
        <v>859</v>
      </c>
      <c r="J4368" s="667" t="s">
        <v>805</v>
      </c>
      <c r="K4368" s="662">
        <v>3</v>
      </c>
      <c r="L4368" s="685">
        <f t="shared" si="133"/>
        <v>18.8</v>
      </c>
      <c r="M4368" s="686">
        <f t="shared" si="132"/>
        <v>56.400000000000006</v>
      </c>
      <c r="O4368" s="693"/>
    </row>
    <row r="4369" spans="2:15" s="645" customFormat="1" ht="21.75" customHeight="1">
      <c r="B4369" s="661">
        <v>44483</v>
      </c>
      <c r="C4369" s="662" t="s">
        <v>819</v>
      </c>
      <c r="D4369" s="663" t="s">
        <v>876</v>
      </c>
      <c r="E4369" s="664" t="s">
        <v>831</v>
      </c>
      <c r="F4369" s="665"/>
      <c r="G4369" s="663">
        <v>20</v>
      </c>
      <c r="H4369" s="662" t="s">
        <v>807</v>
      </c>
      <c r="I4369" s="666" t="s">
        <v>859</v>
      </c>
      <c r="J4369" s="667" t="s">
        <v>805</v>
      </c>
      <c r="K4369" s="662">
        <v>5</v>
      </c>
      <c r="L4369" s="685">
        <f t="shared" si="133"/>
        <v>18.8</v>
      </c>
      <c r="M4369" s="686">
        <f t="shared" si="132"/>
        <v>94</v>
      </c>
      <c r="O4369" s="693"/>
    </row>
    <row r="4370" spans="2:15" s="645" customFormat="1" ht="21.75" customHeight="1">
      <c r="B4370" s="661">
        <v>44483</v>
      </c>
      <c r="C4370" s="662" t="s">
        <v>819</v>
      </c>
      <c r="D4370" s="663" t="s">
        <v>877</v>
      </c>
      <c r="E4370" s="664" t="s">
        <v>831</v>
      </c>
      <c r="F4370" s="665"/>
      <c r="G4370" s="663">
        <v>20</v>
      </c>
      <c r="H4370" s="662" t="s">
        <v>807</v>
      </c>
      <c r="I4370" s="666" t="s">
        <v>859</v>
      </c>
      <c r="J4370" s="667" t="s">
        <v>805</v>
      </c>
      <c r="K4370" s="662">
        <v>2</v>
      </c>
      <c r="L4370" s="685">
        <f t="shared" si="133"/>
        <v>18.8</v>
      </c>
      <c r="M4370" s="686">
        <f t="shared" si="132"/>
        <v>37.6</v>
      </c>
      <c r="O4370" s="693"/>
    </row>
    <row r="4371" spans="2:15" s="645" customFormat="1" ht="21.75" customHeight="1">
      <c r="B4371" s="661">
        <v>44483</v>
      </c>
      <c r="C4371" s="662" t="s">
        <v>819</v>
      </c>
      <c r="D4371" s="663" t="s">
        <v>873</v>
      </c>
      <c r="E4371" s="664" t="s">
        <v>831</v>
      </c>
      <c r="F4371" s="665"/>
      <c r="G4371" s="663">
        <v>20</v>
      </c>
      <c r="H4371" s="662" t="s">
        <v>807</v>
      </c>
      <c r="I4371" s="666" t="s">
        <v>859</v>
      </c>
      <c r="J4371" s="667" t="s">
        <v>805</v>
      </c>
      <c r="K4371" s="662">
        <v>3</v>
      </c>
      <c r="L4371" s="685">
        <f t="shared" si="133"/>
        <v>18.8</v>
      </c>
      <c r="M4371" s="686">
        <f t="shared" si="132"/>
        <v>56.400000000000006</v>
      </c>
      <c r="O4371" s="693"/>
    </row>
    <row r="4372" spans="2:15" s="645" customFormat="1" ht="21.75" customHeight="1">
      <c r="B4372" s="661">
        <v>44483</v>
      </c>
      <c r="C4372" s="662" t="s">
        <v>837</v>
      </c>
      <c r="D4372" s="663" t="s">
        <v>834</v>
      </c>
      <c r="E4372" s="664" t="s">
        <v>831</v>
      </c>
      <c r="F4372" s="665"/>
      <c r="G4372" s="663">
        <v>20</v>
      </c>
      <c r="H4372" s="662" t="s">
        <v>807</v>
      </c>
      <c r="I4372" s="666" t="s">
        <v>859</v>
      </c>
      <c r="J4372" s="667" t="s">
        <v>805</v>
      </c>
      <c r="K4372" s="662">
        <v>5</v>
      </c>
      <c r="L4372" s="685">
        <f t="shared" si="133"/>
        <v>18.8</v>
      </c>
      <c r="M4372" s="686">
        <f t="shared" si="132"/>
        <v>94</v>
      </c>
      <c r="O4372" s="693"/>
    </row>
    <row r="4373" spans="2:15" s="645" customFormat="1" ht="21.75" customHeight="1">
      <c r="B4373" s="661">
        <v>44483</v>
      </c>
      <c r="C4373" s="662" t="s">
        <v>837</v>
      </c>
      <c r="D4373" s="663" t="s">
        <v>856</v>
      </c>
      <c r="E4373" s="664" t="s">
        <v>831</v>
      </c>
      <c r="F4373" s="665"/>
      <c r="G4373" s="663">
        <v>20</v>
      </c>
      <c r="H4373" s="662" t="s">
        <v>807</v>
      </c>
      <c r="I4373" s="666" t="s">
        <v>859</v>
      </c>
      <c r="J4373" s="667" t="s">
        <v>805</v>
      </c>
      <c r="K4373" s="662">
        <v>7</v>
      </c>
      <c r="L4373" s="685">
        <f t="shared" si="133"/>
        <v>18.8</v>
      </c>
      <c r="M4373" s="686">
        <f t="shared" si="132"/>
        <v>131.6</v>
      </c>
      <c r="O4373" s="693"/>
    </row>
    <row r="4374" spans="2:15" s="645" customFormat="1" ht="21.75" customHeight="1">
      <c r="B4374" s="661">
        <v>44483</v>
      </c>
      <c r="C4374" s="662" t="s">
        <v>837</v>
      </c>
      <c r="D4374" s="663" t="s">
        <v>855</v>
      </c>
      <c r="E4374" s="664" t="s">
        <v>831</v>
      </c>
      <c r="F4374" s="665"/>
      <c r="G4374" s="663">
        <v>20</v>
      </c>
      <c r="H4374" s="662" t="s">
        <v>807</v>
      </c>
      <c r="I4374" s="666" t="s">
        <v>859</v>
      </c>
      <c r="J4374" s="667" t="s">
        <v>805</v>
      </c>
      <c r="K4374" s="662">
        <v>7</v>
      </c>
      <c r="L4374" s="685">
        <f t="shared" si="133"/>
        <v>18.8</v>
      </c>
      <c r="M4374" s="686">
        <f t="shared" si="132"/>
        <v>131.6</v>
      </c>
      <c r="O4374" s="693"/>
    </row>
    <row r="4375" spans="2:15" s="645" customFormat="1" ht="21.75" customHeight="1">
      <c r="B4375" s="661">
        <v>44483</v>
      </c>
      <c r="C4375" s="662" t="s">
        <v>837</v>
      </c>
      <c r="D4375" s="663" t="s">
        <v>849</v>
      </c>
      <c r="E4375" s="664" t="s">
        <v>831</v>
      </c>
      <c r="F4375" s="665"/>
      <c r="G4375" s="663">
        <v>20</v>
      </c>
      <c r="H4375" s="662" t="s">
        <v>807</v>
      </c>
      <c r="I4375" s="666" t="s">
        <v>859</v>
      </c>
      <c r="J4375" s="667" t="s">
        <v>805</v>
      </c>
      <c r="K4375" s="662">
        <v>5</v>
      </c>
      <c r="L4375" s="685">
        <f t="shared" si="133"/>
        <v>18.8</v>
      </c>
      <c r="M4375" s="686">
        <f t="shared" si="132"/>
        <v>94</v>
      </c>
      <c r="O4375" s="693"/>
    </row>
    <row r="4376" spans="2:15" s="645" customFormat="1" ht="21.75" customHeight="1">
      <c r="B4376" s="661">
        <v>44483</v>
      </c>
      <c r="C4376" s="662" t="s">
        <v>837</v>
      </c>
      <c r="D4376" s="663" t="s">
        <v>835</v>
      </c>
      <c r="E4376" s="664" t="s">
        <v>831</v>
      </c>
      <c r="F4376" s="665"/>
      <c r="G4376" s="663">
        <v>20</v>
      </c>
      <c r="H4376" s="662" t="s">
        <v>807</v>
      </c>
      <c r="I4376" s="666" t="s">
        <v>859</v>
      </c>
      <c r="J4376" s="667" t="s">
        <v>805</v>
      </c>
      <c r="K4376" s="662">
        <v>7</v>
      </c>
      <c r="L4376" s="685">
        <f t="shared" si="133"/>
        <v>18.8</v>
      </c>
      <c r="M4376" s="686">
        <f t="shared" si="132"/>
        <v>131.6</v>
      </c>
      <c r="O4376" s="693"/>
    </row>
    <row r="4377" spans="2:15" s="645" customFormat="1" ht="21.75" customHeight="1">
      <c r="B4377" s="661">
        <v>44483</v>
      </c>
      <c r="C4377" s="662" t="s">
        <v>837</v>
      </c>
      <c r="D4377" s="663" t="s">
        <v>841</v>
      </c>
      <c r="E4377" s="664" t="s">
        <v>831</v>
      </c>
      <c r="F4377" s="665"/>
      <c r="G4377" s="663">
        <v>20</v>
      </c>
      <c r="H4377" s="662" t="s">
        <v>807</v>
      </c>
      <c r="I4377" s="666" t="s">
        <v>859</v>
      </c>
      <c r="J4377" s="667" t="s">
        <v>805</v>
      </c>
      <c r="K4377" s="662">
        <v>8</v>
      </c>
      <c r="L4377" s="685">
        <f t="shared" si="133"/>
        <v>18.8</v>
      </c>
      <c r="M4377" s="686">
        <f t="shared" si="132"/>
        <v>150.4</v>
      </c>
      <c r="O4377" s="693"/>
    </row>
    <row r="4378" spans="2:15" s="645" customFormat="1" ht="21.75" customHeight="1">
      <c r="B4378" s="661">
        <v>44483</v>
      </c>
      <c r="C4378" s="662" t="s">
        <v>837</v>
      </c>
      <c r="D4378" s="663" t="s">
        <v>845</v>
      </c>
      <c r="E4378" s="664" t="s">
        <v>831</v>
      </c>
      <c r="F4378" s="665"/>
      <c r="G4378" s="663">
        <v>17</v>
      </c>
      <c r="H4378" s="662" t="s">
        <v>807</v>
      </c>
      <c r="I4378" s="666" t="s">
        <v>859</v>
      </c>
      <c r="J4378" s="667" t="s">
        <v>805</v>
      </c>
      <c r="K4378" s="662">
        <v>1</v>
      </c>
      <c r="L4378" s="685">
        <f t="shared" si="133"/>
        <v>15.98</v>
      </c>
      <c r="M4378" s="686">
        <f t="shared" si="132"/>
        <v>15.98</v>
      </c>
      <c r="O4378" s="693"/>
    </row>
    <row r="4379" spans="2:15" s="645" customFormat="1" ht="21.75" customHeight="1">
      <c r="B4379" s="661">
        <v>44483</v>
      </c>
      <c r="C4379" s="662" t="s">
        <v>837</v>
      </c>
      <c r="D4379" s="663" t="s">
        <v>847</v>
      </c>
      <c r="E4379" s="664" t="s">
        <v>831</v>
      </c>
      <c r="F4379" s="665"/>
      <c r="G4379" s="663">
        <v>17</v>
      </c>
      <c r="H4379" s="662" t="s">
        <v>807</v>
      </c>
      <c r="I4379" s="666" t="s">
        <v>859</v>
      </c>
      <c r="J4379" s="667" t="s">
        <v>805</v>
      </c>
      <c r="K4379" s="662">
        <v>3</v>
      </c>
      <c r="L4379" s="685">
        <f t="shared" si="133"/>
        <v>15.98</v>
      </c>
      <c r="M4379" s="686">
        <f t="shared" si="132"/>
        <v>47.94</v>
      </c>
      <c r="O4379" s="693"/>
    </row>
    <row r="4380" spans="2:15" s="645" customFormat="1" ht="21.75" customHeight="1">
      <c r="B4380" s="661">
        <v>44483</v>
      </c>
      <c r="C4380" s="662" t="s">
        <v>837</v>
      </c>
      <c r="D4380" s="663" t="s">
        <v>878</v>
      </c>
      <c r="E4380" s="664" t="s">
        <v>831</v>
      </c>
      <c r="F4380" s="665"/>
      <c r="G4380" s="663">
        <v>15</v>
      </c>
      <c r="H4380" s="662" t="s">
        <v>807</v>
      </c>
      <c r="I4380" s="666" t="s">
        <v>859</v>
      </c>
      <c r="J4380" s="667" t="s">
        <v>805</v>
      </c>
      <c r="K4380" s="662">
        <v>6</v>
      </c>
      <c r="L4380" s="685">
        <f t="shared" si="133"/>
        <v>14.1</v>
      </c>
      <c r="M4380" s="686">
        <f t="shared" si="132"/>
        <v>84.6</v>
      </c>
      <c r="O4380" s="693"/>
    </row>
    <row r="4381" spans="2:15" s="645" customFormat="1" ht="21.75" customHeight="1">
      <c r="B4381" s="661">
        <v>44483</v>
      </c>
      <c r="C4381" s="662" t="s">
        <v>837</v>
      </c>
      <c r="D4381" s="663" t="s">
        <v>875</v>
      </c>
      <c r="E4381" s="664" t="s">
        <v>831</v>
      </c>
      <c r="F4381" s="665"/>
      <c r="G4381" s="663">
        <v>20</v>
      </c>
      <c r="H4381" s="662" t="s">
        <v>807</v>
      </c>
      <c r="I4381" s="666" t="s">
        <v>859</v>
      </c>
      <c r="J4381" s="667" t="s">
        <v>805</v>
      </c>
      <c r="K4381" s="662">
        <v>9</v>
      </c>
      <c r="L4381" s="685">
        <f t="shared" si="133"/>
        <v>18.8</v>
      </c>
      <c r="M4381" s="686">
        <f t="shared" si="132"/>
        <v>169.20000000000002</v>
      </c>
      <c r="O4381" s="693"/>
    </row>
    <row r="4382" spans="2:15" s="645" customFormat="1" ht="21.75" customHeight="1">
      <c r="B4382" s="661">
        <v>44483</v>
      </c>
      <c r="C4382" s="662" t="s">
        <v>837</v>
      </c>
      <c r="D4382" s="663" t="s">
        <v>876</v>
      </c>
      <c r="E4382" s="664" t="s">
        <v>831</v>
      </c>
      <c r="F4382" s="665"/>
      <c r="G4382" s="663">
        <v>20</v>
      </c>
      <c r="H4382" s="662" t="s">
        <v>807</v>
      </c>
      <c r="I4382" s="666" t="s">
        <v>859</v>
      </c>
      <c r="J4382" s="667" t="s">
        <v>805</v>
      </c>
      <c r="K4382" s="662">
        <v>5</v>
      </c>
      <c r="L4382" s="685">
        <f t="shared" si="133"/>
        <v>18.8</v>
      </c>
      <c r="M4382" s="686">
        <f t="shared" si="132"/>
        <v>94</v>
      </c>
      <c r="O4382" s="693"/>
    </row>
    <row r="4383" spans="2:15" s="645" customFormat="1" ht="21.75" customHeight="1">
      <c r="B4383" s="661">
        <v>44483</v>
      </c>
      <c r="C4383" s="662" t="s">
        <v>837</v>
      </c>
      <c r="D4383" s="663" t="s">
        <v>877</v>
      </c>
      <c r="E4383" s="664" t="s">
        <v>831</v>
      </c>
      <c r="F4383" s="665"/>
      <c r="G4383" s="663">
        <v>20</v>
      </c>
      <c r="H4383" s="662" t="s">
        <v>807</v>
      </c>
      <c r="I4383" s="666" t="s">
        <v>859</v>
      </c>
      <c r="J4383" s="667" t="s">
        <v>805</v>
      </c>
      <c r="K4383" s="662">
        <v>12</v>
      </c>
      <c r="L4383" s="685">
        <f t="shared" si="133"/>
        <v>18.8</v>
      </c>
      <c r="M4383" s="686">
        <f t="shared" si="132"/>
        <v>225.60000000000002</v>
      </c>
      <c r="O4383" s="693"/>
    </row>
    <row r="4384" spans="2:15" s="645" customFormat="1" ht="21.75" customHeight="1">
      <c r="B4384" s="661">
        <v>44483</v>
      </c>
      <c r="C4384" s="662" t="s">
        <v>837</v>
      </c>
      <c r="D4384" s="663" t="s">
        <v>870</v>
      </c>
      <c r="E4384" s="664" t="s">
        <v>831</v>
      </c>
      <c r="F4384" s="665"/>
      <c r="G4384" s="663">
        <v>20</v>
      </c>
      <c r="H4384" s="662" t="s">
        <v>807</v>
      </c>
      <c r="I4384" s="666" t="s">
        <v>859</v>
      </c>
      <c r="J4384" s="667" t="s">
        <v>805</v>
      </c>
      <c r="K4384" s="662">
        <v>6</v>
      </c>
      <c r="L4384" s="685">
        <f t="shared" si="133"/>
        <v>18.8</v>
      </c>
      <c r="M4384" s="686">
        <f t="shared" si="132"/>
        <v>112.80000000000001</v>
      </c>
      <c r="O4384" s="693"/>
    </row>
    <row r="4385" spans="2:15" s="645" customFormat="1" ht="21.75" customHeight="1">
      <c r="B4385" s="708">
        <v>44483</v>
      </c>
      <c r="C4385" s="709" t="s">
        <v>819</v>
      </c>
      <c r="D4385" s="710" t="s">
        <v>840</v>
      </c>
      <c r="E4385" s="711" t="s">
        <v>831</v>
      </c>
      <c r="F4385" s="712"/>
      <c r="G4385" s="710">
        <v>20</v>
      </c>
      <c r="H4385" s="709" t="s">
        <v>807</v>
      </c>
      <c r="I4385" s="713" t="s">
        <v>859</v>
      </c>
      <c r="J4385" s="714" t="s">
        <v>802</v>
      </c>
      <c r="K4385" s="709">
        <v>1</v>
      </c>
      <c r="L4385" s="715">
        <f t="shared" si="133"/>
        <v>18.8</v>
      </c>
      <c r="M4385" s="716">
        <f t="shared" si="132"/>
        <v>18.8</v>
      </c>
      <c r="O4385" s="693"/>
    </row>
    <row r="4386" spans="2:15" s="645" customFormat="1" ht="21.75" customHeight="1">
      <c r="B4386" s="708">
        <v>44483</v>
      </c>
      <c r="C4386" s="709" t="s">
        <v>819</v>
      </c>
      <c r="D4386" s="710" t="s">
        <v>833</v>
      </c>
      <c r="E4386" s="711" t="s">
        <v>831</v>
      </c>
      <c r="F4386" s="712"/>
      <c r="G4386" s="710">
        <v>15</v>
      </c>
      <c r="H4386" s="709" t="s">
        <v>807</v>
      </c>
      <c r="I4386" s="713" t="s">
        <v>859</v>
      </c>
      <c r="J4386" s="714" t="s">
        <v>802</v>
      </c>
      <c r="K4386" s="709">
        <v>1</v>
      </c>
      <c r="L4386" s="715">
        <f t="shared" si="133"/>
        <v>14.1</v>
      </c>
      <c r="M4386" s="716">
        <f t="shared" si="132"/>
        <v>14.1</v>
      </c>
      <c r="O4386" s="693"/>
    </row>
    <row r="4387" spans="2:15" s="645" customFormat="1" ht="21.75" customHeight="1">
      <c r="B4387" s="708">
        <v>44483</v>
      </c>
      <c r="C4387" s="709" t="s">
        <v>819</v>
      </c>
      <c r="D4387" s="710" t="s">
        <v>830</v>
      </c>
      <c r="E4387" s="711" t="s">
        <v>831</v>
      </c>
      <c r="F4387" s="712"/>
      <c r="G4387" s="710">
        <v>15</v>
      </c>
      <c r="H4387" s="709" t="s">
        <v>807</v>
      </c>
      <c r="I4387" s="713" t="s">
        <v>859</v>
      </c>
      <c r="J4387" s="714" t="s">
        <v>802</v>
      </c>
      <c r="K4387" s="709">
        <v>1</v>
      </c>
      <c r="L4387" s="715">
        <f t="shared" si="133"/>
        <v>14.1</v>
      </c>
      <c r="M4387" s="716">
        <f t="shared" si="132"/>
        <v>14.1</v>
      </c>
      <c r="O4387" s="693"/>
    </row>
    <row r="4388" spans="2:15" s="645" customFormat="1" ht="21.75" customHeight="1">
      <c r="B4388" s="708">
        <v>44483</v>
      </c>
      <c r="C4388" s="709" t="s">
        <v>819</v>
      </c>
      <c r="D4388" s="710" t="s">
        <v>850</v>
      </c>
      <c r="E4388" s="711" t="s">
        <v>831</v>
      </c>
      <c r="F4388" s="712"/>
      <c r="G4388" s="710">
        <v>15</v>
      </c>
      <c r="H4388" s="709" t="s">
        <v>807</v>
      </c>
      <c r="I4388" s="713" t="s">
        <v>859</v>
      </c>
      <c r="J4388" s="714" t="s">
        <v>802</v>
      </c>
      <c r="K4388" s="709">
        <v>1</v>
      </c>
      <c r="L4388" s="715">
        <f t="shared" si="133"/>
        <v>14.1</v>
      </c>
      <c r="M4388" s="716">
        <f t="shared" si="132"/>
        <v>14.1</v>
      </c>
      <c r="O4388" s="693"/>
    </row>
    <row r="4389" spans="2:15" s="645" customFormat="1" ht="21.75" customHeight="1">
      <c r="B4389" s="708">
        <v>44483</v>
      </c>
      <c r="C4389" s="709" t="s">
        <v>819</v>
      </c>
      <c r="D4389" s="710" t="s">
        <v>839</v>
      </c>
      <c r="E4389" s="711" t="s">
        <v>831</v>
      </c>
      <c r="F4389" s="712"/>
      <c r="G4389" s="710">
        <v>15</v>
      </c>
      <c r="H4389" s="709" t="s">
        <v>807</v>
      </c>
      <c r="I4389" s="713" t="s">
        <v>859</v>
      </c>
      <c r="J4389" s="714" t="s">
        <v>802</v>
      </c>
      <c r="K4389" s="709">
        <v>1</v>
      </c>
      <c r="L4389" s="715">
        <f t="shared" si="133"/>
        <v>14.1</v>
      </c>
      <c r="M4389" s="716">
        <f t="shared" si="132"/>
        <v>14.1</v>
      </c>
      <c r="O4389" s="693"/>
    </row>
    <row r="4390" spans="2:15" s="645" customFormat="1" ht="21.75" customHeight="1">
      <c r="B4390" s="708">
        <v>44483</v>
      </c>
      <c r="C4390" s="709" t="s">
        <v>819</v>
      </c>
      <c r="D4390" s="710" t="s">
        <v>878</v>
      </c>
      <c r="E4390" s="711" t="s">
        <v>831</v>
      </c>
      <c r="F4390" s="712"/>
      <c r="G4390" s="710">
        <v>15</v>
      </c>
      <c r="H4390" s="709" t="s">
        <v>807</v>
      </c>
      <c r="I4390" s="713" t="s">
        <v>859</v>
      </c>
      <c r="J4390" s="714" t="s">
        <v>802</v>
      </c>
      <c r="K4390" s="709">
        <v>1</v>
      </c>
      <c r="L4390" s="715">
        <f t="shared" si="133"/>
        <v>14.1</v>
      </c>
      <c r="M4390" s="716">
        <f t="shared" si="132"/>
        <v>14.1</v>
      </c>
      <c r="O4390" s="693"/>
    </row>
    <row r="4391" spans="2:15" s="645" customFormat="1" ht="21.75" customHeight="1">
      <c r="B4391" s="708">
        <v>44483</v>
      </c>
      <c r="C4391" s="709" t="s">
        <v>819</v>
      </c>
      <c r="D4391" s="710" t="s">
        <v>855</v>
      </c>
      <c r="E4391" s="711" t="s">
        <v>831</v>
      </c>
      <c r="F4391" s="712"/>
      <c r="G4391" s="710">
        <v>20</v>
      </c>
      <c r="H4391" s="709" t="s">
        <v>807</v>
      </c>
      <c r="I4391" s="713" t="s">
        <v>859</v>
      </c>
      <c r="J4391" s="714" t="s">
        <v>802</v>
      </c>
      <c r="K4391" s="709">
        <v>1</v>
      </c>
      <c r="L4391" s="715">
        <f t="shared" si="133"/>
        <v>18.8</v>
      </c>
      <c r="M4391" s="716">
        <f t="shared" ref="M4391:M4454" si="134">L4391*K4391</f>
        <v>18.8</v>
      </c>
      <c r="O4391" s="693"/>
    </row>
    <row r="4392" spans="2:15" s="645" customFormat="1" ht="21.75" customHeight="1">
      <c r="B4392" s="708">
        <v>44483</v>
      </c>
      <c r="C4392" s="709" t="s">
        <v>819</v>
      </c>
      <c r="D4392" s="710" t="s">
        <v>867</v>
      </c>
      <c r="E4392" s="711" t="s">
        <v>831</v>
      </c>
      <c r="F4392" s="712"/>
      <c r="G4392" s="710">
        <v>20</v>
      </c>
      <c r="H4392" s="709" t="s">
        <v>807</v>
      </c>
      <c r="I4392" s="713" t="s">
        <v>859</v>
      </c>
      <c r="J4392" s="714" t="s">
        <v>802</v>
      </c>
      <c r="K4392" s="709">
        <v>1</v>
      </c>
      <c r="L4392" s="715">
        <f t="shared" si="133"/>
        <v>18.8</v>
      </c>
      <c r="M4392" s="716">
        <f t="shared" si="134"/>
        <v>18.8</v>
      </c>
      <c r="O4392" s="693"/>
    </row>
    <row r="4393" spans="2:15" s="645" customFormat="1" ht="21.75" customHeight="1">
      <c r="B4393" s="708">
        <v>44483</v>
      </c>
      <c r="C4393" s="709" t="s">
        <v>819</v>
      </c>
      <c r="D4393" s="710" t="s">
        <v>877</v>
      </c>
      <c r="E4393" s="711" t="s">
        <v>831</v>
      </c>
      <c r="F4393" s="712"/>
      <c r="G4393" s="710">
        <v>20</v>
      </c>
      <c r="H4393" s="709" t="s">
        <v>807</v>
      </c>
      <c r="I4393" s="713" t="s">
        <v>859</v>
      </c>
      <c r="J4393" s="714" t="s">
        <v>802</v>
      </c>
      <c r="K4393" s="709">
        <v>1</v>
      </c>
      <c r="L4393" s="715">
        <f t="shared" si="133"/>
        <v>18.8</v>
      </c>
      <c r="M4393" s="716">
        <f t="shared" si="134"/>
        <v>18.8</v>
      </c>
      <c r="O4393" s="693"/>
    </row>
    <row r="4394" spans="2:15" s="645" customFormat="1" ht="21.75" customHeight="1">
      <c r="B4394" s="708">
        <v>44483</v>
      </c>
      <c r="C4394" s="709" t="s">
        <v>837</v>
      </c>
      <c r="D4394" s="710" t="s">
        <v>834</v>
      </c>
      <c r="E4394" s="711" t="s">
        <v>831</v>
      </c>
      <c r="F4394" s="712"/>
      <c r="G4394" s="710">
        <v>20</v>
      </c>
      <c r="H4394" s="709" t="s">
        <v>807</v>
      </c>
      <c r="I4394" s="713" t="s">
        <v>859</v>
      </c>
      <c r="J4394" s="714" t="s">
        <v>802</v>
      </c>
      <c r="K4394" s="709">
        <v>6</v>
      </c>
      <c r="L4394" s="715">
        <f t="shared" si="133"/>
        <v>18.8</v>
      </c>
      <c r="M4394" s="716">
        <f t="shared" si="134"/>
        <v>112.80000000000001</v>
      </c>
      <c r="O4394" s="693"/>
    </row>
    <row r="4395" spans="2:15" s="645" customFormat="1" ht="21.75" customHeight="1">
      <c r="B4395" s="708">
        <v>44483</v>
      </c>
      <c r="C4395" s="709" t="s">
        <v>837</v>
      </c>
      <c r="D4395" s="710" t="s">
        <v>856</v>
      </c>
      <c r="E4395" s="711" t="s">
        <v>831</v>
      </c>
      <c r="F4395" s="712"/>
      <c r="G4395" s="710">
        <v>20</v>
      </c>
      <c r="H4395" s="709" t="s">
        <v>807</v>
      </c>
      <c r="I4395" s="713" t="s">
        <v>859</v>
      </c>
      <c r="J4395" s="714" t="s">
        <v>802</v>
      </c>
      <c r="K4395" s="709">
        <v>3</v>
      </c>
      <c r="L4395" s="715">
        <f t="shared" si="133"/>
        <v>18.8</v>
      </c>
      <c r="M4395" s="716">
        <f t="shared" si="134"/>
        <v>56.400000000000006</v>
      </c>
      <c r="O4395" s="693"/>
    </row>
    <row r="4396" spans="2:15" s="645" customFormat="1" ht="21.75" customHeight="1">
      <c r="B4396" s="708">
        <v>44483</v>
      </c>
      <c r="C4396" s="709" t="s">
        <v>837</v>
      </c>
      <c r="D4396" s="710" t="s">
        <v>855</v>
      </c>
      <c r="E4396" s="711" t="s">
        <v>831</v>
      </c>
      <c r="F4396" s="712"/>
      <c r="G4396" s="710">
        <v>20</v>
      </c>
      <c r="H4396" s="709" t="s">
        <v>807</v>
      </c>
      <c r="I4396" s="713" t="s">
        <v>859</v>
      </c>
      <c r="J4396" s="714" t="s">
        <v>802</v>
      </c>
      <c r="K4396" s="709">
        <v>3</v>
      </c>
      <c r="L4396" s="715">
        <f t="shared" si="133"/>
        <v>18.8</v>
      </c>
      <c r="M4396" s="716">
        <f t="shared" si="134"/>
        <v>56.400000000000006</v>
      </c>
      <c r="O4396" s="693"/>
    </row>
    <row r="4397" spans="2:15" s="645" customFormat="1" ht="21.75" customHeight="1">
      <c r="B4397" s="708">
        <v>44483</v>
      </c>
      <c r="C4397" s="709" t="s">
        <v>837</v>
      </c>
      <c r="D4397" s="710" t="s">
        <v>849</v>
      </c>
      <c r="E4397" s="711" t="s">
        <v>831</v>
      </c>
      <c r="F4397" s="712"/>
      <c r="G4397" s="710">
        <v>20</v>
      </c>
      <c r="H4397" s="709" t="s">
        <v>807</v>
      </c>
      <c r="I4397" s="713" t="s">
        <v>859</v>
      </c>
      <c r="J4397" s="714" t="s">
        <v>802</v>
      </c>
      <c r="K4397" s="709">
        <v>6</v>
      </c>
      <c r="L4397" s="715">
        <f t="shared" si="133"/>
        <v>18.8</v>
      </c>
      <c r="M4397" s="716">
        <f t="shared" si="134"/>
        <v>112.80000000000001</v>
      </c>
      <c r="O4397" s="693"/>
    </row>
    <row r="4398" spans="2:15" s="645" customFormat="1" ht="21.75" customHeight="1">
      <c r="B4398" s="708">
        <v>44483</v>
      </c>
      <c r="C4398" s="709" t="s">
        <v>837</v>
      </c>
      <c r="D4398" s="710" t="s">
        <v>835</v>
      </c>
      <c r="E4398" s="711" t="s">
        <v>831</v>
      </c>
      <c r="F4398" s="712"/>
      <c r="G4398" s="710">
        <v>20</v>
      </c>
      <c r="H4398" s="709" t="s">
        <v>807</v>
      </c>
      <c r="I4398" s="713" t="s">
        <v>859</v>
      </c>
      <c r="J4398" s="714" t="s">
        <v>802</v>
      </c>
      <c r="K4398" s="709">
        <v>4</v>
      </c>
      <c r="L4398" s="715">
        <f t="shared" si="133"/>
        <v>18.8</v>
      </c>
      <c r="M4398" s="716">
        <f t="shared" si="134"/>
        <v>75.2</v>
      </c>
      <c r="O4398" s="693"/>
    </row>
    <row r="4399" spans="2:15" s="645" customFormat="1" ht="21.75" customHeight="1">
      <c r="B4399" s="708">
        <v>44483</v>
      </c>
      <c r="C4399" s="709" t="s">
        <v>837</v>
      </c>
      <c r="D4399" s="710" t="s">
        <v>841</v>
      </c>
      <c r="E4399" s="711" t="s">
        <v>831</v>
      </c>
      <c r="F4399" s="712"/>
      <c r="G4399" s="710">
        <v>20</v>
      </c>
      <c r="H4399" s="709" t="s">
        <v>807</v>
      </c>
      <c r="I4399" s="713" t="s">
        <v>859</v>
      </c>
      <c r="J4399" s="714" t="s">
        <v>802</v>
      </c>
      <c r="K4399" s="709">
        <v>2</v>
      </c>
      <c r="L4399" s="715">
        <f t="shared" si="133"/>
        <v>18.8</v>
      </c>
      <c r="M4399" s="716">
        <f t="shared" si="134"/>
        <v>37.6</v>
      </c>
      <c r="O4399" s="693"/>
    </row>
    <row r="4400" spans="2:15" s="645" customFormat="1" ht="21.75" customHeight="1">
      <c r="B4400" s="708">
        <v>44483</v>
      </c>
      <c r="C4400" s="709" t="s">
        <v>837</v>
      </c>
      <c r="D4400" s="710" t="s">
        <v>845</v>
      </c>
      <c r="E4400" s="711" t="s">
        <v>831</v>
      </c>
      <c r="F4400" s="712"/>
      <c r="G4400" s="710">
        <v>17</v>
      </c>
      <c r="H4400" s="709" t="s">
        <v>807</v>
      </c>
      <c r="I4400" s="713" t="s">
        <v>859</v>
      </c>
      <c r="J4400" s="714" t="s">
        <v>802</v>
      </c>
      <c r="K4400" s="709">
        <v>10</v>
      </c>
      <c r="L4400" s="715">
        <f t="shared" si="133"/>
        <v>15.98</v>
      </c>
      <c r="M4400" s="716">
        <f t="shared" si="134"/>
        <v>159.80000000000001</v>
      </c>
      <c r="O4400" s="693"/>
    </row>
    <row r="4401" spans="2:15" s="645" customFormat="1" ht="21.75" customHeight="1">
      <c r="B4401" s="708">
        <v>44483</v>
      </c>
      <c r="C4401" s="709" t="s">
        <v>837</v>
      </c>
      <c r="D4401" s="710" t="s">
        <v>847</v>
      </c>
      <c r="E4401" s="711" t="s">
        <v>831</v>
      </c>
      <c r="F4401" s="712"/>
      <c r="G4401" s="710">
        <v>17</v>
      </c>
      <c r="H4401" s="709" t="s">
        <v>807</v>
      </c>
      <c r="I4401" s="713" t="s">
        <v>859</v>
      </c>
      <c r="J4401" s="714" t="s">
        <v>802</v>
      </c>
      <c r="K4401" s="709">
        <v>8</v>
      </c>
      <c r="L4401" s="715">
        <f t="shared" si="133"/>
        <v>15.98</v>
      </c>
      <c r="M4401" s="716">
        <f t="shared" si="134"/>
        <v>127.84</v>
      </c>
      <c r="O4401" s="693"/>
    </row>
    <row r="4402" spans="2:15" s="645" customFormat="1" ht="21.75" customHeight="1">
      <c r="B4402" s="708">
        <v>44483</v>
      </c>
      <c r="C4402" s="709" t="s">
        <v>837</v>
      </c>
      <c r="D4402" s="710" t="s">
        <v>878</v>
      </c>
      <c r="E4402" s="711" t="s">
        <v>831</v>
      </c>
      <c r="F4402" s="712"/>
      <c r="G4402" s="710">
        <v>15</v>
      </c>
      <c r="H4402" s="709" t="s">
        <v>807</v>
      </c>
      <c r="I4402" s="713" t="s">
        <v>859</v>
      </c>
      <c r="J4402" s="714" t="s">
        <v>802</v>
      </c>
      <c r="K4402" s="709">
        <v>4</v>
      </c>
      <c r="L4402" s="715">
        <f t="shared" si="133"/>
        <v>14.1</v>
      </c>
      <c r="M4402" s="716">
        <f t="shared" si="134"/>
        <v>56.4</v>
      </c>
      <c r="O4402" s="693"/>
    </row>
    <row r="4403" spans="2:15" s="645" customFormat="1" ht="21.75" customHeight="1">
      <c r="B4403" s="708">
        <v>44483</v>
      </c>
      <c r="C4403" s="709" t="s">
        <v>837</v>
      </c>
      <c r="D4403" s="710" t="s">
        <v>875</v>
      </c>
      <c r="E4403" s="711" t="s">
        <v>831</v>
      </c>
      <c r="F4403" s="712"/>
      <c r="G4403" s="710">
        <v>20</v>
      </c>
      <c r="H4403" s="709" t="s">
        <v>807</v>
      </c>
      <c r="I4403" s="713" t="s">
        <v>859</v>
      </c>
      <c r="J4403" s="714" t="s">
        <v>802</v>
      </c>
      <c r="K4403" s="709">
        <v>2</v>
      </c>
      <c r="L4403" s="715">
        <f t="shared" si="133"/>
        <v>18.8</v>
      </c>
      <c r="M4403" s="716">
        <f t="shared" si="134"/>
        <v>37.6</v>
      </c>
      <c r="O4403" s="693"/>
    </row>
    <row r="4404" spans="2:15" s="645" customFormat="1" ht="21.75" customHeight="1">
      <c r="B4404" s="708">
        <v>44483</v>
      </c>
      <c r="C4404" s="709" t="s">
        <v>837</v>
      </c>
      <c r="D4404" s="710" t="s">
        <v>876</v>
      </c>
      <c r="E4404" s="711" t="s">
        <v>831</v>
      </c>
      <c r="F4404" s="712"/>
      <c r="G4404" s="710">
        <v>20</v>
      </c>
      <c r="H4404" s="709" t="s">
        <v>807</v>
      </c>
      <c r="I4404" s="713" t="s">
        <v>859</v>
      </c>
      <c r="J4404" s="714" t="s">
        <v>802</v>
      </c>
      <c r="K4404" s="709">
        <v>4</v>
      </c>
      <c r="L4404" s="715">
        <f t="shared" si="133"/>
        <v>18.8</v>
      </c>
      <c r="M4404" s="716">
        <f t="shared" si="134"/>
        <v>75.2</v>
      </c>
      <c r="O4404" s="693"/>
    </row>
    <row r="4405" spans="2:15" s="645" customFormat="1" ht="21.75" customHeight="1">
      <c r="B4405" s="708">
        <v>44483</v>
      </c>
      <c r="C4405" s="709" t="s">
        <v>837</v>
      </c>
      <c r="D4405" s="710" t="s">
        <v>870</v>
      </c>
      <c r="E4405" s="711" t="s">
        <v>831</v>
      </c>
      <c r="F4405" s="712"/>
      <c r="G4405" s="710">
        <v>20</v>
      </c>
      <c r="H4405" s="709" t="s">
        <v>807</v>
      </c>
      <c r="I4405" s="713" t="s">
        <v>859</v>
      </c>
      <c r="J4405" s="714" t="s">
        <v>802</v>
      </c>
      <c r="K4405" s="709">
        <v>4</v>
      </c>
      <c r="L4405" s="715">
        <f t="shared" si="133"/>
        <v>18.8</v>
      </c>
      <c r="M4405" s="716">
        <f t="shared" si="134"/>
        <v>75.2</v>
      </c>
      <c r="O4405" s="693"/>
    </row>
    <row r="4406" spans="2:15" s="645" customFormat="1" ht="21.75" customHeight="1">
      <c r="B4406" s="661">
        <v>44484</v>
      </c>
      <c r="C4406" s="662" t="s">
        <v>819</v>
      </c>
      <c r="D4406" s="663" t="s">
        <v>849</v>
      </c>
      <c r="E4406" s="664" t="s">
        <v>831</v>
      </c>
      <c r="F4406" s="665"/>
      <c r="G4406" s="663">
        <v>20</v>
      </c>
      <c r="H4406" s="662" t="s">
        <v>807</v>
      </c>
      <c r="I4406" s="666" t="s">
        <v>859</v>
      </c>
      <c r="J4406" s="667" t="s">
        <v>805</v>
      </c>
      <c r="K4406" s="662">
        <v>2</v>
      </c>
      <c r="L4406" s="685">
        <f t="shared" si="133"/>
        <v>18.8</v>
      </c>
      <c r="M4406" s="686">
        <f t="shared" si="134"/>
        <v>37.6</v>
      </c>
      <c r="O4406" s="693"/>
    </row>
    <row r="4407" spans="2:15" s="645" customFormat="1" ht="21.75" customHeight="1">
      <c r="B4407" s="661">
        <v>44484</v>
      </c>
      <c r="C4407" s="662" t="s">
        <v>819</v>
      </c>
      <c r="D4407" s="663" t="s">
        <v>835</v>
      </c>
      <c r="E4407" s="664" t="s">
        <v>831</v>
      </c>
      <c r="F4407" s="665"/>
      <c r="G4407" s="663">
        <v>20</v>
      </c>
      <c r="H4407" s="662" t="s">
        <v>807</v>
      </c>
      <c r="I4407" s="666" t="s">
        <v>859</v>
      </c>
      <c r="J4407" s="667" t="s">
        <v>805</v>
      </c>
      <c r="K4407" s="662">
        <v>3</v>
      </c>
      <c r="L4407" s="685">
        <f t="shared" si="133"/>
        <v>18.8</v>
      </c>
      <c r="M4407" s="686">
        <f t="shared" si="134"/>
        <v>56.400000000000006</v>
      </c>
      <c r="O4407" s="693"/>
    </row>
    <row r="4408" spans="2:15" s="645" customFormat="1" ht="21.75" customHeight="1">
      <c r="B4408" s="661">
        <v>44484</v>
      </c>
      <c r="C4408" s="662" t="s">
        <v>819</v>
      </c>
      <c r="D4408" s="663" t="s">
        <v>841</v>
      </c>
      <c r="E4408" s="664" t="s">
        <v>831</v>
      </c>
      <c r="F4408" s="665"/>
      <c r="G4408" s="663">
        <v>20</v>
      </c>
      <c r="H4408" s="662" t="s">
        <v>807</v>
      </c>
      <c r="I4408" s="666" t="s">
        <v>859</v>
      </c>
      <c r="J4408" s="667" t="s">
        <v>805</v>
      </c>
      <c r="K4408" s="662">
        <v>2</v>
      </c>
      <c r="L4408" s="685">
        <f t="shared" si="133"/>
        <v>18.8</v>
      </c>
      <c r="M4408" s="686">
        <f t="shared" si="134"/>
        <v>37.6</v>
      </c>
      <c r="O4408" s="693"/>
    </row>
    <row r="4409" spans="2:15" s="645" customFormat="1" ht="21.75" customHeight="1">
      <c r="B4409" s="661">
        <v>44484</v>
      </c>
      <c r="C4409" s="662" t="s">
        <v>819</v>
      </c>
      <c r="D4409" s="663" t="s">
        <v>834</v>
      </c>
      <c r="E4409" s="664" t="s">
        <v>831</v>
      </c>
      <c r="F4409" s="665"/>
      <c r="G4409" s="663">
        <v>20</v>
      </c>
      <c r="H4409" s="662" t="s">
        <v>807</v>
      </c>
      <c r="I4409" s="666" t="s">
        <v>859</v>
      </c>
      <c r="J4409" s="667" t="s">
        <v>805</v>
      </c>
      <c r="K4409" s="662">
        <v>6</v>
      </c>
      <c r="L4409" s="685">
        <f t="shared" si="133"/>
        <v>18.8</v>
      </c>
      <c r="M4409" s="686">
        <f t="shared" si="134"/>
        <v>112.80000000000001</v>
      </c>
      <c r="O4409" s="693"/>
    </row>
    <row r="4410" spans="2:15" s="645" customFormat="1" ht="21.75" customHeight="1">
      <c r="B4410" s="661">
        <v>44484</v>
      </c>
      <c r="C4410" s="662" t="s">
        <v>819</v>
      </c>
      <c r="D4410" s="663" t="s">
        <v>830</v>
      </c>
      <c r="E4410" s="664" t="s">
        <v>831</v>
      </c>
      <c r="F4410" s="665"/>
      <c r="G4410" s="663">
        <v>15</v>
      </c>
      <c r="H4410" s="662" t="s">
        <v>807</v>
      </c>
      <c r="I4410" s="666" t="s">
        <v>859</v>
      </c>
      <c r="J4410" s="667" t="s">
        <v>805</v>
      </c>
      <c r="K4410" s="662">
        <v>2</v>
      </c>
      <c r="L4410" s="685">
        <f t="shared" si="133"/>
        <v>14.1</v>
      </c>
      <c r="M4410" s="686">
        <f t="shared" si="134"/>
        <v>28.2</v>
      </c>
      <c r="O4410" s="693"/>
    </row>
    <row r="4411" spans="2:15" s="645" customFormat="1" ht="21.75" customHeight="1">
      <c r="B4411" s="661">
        <v>44484</v>
      </c>
      <c r="C4411" s="662" t="s">
        <v>819</v>
      </c>
      <c r="D4411" s="663" t="s">
        <v>850</v>
      </c>
      <c r="E4411" s="664" t="s">
        <v>831</v>
      </c>
      <c r="F4411" s="665"/>
      <c r="G4411" s="663">
        <v>15</v>
      </c>
      <c r="H4411" s="662" t="s">
        <v>807</v>
      </c>
      <c r="I4411" s="666" t="s">
        <v>859</v>
      </c>
      <c r="J4411" s="667" t="s">
        <v>805</v>
      </c>
      <c r="K4411" s="662">
        <v>2</v>
      </c>
      <c r="L4411" s="685">
        <f t="shared" si="133"/>
        <v>14.1</v>
      </c>
      <c r="M4411" s="686">
        <f t="shared" si="134"/>
        <v>28.2</v>
      </c>
      <c r="O4411" s="693"/>
    </row>
    <row r="4412" spans="2:15" s="645" customFormat="1" ht="21.75" customHeight="1">
      <c r="B4412" s="661">
        <v>44484</v>
      </c>
      <c r="C4412" s="662" t="s">
        <v>819</v>
      </c>
      <c r="D4412" s="663" t="s">
        <v>839</v>
      </c>
      <c r="E4412" s="664" t="s">
        <v>831</v>
      </c>
      <c r="F4412" s="665"/>
      <c r="G4412" s="663">
        <v>15</v>
      </c>
      <c r="H4412" s="662" t="s">
        <v>807</v>
      </c>
      <c r="I4412" s="666" t="s">
        <v>859</v>
      </c>
      <c r="J4412" s="667" t="s">
        <v>805</v>
      </c>
      <c r="K4412" s="662">
        <v>4</v>
      </c>
      <c r="L4412" s="685">
        <f t="shared" si="133"/>
        <v>14.1</v>
      </c>
      <c r="M4412" s="686">
        <f t="shared" si="134"/>
        <v>56.4</v>
      </c>
      <c r="O4412" s="693"/>
    </row>
    <row r="4413" spans="2:15" s="645" customFormat="1" ht="21.75" customHeight="1">
      <c r="B4413" s="661">
        <v>44484</v>
      </c>
      <c r="C4413" s="662" t="s">
        <v>819</v>
      </c>
      <c r="D4413" s="663" t="s">
        <v>845</v>
      </c>
      <c r="E4413" s="664" t="s">
        <v>831</v>
      </c>
      <c r="F4413" s="665"/>
      <c r="G4413" s="663">
        <v>17</v>
      </c>
      <c r="H4413" s="662" t="s">
        <v>807</v>
      </c>
      <c r="I4413" s="666" t="s">
        <v>859</v>
      </c>
      <c r="J4413" s="667" t="s">
        <v>805</v>
      </c>
      <c r="K4413" s="662">
        <v>2</v>
      </c>
      <c r="L4413" s="685">
        <f t="shared" si="133"/>
        <v>15.98</v>
      </c>
      <c r="M4413" s="686">
        <f t="shared" si="134"/>
        <v>31.96</v>
      </c>
      <c r="O4413" s="693"/>
    </row>
    <row r="4414" spans="2:15" s="645" customFormat="1" ht="21.75" customHeight="1">
      <c r="B4414" s="661">
        <v>44484</v>
      </c>
      <c r="C4414" s="662" t="s">
        <v>819</v>
      </c>
      <c r="D4414" s="663" t="s">
        <v>847</v>
      </c>
      <c r="E4414" s="664" t="s">
        <v>831</v>
      </c>
      <c r="F4414" s="665"/>
      <c r="G4414" s="663">
        <v>17</v>
      </c>
      <c r="H4414" s="662" t="s">
        <v>807</v>
      </c>
      <c r="I4414" s="666" t="s">
        <v>859</v>
      </c>
      <c r="J4414" s="667" t="s">
        <v>805</v>
      </c>
      <c r="K4414" s="662">
        <v>7</v>
      </c>
      <c r="L4414" s="685">
        <f t="shared" si="133"/>
        <v>15.98</v>
      </c>
      <c r="M4414" s="686">
        <f t="shared" si="134"/>
        <v>111.86</v>
      </c>
      <c r="O4414" s="693"/>
    </row>
    <row r="4415" spans="2:15" s="645" customFormat="1" ht="21.75" customHeight="1">
      <c r="B4415" s="661">
        <v>44484</v>
      </c>
      <c r="C4415" s="662" t="s">
        <v>819</v>
      </c>
      <c r="D4415" s="663" t="s">
        <v>856</v>
      </c>
      <c r="E4415" s="664" t="s">
        <v>831</v>
      </c>
      <c r="F4415" s="665"/>
      <c r="G4415" s="663">
        <v>20</v>
      </c>
      <c r="H4415" s="662" t="s">
        <v>807</v>
      </c>
      <c r="I4415" s="666" t="s">
        <v>859</v>
      </c>
      <c r="J4415" s="667" t="s">
        <v>805</v>
      </c>
      <c r="K4415" s="662">
        <v>3</v>
      </c>
      <c r="L4415" s="685">
        <f t="shared" si="133"/>
        <v>18.8</v>
      </c>
      <c r="M4415" s="686">
        <f t="shared" si="134"/>
        <v>56.400000000000006</v>
      </c>
      <c r="O4415" s="693"/>
    </row>
    <row r="4416" spans="2:15" s="645" customFormat="1" ht="21.75" customHeight="1">
      <c r="B4416" s="661">
        <v>44484</v>
      </c>
      <c r="C4416" s="662" t="s">
        <v>819</v>
      </c>
      <c r="D4416" s="663" t="s">
        <v>878</v>
      </c>
      <c r="E4416" s="664" t="s">
        <v>831</v>
      </c>
      <c r="F4416" s="665"/>
      <c r="G4416" s="663">
        <v>15</v>
      </c>
      <c r="H4416" s="662" t="s">
        <v>807</v>
      </c>
      <c r="I4416" s="666" t="s">
        <v>859</v>
      </c>
      <c r="J4416" s="667" t="s">
        <v>805</v>
      </c>
      <c r="K4416" s="662">
        <v>2</v>
      </c>
      <c r="L4416" s="685">
        <f t="shared" si="133"/>
        <v>14.1</v>
      </c>
      <c r="M4416" s="686">
        <f t="shared" si="134"/>
        <v>28.2</v>
      </c>
      <c r="O4416" s="693"/>
    </row>
    <row r="4417" spans="2:15" s="645" customFormat="1" ht="21.75" customHeight="1">
      <c r="B4417" s="661">
        <v>44484</v>
      </c>
      <c r="C4417" s="662" t="s">
        <v>819</v>
      </c>
      <c r="D4417" s="663" t="s">
        <v>867</v>
      </c>
      <c r="E4417" s="664" t="s">
        <v>831</v>
      </c>
      <c r="F4417" s="665"/>
      <c r="G4417" s="663">
        <v>20</v>
      </c>
      <c r="H4417" s="662" t="s">
        <v>807</v>
      </c>
      <c r="I4417" s="666" t="s">
        <v>859</v>
      </c>
      <c r="J4417" s="667" t="s">
        <v>805</v>
      </c>
      <c r="K4417" s="662">
        <v>3</v>
      </c>
      <c r="L4417" s="685">
        <f t="shared" si="133"/>
        <v>18.8</v>
      </c>
      <c r="M4417" s="686">
        <f t="shared" si="134"/>
        <v>56.400000000000006</v>
      </c>
      <c r="O4417" s="693"/>
    </row>
    <row r="4418" spans="2:15" s="645" customFormat="1" ht="21.75" customHeight="1">
      <c r="B4418" s="661">
        <v>44484</v>
      </c>
      <c r="C4418" s="662" t="s">
        <v>819</v>
      </c>
      <c r="D4418" s="663" t="s">
        <v>876</v>
      </c>
      <c r="E4418" s="664" t="s">
        <v>831</v>
      </c>
      <c r="F4418" s="665"/>
      <c r="G4418" s="663">
        <v>20</v>
      </c>
      <c r="H4418" s="662" t="s">
        <v>807</v>
      </c>
      <c r="I4418" s="666" t="s">
        <v>859</v>
      </c>
      <c r="J4418" s="667" t="s">
        <v>805</v>
      </c>
      <c r="K4418" s="662">
        <v>4</v>
      </c>
      <c r="L4418" s="685">
        <f t="shared" si="133"/>
        <v>18.8</v>
      </c>
      <c r="M4418" s="686">
        <f t="shared" si="134"/>
        <v>75.2</v>
      </c>
      <c r="O4418" s="693"/>
    </row>
    <row r="4419" spans="2:15" s="645" customFormat="1" ht="21.75" customHeight="1">
      <c r="B4419" s="661">
        <v>44484</v>
      </c>
      <c r="C4419" s="662" t="s">
        <v>819</v>
      </c>
      <c r="D4419" s="663" t="s">
        <v>868</v>
      </c>
      <c r="E4419" s="664" t="s">
        <v>831</v>
      </c>
      <c r="F4419" s="665"/>
      <c r="G4419" s="663">
        <v>20</v>
      </c>
      <c r="H4419" s="662" t="s">
        <v>807</v>
      </c>
      <c r="I4419" s="666" t="s">
        <v>859</v>
      </c>
      <c r="J4419" s="667" t="s">
        <v>805</v>
      </c>
      <c r="K4419" s="662">
        <v>4</v>
      </c>
      <c r="L4419" s="685">
        <f t="shared" si="133"/>
        <v>18.8</v>
      </c>
      <c r="M4419" s="686">
        <f t="shared" si="134"/>
        <v>75.2</v>
      </c>
      <c r="O4419" s="693"/>
    </row>
    <row r="4420" spans="2:15" s="645" customFormat="1" ht="21.75" customHeight="1">
      <c r="B4420" s="661">
        <v>44484</v>
      </c>
      <c r="C4420" s="662" t="s">
        <v>819</v>
      </c>
      <c r="D4420" s="663" t="s">
        <v>870</v>
      </c>
      <c r="E4420" s="664" t="s">
        <v>831</v>
      </c>
      <c r="F4420" s="665"/>
      <c r="G4420" s="663">
        <v>20</v>
      </c>
      <c r="H4420" s="662" t="s">
        <v>807</v>
      </c>
      <c r="I4420" s="666" t="s">
        <v>859</v>
      </c>
      <c r="J4420" s="667" t="s">
        <v>805</v>
      </c>
      <c r="K4420" s="662">
        <v>5</v>
      </c>
      <c r="L4420" s="685">
        <f t="shared" si="133"/>
        <v>18.8</v>
      </c>
      <c r="M4420" s="686">
        <f t="shared" si="134"/>
        <v>94</v>
      </c>
      <c r="O4420" s="693"/>
    </row>
    <row r="4421" spans="2:15" s="645" customFormat="1" ht="21.75" customHeight="1">
      <c r="B4421" s="708">
        <v>44484</v>
      </c>
      <c r="C4421" s="709" t="s">
        <v>819</v>
      </c>
      <c r="D4421" s="710" t="s">
        <v>849</v>
      </c>
      <c r="E4421" s="711" t="s">
        <v>831</v>
      </c>
      <c r="F4421" s="712"/>
      <c r="G4421" s="710">
        <v>20</v>
      </c>
      <c r="H4421" s="709" t="s">
        <v>807</v>
      </c>
      <c r="I4421" s="713" t="s">
        <v>859</v>
      </c>
      <c r="J4421" s="714" t="s">
        <v>802</v>
      </c>
      <c r="K4421" s="709">
        <v>3</v>
      </c>
      <c r="L4421" s="715">
        <f t="shared" si="133"/>
        <v>18.8</v>
      </c>
      <c r="M4421" s="716">
        <f t="shared" si="134"/>
        <v>56.400000000000006</v>
      </c>
      <c r="O4421" s="693"/>
    </row>
    <row r="4422" spans="2:15" s="645" customFormat="1" ht="21.75" customHeight="1">
      <c r="B4422" s="708">
        <v>44484</v>
      </c>
      <c r="C4422" s="709" t="s">
        <v>819</v>
      </c>
      <c r="D4422" s="710" t="s">
        <v>835</v>
      </c>
      <c r="E4422" s="711" t="s">
        <v>831</v>
      </c>
      <c r="F4422" s="712"/>
      <c r="G4422" s="710">
        <v>20</v>
      </c>
      <c r="H4422" s="709" t="s">
        <v>807</v>
      </c>
      <c r="I4422" s="713" t="s">
        <v>859</v>
      </c>
      <c r="J4422" s="714" t="s">
        <v>802</v>
      </c>
      <c r="K4422" s="709">
        <v>2</v>
      </c>
      <c r="L4422" s="715">
        <f t="shared" si="133"/>
        <v>18.8</v>
      </c>
      <c r="M4422" s="716">
        <f t="shared" si="134"/>
        <v>37.6</v>
      </c>
      <c r="O4422" s="693"/>
    </row>
    <row r="4423" spans="2:15" s="645" customFormat="1" ht="21.75" customHeight="1">
      <c r="B4423" s="708">
        <v>44484</v>
      </c>
      <c r="C4423" s="709" t="s">
        <v>819</v>
      </c>
      <c r="D4423" s="710" t="s">
        <v>830</v>
      </c>
      <c r="E4423" s="711" t="s">
        <v>831</v>
      </c>
      <c r="F4423" s="712"/>
      <c r="G4423" s="710">
        <v>15</v>
      </c>
      <c r="H4423" s="709" t="s">
        <v>807</v>
      </c>
      <c r="I4423" s="713" t="s">
        <v>859</v>
      </c>
      <c r="J4423" s="714" t="s">
        <v>802</v>
      </c>
      <c r="K4423" s="709">
        <v>3</v>
      </c>
      <c r="L4423" s="715">
        <f t="shared" si="133"/>
        <v>14.1</v>
      </c>
      <c r="M4423" s="716">
        <f t="shared" si="134"/>
        <v>42.3</v>
      </c>
      <c r="O4423" s="693"/>
    </row>
    <row r="4424" spans="2:15" s="645" customFormat="1" ht="21.75" customHeight="1">
      <c r="B4424" s="708">
        <v>44484</v>
      </c>
      <c r="C4424" s="709" t="s">
        <v>819</v>
      </c>
      <c r="D4424" s="710" t="s">
        <v>850</v>
      </c>
      <c r="E4424" s="711" t="s">
        <v>831</v>
      </c>
      <c r="F4424" s="712"/>
      <c r="G4424" s="710">
        <v>15</v>
      </c>
      <c r="H4424" s="709" t="s">
        <v>807</v>
      </c>
      <c r="I4424" s="713" t="s">
        <v>859</v>
      </c>
      <c r="J4424" s="714" t="s">
        <v>802</v>
      </c>
      <c r="K4424" s="709">
        <v>1</v>
      </c>
      <c r="L4424" s="715">
        <f t="shared" si="133"/>
        <v>14.1</v>
      </c>
      <c r="M4424" s="716">
        <f t="shared" si="134"/>
        <v>14.1</v>
      </c>
      <c r="O4424" s="693"/>
    </row>
    <row r="4425" spans="2:15" s="645" customFormat="1" ht="21.75" customHeight="1">
      <c r="B4425" s="708">
        <v>44484</v>
      </c>
      <c r="C4425" s="709" t="s">
        <v>819</v>
      </c>
      <c r="D4425" s="710" t="s">
        <v>839</v>
      </c>
      <c r="E4425" s="711" t="s">
        <v>831</v>
      </c>
      <c r="F4425" s="712"/>
      <c r="G4425" s="710">
        <v>15</v>
      </c>
      <c r="H4425" s="709" t="s">
        <v>807</v>
      </c>
      <c r="I4425" s="713" t="s">
        <v>859</v>
      </c>
      <c r="J4425" s="714" t="s">
        <v>802</v>
      </c>
      <c r="K4425" s="709">
        <v>2</v>
      </c>
      <c r="L4425" s="715">
        <f t="shared" ref="L4425:L4488" si="135">VLOOKUP(G4425,$Q$4:$V$7,6,FALSE)</f>
        <v>14.1</v>
      </c>
      <c r="M4425" s="716">
        <f t="shared" si="134"/>
        <v>28.2</v>
      </c>
      <c r="O4425" s="693"/>
    </row>
    <row r="4426" spans="2:15" s="645" customFormat="1" ht="21.75" customHeight="1">
      <c r="B4426" s="708">
        <v>44484</v>
      </c>
      <c r="C4426" s="709" t="s">
        <v>819</v>
      </c>
      <c r="D4426" s="710" t="s">
        <v>845</v>
      </c>
      <c r="E4426" s="711" t="s">
        <v>831</v>
      </c>
      <c r="F4426" s="712"/>
      <c r="G4426" s="710">
        <v>17</v>
      </c>
      <c r="H4426" s="709" t="s">
        <v>807</v>
      </c>
      <c r="I4426" s="713" t="s">
        <v>859</v>
      </c>
      <c r="J4426" s="714" t="s">
        <v>802</v>
      </c>
      <c r="K4426" s="709">
        <v>2</v>
      </c>
      <c r="L4426" s="715">
        <f t="shared" si="135"/>
        <v>15.98</v>
      </c>
      <c r="M4426" s="716">
        <f t="shared" si="134"/>
        <v>31.96</v>
      </c>
      <c r="O4426" s="693"/>
    </row>
    <row r="4427" spans="2:15" s="645" customFormat="1" ht="21.75" customHeight="1">
      <c r="B4427" s="708">
        <v>44484</v>
      </c>
      <c r="C4427" s="709" t="s">
        <v>819</v>
      </c>
      <c r="D4427" s="710" t="s">
        <v>856</v>
      </c>
      <c r="E4427" s="711" t="s">
        <v>831</v>
      </c>
      <c r="F4427" s="712"/>
      <c r="G4427" s="710">
        <v>20</v>
      </c>
      <c r="H4427" s="709" t="s">
        <v>807</v>
      </c>
      <c r="I4427" s="713" t="s">
        <v>859</v>
      </c>
      <c r="J4427" s="714" t="s">
        <v>802</v>
      </c>
      <c r="K4427" s="709">
        <v>1</v>
      </c>
      <c r="L4427" s="715">
        <f t="shared" si="135"/>
        <v>18.8</v>
      </c>
      <c r="M4427" s="716">
        <f t="shared" si="134"/>
        <v>18.8</v>
      </c>
      <c r="O4427" s="693"/>
    </row>
    <row r="4428" spans="2:15" s="645" customFormat="1" ht="21.75" customHeight="1">
      <c r="B4428" s="708">
        <v>44484</v>
      </c>
      <c r="C4428" s="709" t="s">
        <v>819</v>
      </c>
      <c r="D4428" s="710" t="s">
        <v>878</v>
      </c>
      <c r="E4428" s="711" t="s">
        <v>831</v>
      </c>
      <c r="F4428" s="712"/>
      <c r="G4428" s="710">
        <v>15</v>
      </c>
      <c r="H4428" s="709" t="s">
        <v>807</v>
      </c>
      <c r="I4428" s="713" t="s">
        <v>859</v>
      </c>
      <c r="J4428" s="714" t="s">
        <v>802</v>
      </c>
      <c r="K4428" s="709">
        <v>2</v>
      </c>
      <c r="L4428" s="715">
        <f t="shared" si="135"/>
        <v>14.1</v>
      </c>
      <c r="M4428" s="716">
        <f t="shared" si="134"/>
        <v>28.2</v>
      </c>
      <c r="O4428" s="693"/>
    </row>
    <row r="4429" spans="2:15" s="645" customFormat="1" ht="21.75" customHeight="1">
      <c r="B4429" s="708">
        <v>44484</v>
      </c>
      <c r="C4429" s="709" t="s">
        <v>819</v>
      </c>
      <c r="D4429" s="710" t="s">
        <v>867</v>
      </c>
      <c r="E4429" s="711" t="s">
        <v>831</v>
      </c>
      <c r="F4429" s="712"/>
      <c r="G4429" s="710">
        <v>20</v>
      </c>
      <c r="H4429" s="709" t="s">
        <v>807</v>
      </c>
      <c r="I4429" s="713" t="s">
        <v>859</v>
      </c>
      <c r="J4429" s="714" t="s">
        <v>802</v>
      </c>
      <c r="K4429" s="709">
        <v>2</v>
      </c>
      <c r="L4429" s="715">
        <f t="shared" si="135"/>
        <v>18.8</v>
      </c>
      <c r="M4429" s="716">
        <f t="shared" si="134"/>
        <v>37.6</v>
      </c>
      <c r="O4429" s="693"/>
    </row>
    <row r="4430" spans="2:15" s="645" customFormat="1" ht="21.75" customHeight="1">
      <c r="B4430" s="708">
        <v>44484</v>
      </c>
      <c r="C4430" s="709" t="s">
        <v>819</v>
      </c>
      <c r="D4430" s="710" t="s">
        <v>876</v>
      </c>
      <c r="E4430" s="711" t="s">
        <v>831</v>
      </c>
      <c r="F4430" s="712"/>
      <c r="G4430" s="710">
        <v>20</v>
      </c>
      <c r="H4430" s="709" t="s">
        <v>807</v>
      </c>
      <c r="I4430" s="713" t="s">
        <v>859</v>
      </c>
      <c r="J4430" s="714" t="s">
        <v>802</v>
      </c>
      <c r="K4430" s="709">
        <v>3</v>
      </c>
      <c r="L4430" s="715">
        <f t="shared" si="135"/>
        <v>18.8</v>
      </c>
      <c r="M4430" s="716">
        <f t="shared" si="134"/>
        <v>56.400000000000006</v>
      </c>
      <c r="O4430" s="693"/>
    </row>
    <row r="4431" spans="2:15" s="645" customFormat="1" ht="21.75" customHeight="1">
      <c r="B4431" s="708">
        <v>44484</v>
      </c>
      <c r="C4431" s="709" t="s">
        <v>819</v>
      </c>
      <c r="D4431" s="710" t="s">
        <v>877</v>
      </c>
      <c r="E4431" s="711" t="s">
        <v>831</v>
      </c>
      <c r="F4431" s="712"/>
      <c r="G4431" s="710">
        <v>20</v>
      </c>
      <c r="H4431" s="709" t="s">
        <v>807</v>
      </c>
      <c r="I4431" s="713" t="s">
        <v>859</v>
      </c>
      <c r="J4431" s="714" t="s">
        <v>802</v>
      </c>
      <c r="K4431" s="709">
        <v>4</v>
      </c>
      <c r="L4431" s="715">
        <f t="shared" si="135"/>
        <v>18.8</v>
      </c>
      <c r="M4431" s="716">
        <f t="shared" si="134"/>
        <v>75.2</v>
      </c>
      <c r="O4431" s="693"/>
    </row>
    <row r="4432" spans="2:15" s="645" customFormat="1" ht="21.75" customHeight="1">
      <c r="B4432" s="708">
        <v>44484</v>
      </c>
      <c r="C4432" s="709" t="s">
        <v>819</v>
      </c>
      <c r="D4432" s="710" t="s">
        <v>870</v>
      </c>
      <c r="E4432" s="711" t="s">
        <v>831</v>
      </c>
      <c r="F4432" s="712"/>
      <c r="G4432" s="710">
        <v>20</v>
      </c>
      <c r="H4432" s="709" t="s">
        <v>807</v>
      </c>
      <c r="I4432" s="713" t="s">
        <v>859</v>
      </c>
      <c r="J4432" s="714" t="s">
        <v>802</v>
      </c>
      <c r="K4432" s="709">
        <v>1</v>
      </c>
      <c r="L4432" s="715">
        <f t="shared" si="135"/>
        <v>18.8</v>
      </c>
      <c r="M4432" s="716">
        <f t="shared" si="134"/>
        <v>18.8</v>
      </c>
      <c r="O4432" s="693"/>
    </row>
    <row r="4433" spans="2:15" s="645" customFormat="1" ht="21.75" customHeight="1">
      <c r="B4433" s="661">
        <v>44485</v>
      </c>
      <c r="C4433" s="662" t="s">
        <v>819</v>
      </c>
      <c r="D4433" s="663" t="s">
        <v>849</v>
      </c>
      <c r="E4433" s="664" t="s">
        <v>831</v>
      </c>
      <c r="F4433" s="665"/>
      <c r="G4433" s="663">
        <v>20</v>
      </c>
      <c r="H4433" s="662" t="s">
        <v>807</v>
      </c>
      <c r="I4433" s="666" t="s">
        <v>857</v>
      </c>
      <c r="J4433" s="667" t="s">
        <v>805</v>
      </c>
      <c r="K4433" s="662">
        <v>1</v>
      </c>
      <c r="L4433" s="685">
        <f t="shared" si="135"/>
        <v>18.8</v>
      </c>
      <c r="M4433" s="686">
        <f t="shared" si="134"/>
        <v>18.8</v>
      </c>
      <c r="O4433" s="693"/>
    </row>
    <row r="4434" spans="2:15" s="645" customFormat="1" ht="21.75" customHeight="1">
      <c r="B4434" s="661">
        <v>44485</v>
      </c>
      <c r="C4434" s="662" t="s">
        <v>819</v>
      </c>
      <c r="D4434" s="663" t="s">
        <v>835</v>
      </c>
      <c r="E4434" s="664" t="s">
        <v>831</v>
      </c>
      <c r="F4434" s="665"/>
      <c r="G4434" s="663">
        <v>20</v>
      </c>
      <c r="H4434" s="662" t="s">
        <v>807</v>
      </c>
      <c r="I4434" s="666" t="s">
        <v>859</v>
      </c>
      <c r="J4434" s="667" t="s">
        <v>805</v>
      </c>
      <c r="K4434" s="662">
        <v>1</v>
      </c>
      <c r="L4434" s="685">
        <f t="shared" si="135"/>
        <v>18.8</v>
      </c>
      <c r="M4434" s="686">
        <f t="shared" si="134"/>
        <v>18.8</v>
      </c>
      <c r="O4434" s="693"/>
    </row>
    <row r="4435" spans="2:15" s="645" customFormat="1" ht="21.75" customHeight="1">
      <c r="B4435" s="661">
        <v>44485</v>
      </c>
      <c r="C4435" s="662" t="s">
        <v>819</v>
      </c>
      <c r="D4435" s="663" t="s">
        <v>835</v>
      </c>
      <c r="E4435" s="664" t="s">
        <v>831</v>
      </c>
      <c r="F4435" s="665"/>
      <c r="G4435" s="663">
        <v>20</v>
      </c>
      <c r="H4435" s="662" t="s">
        <v>807</v>
      </c>
      <c r="I4435" s="666" t="s">
        <v>857</v>
      </c>
      <c r="J4435" s="667" t="s">
        <v>805</v>
      </c>
      <c r="K4435" s="662">
        <v>2</v>
      </c>
      <c r="L4435" s="685">
        <f t="shared" si="135"/>
        <v>18.8</v>
      </c>
      <c r="M4435" s="686">
        <f t="shared" si="134"/>
        <v>37.6</v>
      </c>
      <c r="O4435" s="693"/>
    </row>
    <row r="4436" spans="2:15" s="645" customFormat="1" ht="21.75" customHeight="1">
      <c r="B4436" s="661">
        <v>44485</v>
      </c>
      <c r="C4436" s="662" t="s">
        <v>819</v>
      </c>
      <c r="D4436" s="663" t="s">
        <v>835</v>
      </c>
      <c r="E4436" s="664" t="s">
        <v>831</v>
      </c>
      <c r="F4436" s="665"/>
      <c r="G4436" s="663">
        <v>20</v>
      </c>
      <c r="H4436" s="662" t="s">
        <v>807</v>
      </c>
      <c r="I4436" s="666" t="s">
        <v>872</v>
      </c>
      <c r="J4436" s="667" t="s">
        <v>805</v>
      </c>
      <c r="K4436" s="662">
        <v>1</v>
      </c>
      <c r="L4436" s="685">
        <f t="shared" si="135"/>
        <v>18.8</v>
      </c>
      <c r="M4436" s="686">
        <f t="shared" si="134"/>
        <v>18.8</v>
      </c>
      <c r="O4436" s="693"/>
    </row>
    <row r="4437" spans="2:15" s="645" customFormat="1" ht="21.75" customHeight="1">
      <c r="B4437" s="661">
        <v>44485</v>
      </c>
      <c r="C4437" s="662" t="s">
        <v>819</v>
      </c>
      <c r="D4437" s="663" t="s">
        <v>841</v>
      </c>
      <c r="E4437" s="664" t="s">
        <v>831</v>
      </c>
      <c r="F4437" s="665"/>
      <c r="G4437" s="663">
        <v>20</v>
      </c>
      <c r="H4437" s="662" t="s">
        <v>807</v>
      </c>
      <c r="I4437" s="666" t="s">
        <v>857</v>
      </c>
      <c r="J4437" s="667" t="s">
        <v>805</v>
      </c>
      <c r="K4437" s="662">
        <v>2</v>
      </c>
      <c r="L4437" s="685">
        <f t="shared" si="135"/>
        <v>18.8</v>
      </c>
      <c r="M4437" s="686">
        <f t="shared" si="134"/>
        <v>37.6</v>
      </c>
      <c r="O4437" s="693"/>
    </row>
    <row r="4438" spans="2:15" s="645" customFormat="1" ht="21.75" customHeight="1">
      <c r="B4438" s="661">
        <v>44485</v>
      </c>
      <c r="C4438" s="662" t="s">
        <v>819</v>
      </c>
      <c r="D4438" s="663" t="s">
        <v>841</v>
      </c>
      <c r="E4438" s="664" t="s">
        <v>831</v>
      </c>
      <c r="F4438" s="665"/>
      <c r="G4438" s="663">
        <v>20</v>
      </c>
      <c r="H4438" s="662" t="s">
        <v>807</v>
      </c>
      <c r="I4438" s="666" t="s">
        <v>872</v>
      </c>
      <c r="J4438" s="667" t="s">
        <v>805</v>
      </c>
      <c r="K4438" s="662">
        <v>2</v>
      </c>
      <c r="L4438" s="685">
        <f t="shared" si="135"/>
        <v>18.8</v>
      </c>
      <c r="M4438" s="686">
        <f t="shared" si="134"/>
        <v>37.6</v>
      </c>
      <c r="O4438" s="693"/>
    </row>
    <row r="4439" spans="2:15" s="645" customFormat="1" ht="21.75" customHeight="1">
      <c r="B4439" s="661">
        <v>44485</v>
      </c>
      <c r="C4439" s="662" t="s">
        <v>819</v>
      </c>
      <c r="D4439" s="663" t="s">
        <v>834</v>
      </c>
      <c r="E4439" s="664" t="s">
        <v>831</v>
      </c>
      <c r="F4439" s="665"/>
      <c r="G4439" s="663">
        <v>20</v>
      </c>
      <c r="H4439" s="662" t="s">
        <v>807</v>
      </c>
      <c r="I4439" s="666" t="s">
        <v>859</v>
      </c>
      <c r="J4439" s="667" t="s">
        <v>805</v>
      </c>
      <c r="K4439" s="662">
        <v>2</v>
      </c>
      <c r="L4439" s="685">
        <f t="shared" si="135"/>
        <v>18.8</v>
      </c>
      <c r="M4439" s="686">
        <f t="shared" si="134"/>
        <v>37.6</v>
      </c>
      <c r="O4439" s="693"/>
    </row>
    <row r="4440" spans="2:15" s="645" customFormat="1" ht="21.75" customHeight="1">
      <c r="B4440" s="661">
        <v>44485</v>
      </c>
      <c r="C4440" s="662" t="s">
        <v>819</v>
      </c>
      <c r="D4440" s="663" t="s">
        <v>834</v>
      </c>
      <c r="E4440" s="664" t="s">
        <v>831</v>
      </c>
      <c r="F4440" s="665"/>
      <c r="G4440" s="663">
        <v>20</v>
      </c>
      <c r="H4440" s="662" t="s">
        <v>807</v>
      </c>
      <c r="I4440" s="666" t="s">
        <v>859</v>
      </c>
      <c r="J4440" s="667" t="s">
        <v>805</v>
      </c>
      <c r="K4440" s="662">
        <v>2</v>
      </c>
      <c r="L4440" s="685">
        <f t="shared" si="135"/>
        <v>18.8</v>
      </c>
      <c r="M4440" s="686">
        <f t="shared" si="134"/>
        <v>37.6</v>
      </c>
      <c r="O4440" s="693"/>
    </row>
    <row r="4441" spans="2:15" s="645" customFormat="1" ht="21.75" customHeight="1">
      <c r="B4441" s="661">
        <v>44485</v>
      </c>
      <c r="C4441" s="662" t="s">
        <v>819</v>
      </c>
      <c r="D4441" s="663" t="s">
        <v>833</v>
      </c>
      <c r="E4441" s="664" t="s">
        <v>831</v>
      </c>
      <c r="F4441" s="665"/>
      <c r="G4441" s="663">
        <v>15</v>
      </c>
      <c r="H4441" s="662" t="s">
        <v>807</v>
      </c>
      <c r="I4441" s="666" t="s">
        <v>857</v>
      </c>
      <c r="J4441" s="667" t="s">
        <v>805</v>
      </c>
      <c r="K4441" s="662">
        <v>2</v>
      </c>
      <c r="L4441" s="685">
        <f t="shared" si="135"/>
        <v>14.1</v>
      </c>
      <c r="M4441" s="686">
        <f t="shared" si="134"/>
        <v>28.2</v>
      </c>
      <c r="O4441" s="693"/>
    </row>
    <row r="4442" spans="2:15" s="645" customFormat="1" ht="21.75" customHeight="1">
      <c r="B4442" s="661">
        <v>44485</v>
      </c>
      <c r="C4442" s="662" t="s">
        <v>819</v>
      </c>
      <c r="D4442" s="663" t="s">
        <v>830</v>
      </c>
      <c r="E4442" s="664" t="s">
        <v>831</v>
      </c>
      <c r="F4442" s="665"/>
      <c r="G4442" s="663">
        <v>15</v>
      </c>
      <c r="H4442" s="662" t="s">
        <v>807</v>
      </c>
      <c r="I4442" s="666" t="s">
        <v>805</v>
      </c>
      <c r="J4442" s="667" t="s">
        <v>804</v>
      </c>
      <c r="K4442" s="662">
        <v>12</v>
      </c>
      <c r="L4442" s="685">
        <f t="shared" si="135"/>
        <v>14.1</v>
      </c>
      <c r="M4442" s="686">
        <f t="shared" si="134"/>
        <v>169.2</v>
      </c>
      <c r="O4442" s="693"/>
    </row>
    <row r="4443" spans="2:15" s="645" customFormat="1" ht="21.75" customHeight="1">
      <c r="B4443" s="661">
        <v>44485</v>
      </c>
      <c r="C4443" s="662" t="s">
        <v>819</v>
      </c>
      <c r="D4443" s="663" t="s">
        <v>850</v>
      </c>
      <c r="E4443" s="664" t="s">
        <v>831</v>
      </c>
      <c r="F4443" s="665"/>
      <c r="G4443" s="663">
        <v>15</v>
      </c>
      <c r="H4443" s="662" t="s">
        <v>807</v>
      </c>
      <c r="I4443" s="666" t="s">
        <v>859</v>
      </c>
      <c r="J4443" s="667" t="s">
        <v>805</v>
      </c>
      <c r="K4443" s="662">
        <v>3</v>
      </c>
      <c r="L4443" s="685">
        <f t="shared" si="135"/>
        <v>14.1</v>
      </c>
      <c r="M4443" s="686">
        <f t="shared" si="134"/>
        <v>42.3</v>
      </c>
      <c r="O4443" s="693"/>
    </row>
    <row r="4444" spans="2:15" s="645" customFormat="1" ht="21.75" customHeight="1">
      <c r="B4444" s="661">
        <v>44485</v>
      </c>
      <c r="C4444" s="662" t="s">
        <v>819</v>
      </c>
      <c r="D4444" s="663" t="s">
        <v>850</v>
      </c>
      <c r="E4444" s="664" t="s">
        <v>831</v>
      </c>
      <c r="F4444" s="665"/>
      <c r="G4444" s="663">
        <v>15</v>
      </c>
      <c r="H4444" s="662" t="s">
        <v>807</v>
      </c>
      <c r="I4444" s="666" t="s">
        <v>805</v>
      </c>
      <c r="J4444" s="667" t="s">
        <v>804</v>
      </c>
      <c r="K4444" s="662">
        <v>11</v>
      </c>
      <c r="L4444" s="685">
        <f t="shared" si="135"/>
        <v>14.1</v>
      </c>
      <c r="M4444" s="686">
        <f t="shared" si="134"/>
        <v>155.1</v>
      </c>
      <c r="O4444" s="693"/>
    </row>
    <row r="4445" spans="2:15" s="645" customFormat="1" ht="21.75" customHeight="1">
      <c r="B4445" s="661">
        <v>44485</v>
      </c>
      <c r="C4445" s="662" t="s">
        <v>819</v>
      </c>
      <c r="D4445" s="663" t="s">
        <v>845</v>
      </c>
      <c r="E4445" s="664" t="s">
        <v>831</v>
      </c>
      <c r="F4445" s="665"/>
      <c r="G4445" s="663">
        <v>17</v>
      </c>
      <c r="H4445" s="662" t="s">
        <v>807</v>
      </c>
      <c r="I4445" s="666" t="s">
        <v>805</v>
      </c>
      <c r="J4445" s="667" t="s">
        <v>804</v>
      </c>
      <c r="K4445" s="662">
        <v>11</v>
      </c>
      <c r="L4445" s="685">
        <f t="shared" si="135"/>
        <v>15.98</v>
      </c>
      <c r="M4445" s="686">
        <f t="shared" si="134"/>
        <v>175.78</v>
      </c>
      <c r="O4445" s="693"/>
    </row>
    <row r="4446" spans="2:15" s="645" customFormat="1" ht="21.75" customHeight="1">
      <c r="B4446" s="661">
        <v>44485</v>
      </c>
      <c r="C4446" s="662" t="s">
        <v>819</v>
      </c>
      <c r="D4446" s="663" t="s">
        <v>847</v>
      </c>
      <c r="E4446" s="664" t="s">
        <v>831</v>
      </c>
      <c r="F4446" s="665"/>
      <c r="G4446" s="663">
        <v>17</v>
      </c>
      <c r="H4446" s="662" t="s">
        <v>807</v>
      </c>
      <c r="I4446" s="666" t="s">
        <v>859</v>
      </c>
      <c r="J4446" s="667" t="s">
        <v>805</v>
      </c>
      <c r="K4446" s="662">
        <v>4</v>
      </c>
      <c r="L4446" s="685">
        <f t="shared" si="135"/>
        <v>15.98</v>
      </c>
      <c r="M4446" s="686">
        <f t="shared" si="134"/>
        <v>63.92</v>
      </c>
      <c r="O4446" s="693"/>
    </row>
    <row r="4447" spans="2:15" s="645" customFormat="1" ht="21.75" customHeight="1">
      <c r="B4447" s="661">
        <v>44485</v>
      </c>
      <c r="C4447" s="662" t="s">
        <v>819</v>
      </c>
      <c r="D4447" s="663" t="s">
        <v>847</v>
      </c>
      <c r="E4447" s="664" t="s">
        <v>831</v>
      </c>
      <c r="F4447" s="665"/>
      <c r="G4447" s="663">
        <v>17</v>
      </c>
      <c r="H4447" s="662" t="s">
        <v>807</v>
      </c>
      <c r="I4447" s="666" t="s">
        <v>872</v>
      </c>
      <c r="J4447" s="667" t="s">
        <v>805</v>
      </c>
      <c r="K4447" s="662">
        <v>3</v>
      </c>
      <c r="L4447" s="685">
        <f t="shared" si="135"/>
        <v>15.98</v>
      </c>
      <c r="M4447" s="686">
        <f t="shared" si="134"/>
        <v>47.94</v>
      </c>
      <c r="O4447" s="693"/>
    </row>
    <row r="4448" spans="2:15" s="645" customFormat="1" ht="21.75" customHeight="1">
      <c r="B4448" s="661">
        <v>44485</v>
      </c>
      <c r="C4448" s="662" t="s">
        <v>819</v>
      </c>
      <c r="D4448" s="663" t="s">
        <v>847</v>
      </c>
      <c r="E4448" s="664" t="s">
        <v>831</v>
      </c>
      <c r="F4448" s="665"/>
      <c r="G4448" s="663">
        <v>17</v>
      </c>
      <c r="H4448" s="662" t="s">
        <v>807</v>
      </c>
      <c r="I4448" s="666" t="s">
        <v>857</v>
      </c>
      <c r="J4448" s="667" t="s">
        <v>805</v>
      </c>
      <c r="K4448" s="662">
        <v>1</v>
      </c>
      <c r="L4448" s="685">
        <f t="shared" si="135"/>
        <v>15.98</v>
      </c>
      <c r="M4448" s="686">
        <f t="shared" si="134"/>
        <v>15.98</v>
      </c>
      <c r="O4448" s="693"/>
    </row>
    <row r="4449" spans="2:15" s="645" customFormat="1" ht="21.75" customHeight="1">
      <c r="B4449" s="661">
        <v>44485</v>
      </c>
      <c r="C4449" s="662" t="s">
        <v>819</v>
      </c>
      <c r="D4449" s="663" t="s">
        <v>856</v>
      </c>
      <c r="E4449" s="664" t="s">
        <v>831</v>
      </c>
      <c r="F4449" s="665"/>
      <c r="G4449" s="663">
        <v>20</v>
      </c>
      <c r="H4449" s="662" t="s">
        <v>807</v>
      </c>
      <c r="I4449" s="666" t="s">
        <v>859</v>
      </c>
      <c r="J4449" s="667" t="s">
        <v>805</v>
      </c>
      <c r="K4449" s="662">
        <v>2</v>
      </c>
      <c r="L4449" s="685">
        <f t="shared" si="135"/>
        <v>18.8</v>
      </c>
      <c r="M4449" s="686">
        <f t="shared" si="134"/>
        <v>37.6</v>
      </c>
      <c r="O4449" s="693"/>
    </row>
    <row r="4450" spans="2:15" s="645" customFormat="1" ht="21.75" customHeight="1">
      <c r="B4450" s="661">
        <v>44485</v>
      </c>
      <c r="C4450" s="662" t="s">
        <v>819</v>
      </c>
      <c r="D4450" s="663" t="s">
        <v>856</v>
      </c>
      <c r="E4450" s="664" t="s">
        <v>831</v>
      </c>
      <c r="F4450" s="665"/>
      <c r="G4450" s="663">
        <v>20</v>
      </c>
      <c r="H4450" s="662" t="s">
        <v>807</v>
      </c>
      <c r="I4450" s="666" t="s">
        <v>872</v>
      </c>
      <c r="J4450" s="667" t="s">
        <v>805</v>
      </c>
      <c r="K4450" s="662">
        <v>1</v>
      </c>
      <c r="L4450" s="685">
        <f t="shared" si="135"/>
        <v>18.8</v>
      </c>
      <c r="M4450" s="686">
        <f t="shared" si="134"/>
        <v>18.8</v>
      </c>
      <c r="O4450" s="693"/>
    </row>
    <row r="4451" spans="2:15" s="645" customFormat="1" ht="21.75" customHeight="1">
      <c r="B4451" s="661">
        <v>44485</v>
      </c>
      <c r="C4451" s="662" t="s">
        <v>819</v>
      </c>
      <c r="D4451" s="663" t="s">
        <v>856</v>
      </c>
      <c r="E4451" s="664" t="s">
        <v>831</v>
      </c>
      <c r="F4451" s="665"/>
      <c r="G4451" s="663">
        <v>20</v>
      </c>
      <c r="H4451" s="662" t="s">
        <v>807</v>
      </c>
      <c r="I4451" s="666" t="s">
        <v>857</v>
      </c>
      <c r="J4451" s="667" t="s">
        <v>805</v>
      </c>
      <c r="K4451" s="662">
        <v>2</v>
      </c>
      <c r="L4451" s="685">
        <f t="shared" si="135"/>
        <v>18.8</v>
      </c>
      <c r="M4451" s="686">
        <f t="shared" si="134"/>
        <v>37.6</v>
      </c>
      <c r="O4451" s="693"/>
    </row>
    <row r="4452" spans="2:15" s="645" customFormat="1" ht="21.75" customHeight="1">
      <c r="B4452" s="661">
        <v>44485</v>
      </c>
      <c r="C4452" s="662" t="s">
        <v>819</v>
      </c>
      <c r="D4452" s="663" t="s">
        <v>855</v>
      </c>
      <c r="E4452" s="664" t="s">
        <v>831</v>
      </c>
      <c r="F4452" s="665"/>
      <c r="G4452" s="663">
        <v>20</v>
      </c>
      <c r="H4452" s="662" t="s">
        <v>807</v>
      </c>
      <c r="I4452" s="666" t="s">
        <v>859</v>
      </c>
      <c r="J4452" s="667" t="s">
        <v>805</v>
      </c>
      <c r="K4452" s="662">
        <v>1</v>
      </c>
      <c r="L4452" s="685">
        <f t="shared" si="135"/>
        <v>18.8</v>
      </c>
      <c r="M4452" s="686">
        <f t="shared" si="134"/>
        <v>18.8</v>
      </c>
      <c r="O4452" s="693"/>
    </row>
    <row r="4453" spans="2:15" s="645" customFormat="1" ht="21.75" customHeight="1">
      <c r="B4453" s="661">
        <v>44485</v>
      </c>
      <c r="C4453" s="662" t="s">
        <v>819</v>
      </c>
      <c r="D4453" s="663" t="s">
        <v>867</v>
      </c>
      <c r="E4453" s="664" t="s">
        <v>831</v>
      </c>
      <c r="F4453" s="665"/>
      <c r="G4453" s="663">
        <v>20</v>
      </c>
      <c r="H4453" s="662" t="s">
        <v>807</v>
      </c>
      <c r="I4453" s="666" t="s">
        <v>859</v>
      </c>
      <c r="J4453" s="667" t="s">
        <v>805</v>
      </c>
      <c r="K4453" s="662">
        <v>3</v>
      </c>
      <c r="L4453" s="685">
        <f t="shared" si="135"/>
        <v>18.8</v>
      </c>
      <c r="M4453" s="686">
        <f t="shared" si="134"/>
        <v>56.400000000000006</v>
      </c>
      <c r="O4453" s="693"/>
    </row>
    <row r="4454" spans="2:15" s="645" customFormat="1" ht="21.75" customHeight="1">
      <c r="B4454" s="661">
        <v>44485</v>
      </c>
      <c r="C4454" s="662" t="s">
        <v>819</v>
      </c>
      <c r="D4454" s="663" t="s">
        <v>867</v>
      </c>
      <c r="E4454" s="664" t="s">
        <v>831</v>
      </c>
      <c r="F4454" s="665"/>
      <c r="G4454" s="663">
        <v>20</v>
      </c>
      <c r="H4454" s="662" t="s">
        <v>807</v>
      </c>
      <c r="I4454" s="666" t="s">
        <v>857</v>
      </c>
      <c r="J4454" s="667" t="s">
        <v>805</v>
      </c>
      <c r="K4454" s="662">
        <v>2</v>
      </c>
      <c r="L4454" s="685">
        <f t="shared" si="135"/>
        <v>18.8</v>
      </c>
      <c r="M4454" s="686">
        <f t="shared" si="134"/>
        <v>37.6</v>
      </c>
      <c r="O4454" s="693"/>
    </row>
    <row r="4455" spans="2:15" s="645" customFormat="1" ht="21.75" customHeight="1">
      <c r="B4455" s="661">
        <v>44485</v>
      </c>
      <c r="C4455" s="662" t="s">
        <v>819</v>
      </c>
      <c r="D4455" s="663" t="s">
        <v>876</v>
      </c>
      <c r="E4455" s="664" t="s">
        <v>831</v>
      </c>
      <c r="F4455" s="665"/>
      <c r="G4455" s="663">
        <v>20</v>
      </c>
      <c r="H4455" s="662" t="s">
        <v>807</v>
      </c>
      <c r="I4455" s="666" t="s">
        <v>859</v>
      </c>
      <c r="J4455" s="667" t="s">
        <v>805</v>
      </c>
      <c r="K4455" s="662">
        <v>3</v>
      </c>
      <c r="L4455" s="685">
        <f t="shared" si="135"/>
        <v>18.8</v>
      </c>
      <c r="M4455" s="686">
        <f t="shared" ref="M4455:M4518" si="136">L4455*K4455</f>
        <v>56.400000000000006</v>
      </c>
      <c r="O4455" s="693"/>
    </row>
    <row r="4456" spans="2:15" s="645" customFormat="1" ht="21.75" customHeight="1">
      <c r="B4456" s="661">
        <v>44485</v>
      </c>
      <c r="C4456" s="662" t="s">
        <v>819</v>
      </c>
      <c r="D4456" s="663" t="s">
        <v>876</v>
      </c>
      <c r="E4456" s="664" t="s">
        <v>831</v>
      </c>
      <c r="F4456" s="665"/>
      <c r="G4456" s="663">
        <v>20</v>
      </c>
      <c r="H4456" s="662" t="s">
        <v>807</v>
      </c>
      <c r="I4456" s="666" t="s">
        <v>857</v>
      </c>
      <c r="J4456" s="667" t="s">
        <v>805</v>
      </c>
      <c r="K4456" s="662">
        <v>4</v>
      </c>
      <c r="L4456" s="685">
        <f t="shared" si="135"/>
        <v>18.8</v>
      </c>
      <c r="M4456" s="686">
        <f t="shared" si="136"/>
        <v>75.2</v>
      </c>
      <c r="O4456" s="693"/>
    </row>
    <row r="4457" spans="2:15" s="645" customFormat="1" ht="21.75" customHeight="1">
      <c r="B4457" s="661">
        <v>44485</v>
      </c>
      <c r="C4457" s="662" t="s">
        <v>819</v>
      </c>
      <c r="D4457" s="663" t="s">
        <v>876</v>
      </c>
      <c r="E4457" s="664" t="s">
        <v>831</v>
      </c>
      <c r="F4457" s="665"/>
      <c r="G4457" s="663">
        <v>20</v>
      </c>
      <c r="H4457" s="662" t="s">
        <v>807</v>
      </c>
      <c r="I4457" s="666" t="s">
        <v>872</v>
      </c>
      <c r="J4457" s="667" t="s">
        <v>805</v>
      </c>
      <c r="K4457" s="662">
        <v>1</v>
      </c>
      <c r="L4457" s="685">
        <f t="shared" si="135"/>
        <v>18.8</v>
      </c>
      <c r="M4457" s="686">
        <f t="shared" si="136"/>
        <v>18.8</v>
      </c>
      <c r="O4457" s="693"/>
    </row>
    <row r="4458" spans="2:15" s="645" customFormat="1" ht="21.75" customHeight="1">
      <c r="B4458" s="661">
        <v>44485</v>
      </c>
      <c r="C4458" s="662" t="s">
        <v>819</v>
      </c>
      <c r="D4458" s="663" t="s">
        <v>868</v>
      </c>
      <c r="E4458" s="664" t="s">
        <v>831</v>
      </c>
      <c r="F4458" s="665"/>
      <c r="G4458" s="663">
        <v>20</v>
      </c>
      <c r="H4458" s="662" t="s">
        <v>807</v>
      </c>
      <c r="I4458" s="666" t="s">
        <v>859</v>
      </c>
      <c r="J4458" s="667" t="s">
        <v>805</v>
      </c>
      <c r="K4458" s="662">
        <v>5</v>
      </c>
      <c r="L4458" s="685">
        <f t="shared" si="135"/>
        <v>18.8</v>
      </c>
      <c r="M4458" s="686">
        <f t="shared" si="136"/>
        <v>94</v>
      </c>
      <c r="O4458" s="693"/>
    </row>
    <row r="4459" spans="2:15" s="645" customFormat="1" ht="21.75" customHeight="1">
      <c r="B4459" s="661">
        <v>44485</v>
      </c>
      <c r="C4459" s="662" t="s">
        <v>819</v>
      </c>
      <c r="D4459" s="663" t="s">
        <v>868</v>
      </c>
      <c r="E4459" s="664" t="s">
        <v>831</v>
      </c>
      <c r="F4459" s="665"/>
      <c r="G4459" s="663">
        <v>20</v>
      </c>
      <c r="H4459" s="662" t="s">
        <v>807</v>
      </c>
      <c r="I4459" s="666" t="s">
        <v>857</v>
      </c>
      <c r="J4459" s="667" t="s">
        <v>805</v>
      </c>
      <c r="K4459" s="662">
        <v>2</v>
      </c>
      <c r="L4459" s="685">
        <f t="shared" si="135"/>
        <v>18.8</v>
      </c>
      <c r="M4459" s="686">
        <f t="shared" si="136"/>
        <v>37.6</v>
      </c>
      <c r="O4459" s="693"/>
    </row>
    <row r="4460" spans="2:15" s="645" customFormat="1" ht="21.75" customHeight="1">
      <c r="B4460" s="661">
        <v>44485</v>
      </c>
      <c r="C4460" s="662" t="s">
        <v>819</v>
      </c>
      <c r="D4460" s="663" t="s">
        <v>870</v>
      </c>
      <c r="E4460" s="664" t="s">
        <v>831</v>
      </c>
      <c r="F4460" s="665"/>
      <c r="G4460" s="663">
        <v>20</v>
      </c>
      <c r="H4460" s="662" t="s">
        <v>807</v>
      </c>
      <c r="I4460" s="666" t="s">
        <v>859</v>
      </c>
      <c r="J4460" s="667" t="s">
        <v>805</v>
      </c>
      <c r="K4460" s="662">
        <v>2</v>
      </c>
      <c r="L4460" s="685">
        <f t="shared" si="135"/>
        <v>18.8</v>
      </c>
      <c r="M4460" s="686">
        <f t="shared" si="136"/>
        <v>37.6</v>
      </c>
      <c r="O4460" s="693"/>
    </row>
    <row r="4461" spans="2:15" s="645" customFormat="1" ht="21.75" customHeight="1">
      <c r="B4461" s="661">
        <v>44485</v>
      </c>
      <c r="C4461" s="662" t="s">
        <v>819</v>
      </c>
      <c r="D4461" s="663" t="s">
        <v>873</v>
      </c>
      <c r="E4461" s="664" t="s">
        <v>831</v>
      </c>
      <c r="F4461" s="665"/>
      <c r="G4461" s="663">
        <v>20</v>
      </c>
      <c r="H4461" s="662" t="s">
        <v>807</v>
      </c>
      <c r="I4461" s="666" t="s">
        <v>857</v>
      </c>
      <c r="J4461" s="667" t="s">
        <v>805</v>
      </c>
      <c r="K4461" s="662">
        <v>3</v>
      </c>
      <c r="L4461" s="685">
        <f t="shared" si="135"/>
        <v>18.8</v>
      </c>
      <c r="M4461" s="686">
        <f t="shared" si="136"/>
        <v>56.400000000000006</v>
      </c>
      <c r="O4461" s="693"/>
    </row>
    <row r="4462" spans="2:15" s="645" customFormat="1" ht="21.75" customHeight="1">
      <c r="B4462" s="661">
        <v>44485</v>
      </c>
      <c r="C4462" s="662" t="s">
        <v>819</v>
      </c>
      <c r="D4462" s="663" t="s">
        <v>873</v>
      </c>
      <c r="E4462" s="664" t="s">
        <v>831</v>
      </c>
      <c r="F4462" s="665"/>
      <c r="G4462" s="663">
        <v>20</v>
      </c>
      <c r="H4462" s="662" t="s">
        <v>807</v>
      </c>
      <c r="I4462" s="666" t="s">
        <v>859</v>
      </c>
      <c r="J4462" s="667" t="s">
        <v>805</v>
      </c>
      <c r="K4462" s="662">
        <v>1</v>
      </c>
      <c r="L4462" s="685">
        <f t="shared" si="135"/>
        <v>18.8</v>
      </c>
      <c r="M4462" s="686">
        <f t="shared" si="136"/>
        <v>18.8</v>
      </c>
      <c r="O4462" s="693"/>
    </row>
    <row r="4463" spans="2:15" s="645" customFormat="1" ht="21.75" customHeight="1">
      <c r="B4463" s="661">
        <v>44485</v>
      </c>
      <c r="C4463" s="662" t="s">
        <v>837</v>
      </c>
      <c r="D4463" s="663" t="s">
        <v>856</v>
      </c>
      <c r="E4463" s="664" t="s">
        <v>831</v>
      </c>
      <c r="F4463" s="665"/>
      <c r="G4463" s="663">
        <v>20</v>
      </c>
      <c r="H4463" s="662" t="s">
        <v>807</v>
      </c>
      <c r="I4463" s="666" t="s">
        <v>857</v>
      </c>
      <c r="J4463" s="667" t="s">
        <v>805</v>
      </c>
      <c r="K4463" s="662">
        <v>1</v>
      </c>
      <c r="L4463" s="685">
        <f t="shared" si="135"/>
        <v>18.8</v>
      </c>
      <c r="M4463" s="686">
        <f t="shared" si="136"/>
        <v>18.8</v>
      </c>
      <c r="O4463" s="693"/>
    </row>
    <row r="4464" spans="2:15" s="645" customFormat="1" ht="21.75" customHeight="1">
      <c r="B4464" s="661">
        <v>44485</v>
      </c>
      <c r="C4464" s="662" t="s">
        <v>837</v>
      </c>
      <c r="D4464" s="663" t="s">
        <v>855</v>
      </c>
      <c r="E4464" s="664" t="s">
        <v>831</v>
      </c>
      <c r="F4464" s="665"/>
      <c r="G4464" s="663">
        <v>20</v>
      </c>
      <c r="H4464" s="662" t="s">
        <v>807</v>
      </c>
      <c r="I4464" s="666" t="s">
        <v>857</v>
      </c>
      <c r="J4464" s="667" t="s">
        <v>805</v>
      </c>
      <c r="K4464" s="662">
        <v>7</v>
      </c>
      <c r="L4464" s="685">
        <f t="shared" si="135"/>
        <v>18.8</v>
      </c>
      <c r="M4464" s="686">
        <f t="shared" si="136"/>
        <v>131.6</v>
      </c>
      <c r="O4464" s="693"/>
    </row>
    <row r="4465" spans="2:15" s="645" customFormat="1" ht="21.75" customHeight="1">
      <c r="B4465" s="661">
        <v>44485</v>
      </c>
      <c r="C4465" s="662" t="s">
        <v>837</v>
      </c>
      <c r="D4465" s="663" t="s">
        <v>835</v>
      </c>
      <c r="E4465" s="664" t="s">
        <v>831</v>
      </c>
      <c r="F4465" s="665"/>
      <c r="G4465" s="663">
        <v>20</v>
      </c>
      <c r="H4465" s="662" t="s">
        <v>807</v>
      </c>
      <c r="I4465" s="666" t="s">
        <v>857</v>
      </c>
      <c r="J4465" s="667" t="s">
        <v>805</v>
      </c>
      <c r="K4465" s="662">
        <v>2</v>
      </c>
      <c r="L4465" s="685">
        <f t="shared" si="135"/>
        <v>18.8</v>
      </c>
      <c r="M4465" s="686">
        <f t="shared" si="136"/>
        <v>37.6</v>
      </c>
      <c r="O4465" s="693"/>
    </row>
    <row r="4466" spans="2:15" s="645" customFormat="1" ht="21.75" customHeight="1">
      <c r="B4466" s="661">
        <v>44485</v>
      </c>
      <c r="C4466" s="662" t="s">
        <v>837</v>
      </c>
      <c r="D4466" s="663" t="s">
        <v>835</v>
      </c>
      <c r="E4466" s="664" t="s">
        <v>831</v>
      </c>
      <c r="F4466" s="665"/>
      <c r="G4466" s="663">
        <v>20</v>
      </c>
      <c r="H4466" s="662" t="s">
        <v>807</v>
      </c>
      <c r="I4466" s="666" t="s">
        <v>857</v>
      </c>
      <c r="J4466" s="667" t="s">
        <v>804</v>
      </c>
      <c r="K4466" s="662">
        <v>6</v>
      </c>
      <c r="L4466" s="685">
        <f t="shared" si="135"/>
        <v>18.8</v>
      </c>
      <c r="M4466" s="686">
        <f t="shared" si="136"/>
        <v>112.80000000000001</v>
      </c>
      <c r="O4466" s="693"/>
    </row>
    <row r="4467" spans="2:15" s="645" customFormat="1" ht="21.75" customHeight="1">
      <c r="B4467" s="661">
        <v>44485</v>
      </c>
      <c r="C4467" s="662" t="s">
        <v>837</v>
      </c>
      <c r="D4467" s="663" t="s">
        <v>841</v>
      </c>
      <c r="E4467" s="664" t="s">
        <v>831</v>
      </c>
      <c r="F4467" s="665"/>
      <c r="G4467" s="663">
        <v>20</v>
      </c>
      <c r="H4467" s="662" t="s">
        <v>807</v>
      </c>
      <c r="I4467" s="666" t="s">
        <v>857</v>
      </c>
      <c r="J4467" s="667" t="s">
        <v>804</v>
      </c>
      <c r="K4467" s="662">
        <v>7</v>
      </c>
      <c r="L4467" s="685">
        <f t="shared" si="135"/>
        <v>18.8</v>
      </c>
      <c r="M4467" s="686">
        <f t="shared" si="136"/>
        <v>131.6</v>
      </c>
      <c r="O4467" s="693"/>
    </row>
    <row r="4468" spans="2:15" s="645" customFormat="1" ht="21.75" customHeight="1">
      <c r="B4468" s="661">
        <v>44485</v>
      </c>
      <c r="C4468" s="662" t="s">
        <v>837</v>
      </c>
      <c r="D4468" s="663" t="s">
        <v>850</v>
      </c>
      <c r="E4468" s="664" t="s">
        <v>831</v>
      </c>
      <c r="F4468" s="665"/>
      <c r="G4468" s="663">
        <v>15</v>
      </c>
      <c r="H4468" s="662" t="s">
        <v>807</v>
      </c>
      <c r="I4468" s="666" t="s">
        <v>857</v>
      </c>
      <c r="J4468" s="667" t="s">
        <v>804</v>
      </c>
      <c r="K4468" s="662">
        <v>5</v>
      </c>
      <c r="L4468" s="685">
        <f t="shared" si="135"/>
        <v>14.1</v>
      </c>
      <c r="M4468" s="686">
        <f t="shared" si="136"/>
        <v>70.5</v>
      </c>
      <c r="O4468" s="693"/>
    </row>
    <row r="4469" spans="2:15" s="645" customFormat="1" ht="21.75" customHeight="1">
      <c r="B4469" s="661">
        <v>44485</v>
      </c>
      <c r="C4469" s="662" t="s">
        <v>837</v>
      </c>
      <c r="D4469" s="663" t="s">
        <v>850</v>
      </c>
      <c r="E4469" s="664" t="s">
        <v>831</v>
      </c>
      <c r="F4469" s="665"/>
      <c r="G4469" s="663">
        <v>15</v>
      </c>
      <c r="H4469" s="662" t="s">
        <v>807</v>
      </c>
      <c r="I4469" s="666" t="s">
        <v>857</v>
      </c>
      <c r="J4469" s="667" t="s">
        <v>805</v>
      </c>
      <c r="K4469" s="662">
        <v>2</v>
      </c>
      <c r="L4469" s="685">
        <f t="shared" si="135"/>
        <v>14.1</v>
      </c>
      <c r="M4469" s="686">
        <f t="shared" si="136"/>
        <v>28.2</v>
      </c>
      <c r="O4469" s="693"/>
    </row>
    <row r="4470" spans="2:15" s="645" customFormat="1" ht="21.75" customHeight="1">
      <c r="B4470" s="661">
        <v>44485</v>
      </c>
      <c r="C4470" s="662" t="s">
        <v>837</v>
      </c>
      <c r="D4470" s="663" t="s">
        <v>839</v>
      </c>
      <c r="E4470" s="664" t="s">
        <v>831</v>
      </c>
      <c r="F4470" s="665"/>
      <c r="G4470" s="663">
        <v>15</v>
      </c>
      <c r="H4470" s="662" t="s">
        <v>807</v>
      </c>
      <c r="I4470" s="666" t="s">
        <v>857</v>
      </c>
      <c r="J4470" s="667" t="s">
        <v>805</v>
      </c>
      <c r="K4470" s="662">
        <v>8</v>
      </c>
      <c r="L4470" s="685">
        <f t="shared" si="135"/>
        <v>14.1</v>
      </c>
      <c r="M4470" s="686">
        <f t="shared" si="136"/>
        <v>112.8</v>
      </c>
      <c r="O4470" s="693"/>
    </row>
    <row r="4471" spans="2:15" s="645" customFormat="1" ht="21.75" customHeight="1">
      <c r="B4471" s="661">
        <v>44485</v>
      </c>
      <c r="C4471" s="662" t="s">
        <v>837</v>
      </c>
      <c r="D4471" s="663" t="s">
        <v>845</v>
      </c>
      <c r="E4471" s="664" t="s">
        <v>831</v>
      </c>
      <c r="F4471" s="665"/>
      <c r="G4471" s="663">
        <v>17</v>
      </c>
      <c r="H4471" s="662" t="s">
        <v>807</v>
      </c>
      <c r="I4471" s="666" t="s">
        <v>857</v>
      </c>
      <c r="J4471" s="667" t="s">
        <v>805</v>
      </c>
      <c r="K4471" s="662">
        <v>8</v>
      </c>
      <c r="L4471" s="685">
        <f t="shared" si="135"/>
        <v>15.98</v>
      </c>
      <c r="M4471" s="686">
        <f t="shared" si="136"/>
        <v>127.84</v>
      </c>
      <c r="O4471" s="693"/>
    </row>
    <row r="4472" spans="2:15" s="645" customFormat="1" ht="21.75" customHeight="1">
      <c r="B4472" s="661">
        <v>44485</v>
      </c>
      <c r="C4472" s="662" t="s">
        <v>837</v>
      </c>
      <c r="D4472" s="663" t="s">
        <v>847</v>
      </c>
      <c r="E4472" s="664" t="s">
        <v>831</v>
      </c>
      <c r="F4472" s="665"/>
      <c r="G4472" s="663">
        <v>17</v>
      </c>
      <c r="H4472" s="662" t="s">
        <v>807</v>
      </c>
      <c r="I4472" s="666" t="s">
        <v>857</v>
      </c>
      <c r="J4472" s="667" t="s">
        <v>804</v>
      </c>
      <c r="K4472" s="662">
        <v>6</v>
      </c>
      <c r="L4472" s="685">
        <f t="shared" si="135"/>
        <v>15.98</v>
      </c>
      <c r="M4472" s="686">
        <f t="shared" si="136"/>
        <v>95.88</v>
      </c>
      <c r="O4472" s="693"/>
    </row>
    <row r="4473" spans="2:15" s="645" customFormat="1" ht="21.75" customHeight="1">
      <c r="B4473" s="661">
        <v>44485</v>
      </c>
      <c r="C4473" s="662" t="s">
        <v>837</v>
      </c>
      <c r="D4473" s="663" t="s">
        <v>847</v>
      </c>
      <c r="E4473" s="664" t="s">
        <v>831</v>
      </c>
      <c r="F4473" s="665"/>
      <c r="G4473" s="663">
        <v>17</v>
      </c>
      <c r="H4473" s="662" t="s">
        <v>807</v>
      </c>
      <c r="I4473" s="666" t="s">
        <v>857</v>
      </c>
      <c r="J4473" s="667" t="s">
        <v>805</v>
      </c>
      <c r="K4473" s="662">
        <v>1</v>
      </c>
      <c r="L4473" s="685">
        <f t="shared" si="135"/>
        <v>15.98</v>
      </c>
      <c r="M4473" s="686">
        <f t="shared" si="136"/>
        <v>15.98</v>
      </c>
      <c r="O4473" s="693"/>
    </row>
    <row r="4474" spans="2:15" s="645" customFormat="1" ht="21.75" customHeight="1">
      <c r="B4474" s="661">
        <v>44485</v>
      </c>
      <c r="C4474" s="662" t="s">
        <v>837</v>
      </c>
      <c r="D4474" s="663" t="s">
        <v>878</v>
      </c>
      <c r="E4474" s="664" t="s">
        <v>831</v>
      </c>
      <c r="F4474" s="665"/>
      <c r="G4474" s="663">
        <v>15</v>
      </c>
      <c r="H4474" s="662" t="s">
        <v>807</v>
      </c>
      <c r="I4474" s="666" t="s">
        <v>857</v>
      </c>
      <c r="J4474" s="667" t="s">
        <v>804</v>
      </c>
      <c r="K4474" s="662">
        <v>6</v>
      </c>
      <c r="L4474" s="685">
        <f t="shared" si="135"/>
        <v>14.1</v>
      </c>
      <c r="M4474" s="686">
        <f t="shared" si="136"/>
        <v>84.6</v>
      </c>
      <c r="O4474" s="693"/>
    </row>
    <row r="4475" spans="2:15" s="645" customFormat="1" ht="21.75" customHeight="1">
      <c r="B4475" s="661">
        <v>44485</v>
      </c>
      <c r="C4475" s="662" t="s">
        <v>837</v>
      </c>
      <c r="D4475" s="663" t="s">
        <v>876</v>
      </c>
      <c r="E4475" s="664" t="s">
        <v>831</v>
      </c>
      <c r="F4475" s="665"/>
      <c r="G4475" s="663">
        <v>20</v>
      </c>
      <c r="H4475" s="662" t="s">
        <v>807</v>
      </c>
      <c r="I4475" s="666" t="s">
        <v>857</v>
      </c>
      <c r="J4475" s="667" t="s">
        <v>805</v>
      </c>
      <c r="K4475" s="662">
        <v>5</v>
      </c>
      <c r="L4475" s="685">
        <f t="shared" si="135"/>
        <v>18.8</v>
      </c>
      <c r="M4475" s="686">
        <f t="shared" si="136"/>
        <v>94</v>
      </c>
      <c r="O4475" s="693"/>
    </row>
    <row r="4476" spans="2:15" s="645" customFormat="1" ht="21.75" customHeight="1">
      <c r="B4476" s="661">
        <v>44485</v>
      </c>
      <c r="C4476" s="662" t="s">
        <v>837</v>
      </c>
      <c r="D4476" s="663" t="s">
        <v>873</v>
      </c>
      <c r="E4476" s="664" t="s">
        <v>831</v>
      </c>
      <c r="F4476" s="665"/>
      <c r="G4476" s="663">
        <v>20</v>
      </c>
      <c r="H4476" s="662" t="s">
        <v>807</v>
      </c>
      <c r="I4476" s="666" t="s">
        <v>857</v>
      </c>
      <c r="J4476" s="667" t="s">
        <v>805</v>
      </c>
      <c r="K4476" s="662">
        <v>7</v>
      </c>
      <c r="L4476" s="685">
        <f t="shared" si="135"/>
        <v>18.8</v>
      </c>
      <c r="M4476" s="686">
        <f t="shared" si="136"/>
        <v>131.6</v>
      </c>
      <c r="O4476" s="693"/>
    </row>
    <row r="4477" spans="2:15" s="645" customFormat="1" ht="21.75" customHeight="1">
      <c r="B4477" s="708">
        <v>44485</v>
      </c>
      <c r="C4477" s="709" t="s">
        <v>819</v>
      </c>
      <c r="D4477" s="710" t="s">
        <v>849</v>
      </c>
      <c r="E4477" s="711" t="s">
        <v>831</v>
      </c>
      <c r="F4477" s="712"/>
      <c r="G4477" s="710">
        <v>20</v>
      </c>
      <c r="H4477" s="709" t="s">
        <v>807</v>
      </c>
      <c r="I4477" s="713" t="s">
        <v>859</v>
      </c>
      <c r="J4477" s="714" t="s">
        <v>802</v>
      </c>
      <c r="K4477" s="709">
        <v>3</v>
      </c>
      <c r="L4477" s="715">
        <f t="shared" si="135"/>
        <v>18.8</v>
      </c>
      <c r="M4477" s="716">
        <f t="shared" si="136"/>
        <v>56.400000000000006</v>
      </c>
      <c r="O4477" s="693"/>
    </row>
    <row r="4478" spans="2:15" s="645" customFormat="1" ht="21.75" customHeight="1">
      <c r="B4478" s="708">
        <v>44485</v>
      </c>
      <c r="C4478" s="709" t="s">
        <v>819</v>
      </c>
      <c r="D4478" s="710" t="s">
        <v>849</v>
      </c>
      <c r="E4478" s="711" t="s">
        <v>831</v>
      </c>
      <c r="F4478" s="712"/>
      <c r="G4478" s="710">
        <v>20</v>
      </c>
      <c r="H4478" s="709" t="s">
        <v>807</v>
      </c>
      <c r="I4478" s="713" t="s">
        <v>857</v>
      </c>
      <c r="J4478" s="714" t="s">
        <v>802</v>
      </c>
      <c r="K4478" s="709">
        <v>1</v>
      </c>
      <c r="L4478" s="715">
        <f t="shared" si="135"/>
        <v>18.8</v>
      </c>
      <c r="M4478" s="716">
        <f t="shared" si="136"/>
        <v>18.8</v>
      </c>
      <c r="O4478" s="693"/>
    </row>
    <row r="4479" spans="2:15" s="645" customFormat="1" ht="21.75" customHeight="1">
      <c r="B4479" s="708">
        <v>44485</v>
      </c>
      <c r="C4479" s="709" t="s">
        <v>819</v>
      </c>
      <c r="D4479" s="710" t="s">
        <v>840</v>
      </c>
      <c r="E4479" s="711" t="s">
        <v>831</v>
      </c>
      <c r="F4479" s="712"/>
      <c r="G4479" s="710">
        <v>20</v>
      </c>
      <c r="H4479" s="709" t="s">
        <v>807</v>
      </c>
      <c r="I4479" s="713" t="s">
        <v>859</v>
      </c>
      <c r="J4479" s="714" t="s">
        <v>802</v>
      </c>
      <c r="K4479" s="709">
        <v>8</v>
      </c>
      <c r="L4479" s="715">
        <f t="shared" si="135"/>
        <v>18.8</v>
      </c>
      <c r="M4479" s="716">
        <f t="shared" si="136"/>
        <v>150.4</v>
      </c>
      <c r="O4479" s="693"/>
    </row>
    <row r="4480" spans="2:15" s="645" customFormat="1" ht="21.75" customHeight="1">
      <c r="B4480" s="708">
        <v>44485</v>
      </c>
      <c r="C4480" s="709" t="s">
        <v>819</v>
      </c>
      <c r="D4480" s="710" t="s">
        <v>835</v>
      </c>
      <c r="E4480" s="711" t="s">
        <v>831</v>
      </c>
      <c r="F4480" s="712"/>
      <c r="G4480" s="710">
        <v>20</v>
      </c>
      <c r="H4480" s="709" t="s">
        <v>807</v>
      </c>
      <c r="I4480" s="713" t="s">
        <v>859</v>
      </c>
      <c r="J4480" s="714" t="s">
        <v>802</v>
      </c>
      <c r="K4480" s="709">
        <v>2</v>
      </c>
      <c r="L4480" s="715">
        <f t="shared" si="135"/>
        <v>18.8</v>
      </c>
      <c r="M4480" s="716">
        <f t="shared" si="136"/>
        <v>37.6</v>
      </c>
      <c r="O4480" s="693"/>
    </row>
    <row r="4481" spans="2:15" s="645" customFormat="1" ht="21.75" customHeight="1">
      <c r="B4481" s="708">
        <v>44485</v>
      </c>
      <c r="C4481" s="709" t="s">
        <v>819</v>
      </c>
      <c r="D4481" s="710" t="s">
        <v>841</v>
      </c>
      <c r="E4481" s="711" t="s">
        <v>831</v>
      </c>
      <c r="F4481" s="712"/>
      <c r="G4481" s="710">
        <v>20</v>
      </c>
      <c r="H4481" s="709" t="s">
        <v>807</v>
      </c>
      <c r="I4481" s="713" t="s">
        <v>859</v>
      </c>
      <c r="J4481" s="714" t="s">
        <v>802</v>
      </c>
      <c r="K4481" s="709">
        <v>4</v>
      </c>
      <c r="L4481" s="715">
        <f t="shared" si="135"/>
        <v>18.8</v>
      </c>
      <c r="M4481" s="716">
        <f t="shared" si="136"/>
        <v>75.2</v>
      </c>
      <c r="O4481" s="693"/>
    </row>
    <row r="4482" spans="2:15" s="645" customFormat="1" ht="21.75" customHeight="1">
      <c r="B4482" s="708">
        <v>44485</v>
      </c>
      <c r="C4482" s="709" t="s">
        <v>819</v>
      </c>
      <c r="D4482" s="710" t="s">
        <v>834</v>
      </c>
      <c r="E4482" s="711" t="s">
        <v>831</v>
      </c>
      <c r="F4482" s="712"/>
      <c r="G4482" s="710">
        <v>20</v>
      </c>
      <c r="H4482" s="709" t="s">
        <v>807</v>
      </c>
      <c r="I4482" s="713" t="s">
        <v>872</v>
      </c>
      <c r="J4482" s="714" t="s">
        <v>802</v>
      </c>
      <c r="K4482" s="709">
        <v>4</v>
      </c>
      <c r="L4482" s="715">
        <f t="shared" si="135"/>
        <v>18.8</v>
      </c>
      <c r="M4482" s="716">
        <f t="shared" si="136"/>
        <v>75.2</v>
      </c>
      <c r="O4482" s="693"/>
    </row>
    <row r="4483" spans="2:15" s="645" customFormat="1" ht="21.75" customHeight="1">
      <c r="B4483" s="708">
        <v>44485</v>
      </c>
      <c r="C4483" s="709" t="s">
        <v>819</v>
      </c>
      <c r="D4483" s="710" t="s">
        <v>833</v>
      </c>
      <c r="E4483" s="711" t="s">
        <v>831</v>
      </c>
      <c r="F4483" s="712"/>
      <c r="G4483" s="710">
        <v>15</v>
      </c>
      <c r="H4483" s="709" t="s">
        <v>807</v>
      </c>
      <c r="I4483" s="713" t="s">
        <v>872</v>
      </c>
      <c r="J4483" s="714" t="s">
        <v>802</v>
      </c>
      <c r="K4483" s="709">
        <v>3</v>
      </c>
      <c r="L4483" s="715">
        <f t="shared" si="135"/>
        <v>14.1</v>
      </c>
      <c r="M4483" s="716">
        <f t="shared" si="136"/>
        <v>42.3</v>
      </c>
      <c r="O4483" s="693"/>
    </row>
    <row r="4484" spans="2:15" s="645" customFormat="1" ht="21.75" customHeight="1">
      <c r="B4484" s="708">
        <v>44485</v>
      </c>
      <c r="C4484" s="709" t="s">
        <v>819</v>
      </c>
      <c r="D4484" s="710" t="s">
        <v>830</v>
      </c>
      <c r="E4484" s="711" t="s">
        <v>831</v>
      </c>
      <c r="F4484" s="712"/>
      <c r="G4484" s="710">
        <v>15</v>
      </c>
      <c r="H4484" s="709" t="s">
        <v>807</v>
      </c>
      <c r="I4484" s="713" t="s">
        <v>859</v>
      </c>
      <c r="J4484" s="714" t="s">
        <v>802</v>
      </c>
      <c r="K4484" s="709">
        <v>2</v>
      </c>
      <c r="L4484" s="715">
        <f t="shared" si="135"/>
        <v>14.1</v>
      </c>
      <c r="M4484" s="716">
        <f t="shared" si="136"/>
        <v>28.2</v>
      </c>
      <c r="O4484" s="693"/>
    </row>
    <row r="4485" spans="2:15" s="645" customFormat="1" ht="21.75" customHeight="1">
      <c r="B4485" s="708">
        <v>44485</v>
      </c>
      <c r="C4485" s="709" t="s">
        <v>819</v>
      </c>
      <c r="D4485" s="710" t="s">
        <v>845</v>
      </c>
      <c r="E4485" s="711" t="s">
        <v>831</v>
      </c>
      <c r="F4485" s="712"/>
      <c r="G4485" s="710">
        <v>17</v>
      </c>
      <c r="H4485" s="709" t="s">
        <v>807</v>
      </c>
      <c r="I4485" s="713" t="s">
        <v>859</v>
      </c>
      <c r="J4485" s="714" t="s">
        <v>802</v>
      </c>
      <c r="K4485" s="709">
        <v>2</v>
      </c>
      <c r="L4485" s="715">
        <f t="shared" si="135"/>
        <v>15.98</v>
      </c>
      <c r="M4485" s="716">
        <f t="shared" si="136"/>
        <v>31.96</v>
      </c>
      <c r="O4485" s="693"/>
    </row>
    <row r="4486" spans="2:15" s="645" customFormat="1" ht="21.75" customHeight="1">
      <c r="B4486" s="708">
        <v>44485</v>
      </c>
      <c r="C4486" s="709" t="s">
        <v>819</v>
      </c>
      <c r="D4486" s="710" t="s">
        <v>856</v>
      </c>
      <c r="E4486" s="711" t="s">
        <v>831</v>
      </c>
      <c r="F4486" s="712"/>
      <c r="G4486" s="710">
        <v>20</v>
      </c>
      <c r="H4486" s="709" t="s">
        <v>807</v>
      </c>
      <c r="I4486" s="713" t="s">
        <v>857</v>
      </c>
      <c r="J4486" s="714" t="s">
        <v>802</v>
      </c>
      <c r="K4486" s="709">
        <v>1</v>
      </c>
      <c r="L4486" s="715">
        <f t="shared" si="135"/>
        <v>18.8</v>
      </c>
      <c r="M4486" s="716">
        <f t="shared" si="136"/>
        <v>18.8</v>
      </c>
      <c r="O4486" s="693"/>
    </row>
    <row r="4487" spans="2:15" s="645" customFormat="1" ht="21.75" customHeight="1">
      <c r="B4487" s="708">
        <v>44485</v>
      </c>
      <c r="C4487" s="709" t="s">
        <v>819</v>
      </c>
      <c r="D4487" s="710" t="s">
        <v>856</v>
      </c>
      <c r="E4487" s="711" t="s">
        <v>831</v>
      </c>
      <c r="F4487" s="712"/>
      <c r="G4487" s="710">
        <v>20</v>
      </c>
      <c r="H4487" s="709" t="s">
        <v>807</v>
      </c>
      <c r="I4487" s="713" t="s">
        <v>859</v>
      </c>
      <c r="J4487" s="714" t="s">
        <v>802</v>
      </c>
      <c r="K4487" s="709">
        <v>1</v>
      </c>
      <c r="L4487" s="715">
        <f t="shared" si="135"/>
        <v>18.8</v>
      </c>
      <c r="M4487" s="716">
        <f t="shared" si="136"/>
        <v>18.8</v>
      </c>
      <c r="O4487" s="693"/>
    </row>
    <row r="4488" spans="2:15" s="645" customFormat="1" ht="21.75" customHeight="1">
      <c r="B4488" s="708">
        <v>44485</v>
      </c>
      <c r="C4488" s="709" t="s">
        <v>819</v>
      </c>
      <c r="D4488" s="710" t="s">
        <v>878</v>
      </c>
      <c r="E4488" s="711" t="s">
        <v>831</v>
      </c>
      <c r="F4488" s="712"/>
      <c r="G4488" s="710">
        <v>15</v>
      </c>
      <c r="H4488" s="709" t="s">
        <v>807</v>
      </c>
      <c r="I4488" s="713" t="s">
        <v>859</v>
      </c>
      <c r="J4488" s="714" t="s">
        <v>802</v>
      </c>
      <c r="K4488" s="709">
        <v>5</v>
      </c>
      <c r="L4488" s="715">
        <f t="shared" si="135"/>
        <v>14.1</v>
      </c>
      <c r="M4488" s="716">
        <f t="shared" si="136"/>
        <v>70.5</v>
      </c>
      <c r="O4488" s="693"/>
    </row>
    <row r="4489" spans="2:15" s="645" customFormat="1" ht="21.75" customHeight="1">
      <c r="B4489" s="708">
        <v>44485</v>
      </c>
      <c r="C4489" s="709" t="s">
        <v>819</v>
      </c>
      <c r="D4489" s="710" t="s">
        <v>855</v>
      </c>
      <c r="E4489" s="711" t="s">
        <v>831</v>
      </c>
      <c r="F4489" s="712"/>
      <c r="G4489" s="710">
        <v>20</v>
      </c>
      <c r="H4489" s="709" t="s">
        <v>807</v>
      </c>
      <c r="I4489" s="713" t="s">
        <v>859</v>
      </c>
      <c r="J4489" s="714" t="s">
        <v>802</v>
      </c>
      <c r="K4489" s="709">
        <v>3</v>
      </c>
      <c r="L4489" s="715">
        <f t="shared" ref="L4489:L4552" si="137">VLOOKUP(G4489,$Q$4:$V$7,6,FALSE)</f>
        <v>18.8</v>
      </c>
      <c r="M4489" s="716">
        <f t="shared" si="136"/>
        <v>56.400000000000006</v>
      </c>
      <c r="O4489" s="693"/>
    </row>
    <row r="4490" spans="2:15" s="645" customFormat="1" ht="21.75" customHeight="1">
      <c r="B4490" s="708">
        <v>44485</v>
      </c>
      <c r="C4490" s="709" t="s">
        <v>819</v>
      </c>
      <c r="D4490" s="710" t="s">
        <v>855</v>
      </c>
      <c r="E4490" s="711" t="s">
        <v>831</v>
      </c>
      <c r="F4490" s="712"/>
      <c r="G4490" s="710">
        <v>20</v>
      </c>
      <c r="H4490" s="709" t="s">
        <v>807</v>
      </c>
      <c r="I4490" s="713" t="s">
        <v>872</v>
      </c>
      <c r="J4490" s="714" t="s">
        <v>802</v>
      </c>
      <c r="K4490" s="709">
        <v>2</v>
      </c>
      <c r="L4490" s="715">
        <f t="shared" si="137"/>
        <v>18.8</v>
      </c>
      <c r="M4490" s="716">
        <f t="shared" si="136"/>
        <v>37.6</v>
      </c>
      <c r="O4490" s="693"/>
    </row>
    <row r="4491" spans="2:15" s="645" customFormat="1" ht="21.75" customHeight="1">
      <c r="B4491" s="708">
        <v>44485</v>
      </c>
      <c r="C4491" s="709" t="s">
        <v>819</v>
      </c>
      <c r="D4491" s="710" t="s">
        <v>875</v>
      </c>
      <c r="E4491" s="711" t="s">
        <v>831</v>
      </c>
      <c r="F4491" s="712"/>
      <c r="G4491" s="710">
        <v>20</v>
      </c>
      <c r="H4491" s="709" t="s">
        <v>807</v>
      </c>
      <c r="I4491" s="713" t="s">
        <v>880</v>
      </c>
      <c r="J4491" s="714" t="s">
        <v>802</v>
      </c>
      <c r="K4491" s="709">
        <v>1</v>
      </c>
      <c r="L4491" s="715">
        <f t="shared" si="137"/>
        <v>18.8</v>
      </c>
      <c r="M4491" s="716">
        <f t="shared" si="136"/>
        <v>18.8</v>
      </c>
      <c r="O4491" s="693"/>
    </row>
    <row r="4492" spans="2:15" s="645" customFormat="1" ht="21.75" customHeight="1">
      <c r="B4492" s="708">
        <v>44485</v>
      </c>
      <c r="C4492" s="709" t="s">
        <v>819</v>
      </c>
      <c r="D4492" s="710" t="s">
        <v>875</v>
      </c>
      <c r="E4492" s="711" t="s">
        <v>831</v>
      </c>
      <c r="F4492" s="712"/>
      <c r="G4492" s="710">
        <v>20</v>
      </c>
      <c r="H4492" s="709" t="s">
        <v>807</v>
      </c>
      <c r="I4492" s="713" t="s">
        <v>857</v>
      </c>
      <c r="J4492" s="714" t="s">
        <v>802</v>
      </c>
      <c r="K4492" s="709">
        <v>4</v>
      </c>
      <c r="L4492" s="715">
        <f t="shared" si="137"/>
        <v>18.8</v>
      </c>
      <c r="M4492" s="716">
        <f t="shared" si="136"/>
        <v>75.2</v>
      </c>
      <c r="O4492" s="693"/>
    </row>
    <row r="4493" spans="2:15" s="645" customFormat="1" ht="21.75" customHeight="1">
      <c r="B4493" s="708">
        <v>44485</v>
      </c>
      <c r="C4493" s="709" t="s">
        <v>819</v>
      </c>
      <c r="D4493" s="710" t="s">
        <v>875</v>
      </c>
      <c r="E4493" s="711" t="s">
        <v>831</v>
      </c>
      <c r="F4493" s="712"/>
      <c r="G4493" s="710">
        <v>20</v>
      </c>
      <c r="H4493" s="709" t="s">
        <v>807</v>
      </c>
      <c r="I4493" s="713" t="s">
        <v>872</v>
      </c>
      <c r="J4493" s="714" t="s">
        <v>802</v>
      </c>
      <c r="K4493" s="709">
        <v>1</v>
      </c>
      <c r="L4493" s="715">
        <f t="shared" si="137"/>
        <v>18.8</v>
      </c>
      <c r="M4493" s="716">
        <f t="shared" si="136"/>
        <v>18.8</v>
      </c>
      <c r="O4493" s="693"/>
    </row>
    <row r="4494" spans="2:15" s="645" customFormat="1" ht="21.75" customHeight="1">
      <c r="B4494" s="708">
        <v>44485</v>
      </c>
      <c r="C4494" s="709" t="s">
        <v>819</v>
      </c>
      <c r="D4494" s="710" t="s">
        <v>875</v>
      </c>
      <c r="E4494" s="711" t="s">
        <v>831</v>
      </c>
      <c r="F4494" s="712"/>
      <c r="G4494" s="710">
        <v>20</v>
      </c>
      <c r="H4494" s="709" t="s">
        <v>807</v>
      </c>
      <c r="I4494" s="713" t="s">
        <v>859</v>
      </c>
      <c r="J4494" s="714" t="s">
        <v>802</v>
      </c>
      <c r="K4494" s="709">
        <v>2</v>
      </c>
      <c r="L4494" s="715">
        <f t="shared" si="137"/>
        <v>18.8</v>
      </c>
      <c r="M4494" s="716">
        <f t="shared" si="136"/>
        <v>37.6</v>
      </c>
      <c r="O4494" s="693"/>
    </row>
    <row r="4495" spans="2:15" s="645" customFormat="1" ht="21.75" customHeight="1">
      <c r="B4495" s="708">
        <v>44485</v>
      </c>
      <c r="C4495" s="709" t="s">
        <v>819</v>
      </c>
      <c r="D4495" s="710" t="s">
        <v>877</v>
      </c>
      <c r="E4495" s="711" t="s">
        <v>831</v>
      </c>
      <c r="F4495" s="712"/>
      <c r="G4495" s="710">
        <v>20</v>
      </c>
      <c r="H4495" s="709" t="s">
        <v>807</v>
      </c>
      <c r="I4495" s="713" t="s">
        <v>859</v>
      </c>
      <c r="J4495" s="714" t="s">
        <v>802</v>
      </c>
      <c r="K4495" s="709">
        <v>3</v>
      </c>
      <c r="L4495" s="715">
        <f t="shared" si="137"/>
        <v>18.8</v>
      </c>
      <c r="M4495" s="716">
        <f t="shared" si="136"/>
        <v>56.400000000000006</v>
      </c>
      <c r="O4495" s="693"/>
    </row>
    <row r="4496" spans="2:15" s="645" customFormat="1" ht="21.75" customHeight="1">
      <c r="B4496" s="708">
        <v>44485</v>
      </c>
      <c r="C4496" s="709" t="s">
        <v>819</v>
      </c>
      <c r="D4496" s="710" t="s">
        <v>877</v>
      </c>
      <c r="E4496" s="711" t="s">
        <v>831</v>
      </c>
      <c r="F4496" s="712"/>
      <c r="G4496" s="710">
        <v>20</v>
      </c>
      <c r="H4496" s="709" t="s">
        <v>807</v>
      </c>
      <c r="I4496" s="713" t="s">
        <v>857</v>
      </c>
      <c r="J4496" s="714" t="s">
        <v>802</v>
      </c>
      <c r="K4496" s="709">
        <v>2</v>
      </c>
      <c r="L4496" s="715">
        <f t="shared" si="137"/>
        <v>18.8</v>
      </c>
      <c r="M4496" s="716">
        <f t="shared" si="136"/>
        <v>37.6</v>
      </c>
      <c r="O4496" s="693"/>
    </row>
    <row r="4497" spans="2:15" s="645" customFormat="1" ht="21.75" customHeight="1">
      <c r="B4497" s="708">
        <v>44485</v>
      </c>
      <c r="C4497" s="709" t="s">
        <v>819</v>
      </c>
      <c r="D4497" s="710" t="s">
        <v>870</v>
      </c>
      <c r="E4497" s="711" t="s">
        <v>831</v>
      </c>
      <c r="F4497" s="712"/>
      <c r="G4497" s="710">
        <v>20</v>
      </c>
      <c r="H4497" s="709" t="s">
        <v>807</v>
      </c>
      <c r="I4497" s="713" t="s">
        <v>859</v>
      </c>
      <c r="J4497" s="714" t="s">
        <v>802</v>
      </c>
      <c r="K4497" s="709">
        <v>2</v>
      </c>
      <c r="L4497" s="715">
        <f t="shared" si="137"/>
        <v>18.8</v>
      </c>
      <c r="M4497" s="716">
        <f t="shared" si="136"/>
        <v>37.6</v>
      </c>
      <c r="O4497" s="693"/>
    </row>
    <row r="4498" spans="2:15" s="645" customFormat="1" ht="21.75" customHeight="1">
      <c r="B4498" s="708">
        <v>44485</v>
      </c>
      <c r="C4498" s="709" t="s">
        <v>819</v>
      </c>
      <c r="D4498" s="710" t="s">
        <v>870</v>
      </c>
      <c r="E4498" s="711" t="s">
        <v>831</v>
      </c>
      <c r="F4498" s="712"/>
      <c r="G4498" s="710">
        <v>20</v>
      </c>
      <c r="H4498" s="709" t="s">
        <v>807</v>
      </c>
      <c r="I4498" s="713" t="s">
        <v>857</v>
      </c>
      <c r="J4498" s="714" t="s">
        <v>802</v>
      </c>
      <c r="K4498" s="709">
        <v>3</v>
      </c>
      <c r="L4498" s="715">
        <f t="shared" si="137"/>
        <v>18.8</v>
      </c>
      <c r="M4498" s="716">
        <f t="shared" si="136"/>
        <v>56.400000000000006</v>
      </c>
      <c r="O4498" s="693"/>
    </row>
    <row r="4499" spans="2:15" s="645" customFormat="1" ht="21.75" customHeight="1">
      <c r="B4499" s="708">
        <v>44485</v>
      </c>
      <c r="C4499" s="709" t="s">
        <v>819</v>
      </c>
      <c r="D4499" s="710" t="s">
        <v>873</v>
      </c>
      <c r="E4499" s="711" t="s">
        <v>831</v>
      </c>
      <c r="F4499" s="712"/>
      <c r="G4499" s="710">
        <v>20</v>
      </c>
      <c r="H4499" s="709" t="s">
        <v>807</v>
      </c>
      <c r="I4499" s="713" t="s">
        <v>859</v>
      </c>
      <c r="J4499" s="714" t="s">
        <v>802</v>
      </c>
      <c r="K4499" s="709">
        <v>1</v>
      </c>
      <c r="L4499" s="715">
        <f t="shared" si="137"/>
        <v>18.8</v>
      </c>
      <c r="M4499" s="716">
        <f t="shared" si="136"/>
        <v>18.8</v>
      </c>
      <c r="O4499" s="693"/>
    </row>
    <row r="4500" spans="2:15" s="645" customFormat="1" ht="21.75" customHeight="1">
      <c r="B4500" s="708">
        <v>44485</v>
      </c>
      <c r="C4500" s="709" t="s">
        <v>819</v>
      </c>
      <c r="D4500" s="710" t="s">
        <v>873</v>
      </c>
      <c r="E4500" s="711" t="s">
        <v>831</v>
      </c>
      <c r="F4500" s="712"/>
      <c r="G4500" s="710">
        <v>20</v>
      </c>
      <c r="H4500" s="709" t="s">
        <v>807</v>
      </c>
      <c r="I4500" s="713" t="s">
        <v>857</v>
      </c>
      <c r="J4500" s="714" t="s">
        <v>802</v>
      </c>
      <c r="K4500" s="709">
        <v>1</v>
      </c>
      <c r="L4500" s="715">
        <f t="shared" si="137"/>
        <v>18.8</v>
      </c>
      <c r="M4500" s="716">
        <f t="shared" si="136"/>
        <v>18.8</v>
      </c>
      <c r="O4500" s="693"/>
    </row>
    <row r="4501" spans="2:15" s="645" customFormat="1" ht="21.75" customHeight="1">
      <c r="B4501" s="708">
        <v>44485</v>
      </c>
      <c r="C4501" s="709" t="s">
        <v>819</v>
      </c>
      <c r="D4501" s="710" t="s">
        <v>873</v>
      </c>
      <c r="E4501" s="711" t="s">
        <v>831</v>
      </c>
      <c r="F4501" s="712"/>
      <c r="G4501" s="710">
        <v>20</v>
      </c>
      <c r="H4501" s="709" t="s">
        <v>807</v>
      </c>
      <c r="I4501" s="713" t="s">
        <v>872</v>
      </c>
      <c r="J4501" s="714" t="s">
        <v>802</v>
      </c>
      <c r="K4501" s="709">
        <v>2</v>
      </c>
      <c r="L4501" s="715">
        <f t="shared" si="137"/>
        <v>18.8</v>
      </c>
      <c r="M4501" s="716">
        <f t="shared" si="136"/>
        <v>37.6</v>
      </c>
      <c r="O4501" s="693"/>
    </row>
    <row r="4502" spans="2:15" s="645" customFormat="1" ht="21.75" customHeight="1">
      <c r="B4502" s="661">
        <v>44486</v>
      </c>
      <c r="C4502" s="662" t="s">
        <v>819</v>
      </c>
      <c r="D4502" s="663" t="s">
        <v>849</v>
      </c>
      <c r="E4502" s="664" t="s">
        <v>831</v>
      </c>
      <c r="F4502" s="665"/>
      <c r="G4502" s="663">
        <v>20</v>
      </c>
      <c r="H4502" s="662" t="s">
        <v>807</v>
      </c>
      <c r="I4502" s="666" t="s">
        <v>857</v>
      </c>
      <c r="J4502" s="667" t="s">
        <v>805</v>
      </c>
      <c r="K4502" s="662">
        <v>2</v>
      </c>
      <c r="L4502" s="685">
        <f t="shared" si="137"/>
        <v>18.8</v>
      </c>
      <c r="M4502" s="686">
        <f t="shared" si="136"/>
        <v>37.6</v>
      </c>
      <c r="O4502" s="693"/>
    </row>
    <row r="4503" spans="2:15" s="645" customFormat="1" ht="21.75" customHeight="1">
      <c r="B4503" s="661">
        <v>44486</v>
      </c>
      <c r="C4503" s="662" t="s">
        <v>819</v>
      </c>
      <c r="D4503" s="663" t="s">
        <v>835</v>
      </c>
      <c r="E4503" s="664" t="s">
        <v>831</v>
      </c>
      <c r="F4503" s="665"/>
      <c r="G4503" s="663">
        <v>20</v>
      </c>
      <c r="H4503" s="662" t="s">
        <v>807</v>
      </c>
      <c r="I4503" s="666" t="s">
        <v>857</v>
      </c>
      <c r="J4503" s="667" t="s">
        <v>805</v>
      </c>
      <c r="K4503" s="662">
        <v>2</v>
      </c>
      <c r="L4503" s="685">
        <f t="shared" si="137"/>
        <v>18.8</v>
      </c>
      <c r="M4503" s="686">
        <f t="shared" si="136"/>
        <v>37.6</v>
      </c>
      <c r="O4503" s="693"/>
    </row>
    <row r="4504" spans="2:15" s="645" customFormat="1" ht="21.75" customHeight="1">
      <c r="B4504" s="661">
        <v>44486</v>
      </c>
      <c r="C4504" s="662" t="s">
        <v>819</v>
      </c>
      <c r="D4504" s="663" t="s">
        <v>834</v>
      </c>
      <c r="E4504" s="664" t="s">
        <v>831</v>
      </c>
      <c r="F4504" s="665"/>
      <c r="G4504" s="663">
        <v>20</v>
      </c>
      <c r="H4504" s="662" t="s">
        <v>807</v>
      </c>
      <c r="I4504" s="666" t="s">
        <v>857</v>
      </c>
      <c r="J4504" s="667" t="s">
        <v>805</v>
      </c>
      <c r="K4504" s="662">
        <v>2</v>
      </c>
      <c r="L4504" s="685">
        <f t="shared" si="137"/>
        <v>18.8</v>
      </c>
      <c r="M4504" s="686">
        <f t="shared" si="136"/>
        <v>37.6</v>
      </c>
      <c r="O4504" s="693"/>
    </row>
    <row r="4505" spans="2:15" s="645" customFormat="1" ht="21.75" customHeight="1">
      <c r="B4505" s="661">
        <v>44486</v>
      </c>
      <c r="C4505" s="662" t="s">
        <v>819</v>
      </c>
      <c r="D4505" s="663" t="s">
        <v>874</v>
      </c>
      <c r="E4505" s="664" t="s">
        <v>831</v>
      </c>
      <c r="F4505" s="665"/>
      <c r="G4505" s="663">
        <v>20</v>
      </c>
      <c r="H4505" s="662" t="s">
        <v>807</v>
      </c>
      <c r="I4505" s="666" t="s">
        <v>857</v>
      </c>
      <c r="J4505" s="667" t="s">
        <v>805</v>
      </c>
      <c r="K4505" s="662">
        <v>2</v>
      </c>
      <c r="L4505" s="685">
        <f t="shared" si="137"/>
        <v>18.8</v>
      </c>
      <c r="M4505" s="686">
        <f t="shared" si="136"/>
        <v>37.6</v>
      </c>
      <c r="O4505" s="693"/>
    </row>
    <row r="4506" spans="2:15" s="645" customFormat="1" ht="21.75" customHeight="1">
      <c r="B4506" s="661">
        <v>44486</v>
      </c>
      <c r="C4506" s="662" t="s">
        <v>819</v>
      </c>
      <c r="D4506" s="663" t="s">
        <v>833</v>
      </c>
      <c r="E4506" s="664" t="s">
        <v>831</v>
      </c>
      <c r="F4506" s="665"/>
      <c r="G4506" s="663">
        <v>15</v>
      </c>
      <c r="H4506" s="662" t="s">
        <v>807</v>
      </c>
      <c r="I4506" s="666" t="s">
        <v>857</v>
      </c>
      <c r="J4506" s="667" t="s">
        <v>804</v>
      </c>
      <c r="K4506" s="662">
        <v>5</v>
      </c>
      <c r="L4506" s="685">
        <f t="shared" si="137"/>
        <v>14.1</v>
      </c>
      <c r="M4506" s="686">
        <f t="shared" si="136"/>
        <v>70.5</v>
      </c>
      <c r="O4506" s="693"/>
    </row>
    <row r="4507" spans="2:15" s="645" customFormat="1" ht="21.75" customHeight="1">
      <c r="B4507" s="661">
        <v>44486</v>
      </c>
      <c r="C4507" s="662" t="s">
        <v>819</v>
      </c>
      <c r="D4507" s="663" t="s">
        <v>833</v>
      </c>
      <c r="E4507" s="664" t="s">
        <v>831</v>
      </c>
      <c r="F4507" s="665"/>
      <c r="G4507" s="663">
        <v>15</v>
      </c>
      <c r="H4507" s="662" t="s">
        <v>807</v>
      </c>
      <c r="I4507" s="666" t="s">
        <v>859</v>
      </c>
      <c r="J4507" s="667" t="s">
        <v>804</v>
      </c>
      <c r="K4507" s="662">
        <v>1</v>
      </c>
      <c r="L4507" s="685">
        <f t="shared" si="137"/>
        <v>14.1</v>
      </c>
      <c r="M4507" s="686">
        <f t="shared" si="136"/>
        <v>14.1</v>
      </c>
      <c r="O4507" s="693"/>
    </row>
    <row r="4508" spans="2:15" s="645" customFormat="1" ht="21.75" customHeight="1">
      <c r="B4508" s="661">
        <v>44486</v>
      </c>
      <c r="C4508" s="662" t="s">
        <v>819</v>
      </c>
      <c r="D4508" s="663" t="s">
        <v>830</v>
      </c>
      <c r="E4508" s="664" t="s">
        <v>831</v>
      </c>
      <c r="F4508" s="665"/>
      <c r="G4508" s="663">
        <v>15</v>
      </c>
      <c r="H4508" s="662" t="s">
        <v>807</v>
      </c>
      <c r="I4508" s="666" t="s">
        <v>857</v>
      </c>
      <c r="J4508" s="667" t="s">
        <v>804</v>
      </c>
      <c r="K4508" s="662">
        <v>4</v>
      </c>
      <c r="L4508" s="685">
        <f t="shared" si="137"/>
        <v>14.1</v>
      </c>
      <c r="M4508" s="686">
        <f t="shared" si="136"/>
        <v>56.4</v>
      </c>
      <c r="O4508" s="693"/>
    </row>
    <row r="4509" spans="2:15" s="645" customFormat="1" ht="21.75" customHeight="1">
      <c r="B4509" s="661">
        <v>44486</v>
      </c>
      <c r="C4509" s="662" t="s">
        <v>819</v>
      </c>
      <c r="D4509" s="663" t="s">
        <v>830</v>
      </c>
      <c r="E4509" s="664" t="s">
        <v>831</v>
      </c>
      <c r="F4509" s="665"/>
      <c r="G4509" s="663">
        <v>15</v>
      </c>
      <c r="H4509" s="662" t="s">
        <v>807</v>
      </c>
      <c r="I4509" s="666" t="s">
        <v>859</v>
      </c>
      <c r="J4509" s="667" t="s">
        <v>804</v>
      </c>
      <c r="K4509" s="662">
        <v>1</v>
      </c>
      <c r="L4509" s="685">
        <f t="shared" si="137"/>
        <v>14.1</v>
      </c>
      <c r="M4509" s="686">
        <f t="shared" si="136"/>
        <v>14.1</v>
      </c>
      <c r="O4509" s="693"/>
    </row>
    <row r="4510" spans="2:15" s="645" customFormat="1" ht="21.75" customHeight="1">
      <c r="B4510" s="661">
        <v>44486</v>
      </c>
      <c r="C4510" s="662" t="s">
        <v>819</v>
      </c>
      <c r="D4510" s="663" t="s">
        <v>850</v>
      </c>
      <c r="E4510" s="664" t="s">
        <v>831</v>
      </c>
      <c r="F4510" s="665"/>
      <c r="G4510" s="663">
        <v>15</v>
      </c>
      <c r="H4510" s="662" t="s">
        <v>807</v>
      </c>
      <c r="I4510" s="666" t="s">
        <v>857</v>
      </c>
      <c r="J4510" s="667" t="s">
        <v>804</v>
      </c>
      <c r="K4510" s="662">
        <v>4</v>
      </c>
      <c r="L4510" s="685">
        <f t="shared" si="137"/>
        <v>14.1</v>
      </c>
      <c r="M4510" s="686">
        <f t="shared" si="136"/>
        <v>56.4</v>
      </c>
      <c r="O4510" s="693"/>
    </row>
    <row r="4511" spans="2:15" s="645" customFormat="1" ht="21.75" customHeight="1">
      <c r="B4511" s="661">
        <v>44486</v>
      </c>
      <c r="C4511" s="662" t="s">
        <v>819</v>
      </c>
      <c r="D4511" s="663" t="s">
        <v>850</v>
      </c>
      <c r="E4511" s="664" t="s">
        <v>831</v>
      </c>
      <c r="F4511" s="665"/>
      <c r="G4511" s="663">
        <v>15</v>
      </c>
      <c r="H4511" s="662" t="s">
        <v>807</v>
      </c>
      <c r="I4511" s="666" t="s">
        <v>805</v>
      </c>
      <c r="J4511" s="667" t="s">
        <v>804</v>
      </c>
      <c r="K4511" s="662">
        <v>1</v>
      </c>
      <c r="L4511" s="685">
        <f t="shared" si="137"/>
        <v>14.1</v>
      </c>
      <c r="M4511" s="686">
        <f t="shared" si="136"/>
        <v>14.1</v>
      </c>
      <c r="O4511" s="693"/>
    </row>
    <row r="4512" spans="2:15" s="645" customFormat="1" ht="21.75" customHeight="1">
      <c r="B4512" s="661">
        <v>44486</v>
      </c>
      <c r="C4512" s="662" t="s">
        <v>819</v>
      </c>
      <c r="D4512" s="663" t="s">
        <v>850</v>
      </c>
      <c r="E4512" s="664" t="s">
        <v>831</v>
      </c>
      <c r="F4512" s="665"/>
      <c r="G4512" s="663">
        <v>15</v>
      </c>
      <c r="H4512" s="662" t="s">
        <v>807</v>
      </c>
      <c r="I4512" s="666" t="s">
        <v>859</v>
      </c>
      <c r="J4512" s="667" t="s">
        <v>804</v>
      </c>
      <c r="K4512" s="662">
        <v>1</v>
      </c>
      <c r="L4512" s="685">
        <f t="shared" si="137"/>
        <v>14.1</v>
      </c>
      <c r="M4512" s="686">
        <f t="shared" si="136"/>
        <v>14.1</v>
      </c>
      <c r="O4512" s="693"/>
    </row>
    <row r="4513" spans="2:15" s="645" customFormat="1" ht="21.75" customHeight="1">
      <c r="B4513" s="661">
        <v>44486</v>
      </c>
      <c r="C4513" s="662" t="s">
        <v>819</v>
      </c>
      <c r="D4513" s="663" t="s">
        <v>845</v>
      </c>
      <c r="E4513" s="664" t="s">
        <v>831</v>
      </c>
      <c r="F4513" s="665"/>
      <c r="G4513" s="663">
        <v>17</v>
      </c>
      <c r="H4513" s="662" t="s">
        <v>807</v>
      </c>
      <c r="I4513" s="666" t="s">
        <v>857</v>
      </c>
      <c r="J4513" s="667" t="s">
        <v>805</v>
      </c>
      <c r="K4513" s="662">
        <v>2</v>
      </c>
      <c r="L4513" s="685">
        <f t="shared" si="137"/>
        <v>15.98</v>
      </c>
      <c r="M4513" s="686">
        <f t="shared" si="136"/>
        <v>31.96</v>
      </c>
      <c r="O4513" s="693"/>
    </row>
    <row r="4514" spans="2:15" s="645" customFormat="1" ht="21.75" customHeight="1">
      <c r="B4514" s="661">
        <v>44486</v>
      </c>
      <c r="C4514" s="662" t="s">
        <v>819</v>
      </c>
      <c r="D4514" s="663" t="s">
        <v>845</v>
      </c>
      <c r="E4514" s="664" t="s">
        <v>831</v>
      </c>
      <c r="F4514" s="665"/>
      <c r="G4514" s="663">
        <v>17</v>
      </c>
      <c r="H4514" s="662" t="s">
        <v>807</v>
      </c>
      <c r="I4514" s="666" t="s">
        <v>857</v>
      </c>
      <c r="J4514" s="667" t="s">
        <v>804</v>
      </c>
      <c r="K4514" s="662">
        <v>1</v>
      </c>
      <c r="L4514" s="685">
        <f t="shared" si="137"/>
        <v>15.98</v>
      </c>
      <c r="M4514" s="686">
        <f t="shared" si="136"/>
        <v>15.98</v>
      </c>
      <c r="O4514" s="693"/>
    </row>
    <row r="4515" spans="2:15" s="645" customFormat="1" ht="21.75" customHeight="1">
      <c r="B4515" s="661">
        <v>44486</v>
      </c>
      <c r="C4515" s="662" t="s">
        <v>819</v>
      </c>
      <c r="D4515" s="663" t="s">
        <v>847</v>
      </c>
      <c r="E4515" s="664" t="s">
        <v>831</v>
      </c>
      <c r="F4515" s="665"/>
      <c r="G4515" s="663">
        <v>17</v>
      </c>
      <c r="H4515" s="662" t="s">
        <v>807</v>
      </c>
      <c r="I4515" s="666" t="s">
        <v>857</v>
      </c>
      <c r="J4515" s="667" t="s">
        <v>805</v>
      </c>
      <c r="K4515" s="662">
        <v>1</v>
      </c>
      <c r="L4515" s="685">
        <f t="shared" si="137"/>
        <v>15.98</v>
      </c>
      <c r="M4515" s="686">
        <f t="shared" si="136"/>
        <v>15.98</v>
      </c>
      <c r="O4515" s="693"/>
    </row>
    <row r="4516" spans="2:15" s="645" customFormat="1" ht="21.75" customHeight="1">
      <c r="B4516" s="661">
        <v>44486</v>
      </c>
      <c r="C4516" s="662" t="s">
        <v>819</v>
      </c>
      <c r="D4516" s="663" t="s">
        <v>847</v>
      </c>
      <c r="E4516" s="664" t="s">
        <v>831</v>
      </c>
      <c r="F4516" s="665"/>
      <c r="G4516" s="663">
        <v>17</v>
      </c>
      <c r="H4516" s="662" t="s">
        <v>807</v>
      </c>
      <c r="I4516" s="666" t="s">
        <v>857</v>
      </c>
      <c r="J4516" s="667" t="s">
        <v>804</v>
      </c>
      <c r="K4516" s="662">
        <v>5</v>
      </c>
      <c r="L4516" s="685">
        <f t="shared" si="137"/>
        <v>15.98</v>
      </c>
      <c r="M4516" s="686">
        <f t="shared" si="136"/>
        <v>79.900000000000006</v>
      </c>
      <c r="O4516" s="693"/>
    </row>
    <row r="4517" spans="2:15" s="645" customFormat="1" ht="21.75" customHeight="1">
      <c r="B4517" s="661">
        <v>44486</v>
      </c>
      <c r="C4517" s="662" t="s">
        <v>819</v>
      </c>
      <c r="D4517" s="663" t="s">
        <v>847</v>
      </c>
      <c r="E4517" s="664" t="s">
        <v>831</v>
      </c>
      <c r="F4517" s="665"/>
      <c r="G4517" s="663">
        <v>17</v>
      </c>
      <c r="H4517" s="662" t="s">
        <v>807</v>
      </c>
      <c r="I4517" s="666" t="s">
        <v>859</v>
      </c>
      <c r="J4517" s="667" t="s">
        <v>804</v>
      </c>
      <c r="K4517" s="662">
        <v>1</v>
      </c>
      <c r="L4517" s="685">
        <f t="shared" si="137"/>
        <v>15.98</v>
      </c>
      <c r="M4517" s="686">
        <f t="shared" si="136"/>
        <v>15.98</v>
      </c>
      <c r="O4517" s="693"/>
    </row>
    <row r="4518" spans="2:15" s="645" customFormat="1" ht="21.75" customHeight="1">
      <c r="B4518" s="661">
        <v>44486</v>
      </c>
      <c r="C4518" s="662" t="s">
        <v>819</v>
      </c>
      <c r="D4518" s="663" t="s">
        <v>856</v>
      </c>
      <c r="E4518" s="664" t="s">
        <v>831</v>
      </c>
      <c r="F4518" s="665"/>
      <c r="G4518" s="663">
        <v>20</v>
      </c>
      <c r="H4518" s="662" t="s">
        <v>807</v>
      </c>
      <c r="I4518" s="666" t="s">
        <v>857</v>
      </c>
      <c r="J4518" s="667" t="s">
        <v>805</v>
      </c>
      <c r="K4518" s="662">
        <v>1</v>
      </c>
      <c r="L4518" s="685">
        <f t="shared" si="137"/>
        <v>18.8</v>
      </c>
      <c r="M4518" s="686">
        <f t="shared" si="136"/>
        <v>18.8</v>
      </c>
      <c r="O4518" s="693"/>
    </row>
    <row r="4519" spans="2:15" s="645" customFormat="1" ht="21.75" customHeight="1">
      <c r="B4519" s="661">
        <v>44486</v>
      </c>
      <c r="C4519" s="662" t="s">
        <v>819</v>
      </c>
      <c r="D4519" s="663" t="s">
        <v>878</v>
      </c>
      <c r="E4519" s="664" t="s">
        <v>831</v>
      </c>
      <c r="F4519" s="665"/>
      <c r="G4519" s="663">
        <v>15</v>
      </c>
      <c r="H4519" s="662" t="s">
        <v>807</v>
      </c>
      <c r="I4519" s="666" t="s">
        <v>857</v>
      </c>
      <c r="J4519" s="667" t="s">
        <v>805</v>
      </c>
      <c r="K4519" s="662">
        <v>4</v>
      </c>
      <c r="L4519" s="685">
        <f t="shared" si="137"/>
        <v>14.1</v>
      </c>
      <c r="M4519" s="686">
        <f t="shared" ref="M4519:M4582" si="138">L4519*K4519</f>
        <v>56.4</v>
      </c>
      <c r="O4519" s="693"/>
    </row>
    <row r="4520" spans="2:15" s="645" customFormat="1" ht="21.75" customHeight="1">
      <c r="B4520" s="661">
        <v>44486</v>
      </c>
      <c r="C4520" s="662" t="s">
        <v>819</v>
      </c>
      <c r="D4520" s="663" t="s">
        <v>855</v>
      </c>
      <c r="E4520" s="664" t="s">
        <v>831</v>
      </c>
      <c r="F4520" s="665"/>
      <c r="G4520" s="663">
        <v>20</v>
      </c>
      <c r="H4520" s="662" t="s">
        <v>807</v>
      </c>
      <c r="I4520" s="666" t="s">
        <v>857</v>
      </c>
      <c r="J4520" s="667" t="s">
        <v>805</v>
      </c>
      <c r="K4520" s="662">
        <v>3</v>
      </c>
      <c r="L4520" s="685">
        <f t="shared" si="137"/>
        <v>18.8</v>
      </c>
      <c r="M4520" s="686">
        <f t="shared" si="138"/>
        <v>56.400000000000006</v>
      </c>
      <c r="O4520" s="693"/>
    </row>
    <row r="4521" spans="2:15" s="645" customFormat="1" ht="21.75" customHeight="1">
      <c r="B4521" s="661">
        <v>44486</v>
      </c>
      <c r="C4521" s="662" t="s">
        <v>819</v>
      </c>
      <c r="D4521" s="663" t="s">
        <v>875</v>
      </c>
      <c r="E4521" s="664" t="s">
        <v>831</v>
      </c>
      <c r="F4521" s="665"/>
      <c r="G4521" s="663">
        <v>20</v>
      </c>
      <c r="H4521" s="662" t="s">
        <v>807</v>
      </c>
      <c r="I4521" s="666" t="s">
        <v>857</v>
      </c>
      <c r="J4521" s="667" t="s">
        <v>805</v>
      </c>
      <c r="K4521" s="662">
        <v>1</v>
      </c>
      <c r="L4521" s="685">
        <f t="shared" si="137"/>
        <v>18.8</v>
      </c>
      <c r="M4521" s="686">
        <f t="shared" si="138"/>
        <v>18.8</v>
      </c>
      <c r="O4521" s="693"/>
    </row>
    <row r="4522" spans="2:15" s="645" customFormat="1" ht="21.75" customHeight="1">
      <c r="B4522" s="661">
        <v>44486</v>
      </c>
      <c r="C4522" s="662" t="s">
        <v>819</v>
      </c>
      <c r="D4522" s="663" t="s">
        <v>867</v>
      </c>
      <c r="E4522" s="664" t="s">
        <v>831</v>
      </c>
      <c r="F4522" s="665"/>
      <c r="G4522" s="663">
        <v>20</v>
      </c>
      <c r="H4522" s="662" t="s">
        <v>807</v>
      </c>
      <c r="I4522" s="666" t="s">
        <v>857</v>
      </c>
      <c r="J4522" s="667" t="s">
        <v>805</v>
      </c>
      <c r="K4522" s="662">
        <v>6</v>
      </c>
      <c r="L4522" s="685">
        <f t="shared" si="137"/>
        <v>18.8</v>
      </c>
      <c r="M4522" s="686">
        <f t="shared" si="138"/>
        <v>112.80000000000001</v>
      </c>
      <c r="O4522" s="693"/>
    </row>
    <row r="4523" spans="2:15" s="645" customFormat="1" ht="21.75" customHeight="1">
      <c r="B4523" s="661">
        <v>44486</v>
      </c>
      <c r="C4523" s="662" t="s">
        <v>819</v>
      </c>
      <c r="D4523" s="663" t="s">
        <v>867</v>
      </c>
      <c r="E4523" s="664" t="s">
        <v>831</v>
      </c>
      <c r="F4523" s="665"/>
      <c r="G4523" s="663">
        <v>20</v>
      </c>
      <c r="H4523" s="662" t="s">
        <v>807</v>
      </c>
      <c r="I4523" s="666" t="s">
        <v>859</v>
      </c>
      <c r="J4523" s="667" t="s">
        <v>805</v>
      </c>
      <c r="K4523" s="662">
        <v>1</v>
      </c>
      <c r="L4523" s="685">
        <f t="shared" si="137"/>
        <v>18.8</v>
      </c>
      <c r="M4523" s="686">
        <f t="shared" si="138"/>
        <v>18.8</v>
      </c>
      <c r="O4523" s="693"/>
    </row>
    <row r="4524" spans="2:15" s="645" customFormat="1" ht="21.75" customHeight="1">
      <c r="B4524" s="661">
        <v>44486</v>
      </c>
      <c r="C4524" s="662" t="s">
        <v>819</v>
      </c>
      <c r="D4524" s="663" t="s">
        <v>876</v>
      </c>
      <c r="E4524" s="664" t="s">
        <v>831</v>
      </c>
      <c r="F4524" s="665"/>
      <c r="G4524" s="663">
        <v>20</v>
      </c>
      <c r="H4524" s="662" t="s">
        <v>807</v>
      </c>
      <c r="I4524" s="666" t="s">
        <v>857</v>
      </c>
      <c r="J4524" s="667" t="s">
        <v>805</v>
      </c>
      <c r="K4524" s="662">
        <v>3</v>
      </c>
      <c r="L4524" s="685">
        <f t="shared" si="137"/>
        <v>18.8</v>
      </c>
      <c r="M4524" s="686">
        <f t="shared" si="138"/>
        <v>56.400000000000006</v>
      </c>
      <c r="O4524" s="693"/>
    </row>
    <row r="4525" spans="2:15" s="645" customFormat="1" ht="21.75" customHeight="1">
      <c r="B4525" s="661">
        <v>44486</v>
      </c>
      <c r="C4525" s="662" t="s">
        <v>819</v>
      </c>
      <c r="D4525" s="663" t="s">
        <v>868</v>
      </c>
      <c r="E4525" s="664" t="s">
        <v>831</v>
      </c>
      <c r="F4525" s="665"/>
      <c r="G4525" s="663">
        <v>20</v>
      </c>
      <c r="H4525" s="662" t="s">
        <v>807</v>
      </c>
      <c r="I4525" s="666" t="s">
        <v>857</v>
      </c>
      <c r="J4525" s="667" t="s">
        <v>805</v>
      </c>
      <c r="K4525" s="662">
        <v>3</v>
      </c>
      <c r="L4525" s="685">
        <f t="shared" si="137"/>
        <v>18.8</v>
      </c>
      <c r="M4525" s="686">
        <f t="shared" si="138"/>
        <v>56.400000000000006</v>
      </c>
      <c r="O4525" s="693"/>
    </row>
    <row r="4526" spans="2:15" s="645" customFormat="1" ht="21.75" customHeight="1">
      <c r="B4526" s="661">
        <v>44486</v>
      </c>
      <c r="C4526" s="662" t="s">
        <v>819</v>
      </c>
      <c r="D4526" s="663" t="s">
        <v>868</v>
      </c>
      <c r="E4526" s="664" t="s">
        <v>831</v>
      </c>
      <c r="F4526" s="665"/>
      <c r="G4526" s="663">
        <v>20</v>
      </c>
      <c r="H4526" s="662" t="s">
        <v>807</v>
      </c>
      <c r="I4526" s="666" t="s">
        <v>857</v>
      </c>
      <c r="J4526" s="667" t="s">
        <v>804</v>
      </c>
      <c r="K4526" s="662">
        <v>2</v>
      </c>
      <c r="L4526" s="685">
        <f t="shared" si="137"/>
        <v>18.8</v>
      </c>
      <c r="M4526" s="686">
        <f t="shared" si="138"/>
        <v>37.6</v>
      </c>
      <c r="O4526" s="693"/>
    </row>
    <row r="4527" spans="2:15" s="645" customFormat="1" ht="21.75" customHeight="1">
      <c r="B4527" s="661">
        <v>44486</v>
      </c>
      <c r="C4527" s="662" t="s">
        <v>819</v>
      </c>
      <c r="D4527" s="663" t="s">
        <v>870</v>
      </c>
      <c r="E4527" s="664" t="s">
        <v>831</v>
      </c>
      <c r="F4527" s="665"/>
      <c r="G4527" s="663">
        <v>20</v>
      </c>
      <c r="H4527" s="662" t="s">
        <v>807</v>
      </c>
      <c r="I4527" s="666" t="s">
        <v>857</v>
      </c>
      <c r="J4527" s="667" t="s">
        <v>805</v>
      </c>
      <c r="K4527" s="662">
        <v>2</v>
      </c>
      <c r="L4527" s="685">
        <f t="shared" si="137"/>
        <v>18.8</v>
      </c>
      <c r="M4527" s="686">
        <f t="shared" si="138"/>
        <v>37.6</v>
      </c>
      <c r="O4527" s="693"/>
    </row>
    <row r="4528" spans="2:15" s="645" customFormat="1" ht="21.75" customHeight="1">
      <c r="B4528" s="661">
        <v>44486</v>
      </c>
      <c r="C4528" s="662" t="s">
        <v>819</v>
      </c>
      <c r="D4528" s="663" t="s">
        <v>870</v>
      </c>
      <c r="E4528" s="664" t="s">
        <v>831</v>
      </c>
      <c r="F4528" s="665"/>
      <c r="G4528" s="663">
        <v>20</v>
      </c>
      <c r="H4528" s="662" t="s">
        <v>807</v>
      </c>
      <c r="I4528" s="666" t="s">
        <v>859</v>
      </c>
      <c r="J4528" s="667" t="s">
        <v>805</v>
      </c>
      <c r="K4528" s="662">
        <v>1</v>
      </c>
      <c r="L4528" s="685">
        <f t="shared" si="137"/>
        <v>18.8</v>
      </c>
      <c r="M4528" s="686">
        <f t="shared" si="138"/>
        <v>18.8</v>
      </c>
      <c r="O4528" s="693"/>
    </row>
    <row r="4529" spans="2:15" s="645" customFormat="1" ht="21.75" customHeight="1">
      <c r="B4529" s="661">
        <v>44486</v>
      </c>
      <c r="C4529" s="662" t="s">
        <v>819</v>
      </c>
      <c r="D4529" s="663" t="s">
        <v>877</v>
      </c>
      <c r="E4529" s="664" t="s">
        <v>831</v>
      </c>
      <c r="F4529" s="665"/>
      <c r="G4529" s="663">
        <v>20</v>
      </c>
      <c r="H4529" s="662" t="s">
        <v>807</v>
      </c>
      <c r="I4529" s="666" t="s">
        <v>857</v>
      </c>
      <c r="J4529" s="667" t="s">
        <v>805</v>
      </c>
      <c r="K4529" s="662">
        <v>2</v>
      </c>
      <c r="L4529" s="685">
        <f t="shared" si="137"/>
        <v>18.8</v>
      </c>
      <c r="M4529" s="686">
        <f t="shared" si="138"/>
        <v>37.6</v>
      </c>
      <c r="O4529" s="693"/>
    </row>
    <row r="4530" spans="2:15" s="645" customFormat="1" ht="21.75" customHeight="1">
      <c r="B4530" s="661">
        <v>44486</v>
      </c>
      <c r="C4530" s="662" t="s">
        <v>819</v>
      </c>
      <c r="D4530" s="663" t="s">
        <v>877</v>
      </c>
      <c r="E4530" s="664" t="s">
        <v>831</v>
      </c>
      <c r="F4530" s="665"/>
      <c r="G4530" s="663">
        <v>20</v>
      </c>
      <c r="H4530" s="662" t="s">
        <v>807</v>
      </c>
      <c r="I4530" s="666" t="s">
        <v>859</v>
      </c>
      <c r="J4530" s="667" t="s">
        <v>805</v>
      </c>
      <c r="K4530" s="662">
        <v>1</v>
      </c>
      <c r="L4530" s="685">
        <f t="shared" si="137"/>
        <v>18.8</v>
      </c>
      <c r="M4530" s="686">
        <f t="shared" si="138"/>
        <v>18.8</v>
      </c>
      <c r="O4530" s="693"/>
    </row>
    <row r="4531" spans="2:15" s="645" customFormat="1" ht="21.75" customHeight="1">
      <c r="B4531" s="661">
        <v>44486</v>
      </c>
      <c r="C4531" s="662" t="s">
        <v>819</v>
      </c>
      <c r="D4531" s="663" t="s">
        <v>873</v>
      </c>
      <c r="E4531" s="664" t="s">
        <v>831</v>
      </c>
      <c r="F4531" s="665"/>
      <c r="G4531" s="663">
        <v>20</v>
      </c>
      <c r="H4531" s="662" t="s">
        <v>807</v>
      </c>
      <c r="I4531" s="666" t="s">
        <v>857</v>
      </c>
      <c r="J4531" s="667" t="s">
        <v>804</v>
      </c>
      <c r="K4531" s="662">
        <v>4</v>
      </c>
      <c r="L4531" s="685">
        <f t="shared" si="137"/>
        <v>18.8</v>
      </c>
      <c r="M4531" s="686">
        <f t="shared" si="138"/>
        <v>75.2</v>
      </c>
      <c r="O4531" s="693"/>
    </row>
    <row r="4532" spans="2:15" s="645" customFormat="1" ht="21.75" customHeight="1">
      <c r="B4532" s="661">
        <v>44486</v>
      </c>
      <c r="C4532" s="662" t="s">
        <v>819</v>
      </c>
      <c r="D4532" s="663" t="s">
        <v>873</v>
      </c>
      <c r="E4532" s="664" t="s">
        <v>831</v>
      </c>
      <c r="F4532" s="665"/>
      <c r="G4532" s="663">
        <v>20</v>
      </c>
      <c r="H4532" s="662" t="s">
        <v>807</v>
      </c>
      <c r="I4532" s="666" t="s">
        <v>872</v>
      </c>
      <c r="J4532" s="667" t="s">
        <v>804</v>
      </c>
      <c r="K4532" s="662">
        <v>1</v>
      </c>
      <c r="L4532" s="685">
        <f t="shared" si="137"/>
        <v>18.8</v>
      </c>
      <c r="M4532" s="686">
        <f t="shared" si="138"/>
        <v>18.8</v>
      </c>
      <c r="O4532" s="693"/>
    </row>
    <row r="4533" spans="2:15" s="645" customFormat="1" ht="21.75" customHeight="1">
      <c r="B4533" s="661">
        <v>44486</v>
      </c>
      <c r="C4533" s="662" t="s">
        <v>837</v>
      </c>
      <c r="D4533" s="663" t="s">
        <v>856</v>
      </c>
      <c r="E4533" s="664" t="s">
        <v>831</v>
      </c>
      <c r="F4533" s="665"/>
      <c r="G4533" s="663">
        <v>20</v>
      </c>
      <c r="H4533" s="662" t="s">
        <v>807</v>
      </c>
      <c r="I4533" s="666" t="s">
        <v>859</v>
      </c>
      <c r="J4533" s="667" t="s">
        <v>805</v>
      </c>
      <c r="K4533" s="662">
        <v>10</v>
      </c>
      <c r="L4533" s="685">
        <f t="shared" si="137"/>
        <v>18.8</v>
      </c>
      <c r="M4533" s="686">
        <f t="shared" si="138"/>
        <v>188</v>
      </c>
      <c r="O4533" s="693"/>
    </row>
    <row r="4534" spans="2:15" s="645" customFormat="1" ht="21.75" customHeight="1">
      <c r="B4534" s="661">
        <v>44486</v>
      </c>
      <c r="C4534" s="662" t="s">
        <v>837</v>
      </c>
      <c r="D4534" s="663" t="s">
        <v>856</v>
      </c>
      <c r="E4534" s="664" t="s">
        <v>831</v>
      </c>
      <c r="F4534" s="665"/>
      <c r="G4534" s="663">
        <v>20</v>
      </c>
      <c r="H4534" s="662" t="s">
        <v>807</v>
      </c>
      <c r="I4534" s="666" t="s">
        <v>805</v>
      </c>
      <c r="J4534" s="667" t="s">
        <v>805</v>
      </c>
      <c r="K4534" s="662">
        <v>2</v>
      </c>
      <c r="L4534" s="685">
        <f t="shared" si="137"/>
        <v>18.8</v>
      </c>
      <c r="M4534" s="686">
        <f t="shared" si="138"/>
        <v>37.6</v>
      </c>
      <c r="O4534" s="693"/>
    </row>
    <row r="4535" spans="2:15" s="645" customFormat="1" ht="21.75" customHeight="1">
      <c r="B4535" s="661">
        <v>44486</v>
      </c>
      <c r="C4535" s="662" t="s">
        <v>837</v>
      </c>
      <c r="D4535" s="663" t="s">
        <v>835</v>
      </c>
      <c r="E4535" s="664" t="s">
        <v>831</v>
      </c>
      <c r="F4535" s="665"/>
      <c r="G4535" s="663">
        <v>20</v>
      </c>
      <c r="H4535" s="662" t="s">
        <v>807</v>
      </c>
      <c r="I4535" s="666" t="s">
        <v>859</v>
      </c>
      <c r="J4535" s="667" t="s">
        <v>805</v>
      </c>
      <c r="K4535" s="662">
        <v>9</v>
      </c>
      <c r="L4535" s="685">
        <f t="shared" si="137"/>
        <v>18.8</v>
      </c>
      <c r="M4535" s="686">
        <f t="shared" si="138"/>
        <v>169.20000000000002</v>
      </c>
      <c r="O4535" s="693"/>
    </row>
    <row r="4536" spans="2:15" s="645" customFormat="1" ht="21.75" customHeight="1">
      <c r="B4536" s="661">
        <v>44486</v>
      </c>
      <c r="C4536" s="662" t="s">
        <v>837</v>
      </c>
      <c r="D4536" s="663" t="s">
        <v>835</v>
      </c>
      <c r="E4536" s="664" t="s">
        <v>831</v>
      </c>
      <c r="F4536" s="665"/>
      <c r="G4536" s="663">
        <v>20</v>
      </c>
      <c r="H4536" s="662" t="s">
        <v>807</v>
      </c>
      <c r="I4536" s="666" t="s">
        <v>805</v>
      </c>
      <c r="J4536" s="667" t="s">
        <v>805</v>
      </c>
      <c r="K4536" s="662">
        <v>3</v>
      </c>
      <c r="L4536" s="685">
        <f t="shared" si="137"/>
        <v>18.8</v>
      </c>
      <c r="M4536" s="686">
        <f t="shared" si="138"/>
        <v>56.400000000000006</v>
      </c>
      <c r="O4536" s="693"/>
    </row>
    <row r="4537" spans="2:15" s="645" customFormat="1" ht="21.75" customHeight="1">
      <c r="B4537" s="661">
        <v>44486</v>
      </c>
      <c r="C4537" s="662" t="s">
        <v>837</v>
      </c>
      <c r="D4537" s="663" t="s">
        <v>841</v>
      </c>
      <c r="E4537" s="664" t="s">
        <v>831</v>
      </c>
      <c r="F4537" s="665"/>
      <c r="G4537" s="663">
        <v>20</v>
      </c>
      <c r="H4537" s="662" t="s">
        <v>807</v>
      </c>
      <c r="I4537" s="666" t="s">
        <v>859</v>
      </c>
      <c r="J4537" s="667" t="s">
        <v>804</v>
      </c>
      <c r="K4537" s="662">
        <v>4</v>
      </c>
      <c r="L4537" s="685">
        <f t="shared" si="137"/>
        <v>18.8</v>
      </c>
      <c r="M4537" s="686">
        <f t="shared" si="138"/>
        <v>75.2</v>
      </c>
      <c r="O4537" s="693"/>
    </row>
    <row r="4538" spans="2:15" s="645" customFormat="1" ht="21.75" customHeight="1">
      <c r="B4538" s="661">
        <v>44486</v>
      </c>
      <c r="C4538" s="662" t="s">
        <v>837</v>
      </c>
      <c r="D4538" s="663" t="s">
        <v>841</v>
      </c>
      <c r="E4538" s="664" t="s">
        <v>831</v>
      </c>
      <c r="F4538" s="665"/>
      <c r="G4538" s="663">
        <v>20</v>
      </c>
      <c r="H4538" s="662" t="s">
        <v>807</v>
      </c>
      <c r="I4538" s="666" t="s">
        <v>859</v>
      </c>
      <c r="J4538" s="667" t="s">
        <v>805</v>
      </c>
      <c r="K4538" s="662">
        <v>6</v>
      </c>
      <c r="L4538" s="685">
        <f t="shared" si="137"/>
        <v>18.8</v>
      </c>
      <c r="M4538" s="686">
        <f t="shared" si="138"/>
        <v>112.80000000000001</v>
      </c>
      <c r="O4538" s="693"/>
    </row>
    <row r="4539" spans="2:15" s="645" customFormat="1" ht="21.75" customHeight="1">
      <c r="B4539" s="661">
        <v>44486</v>
      </c>
      <c r="C4539" s="662" t="s">
        <v>837</v>
      </c>
      <c r="D4539" s="663" t="s">
        <v>841</v>
      </c>
      <c r="E4539" s="664" t="s">
        <v>831</v>
      </c>
      <c r="F4539" s="665"/>
      <c r="G4539" s="663">
        <v>20</v>
      </c>
      <c r="H4539" s="662" t="s">
        <v>807</v>
      </c>
      <c r="I4539" s="666" t="s">
        <v>805</v>
      </c>
      <c r="J4539" s="667" t="s">
        <v>805</v>
      </c>
      <c r="K4539" s="662">
        <v>1</v>
      </c>
      <c r="L4539" s="685">
        <f t="shared" si="137"/>
        <v>18.8</v>
      </c>
      <c r="M4539" s="686">
        <f t="shared" si="138"/>
        <v>18.8</v>
      </c>
      <c r="O4539" s="693"/>
    </row>
    <row r="4540" spans="2:15" s="645" customFormat="1" ht="21.75" customHeight="1">
      <c r="B4540" s="661">
        <v>44486</v>
      </c>
      <c r="C4540" s="662" t="s">
        <v>837</v>
      </c>
      <c r="D4540" s="663" t="s">
        <v>833</v>
      </c>
      <c r="E4540" s="664" t="s">
        <v>831</v>
      </c>
      <c r="F4540" s="665"/>
      <c r="G4540" s="663">
        <v>15</v>
      </c>
      <c r="H4540" s="662" t="s">
        <v>807</v>
      </c>
      <c r="I4540" s="666" t="s">
        <v>859</v>
      </c>
      <c r="J4540" s="667" t="s">
        <v>805</v>
      </c>
      <c r="K4540" s="662">
        <v>9</v>
      </c>
      <c r="L4540" s="685">
        <f t="shared" si="137"/>
        <v>14.1</v>
      </c>
      <c r="M4540" s="686">
        <f t="shared" si="138"/>
        <v>126.89999999999999</v>
      </c>
      <c r="O4540" s="693"/>
    </row>
    <row r="4541" spans="2:15" s="645" customFormat="1" ht="21.75" customHeight="1">
      <c r="B4541" s="661">
        <v>44486</v>
      </c>
      <c r="C4541" s="662" t="s">
        <v>837</v>
      </c>
      <c r="D4541" s="663" t="s">
        <v>850</v>
      </c>
      <c r="E4541" s="664" t="s">
        <v>831</v>
      </c>
      <c r="F4541" s="665"/>
      <c r="G4541" s="663">
        <v>15</v>
      </c>
      <c r="H4541" s="662" t="s">
        <v>807</v>
      </c>
      <c r="I4541" s="666" t="s">
        <v>859</v>
      </c>
      <c r="J4541" s="667" t="s">
        <v>804</v>
      </c>
      <c r="K4541" s="662">
        <v>3</v>
      </c>
      <c r="L4541" s="685">
        <f t="shared" si="137"/>
        <v>14.1</v>
      </c>
      <c r="M4541" s="686">
        <f t="shared" si="138"/>
        <v>42.3</v>
      </c>
      <c r="O4541" s="693"/>
    </row>
    <row r="4542" spans="2:15" s="645" customFormat="1" ht="21.75" customHeight="1">
      <c r="B4542" s="661">
        <v>44486</v>
      </c>
      <c r="C4542" s="662" t="s">
        <v>837</v>
      </c>
      <c r="D4542" s="663" t="s">
        <v>850</v>
      </c>
      <c r="E4542" s="664" t="s">
        <v>831</v>
      </c>
      <c r="F4542" s="665"/>
      <c r="G4542" s="663">
        <v>15</v>
      </c>
      <c r="H4542" s="662" t="s">
        <v>807</v>
      </c>
      <c r="I4542" s="666" t="s">
        <v>859</v>
      </c>
      <c r="J4542" s="667" t="s">
        <v>805</v>
      </c>
      <c r="K4542" s="662">
        <v>5</v>
      </c>
      <c r="L4542" s="685">
        <f t="shared" si="137"/>
        <v>14.1</v>
      </c>
      <c r="M4542" s="686">
        <f t="shared" si="138"/>
        <v>70.5</v>
      </c>
      <c r="O4542" s="693"/>
    </row>
    <row r="4543" spans="2:15" s="645" customFormat="1" ht="21.75" customHeight="1">
      <c r="B4543" s="661">
        <v>44486</v>
      </c>
      <c r="C4543" s="662" t="s">
        <v>837</v>
      </c>
      <c r="D4543" s="663" t="s">
        <v>845</v>
      </c>
      <c r="E4543" s="664" t="s">
        <v>831</v>
      </c>
      <c r="F4543" s="665"/>
      <c r="G4543" s="663">
        <v>17</v>
      </c>
      <c r="H4543" s="662" t="s">
        <v>807</v>
      </c>
      <c r="I4543" s="666" t="s">
        <v>859</v>
      </c>
      <c r="J4543" s="667" t="s">
        <v>804</v>
      </c>
      <c r="K4543" s="662">
        <v>10</v>
      </c>
      <c r="L4543" s="685">
        <f t="shared" si="137"/>
        <v>15.98</v>
      </c>
      <c r="M4543" s="686">
        <f t="shared" si="138"/>
        <v>159.80000000000001</v>
      </c>
      <c r="O4543" s="693"/>
    </row>
    <row r="4544" spans="2:15" s="645" customFormat="1" ht="21.75" customHeight="1">
      <c r="B4544" s="661">
        <v>44486</v>
      </c>
      <c r="C4544" s="662" t="s">
        <v>837</v>
      </c>
      <c r="D4544" s="663" t="s">
        <v>847</v>
      </c>
      <c r="E4544" s="664" t="s">
        <v>831</v>
      </c>
      <c r="F4544" s="665"/>
      <c r="G4544" s="663">
        <v>17</v>
      </c>
      <c r="H4544" s="662" t="s">
        <v>807</v>
      </c>
      <c r="I4544" s="666" t="s">
        <v>859</v>
      </c>
      <c r="J4544" s="667" t="s">
        <v>804</v>
      </c>
      <c r="K4544" s="662">
        <v>3</v>
      </c>
      <c r="L4544" s="685">
        <f t="shared" si="137"/>
        <v>15.98</v>
      </c>
      <c r="M4544" s="686">
        <f t="shared" si="138"/>
        <v>47.94</v>
      </c>
      <c r="O4544" s="693"/>
    </row>
    <row r="4545" spans="2:15" s="645" customFormat="1" ht="21.75" customHeight="1">
      <c r="B4545" s="661">
        <v>44486</v>
      </c>
      <c r="C4545" s="662" t="s">
        <v>837</v>
      </c>
      <c r="D4545" s="663" t="s">
        <v>847</v>
      </c>
      <c r="E4545" s="664" t="s">
        <v>831</v>
      </c>
      <c r="F4545" s="665"/>
      <c r="G4545" s="663">
        <v>17</v>
      </c>
      <c r="H4545" s="662" t="s">
        <v>807</v>
      </c>
      <c r="I4545" s="666" t="s">
        <v>859</v>
      </c>
      <c r="J4545" s="667" t="s">
        <v>805</v>
      </c>
      <c r="K4545" s="662">
        <v>6</v>
      </c>
      <c r="L4545" s="685">
        <f t="shared" si="137"/>
        <v>15.98</v>
      </c>
      <c r="M4545" s="686">
        <f t="shared" si="138"/>
        <v>95.88</v>
      </c>
      <c r="O4545" s="693"/>
    </row>
    <row r="4546" spans="2:15" s="645" customFormat="1" ht="21.75" customHeight="1">
      <c r="B4546" s="708">
        <v>44486</v>
      </c>
      <c r="C4546" s="709" t="s">
        <v>819</v>
      </c>
      <c r="D4546" s="710" t="s">
        <v>849</v>
      </c>
      <c r="E4546" s="711" t="s">
        <v>831</v>
      </c>
      <c r="F4546" s="712"/>
      <c r="G4546" s="710">
        <v>20</v>
      </c>
      <c r="H4546" s="709" t="s">
        <v>807</v>
      </c>
      <c r="I4546" s="713" t="s">
        <v>857</v>
      </c>
      <c r="J4546" s="714" t="s">
        <v>802</v>
      </c>
      <c r="K4546" s="709">
        <v>3</v>
      </c>
      <c r="L4546" s="715">
        <f t="shared" si="137"/>
        <v>18.8</v>
      </c>
      <c r="M4546" s="716">
        <f t="shared" si="138"/>
        <v>56.400000000000006</v>
      </c>
      <c r="O4546" s="693"/>
    </row>
    <row r="4547" spans="2:15" s="645" customFormat="1" ht="21.75" customHeight="1">
      <c r="B4547" s="708">
        <v>44486</v>
      </c>
      <c r="C4547" s="709" t="s">
        <v>819</v>
      </c>
      <c r="D4547" s="710" t="s">
        <v>849</v>
      </c>
      <c r="E4547" s="711" t="s">
        <v>831</v>
      </c>
      <c r="F4547" s="712"/>
      <c r="G4547" s="710">
        <v>20</v>
      </c>
      <c r="H4547" s="709" t="s">
        <v>807</v>
      </c>
      <c r="I4547" s="713" t="s">
        <v>859</v>
      </c>
      <c r="J4547" s="714" t="s">
        <v>802</v>
      </c>
      <c r="K4547" s="709">
        <v>1</v>
      </c>
      <c r="L4547" s="715">
        <f t="shared" si="137"/>
        <v>18.8</v>
      </c>
      <c r="M4547" s="716">
        <f t="shared" si="138"/>
        <v>18.8</v>
      </c>
      <c r="O4547" s="693"/>
    </row>
    <row r="4548" spans="2:15" s="645" customFormat="1" ht="21.75" customHeight="1">
      <c r="B4548" s="708">
        <v>44486</v>
      </c>
      <c r="C4548" s="709" t="s">
        <v>819</v>
      </c>
      <c r="D4548" s="710" t="s">
        <v>840</v>
      </c>
      <c r="E4548" s="711" t="s">
        <v>831</v>
      </c>
      <c r="F4548" s="712"/>
      <c r="G4548" s="710">
        <v>20</v>
      </c>
      <c r="H4548" s="709" t="s">
        <v>807</v>
      </c>
      <c r="I4548" s="713" t="s">
        <v>857</v>
      </c>
      <c r="J4548" s="714" t="s">
        <v>802</v>
      </c>
      <c r="K4548" s="709">
        <v>6</v>
      </c>
      <c r="L4548" s="715">
        <f t="shared" si="137"/>
        <v>18.8</v>
      </c>
      <c r="M4548" s="716">
        <f t="shared" si="138"/>
        <v>112.80000000000001</v>
      </c>
      <c r="O4548" s="693"/>
    </row>
    <row r="4549" spans="2:15" s="645" customFormat="1" ht="21.75" customHeight="1">
      <c r="B4549" s="708">
        <v>44486</v>
      </c>
      <c r="C4549" s="709" t="s">
        <v>819</v>
      </c>
      <c r="D4549" s="710" t="s">
        <v>835</v>
      </c>
      <c r="E4549" s="711" t="s">
        <v>831</v>
      </c>
      <c r="F4549" s="712"/>
      <c r="G4549" s="710">
        <v>20</v>
      </c>
      <c r="H4549" s="709" t="s">
        <v>807</v>
      </c>
      <c r="I4549" s="713" t="s">
        <v>857</v>
      </c>
      <c r="J4549" s="714" t="s">
        <v>802</v>
      </c>
      <c r="K4549" s="709">
        <v>3</v>
      </c>
      <c r="L4549" s="715">
        <f t="shared" si="137"/>
        <v>18.8</v>
      </c>
      <c r="M4549" s="716">
        <f t="shared" si="138"/>
        <v>56.400000000000006</v>
      </c>
      <c r="O4549" s="693"/>
    </row>
    <row r="4550" spans="2:15" s="645" customFormat="1" ht="21.75" customHeight="1">
      <c r="B4550" s="708">
        <v>44486</v>
      </c>
      <c r="C4550" s="709" t="s">
        <v>819</v>
      </c>
      <c r="D4550" s="710" t="s">
        <v>835</v>
      </c>
      <c r="E4550" s="711" t="s">
        <v>831</v>
      </c>
      <c r="F4550" s="712"/>
      <c r="G4550" s="710">
        <v>20</v>
      </c>
      <c r="H4550" s="709" t="s">
        <v>807</v>
      </c>
      <c r="I4550" s="713" t="s">
        <v>859</v>
      </c>
      <c r="J4550" s="714" t="s">
        <v>802</v>
      </c>
      <c r="K4550" s="709">
        <v>1</v>
      </c>
      <c r="L4550" s="715">
        <f t="shared" si="137"/>
        <v>18.8</v>
      </c>
      <c r="M4550" s="716">
        <f t="shared" si="138"/>
        <v>18.8</v>
      </c>
      <c r="O4550" s="693"/>
    </row>
    <row r="4551" spans="2:15" s="645" customFormat="1" ht="21.75" customHeight="1">
      <c r="B4551" s="708">
        <v>44486</v>
      </c>
      <c r="C4551" s="709" t="s">
        <v>819</v>
      </c>
      <c r="D4551" s="710" t="s">
        <v>841</v>
      </c>
      <c r="E4551" s="711" t="s">
        <v>831</v>
      </c>
      <c r="F4551" s="712"/>
      <c r="G4551" s="710">
        <v>20</v>
      </c>
      <c r="H4551" s="709" t="s">
        <v>807</v>
      </c>
      <c r="I4551" s="713" t="s">
        <v>857</v>
      </c>
      <c r="J4551" s="714" t="s">
        <v>802</v>
      </c>
      <c r="K4551" s="709">
        <v>3</v>
      </c>
      <c r="L4551" s="715">
        <f t="shared" si="137"/>
        <v>18.8</v>
      </c>
      <c r="M4551" s="716">
        <f t="shared" si="138"/>
        <v>56.400000000000006</v>
      </c>
      <c r="O4551" s="693"/>
    </row>
    <row r="4552" spans="2:15" s="645" customFormat="1" ht="21.75" customHeight="1">
      <c r="B4552" s="708">
        <v>44486</v>
      </c>
      <c r="C4552" s="709" t="s">
        <v>819</v>
      </c>
      <c r="D4552" s="710" t="s">
        <v>834</v>
      </c>
      <c r="E4552" s="711" t="s">
        <v>831</v>
      </c>
      <c r="F4552" s="712"/>
      <c r="G4552" s="710">
        <v>20</v>
      </c>
      <c r="H4552" s="709" t="s">
        <v>807</v>
      </c>
      <c r="I4552" s="713" t="s">
        <v>857</v>
      </c>
      <c r="J4552" s="714" t="s">
        <v>802</v>
      </c>
      <c r="K4552" s="709">
        <v>2</v>
      </c>
      <c r="L4552" s="715">
        <f t="shared" si="137"/>
        <v>18.8</v>
      </c>
      <c r="M4552" s="716">
        <f t="shared" si="138"/>
        <v>37.6</v>
      </c>
      <c r="O4552" s="693"/>
    </row>
    <row r="4553" spans="2:15" s="645" customFormat="1" ht="21.75" customHeight="1">
      <c r="B4553" s="708">
        <v>44486</v>
      </c>
      <c r="C4553" s="709" t="s">
        <v>819</v>
      </c>
      <c r="D4553" s="710" t="s">
        <v>834</v>
      </c>
      <c r="E4553" s="711" t="s">
        <v>831</v>
      </c>
      <c r="F4553" s="712"/>
      <c r="G4553" s="710">
        <v>20</v>
      </c>
      <c r="H4553" s="709" t="s">
        <v>807</v>
      </c>
      <c r="I4553" s="713" t="s">
        <v>859</v>
      </c>
      <c r="J4553" s="714" t="s">
        <v>802</v>
      </c>
      <c r="K4553" s="709">
        <v>1</v>
      </c>
      <c r="L4553" s="715">
        <f t="shared" ref="L4553:L4616" si="139">VLOOKUP(G4553,$Q$4:$V$7,6,FALSE)</f>
        <v>18.8</v>
      </c>
      <c r="M4553" s="716">
        <f t="shared" si="138"/>
        <v>18.8</v>
      </c>
      <c r="O4553" s="693"/>
    </row>
    <row r="4554" spans="2:15" s="645" customFormat="1" ht="21.75" customHeight="1">
      <c r="B4554" s="708">
        <v>44486</v>
      </c>
      <c r="C4554" s="709" t="s">
        <v>819</v>
      </c>
      <c r="D4554" s="710" t="s">
        <v>874</v>
      </c>
      <c r="E4554" s="711" t="s">
        <v>831</v>
      </c>
      <c r="F4554" s="712"/>
      <c r="G4554" s="710">
        <v>20</v>
      </c>
      <c r="H4554" s="709" t="s">
        <v>807</v>
      </c>
      <c r="I4554" s="713" t="s">
        <v>857</v>
      </c>
      <c r="J4554" s="714" t="s">
        <v>802</v>
      </c>
      <c r="K4554" s="709">
        <v>1</v>
      </c>
      <c r="L4554" s="715">
        <f t="shared" si="139"/>
        <v>18.8</v>
      </c>
      <c r="M4554" s="716">
        <f t="shared" si="138"/>
        <v>18.8</v>
      </c>
      <c r="O4554" s="693"/>
    </row>
    <row r="4555" spans="2:15" s="645" customFormat="1" ht="21.75" customHeight="1">
      <c r="B4555" s="708">
        <v>44486</v>
      </c>
      <c r="C4555" s="709" t="s">
        <v>819</v>
      </c>
      <c r="D4555" s="710" t="s">
        <v>848</v>
      </c>
      <c r="E4555" s="711" t="s">
        <v>831</v>
      </c>
      <c r="F4555" s="712"/>
      <c r="G4555" s="710">
        <v>20</v>
      </c>
      <c r="H4555" s="709" t="s">
        <v>807</v>
      </c>
      <c r="I4555" s="713" t="s">
        <v>859</v>
      </c>
      <c r="J4555" s="714" t="s">
        <v>802</v>
      </c>
      <c r="K4555" s="709">
        <v>1</v>
      </c>
      <c r="L4555" s="715">
        <f t="shared" si="139"/>
        <v>18.8</v>
      </c>
      <c r="M4555" s="716">
        <f t="shared" si="138"/>
        <v>18.8</v>
      </c>
      <c r="O4555" s="693"/>
    </row>
    <row r="4556" spans="2:15" s="645" customFormat="1" ht="21.75" customHeight="1">
      <c r="B4556" s="708">
        <v>44486</v>
      </c>
      <c r="C4556" s="709" t="s">
        <v>819</v>
      </c>
      <c r="D4556" s="710" t="s">
        <v>856</v>
      </c>
      <c r="E4556" s="711" t="s">
        <v>831</v>
      </c>
      <c r="F4556" s="712"/>
      <c r="G4556" s="710">
        <v>20</v>
      </c>
      <c r="H4556" s="709" t="s">
        <v>807</v>
      </c>
      <c r="I4556" s="713" t="s">
        <v>857</v>
      </c>
      <c r="J4556" s="714" t="s">
        <v>802</v>
      </c>
      <c r="K4556" s="709">
        <v>5</v>
      </c>
      <c r="L4556" s="715">
        <f t="shared" si="139"/>
        <v>18.8</v>
      </c>
      <c r="M4556" s="716">
        <f t="shared" si="138"/>
        <v>94</v>
      </c>
      <c r="O4556" s="693"/>
    </row>
    <row r="4557" spans="2:15" s="645" customFormat="1" ht="21.75" customHeight="1">
      <c r="B4557" s="708">
        <v>44486</v>
      </c>
      <c r="C4557" s="709" t="s">
        <v>819</v>
      </c>
      <c r="D4557" s="710" t="s">
        <v>878</v>
      </c>
      <c r="E4557" s="711" t="s">
        <v>831</v>
      </c>
      <c r="F4557" s="712"/>
      <c r="G4557" s="710">
        <v>15</v>
      </c>
      <c r="H4557" s="709" t="s">
        <v>807</v>
      </c>
      <c r="I4557" s="713" t="s">
        <v>859</v>
      </c>
      <c r="J4557" s="714" t="s">
        <v>802</v>
      </c>
      <c r="K4557" s="709">
        <v>1</v>
      </c>
      <c r="L4557" s="715">
        <f t="shared" si="139"/>
        <v>14.1</v>
      </c>
      <c r="M4557" s="716">
        <f t="shared" si="138"/>
        <v>14.1</v>
      </c>
      <c r="O4557" s="693"/>
    </row>
    <row r="4558" spans="2:15" s="645" customFormat="1" ht="21.75" customHeight="1">
      <c r="B4558" s="708">
        <v>44486</v>
      </c>
      <c r="C4558" s="709" t="s">
        <v>819</v>
      </c>
      <c r="D4558" s="710" t="s">
        <v>855</v>
      </c>
      <c r="E4558" s="711" t="s">
        <v>831</v>
      </c>
      <c r="F4558" s="712"/>
      <c r="G4558" s="710">
        <v>20</v>
      </c>
      <c r="H4558" s="709" t="s">
        <v>807</v>
      </c>
      <c r="I4558" s="713" t="s">
        <v>857</v>
      </c>
      <c r="J4558" s="714" t="s">
        <v>802</v>
      </c>
      <c r="K4558" s="709">
        <v>2</v>
      </c>
      <c r="L4558" s="715">
        <f t="shared" si="139"/>
        <v>18.8</v>
      </c>
      <c r="M4558" s="716">
        <f t="shared" si="138"/>
        <v>37.6</v>
      </c>
      <c r="O4558" s="693"/>
    </row>
    <row r="4559" spans="2:15" s="645" customFormat="1" ht="21.75" customHeight="1">
      <c r="B4559" s="708">
        <v>44486</v>
      </c>
      <c r="C4559" s="709" t="s">
        <v>819</v>
      </c>
      <c r="D4559" s="710" t="s">
        <v>855</v>
      </c>
      <c r="E4559" s="711" t="s">
        <v>831</v>
      </c>
      <c r="F4559" s="712"/>
      <c r="G4559" s="710">
        <v>20</v>
      </c>
      <c r="H4559" s="709" t="s">
        <v>807</v>
      </c>
      <c r="I4559" s="713" t="s">
        <v>859</v>
      </c>
      <c r="J4559" s="714" t="s">
        <v>802</v>
      </c>
      <c r="K4559" s="709">
        <v>2</v>
      </c>
      <c r="L4559" s="715">
        <f t="shared" si="139"/>
        <v>18.8</v>
      </c>
      <c r="M4559" s="716">
        <f t="shared" si="138"/>
        <v>37.6</v>
      </c>
      <c r="O4559" s="693"/>
    </row>
    <row r="4560" spans="2:15" s="645" customFormat="1" ht="21.75" customHeight="1">
      <c r="B4560" s="708">
        <v>44486</v>
      </c>
      <c r="C4560" s="709" t="s">
        <v>819</v>
      </c>
      <c r="D4560" s="710" t="s">
        <v>875</v>
      </c>
      <c r="E4560" s="711" t="s">
        <v>831</v>
      </c>
      <c r="F4560" s="712"/>
      <c r="G4560" s="710">
        <v>20</v>
      </c>
      <c r="H4560" s="709" t="s">
        <v>807</v>
      </c>
      <c r="I4560" s="713" t="s">
        <v>857</v>
      </c>
      <c r="J4560" s="714" t="s">
        <v>802</v>
      </c>
      <c r="K4560" s="709">
        <v>4</v>
      </c>
      <c r="L4560" s="715">
        <f t="shared" si="139"/>
        <v>18.8</v>
      </c>
      <c r="M4560" s="716">
        <f t="shared" si="138"/>
        <v>75.2</v>
      </c>
      <c r="O4560" s="693"/>
    </row>
    <row r="4561" spans="2:15" s="645" customFormat="1" ht="21.75" customHeight="1">
      <c r="B4561" s="708">
        <v>44486</v>
      </c>
      <c r="C4561" s="709" t="s">
        <v>819</v>
      </c>
      <c r="D4561" s="710" t="s">
        <v>875</v>
      </c>
      <c r="E4561" s="711" t="s">
        <v>831</v>
      </c>
      <c r="F4561" s="712"/>
      <c r="G4561" s="710">
        <v>20</v>
      </c>
      <c r="H4561" s="709" t="s">
        <v>807</v>
      </c>
      <c r="I4561" s="713" t="s">
        <v>859</v>
      </c>
      <c r="J4561" s="714" t="s">
        <v>802</v>
      </c>
      <c r="K4561" s="709">
        <v>1</v>
      </c>
      <c r="L4561" s="715">
        <f t="shared" si="139"/>
        <v>18.8</v>
      </c>
      <c r="M4561" s="716">
        <f t="shared" si="138"/>
        <v>18.8</v>
      </c>
      <c r="O4561" s="693"/>
    </row>
    <row r="4562" spans="2:15" s="645" customFormat="1" ht="21.75" customHeight="1">
      <c r="B4562" s="708">
        <v>44486</v>
      </c>
      <c r="C4562" s="709" t="s">
        <v>819</v>
      </c>
      <c r="D4562" s="710" t="s">
        <v>876</v>
      </c>
      <c r="E4562" s="711" t="s">
        <v>831</v>
      </c>
      <c r="F4562" s="712"/>
      <c r="G4562" s="710">
        <v>20</v>
      </c>
      <c r="H4562" s="709" t="s">
        <v>807</v>
      </c>
      <c r="I4562" s="713" t="s">
        <v>857</v>
      </c>
      <c r="J4562" s="714" t="s">
        <v>802</v>
      </c>
      <c r="K4562" s="709">
        <v>2</v>
      </c>
      <c r="L4562" s="715">
        <f t="shared" si="139"/>
        <v>18.8</v>
      </c>
      <c r="M4562" s="716">
        <f t="shared" si="138"/>
        <v>37.6</v>
      </c>
      <c r="O4562" s="693"/>
    </row>
    <row r="4563" spans="2:15" s="645" customFormat="1" ht="21.75" customHeight="1">
      <c r="B4563" s="708">
        <v>44486</v>
      </c>
      <c r="C4563" s="709" t="s">
        <v>819</v>
      </c>
      <c r="D4563" s="710" t="s">
        <v>876</v>
      </c>
      <c r="E4563" s="711" t="s">
        <v>831</v>
      </c>
      <c r="F4563" s="712"/>
      <c r="G4563" s="710">
        <v>20</v>
      </c>
      <c r="H4563" s="709" t="s">
        <v>807</v>
      </c>
      <c r="I4563" s="713" t="s">
        <v>859</v>
      </c>
      <c r="J4563" s="714" t="s">
        <v>802</v>
      </c>
      <c r="K4563" s="709">
        <v>2</v>
      </c>
      <c r="L4563" s="715">
        <f t="shared" si="139"/>
        <v>18.8</v>
      </c>
      <c r="M4563" s="716">
        <f t="shared" si="138"/>
        <v>37.6</v>
      </c>
      <c r="O4563" s="693"/>
    </row>
    <row r="4564" spans="2:15" s="645" customFormat="1" ht="21.75" customHeight="1">
      <c r="B4564" s="708">
        <v>44486</v>
      </c>
      <c r="C4564" s="709" t="s">
        <v>819</v>
      </c>
      <c r="D4564" s="710" t="s">
        <v>870</v>
      </c>
      <c r="E4564" s="711" t="s">
        <v>831</v>
      </c>
      <c r="F4564" s="712"/>
      <c r="G4564" s="710">
        <v>20</v>
      </c>
      <c r="H4564" s="709" t="s">
        <v>807</v>
      </c>
      <c r="I4564" s="713" t="s">
        <v>859</v>
      </c>
      <c r="J4564" s="714" t="s">
        <v>802</v>
      </c>
      <c r="K4564" s="709">
        <v>2</v>
      </c>
      <c r="L4564" s="715">
        <f t="shared" si="139"/>
        <v>18.8</v>
      </c>
      <c r="M4564" s="716">
        <f t="shared" si="138"/>
        <v>37.6</v>
      </c>
      <c r="O4564" s="693"/>
    </row>
    <row r="4565" spans="2:15" s="645" customFormat="1" ht="21.75" customHeight="1">
      <c r="B4565" s="708">
        <v>44486</v>
      </c>
      <c r="C4565" s="709" t="s">
        <v>819</v>
      </c>
      <c r="D4565" s="710" t="s">
        <v>870</v>
      </c>
      <c r="E4565" s="711" t="s">
        <v>831</v>
      </c>
      <c r="F4565" s="712"/>
      <c r="G4565" s="710">
        <v>20</v>
      </c>
      <c r="H4565" s="709" t="s">
        <v>807</v>
      </c>
      <c r="I4565" s="713" t="s">
        <v>857</v>
      </c>
      <c r="J4565" s="714" t="s">
        <v>802</v>
      </c>
      <c r="K4565" s="709">
        <v>2</v>
      </c>
      <c r="L4565" s="715">
        <f t="shared" si="139"/>
        <v>18.8</v>
      </c>
      <c r="M4565" s="716">
        <f t="shared" si="138"/>
        <v>37.6</v>
      </c>
      <c r="O4565" s="693"/>
    </row>
    <row r="4566" spans="2:15" s="645" customFormat="1" ht="21.75" customHeight="1">
      <c r="B4566" s="708">
        <v>44486</v>
      </c>
      <c r="C4566" s="709" t="s">
        <v>819</v>
      </c>
      <c r="D4566" s="710" t="s">
        <v>877</v>
      </c>
      <c r="E4566" s="711" t="s">
        <v>831</v>
      </c>
      <c r="F4566" s="712"/>
      <c r="G4566" s="710">
        <v>20</v>
      </c>
      <c r="H4566" s="709" t="s">
        <v>807</v>
      </c>
      <c r="I4566" s="713" t="s">
        <v>857</v>
      </c>
      <c r="J4566" s="714" t="s">
        <v>802</v>
      </c>
      <c r="K4566" s="709">
        <v>4</v>
      </c>
      <c r="L4566" s="715">
        <f t="shared" si="139"/>
        <v>18.8</v>
      </c>
      <c r="M4566" s="716">
        <f t="shared" si="138"/>
        <v>75.2</v>
      </c>
      <c r="O4566" s="693"/>
    </row>
    <row r="4567" spans="2:15" s="645" customFormat="1" ht="21.75" customHeight="1">
      <c r="B4567" s="708">
        <v>44486</v>
      </c>
      <c r="C4567" s="709" t="s">
        <v>819</v>
      </c>
      <c r="D4567" s="710" t="s">
        <v>873</v>
      </c>
      <c r="E4567" s="711" t="s">
        <v>831</v>
      </c>
      <c r="F4567" s="712"/>
      <c r="G4567" s="710">
        <v>20</v>
      </c>
      <c r="H4567" s="709" t="s">
        <v>807</v>
      </c>
      <c r="I4567" s="713" t="s">
        <v>857</v>
      </c>
      <c r="J4567" s="714" t="s">
        <v>802</v>
      </c>
      <c r="K4567" s="709">
        <v>1</v>
      </c>
      <c r="L4567" s="715">
        <f t="shared" si="139"/>
        <v>18.8</v>
      </c>
      <c r="M4567" s="716">
        <f t="shared" si="138"/>
        <v>18.8</v>
      </c>
      <c r="O4567" s="693"/>
    </row>
    <row r="4568" spans="2:15" s="645" customFormat="1" ht="21.75" customHeight="1">
      <c r="B4568" s="708">
        <v>44486</v>
      </c>
      <c r="C4568" s="709" t="s">
        <v>837</v>
      </c>
      <c r="D4568" s="710" t="s">
        <v>855</v>
      </c>
      <c r="E4568" s="711" t="s">
        <v>831</v>
      </c>
      <c r="F4568" s="712"/>
      <c r="G4568" s="710">
        <v>20</v>
      </c>
      <c r="H4568" s="709" t="s">
        <v>807</v>
      </c>
      <c r="I4568" s="713" t="s">
        <v>859</v>
      </c>
      <c r="J4568" s="714" t="s">
        <v>802</v>
      </c>
      <c r="K4568" s="709">
        <v>10</v>
      </c>
      <c r="L4568" s="715">
        <f t="shared" si="139"/>
        <v>18.8</v>
      </c>
      <c r="M4568" s="716">
        <f t="shared" si="138"/>
        <v>188</v>
      </c>
      <c r="O4568" s="693"/>
    </row>
    <row r="4569" spans="2:15" s="645" customFormat="1" ht="21.75" customHeight="1">
      <c r="B4569" s="708">
        <v>44486</v>
      </c>
      <c r="C4569" s="709" t="s">
        <v>837</v>
      </c>
      <c r="D4569" s="710" t="s">
        <v>855</v>
      </c>
      <c r="E4569" s="711" t="s">
        <v>831</v>
      </c>
      <c r="F4569" s="712"/>
      <c r="G4569" s="710">
        <v>20</v>
      </c>
      <c r="H4569" s="709" t="s">
        <v>807</v>
      </c>
      <c r="I4569" s="713" t="s">
        <v>880</v>
      </c>
      <c r="J4569" s="714" t="s">
        <v>802</v>
      </c>
      <c r="K4569" s="709">
        <v>2</v>
      </c>
      <c r="L4569" s="715">
        <f t="shared" si="139"/>
        <v>18.8</v>
      </c>
      <c r="M4569" s="716">
        <f t="shared" si="138"/>
        <v>37.6</v>
      </c>
      <c r="O4569" s="693"/>
    </row>
    <row r="4570" spans="2:15" s="645" customFormat="1" ht="21.75" customHeight="1">
      <c r="B4570" s="708">
        <v>44486</v>
      </c>
      <c r="C4570" s="709" t="s">
        <v>837</v>
      </c>
      <c r="D4570" s="710" t="s">
        <v>830</v>
      </c>
      <c r="E4570" s="711" t="s">
        <v>831</v>
      </c>
      <c r="F4570" s="712"/>
      <c r="G4570" s="710">
        <v>15</v>
      </c>
      <c r="H4570" s="709" t="s">
        <v>807</v>
      </c>
      <c r="I4570" s="713" t="s">
        <v>859</v>
      </c>
      <c r="J4570" s="714" t="s">
        <v>802</v>
      </c>
      <c r="K4570" s="709">
        <v>2</v>
      </c>
      <c r="L4570" s="715">
        <f t="shared" si="139"/>
        <v>14.1</v>
      </c>
      <c r="M4570" s="716">
        <f t="shared" si="138"/>
        <v>28.2</v>
      </c>
      <c r="O4570" s="693"/>
    </row>
    <row r="4571" spans="2:15" s="645" customFormat="1" ht="21.75" customHeight="1">
      <c r="B4571" s="708">
        <v>44486</v>
      </c>
      <c r="C4571" s="709" t="s">
        <v>837</v>
      </c>
      <c r="D4571" s="710" t="s">
        <v>878</v>
      </c>
      <c r="E4571" s="711" t="s">
        <v>831</v>
      </c>
      <c r="F4571" s="712"/>
      <c r="G4571" s="710">
        <v>15</v>
      </c>
      <c r="H4571" s="709" t="s">
        <v>807</v>
      </c>
      <c r="I4571" s="713" t="s">
        <v>859</v>
      </c>
      <c r="J4571" s="714" t="s">
        <v>802</v>
      </c>
      <c r="K4571" s="709">
        <v>2</v>
      </c>
      <c r="L4571" s="715">
        <f t="shared" si="139"/>
        <v>14.1</v>
      </c>
      <c r="M4571" s="716">
        <f t="shared" si="138"/>
        <v>28.2</v>
      </c>
      <c r="O4571" s="693"/>
    </row>
    <row r="4572" spans="2:15" s="645" customFormat="1" ht="21.75" customHeight="1">
      <c r="B4572" s="661">
        <v>44487</v>
      </c>
      <c r="C4572" s="662" t="s">
        <v>819</v>
      </c>
      <c r="D4572" s="663" t="s">
        <v>849</v>
      </c>
      <c r="E4572" s="664" t="s">
        <v>831</v>
      </c>
      <c r="F4572" s="665"/>
      <c r="G4572" s="663">
        <v>20</v>
      </c>
      <c r="H4572" s="662" t="s">
        <v>807</v>
      </c>
      <c r="I4572" s="666" t="s">
        <v>805</v>
      </c>
      <c r="J4572" s="667" t="s">
        <v>804</v>
      </c>
      <c r="K4572" s="662">
        <v>1</v>
      </c>
      <c r="L4572" s="685">
        <f t="shared" si="139"/>
        <v>18.8</v>
      </c>
      <c r="M4572" s="686">
        <f t="shared" si="138"/>
        <v>18.8</v>
      </c>
      <c r="O4572" s="693"/>
    </row>
    <row r="4573" spans="2:15" s="645" customFormat="1" ht="21.75" customHeight="1">
      <c r="B4573" s="661">
        <v>44487</v>
      </c>
      <c r="C4573" s="662" t="s">
        <v>819</v>
      </c>
      <c r="D4573" s="663" t="s">
        <v>849</v>
      </c>
      <c r="E4573" s="664" t="s">
        <v>831</v>
      </c>
      <c r="F4573" s="665"/>
      <c r="G4573" s="663">
        <v>20</v>
      </c>
      <c r="H4573" s="662" t="s">
        <v>807</v>
      </c>
      <c r="I4573" s="666" t="s">
        <v>805</v>
      </c>
      <c r="J4573" s="667" t="s">
        <v>805</v>
      </c>
      <c r="K4573" s="662">
        <v>6</v>
      </c>
      <c r="L4573" s="685">
        <f t="shared" si="139"/>
        <v>18.8</v>
      </c>
      <c r="M4573" s="686">
        <f t="shared" si="138"/>
        <v>112.80000000000001</v>
      </c>
      <c r="O4573" s="693"/>
    </row>
    <row r="4574" spans="2:15" s="645" customFormat="1" ht="21.75" customHeight="1">
      <c r="B4574" s="661">
        <v>44487</v>
      </c>
      <c r="C4574" s="662" t="s">
        <v>819</v>
      </c>
      <c r="D4574" s="663" t="s">
        <v>833</v>
      </c>
      <c r="E4574" s="664" t="s">
        <v>831</v>
      </c>
      <c r="F4574" s="665"/>
      <c r="G4574" s="663">
        <v>15</v>
      </c>
      <c r="H4574" s="662" t="s">
        <v>807</v>
      </c>
      <c r="I4574" s="666" t="s">
        <v>805</v>
      </c>
      <c r="J4574" s="667" t="s">
        <v>804</v>
      </c>
      <c r="K4574" s="662">
        <v>14</v>
      </c>
      <c r="L4574" s="685">
        <f t="shared" si="139"/>
        <v>14.1</v>
      </c>
      <c r="M4574" s="686">
        <f t="shared" si="138"/>
        <v>197.4</v>
      </c>
      <c r="O4574" s="693"/>
    </row>
    <row r="4575" spans="2:15" s="645" customFormat="1" ht="21.75" customHeight="1">
      <c r="B4575" s="661">
        <v>44487</v>
      </c>
      <c r="C4575" s="662" t="s">
        <v>819</v>
      </c>
      <c r="D4575" s="663" t="s">
        <v>830</v>
      </c>
      <c r="E4575" s="664" t="s">
        <v>831</v>
      </c>
      <c r="F4575" s="665"/>
      <c r="G4575" s="663">
        <v>15</v>
      </c>
      <c r="H4575" s="662" t="s">
        <v>807</v>
      </c>
      <c r="I4575" s="666" t="s">
        <v>805</v>
      </c>
      <c r="J4575" s="667" t="s">
        <v>804</v>
      </c>
      <c r="K4575" s="662">
        <v>11</v>
      </c>
      <c r="L4575" s="685">
        <f t="shared" si="139"/>
        <v>14.1</v>
      </c>
      <c r="M4575" s="686">
        <f t="shared" si="138"/>
        <v>155.1</v>
      </c>
      <c r="O4575" s="693"/>
    </row>
    <row r="4576" spans="2:15" s="645" customFormat="1" ht="21.75" customHeight="1">
      <c r="B4576" s="661">
        <v>44487</v>
      </c>
      <c r="C4576" s="662" t="s">
        <v>819</v>
      </c>
      <c r="D4576" s="663" t="s">
        <v>850</v>
      </c>
      <c r="E4576" s="664" t="s">
        <v>831</v>
      </c>
      <c r="F4576" s="665"/>
      <c r="G4576" s="663">
        <v>15</v>
      </c>
      <c r="H4576" s="662" t="s">
        <v>807</v>
      </c>
      <c r="I4576" s="666" t="s">
        <v>805</v>
      </c>
      <c r="J4576" s="667" t="s">
        <v>804</v>
      </c>
      <c r="K4576" s="662">
        <v>8</v>
      </c>
      <c r="L4576" s="685">
        <f t="shared" si="139"/>
        <v>14.1</v>
      </c>
      <c r="M4576" s="686">
        <f t="shared" si="138"/>
        <v>112.8</v>
      </c>
      <c r="O4576" s="693"/>
    </row>
    <row r="4577" spans="2:15" s="645" customFormat="1" ht="21.75" customHeight="1">
      <c r="B4577" s="661">
        <v>44487</v>
      </c>
      <c r="C4577" s="662" t="s">
        <v>819</v>
      </c>
      <c r="D4577" s="663" t="s">
        <v>850</v>
      </c>
      <c r="E4577" s="664" t="s">
        <v>831</v>
      </c>
      <c r="F4577" s="665"/>
      <c r="G4577" s="663">
        <v>15</v>
      </c>
      <c r="H4577" s="662" t="s">
        <v>807</v>
      </c>
      <c r="I4577" s="666" t="s">
        <v>805</v>
      </c>
      <c r="J4577" s="667" t="s">
        <v>805</v>
      </c>
      <c r="K4577" s="662">
        <v>1</v>
      </c>
      <c r="L4577" s="685">
        <f t="shared" si="139"/>
        <v>14.1</v>
      </c>
      <c r="M4577" s="686">
        <f t="shared" si="138"/>
        <v>14.1</v>
      </c>
      <c r="O4577" s="693"/>
    </row>
    <row r="4578" spans="2:15" s="645" customFormat="1" ht="21.75" customHeight="1">
      <c r="B4578" s="661">
        <v>44487</v>
      </c>
      <c r="C4578" s="662" t="s">
        <v>819</v>
      </c>
      <c r="D4578" s="663" t="s">
        <v>850</v>
      </c>
      <c r="E4578" s="664" t="s">
        <v>831</v>
      </c>
      <c r="F4578" s="665"/>
      <c r="G4578" s="663">
        <v>15</v>
      </c>
      <c r="H4578" s="662" t="s">
        <v>807</v>
      </c>
      <c r="I4578" s="666" t="s">
        <v>805</v>
      </c>
      <c r="J4578" s="667" t="s">
        <v>805</v>
      </c>
      <c r="K4578" s="662">
        <v>1</v>
      </c>
      <c r="L4578" s="685">
        <f t="shared" si="139"/>
        <v>14.1</v>
      </c>
      <c r="M4578" s="686">
        <f t="shared" si="138"/>
        <v>14.1</v>
      </c>
      <c r="O4578" s="693"/>
    </row>
    <row r="4579" spans="2:15" s="645" customFormat="1" ht="21.75" customHeight="1">
      <c r="B4579" s="661">
        <v>44487</v>
      </c>
      <c r="C4579" s="662" t="s">
        <v>819</v>
      </c>
      <c r="D4579" s="663" t="s">
        <v>845</v>
      </c>
      <c r="E4579" s="664" t="s">
        <v>831</v>
      </c>
      <c r="F4579" s="665"/>
      <c r="G4579" s="663">
        <v>17</v>
      </c>
      <c r="H4579" s="662" t="s">
        <v>807</v>
      </c>
      <c r="I4579" s="666" t="s">
        <v>805</v>
      </c>
      <c r="J4579" s="667" t="s">
        <v>804</v>
      </c>
      <c r="K4579" s="662">
        <v>6</v>
      </c>
      <c r="L4579" s="685">
        <f t="shared" si="139"/>
        <v>15.98</v>
      </c>
      <c r="M4579" s="686">
        <f t="shared" si="138"/>
        <v>95.88</v>
      </c>
      <c r="O4579" s="693"/>
    </row>
    <row r="4580" spans="2:15" s="645" customFormat="1" ht="21.75" customHeight="1">
      <c r="B4580" s="661">
        <v>44487</v>
      </c>
      <c r="C4580" s="662" t="s">
        <v>819</v>
      </c>
      <c r="D4580" s="663" t="s">
        <v>847</v>
      </c>
      <c r="E4580" s="664" t="s">
        <v>831</v>
      </c>
      <c r="F4580" s="665"/>
      <c r="G4580" s="663">
        <v>17</v>
      </c>
      <c r="H4580" s="662" t="s">
        <v>807</v>
      </c>
      <c r="I4580" s="666" t="s">
        <v>805</v>
      </c>
      <c r="J4580" s="667" t="s">
        <v>804</v>
      </c>
      <c r="K4580" s="662">
        <v>13</v>
      </c>
      <c r="L4580" s="685">
        <f t="shared" si="139"/>
        <v>15.98</v>
      </c>
      <c r="M4580" s="686">
        <f t="shared" si="138"/>
        <v>207.74</v>
      </c>
      <c r="O4580" s="693"/>
    </row>
    <row r="4581" spans="2:15" s="645" customFormat="1" ht="21.75" customHeight="1">
      <c r="B4581" s="661">
        <v>44487</v>
      </c>
      <c r="C4581" s="662" t="s">
        <v>819</v>
      </c>
      <c r="D4581" s="663" t="s">
        <v>847</v>
      </c>
      <c r="E4581" s="664" t="s">
        <v>831</v>
      </c>
      <c r="F4581" s="665"/>
      <c r="G4581" s="663">
        <v>17</v>
      </c>
      <c r="H4581" s="662" t="s">
        <v>807</v>
      </c>
      <c r="I4581" s="666" t="s">
        <v>805</v>
      </c>
      <c r="J4581" s="667" t="s">
        <v>805</v>
      </c>
      <c r="K4581" s="662">
        <v>5</v>
      </c>
      <c r="L4581" s="685">
        <f t="shared" si="139"/>
        <v>15.98</v>
      </c>
      <c r="M4581" s="686">
        <f t="shared" si="138"/>
        <v>79.900000000000006</v>
      </c>
      <c r="O4581" s="693"/>
    </row>
    <row r="4582" spans="2:15" s="645" customFormat="1" ht="21.75" customHeight="1">
      <c r="B4582" s="661">
        <v>44487</v>
      </c>
      <c r="C4582" s="662" t="s">
        <v>819</v>
      </c>
      <c r="D4582" s="663" t="s">
        <v>878</v>
      </c>
      <c r="E4582" s="664" t="s">
        <v>831</v>
      </c>
      <c r="F4582" s="665"/>
      <c r="G4582" s="663">
        <v>15</v>
      </c>
      <c r="H4582" s="662" t="s">
        <v>807</v>
      </c>
      <c r="I4582" s="666" t="s">
        <v>805</v>
      </c>
      <c r="J4582" s="667" t="s">
        <v>805</v>
      </c>
      <c r="K4582" s="662">
        <v>5</v>
      </c>
      <c r="L4582" s="685">
        <f t="shared" si="139"/>
        <v>14.1</v>
      </c>
      <c r="M4582" s="686">
        <f t="shared" si="138"/>
        <v>70.5</v>
      </c>
      <c r="O4582" s="693"/>
    </row>
    <row r="4583" spans="2:15" s="645" customFormat="1" ht="21.75" customHeight="1">
      <c r="B4583" s="661">
        <v>44487</v>
      </c>
      <c r="C4583" s="662" t="s">
        <v>819</v>
      </c>
      <c r="D4583" s="663" t="s">
        <v>878</v>
      </c>
      <c r="E4583" s="664" t="s">
        <v>831</v>
      </c>
      <c r="F4583" s="665"/>
      <c r="G4583" s="663">
        <v>15</v>
      </c>
      <c r="H4583" s="662" t="s">
        <v>807</v>
      </c>
      <c r="I4583" s="666" t="s">
        <v>805</v>
      </c>
      <c r="J4583" s="667" t="s">
        <v>805</v>
      </c>
      <c r="K4583" s="662">
        <v>3</v>
      </c>
      <c r="L4583" s="685">
        <f t="shared" si="139"/>
        <v>14.1</v>
      </c>
      <c r="M4583" s="686">
        <f t="shared" ref="M4583:M4646" si="140">L4583*K4583</f>
        <v>42.3</v>
      </c>
      <c r="O4583" s="693"/>
    </row>
    <row r="4584" spans="2:15" s="645" customFormat="1" ht="21.75" customHeight="1">
      <c r="B4584" s="661">
        <v>44487</v>
      </c>
      <c r="C4584" s="662" t="s">
        <v>819</v>
      </c>
      <c r="D4584" s="663" t="s">
        <v>875</v>
      </c>
      <c r="E4584" s="664" t="s">
        <v>831</v>
      </c>
      <c r="F4584" s="665"/>
      <c r="G4584" s="663">
        <v>20</v>
      </c>
      <c r="H4584" s="662" t="s">
        <v>807</v>
      </c>
      <c r="I4584" s="666" t="s">
        <v>805</v>
      </c>
      <c r="J4584" s="667" t="s">
        <v>805</v>
      </c>
      <c r="K4584" s="662">
        <v>5</v>
      </c>
      <c r="L4584" s="685">
        <f t="shared" si="139"/>
        <v>18.8</v>
      </c>
      <c r="M4584" s="686">
        <f t="shared" si="140"/>
        <v>94</v>
      </c>
      <c r="O4584" s="693"/>
    </row>
    <row r="4585" spans="2:15" s="645" customFormat="1" ht="21.75" customHeight="1">
      <c r="B4585" s="661">
        <v>44487</v>
      </c>
      <c r="C4585" s="662" t="s">
        <v>837</v>
      </c>
      <c r="D4585" s="663" t="s">
        <v>856</v>
      </c>
      <c r="E4585" s="664" t="s">
        <v>831</v>
      </c>
      <c r="F4585" s="665"/>
      <c r="G4585" s="663">
        <v>20</v>
      </c>
      <c r="H4585" s="662" t="s">
        <v>807</v>
      </c>
      <c r="I4585" s="666" t="s">
        <v>805</v>
      </c>
      <c r="J4585" s="667" t="s">
        <v>805</v>
      </c>
      <c r="K4585" s="662">
        <v>13</v>
      </c>
      <c r="L4585" s="685">
        <f t="shared" si="139"/>
        <v>18.8</v>
      </c>
      <c r="M4585" s="686">
        <f t="shared" si="140"/>
        <v>244.4</v>
      </c>
      <c r="O4585" s="693"/>
    </row>
    <row r="4586" spans="2:15" s="645" customFormat="1" ht="21.75" customHeight="1">
      <c r="B4586" s="661">
        <v>44487</v>
      </c>
      <c r="C4586" s="662" t="s">
        <v>837</v>
      </c>
      <c r="D4586" s="663" t="s">
        <v>847</v>
      </c>
      <c r="E4586" s="664" t="s">
        <v>831</v>
      </c>
      <c r="F4586" s="665"/>
      <c r="G4586" s="663">
        <v>17</v>
      </c>
      <c r="H4586" s="662" t="s">
        <v>807</v>
      </c>
      <c r="I4586" s="666" t="s">
        <v>805</v>
      </c>
      <c r="J4586" s="667" t="s">
        <v>805</v>
      </c>
      <c r="K4586" s="662">
        <v>13</v>
      </c>
      <c r="L4586" s="685">
        <f t="shared" si="139"/>
        <v>15.98</v>
      </c>
      <c r="M4586" s="686">
        <f t="shared" si="140"/>
        <v>207.74</v>
      </c>
      <c r="O4586" s="693"/>
    </row>
    <row r="4587" spans="2:15" s="645" customFormat="1" ht="21.75" customHeight="1">
      <c r="B4587" s="661">
        <v>44487</v>
      </c>
      <c r="C4587" s="662" t="s">
        <v>819</v>
      </c>
      <c r="D4587" s="663" t="s">
        <v>849</v>
      </c>
      <c r="E4587" s="664" t="s">
        <v>831</v>
      </c>
      <c r="F4587" s="665"/>
      <c r="G4587" s="663">
        <v>20</v>
      </c>
      <c r="H4587" s="662" t="s">
        <v>807</v>
      </c>
      <c r="I4587" s="666" t="s">
        <v>805</v>
      </c>
      <c r="J4587" s="667" t="s">
        <v>865</v>
      </c>
      <c r="K4587" s="662">
        <v>3</v>
      </c>
      <c r="L4587" s="685">
        <f t="shared" si="139"/>
        <v>18.8</v>
      </c>
      <c r="M4587" s="686">
        <f t="shared" si="140"/>
        <v>56.400000000000006</v>
      </c>
      <c r="O4587" s="693"/>
    </row>
    <row r="4588" spans="2:15" s="645" customFormat="1" ht="21.75" customHeight="1">
      <c r="B4588" s="661">
        <v>44487</v>
      </c>
      <c r="C4588" s="662" t="s">
        <v>819</v>
      </c>
      <c r="D4588" s="663" t="s">
        <v>849</v>
      </c>
      <c r="E4588" s="664" t="s">
        <v>831</v>
      </c>
      <c r="F4588" s="665"/>
      <c r="G4588" s="663">
        <v>20</v>
      </c>
      <c r="H4588" s="662" t="s">
        <v>807</v>
      </c>
      <c r="I4588" s="666" t="s">
        <v>881</v>
      </c>
      <c r="J4588" s="667" t="s">
        <v>865</v>
      </c>
      <c r="K4588" s="662">
        <v>1</v>
      </c>
      <c r="L4588" s="685">
        <f t="shared" si="139"/>
        <v>18.8</v>
      </c>
      <c r="M4588" s="686">
        <f t="shared" si="140"/>
        <v>18.8</v>
      </c>
      <c r="O4588" s="693"/>
    </row>
    <row r="4589" spans="2:15" s="645" customFormat="1" ht="21.75" customHeight="1">
      <c r="B4589" s="661">
        <v>44487</v>
      </c>
      <c r="C4589" s="662" t="s">
        <v>819</v>
      </c>
      <c r="D4589" s="663" t="s">
        <v>830</v>
      </c>
      <c r="E4589" s="664" t="s">
        <v>831</v>
      </c>
      <c r="F4589" s="665"/>
      <c r="G4589" s="663">
        <v>15</v>
      </c>
      <c r="H4589" s="662" t="s">
        <v>807</v>
      </c>
      <c r="I4589" s="666" t="s">
        <v>805</v>
      </c>
      <c r="J4589" s="667" t="s">
        <v>865</v>
      </c>
      <c r="K4589" s="662">
        <v>8</v>
      </c>
      <c r="L4589" s="685">
        <f t="shared" si="139"/>
        <v>14.1</v>
      </c>
      <c r="M4589" s="686">
        <f t="shared" si="140"/>
        <v>112.8</v>
      </c>
      <c r="O4589" s="693"/>
    </row>
    <row r="4590" spans="2:15" s="645" customFormat="1" ht="21.75" customHeight="1">
      <c r="B4590" s="661">
        <v>44487</v>
      </c>
      <c r="C4590" s="662" t="s">
        <v>819</v>
      </c>
      <c r="D4590" s="663" t="s">
        <v>850</v>
      </c>
      <c r="E4590" s="664" t="s">
        <v>831</v>
      </c>
      <c r="F4590" s="665"/>
      <c r="G4590" s="663">
        <v>15</v>
      </c>
      <c r="H4590" s="662" t="s">
        <v>807</v>
      </c>
      <c r="I4590" s="666" t="s">
        <v>805</v>
      </c>
      <c r="J4590" s="667" t="s">
        <v>865</v>
      </c>
      <c r="K4590" s="662">
        <v>1</v>
      </c>
      <c r="L4590" s="685">
        <f t="shared" si="139"/>
        <v>14.1</v>
      </c>
      <c r="M4590" s="686">
        <f t="shared" si="140"/>
        <v>14.1</v>
      </c>
      <c r="O4590" s="693"/>
    </row>
    <row r="4591" spans="2:15" s="645" customFormat="1" ht="21.75" customHeight="1">
      <c r="B4591" s="661">
        <v>44487</v>
      </c>
      <c r="C4591" s="662" t="s">
        <v>819</v>
      </c>
      <c r="D4591" s="663" t="s">
        <v>845</v>
      </c>
      <c r="E4591" s="664" t="s">
        <v>831</v>
      </c>
      <c r="F4591" s="665"/>
      <c r="G4591" s="663">
        <v>17</v>
      </c>
      <c r="H4591" s="662" t="s">
        <v>807</v>
      </c>
      <c r="I4591" s="666" t="s">
        <v>805</v>
      </c>
      <c r="J4591" s="667" t="s">
        <v>865</v>
      </c>
      <c r="K4591" s="662">
        <v>1</v>
      </c>
      <c r="L4591" s="685">
        <f t="shared" si="139"/>
        <v>15.98</v>
      </c>
      <c r="M4591" s="686">
        <f t="shared" si="140"/>
        <v>15.98</v>
      </c>
      <c r="O4591" s="693"/>
    </row>
    <row r="4592" spans="2:15" s="645" customFormat="1" ht="21.75" customHeight="1">
      <c r="B4592" s="661">
        <v>44487</v>
      </c>
      <c r="C4592" s="662" t="s">
        <v>819</v>
      </c>
      <c r="D4592" s="663" t="s">
        <v>845</v>
      </c>
      <c r="E4592" s="664" t="s">
        <v>831</v>
      </c>
      <c r="F4592" s="665"/>
      <c r="G4592" s="663">
        <v>17</v>
      </c>
      <c r="H4592" s="662" t="s">
        <v>807</v>
      </c>
      <c r="I4592" s="666" t="s">
        <v>805</v>
      </c>
      <c r="J4592" s="667" t="s">
        <v>865</v>
      </c>
      <c r="K4592" s="662">
        <v>1</v>
      </c>
      <c r="L4592" s="685">
        <f t="shared" si="139"/>
        <v>15.98</v>
      </c>
      <c r="M4592" s="686">
        <f t="shared" si="140"/>
        <v>15.98</v>
      </c>
      <c r="O4592" s="693"/>
    </row>
    <row r="4593" spans="2:15" s="645" customFormat="1" ht="21.75" customHeight="1">
      <c r="B4593" s="661">
        <v>44487</v>
      </c>
      <c r="C4593" s="662" t="s">
        <v>819</v>
      </c>
      <c r="D4593" s="663" t="s">
        <v>847</v>
      </c>
      <c r="E4593" s="664" t="s">
        <v>831</v>
      </c>
      <c r="F4593" s="665"/>
      <c r="G4593" s="663">
        <v>17</v>
      </c>
      <c r="H4593" s="662" t="s">
        <v>807</v>
      </c>
      <c r="I4593" s="666" t="s">
        <v>805</v>
      </c>
      <c r="J4593" s="667" t="s">
        <v>865</v>
      </c>
      <c r="K4593" s="662">
        <v>1</v>
      </c>
      <c r="L4593" s="685">
        <f t="shared" si="139"/>
        <v>15.98</v>
      </c>
      <c r="M4593" s="686">
        <f t="shared" si="140"/>
        <v>15.98</v>
      </c>
      <c r="O4593" s="693"/>
    </row>
    <row r="4594" spans="2:15" s="645" customFormat="1" ht="21.75" customHeight="1">
      <c r="B4594" s="708">
        <v>44487</v>
      </c>
      <c r="C4594" s="709" t="s">
        <v>819</v>
      </c>
      <c r="D4594" s="710" t="s">
        <v>833</v>
      </c>
      <c r="E4594" s="711" t="s">
        <v>831</v>
      </c>
      <c r="F4594" s="712"/>
      <c r="G4594" s="710">
        <v>15</v>
      </c>
      <c r="H4594" s="709" t="s">
        <v>807</v>
      </c>
      <c r="I4594" s="713" t="s">
        <v>880</v>
      </c>
      <c r="J4594" s="714" t="s">
        <v>802</v>
      </c>
      <c r="K4594" s="709">
        <v>3</v>
      </c>
      <c r="L4594" s="715">
        <f t="shared" si="139"/>
        <v>14.1</v>
      </c>
      <c r="M4594" s="716">
        <f t="shared" si="140"/>
        <v>42.3</v>
      </c>
      <c r="O4594" s="693"/>
    </row>
    <row r="4595" spans="2:15" s="645" customFormat="1" ht="21.75" customHeight="1">
      <c r="B4595" s="708">
        <v>44487</v>
      </c>
      <c r="C4595" s="709" t="s">
        <v>819</v>
      </c>
      <c r="D4595" s="710" t="s">
        <v>875</v>
      </c>
      <c r="E4595" s="711" t="s">
        <v>831</v>
      </c>
      <c r="F4595" s="712"/>
      <c r="G4595" s="710">
        <v>20</v>
      </c>
      <c r="H4595" s="709" t="s">
        <v>807</v>
      </c>
      <c r="I4595" s="713" t="s">
        <v>881</v>
      </c>
      <c r="J4595" s="714" t="s">
        <v>802</v>
      </c>
      <c r="K4595" s="709">
        <v>1</v>
      </c>
      <c r="L4595" s="715">
        <f t="shared" si="139"/>
        <v>18.8</v>
      </c>
      <c r="M4595" s="716">
        <f t="shared" si="140"/>
        <v>18.8</v>
      </c>
      <c r="O4595" s="693"/>
    </row>
    <row r="4596" spans="2:15" s="645" customFormat="1" ht="21.75" customHeight="1">
      <c r="B4596" s="708">
        <v>44487</v>
      </c>
      <c r="C4596" s="709" t="s">
        <v>837</v>
      </c>
      <c r="D4596" s="710" t="s">
        <v>855</v>
      </c>
      <c r="E4596" s="711" t="s">
        <v>831</v>
      </c>
      <c r="F4596" s="712"/>
      <c r="G4596" s="710">
        <v>20</v>
      </c>
      <c r="H4596" s="709" t="s">
        <v>807</v>
      </c>
      <c r="I4596" s="713" t="s">
        <v>880</v>
      </c>
      <c r="J4596" s="714" t="s">
        <v>802</v>
      </c>
      <c r="K4596" s="709">
        <v>11</v>
      </c>
      <c r="L4596" s="715">
        <f t="shared" si="139"/>
        <v>18.8</v>
      </c>
      <c r="M4596" s="716">
        <f t="shared" si="140"/>
        <v>206.8</v>
      </c>
      <c r="O4596" s="693"/>
    </row>
    <row r="4597" spans="2:15" s="645" customFormat="1" ht="21.75" customHeight="1">
      <c r="B4597" s="661">
        <v>44488</v>
      </c>
      <c r="C4597" s="662" t="s">
        <v>819</v>
      </c>
      <c r="D4597" s="663" t="s">
        <v>847</v>
      </c>
      <c r="E4597" s="664" t="s">
        <v>831</v>
      </c>
      <c r="F4597" s="665"/>
      <c r="G4597" s="663">
        <v>17</v>
      </c>
      <c r="H4597" s="662" t="s">
        <v>807</v>
      </c>
      <c r="I4597" s="666" t="s">
        <v>881</v>
      </c>
      <c r="J4597" s="667" t="s">
        <v>805</v>
      </c>
      <c r="K4597" s="662">
        <v>1</v>
      </c>
      <c r="L4597" s="685">
        <f t="shared" si="139"/>
        <v>15.98</v>
      </c>
      <c r="M4597" s="686">
        <f t="shared" si="140"/>
        <v>15.98</v>
      </c>
      <c r="O4597" s="693"/>
    </row>
    <row r="4598" spans="2:15" s="645" customFormat="1" ht="21.75" customHeight="1">
      <c r="B4598" s="708">
        <v>44488</v>
      </c>
      <c r="C4598" s="709" t="s">
        <v>819</v>
      </c>
      <c r="D4598" s="710" t="s">
        <v>849</v>
      </c>
      <c r="E4598" s="711" t="s">
        <v>831</v>
      </c>
      <c r="F4598" s="712"/>
      <c r="G4598" s="710">
        <v>20</v>
      </c>
      <c r="H4598" s="709" t="s">
        <v>807</v>
      </c>
      <c r="I4598" s="713" t="s">
        <v>881</v>
      </c>
      <c r="J4598" s="714" t="s">
        <v>802</v>
      </c>
      <c r="K4598" s="709">
        <v>1</v>
      </c>
      <c r="L4598" s="715">
        <f t="shared" si="139"/>
        <v>18.8</v>
      </c>
      <c r="M4598" s="716">
        <f t="shared" si="140"/>
        <v>18.8</v>
      </c>
      <c r="O4598" s="693"/>
    </row>
    <row r="4599" spans="2:15" s="645" customFormat="1" ht="21.75" customHeight="1">
      <c r="B4599" s="708">
        <v>44488</v>
      </c>
      <c r="C4599" s="709" t="s">
        <v>819</v>
      </c>
      <c r="D4599" s="710" t="s">
        <v>849</v>
      </c>
      <c r="E4599" s="711" t="s">
        <v>831</v>
      </c>
      <c r="F4599" s="712"/>
      <c r="G4599" s="710">
        <v>20</v>
      </c>
      <c r="H4599" s="709" t="s">
        <v>885</v>
      </c>
      <c r="I4599" s="713" t="s">
        <v>888</v>
      </c>
      <c r="J4599" s="714" t="s">
        <v>802</v>
      </c>
      <c r="K4599" s="709">
        <v>3</v>
      </c>
      <c r="L4599" s="715">
        <f t="shared" si="139"/>
        <v>18.8</v>
      </c>
      <c r="M4599" s="716">
        <f t="shared" si="140"/>
        <v>56.400000000000006</v>
      </c>
      <c r="O4599" s="693"/>
    </row>
    <row r="4600" spans="2:15" s="645" customFormat="1" ht="21.75" customHeight="1">
      <c r="B4600" s="708">
        <v>44488</v>
      </c>
      <c r="C4600" s="709" t="s">
        <v>819</v>
      </c>
      <c r="D4600" s="710" t="s">
        <v>840</v>
      </c>
      <c r="E4600" s="711" t="s">
        <v>831</v>
      </c>
      <c r="F4600" s="712"/>
      <c r="G4600" s="710">
        <v>20</v>
      </c>
      <c r="H4600" s="709" t="s">
        <v>885</v>
      </c>
      <c r="I4600" s="713" t="s">
        <v>888</v>
      </c>
      <c r="J4600" s="714" t="s">
        <v>802</v>
      </c>
      <c r="K4600" s="709">
        <v>3</v>
      </c>
      <c r="L4600" s="715">
        <f t="shared" si="139"/>
        <v>18.8</v>
      </c>
      <c r="M4600" s="716">
        <f t="shared" si="140"/>
        <v>56.400000000000006</v>
      </c>
      <c r="O4600" s="693"/>
    </row>
    <row r="4601" spans="2:15" s="645" customFormat="1" ht="21.75" customHeight="1">
      <c r="B4601" s="708">
        <v>44488</v>
      </c>
      <c r="C4601" s="709" t="s">
        <v>819</v>
      </c>
      <c r="D4601" s="710" t="s">
        <v>835</v>
      </c>
      <c r="E4601" s="711" t="s">
        <v>831</v>
      </c>
      <c r="F4601" s="712"/>
      <c r="G4601" s="710">
        <v>20</v>
      </c>
      <c r="H4601" s="709" t="s">
        <v>807</v>
      </c>
      <c r="I4601" s="713" t="s">
        <v>881</v>
      </c>
      <c r="J4601" s="714" t="s">
        <v>802</v>
      </c>
      <c r="K4601" s="709">
        <v>5</v>
      </c>
      <c r="L4601" s="715">
        <f t="shared" si="139"/>
        <v>18.8</v>
      </c>
      <c r="M4601" s="716">
        <f t="shared" si="140"/>
        <v>94</v>
      </c>
      <c r="O4601" s="693"/>
    </row>
    <row r="4602" spans="2:15" s="645" customFormat="1" ht="21.75" customHeight="1">
      <c r="B4602" s="708">
        <v>44488</v>
      </c>
      <c r="C4602" s="709" t="s">
        <v>819</v>
      </c>
      <c r="D4602" s="710" t="s">
        <v>841</v>
      </c>
      <c r="E4602" s="711" t="s">
        <v>831</v>
      </c>
      <c r="F4602" s="712"/>
      <c r="G4602" s="710">
        <v>20</v>
      </c>
      <c r="H4602" s="709" t="s">
        <v>885</v>
      </c>
      <c r="I4602" s="713" t="s">
        <v>888</v>
      </c>
      <c r="J4602" s="714" t="s">
        <v>802</v>
      </c>
      <c r="K4602" s="709">
        <v>2</v>
      </c>
      <c r="L4602" s="715">
        <f t="shared" si="139"/>
        <v>18.8</v>
      </c>
      <c r="M4602" s="716">
        <f t="shared" si="140"/>
        <v>37.6</v>
      </c>
      <c r="O4602" s="693"/>
    </row>
    <row r="4603" spans="2:15" s="645" customFormat="1" ht="21.75" customHeight="1">
      <c r="B4603" s="708">
        <v>44488</v>
      </c>
      <c r="C4603" s="709" t="s">
        <v>819</v>
      </c>
      <c r="D4603" s="710" t="s">
        <v>834</v>
      </c>
      <c r="E4603" s="711" t="s">
        <v>831</v>
      </c>
      <c r="F4603" s="712"/>
      <c r="G4603" s="710">
        <v>20</v>
      </c>
      <c r="H4603" s="709" t="s">
        <v>807</v>
      </c>
      <c r="I4603" s="713" t="s">
        <v>881</v>
      </c>
      <c r="J4603" s="714" t="s">
        <v>802</v>
      </c>
      <c r="K4603" s="709">
        <v>11</v>
      </c>
      <c r="L4603" s="715">
        <f t="shared" si="139"/>
        <v>18.8</v>
      </c>
      <c r="M4603" s="716">
        <f t="shared" si="140"/>
        <v>206.8</v>
      </c>
      <c r="O4603" s="693"/>
    </row>
    <row r="4604" spans="2:15" s="645" customFormat="1" ht="21.75" customHeight="1">
      <c r="B4604" s="708">
        <v>44488</v>
      </c>
      <c r="C4604" s="709" t="s">
        <v>819</v>
      </c>
      <c r="D4604" s="710" t="s">
        <v>848</v>
      </c>
      <c r="E4604" s="711" t="s">
        <v>831</v>
      </c>
      <c r="F4604" s="712"/>
      <c r="G4604" s="710">
        <v>20</v>
      </c>
      <c r="H4604" s="709" t="s">
        <v>885</v>
      </c>
      <c r="I4604" s="713" t="s">
        <v>888</v>
      </c>
      <c r="J4604" s="714" t="s">
        <v>802</v>
      </c>
      <c r="K4604" s="709">
        <v>2</v>
      </c>
      <c r="L4604" s="715">
        <f t="shared" si="139"/>
        <v>18.8</v>
      </c>
      <c r="M4604" s="716">
        <f t="shared" si="140"/>
        <v>37.6</v>
      </c>
      <c r="O4604" s="693"/>
    </row>
    <row r="4605" spans="2:15" s="645" customFormat="1" ht="21.75" customHeight="1">
      <c r="B4605" s="708">
        <v>44488</v>
      </c>
      <c r="C4605" s="709" t="s">
        <v>819</v>
      </c>
      <c r="D4605" s="710" t="s">
        <v>833</v>
      </c>
      <c r="E4605" s="711" t="s">
        <v>831</v>
      </c>
      <c r="F4605" s="712"/>
      <c r="G4605" s="710">
        <v>15</v>
      </c>
      <c r="H4605" s="709" t="s">
        <v>807</v>
      </c>
      <c r="I4605" s="713" t="s">
        <v>880</v>
      </c>
      <c r="J4605" s="714" t="s">
        <v>802</v>
      </c>
      <c r="K4605" s="709">
        <v>1</v>
      </c>
      <c r="L4605" s="715">
        <f t="shared" si="139"/>
        <v>14.1</v>
      </c>
      <c r="M4605" s="716">
        <f t="shared" si="140"/>
        <v>14.1</v>
      </c>
      <c r="O4605" s="693"/>
    </row>
    <row r="4606" spans="2:15" s="645" customFormat="1" ht="21.75" customHeight="1">
      <c r="B4606" s="708">
        <v>44488</v>
      </c>
      <c r="C4606" s="709" t="s">
        <v>819</v>
      </c>
      <c r="D4606" s="710" t="s">
        <v>847</v>
      </c>
      <c r="E4606" s="711" t="s">
        <v>831</v>
      </c>
      <c r="F4606" s="712"/>
      <c r="G4606" s="710">
        <v>17</v>
      </c>
      <c r="H4606" s="709" t="s">
        <v>807</v>
      </c>
      <c r="I4606" s="713" t="s">
        <v>881</v>
      </c>
      <c r="J4606" s="714" t="s">
        <v>802</v>
      </c>
      <c r="K4606" s="709">
        <v>4</v>
      </c>
      <c r="L4606" s="715">
        <f t="shared" si="139"/>
        <v>15.98</v>
      </c>
      <c r="M4606" s="716">
        <f t="shared" si="140"/>
        <v>63.92</v>
      </c>
      <c r="O4606" s="693"/>
    </row>
    <row r="4607" spans="2:15" s="645" customFormat="1" ht="21.75" customHeight="1">
      <c r="B4607" s="708">
        <v>44488</v>
      </c>
      <c r="C4607" s="709" t="s">
        <v>819</v>
      </c>
      <c r="D4607" s="710" t="s">
        <v>856</v>
      </c>
      <c r="E4607" s="711" t="s">
        <v>831</v>
      </c>
      <c r="F4607" s="712"/>
      <c r="G4607" s="710">
        <v>20</v>
      </c>
      <c r="H4607" s="709" t="s">
        <v>885</v>
      </c>
      <c r="I4607" s="713" t="s">
        <v>888</v>
      </c>
      <c r="J4607" s="714" t="s">
        <v>802</v>
      </c>
      <c r="K4607" s="709">
        <v>2</v>
      </c>
      <c r="L4607" s="715">
        <f t="shared" si="139"/>
        <v>18.8</v>
      </c>
      <c r="M4607" s="716">
        <f t="shared" si="140"/>
        <v>37.6</v>
      </c>
      <c r="O4607" s="693"/>
    </row>
    <row r="4608" spans="2:15" s="645" customFormat="1" ht="21.75" customHeight="1">
      <c r="B4608" s="708">
        <v>44488</v>
      </c>
      <c r="C4608" s="709" t="s">
        <v>819</v>
      </c>
      <c r="D4608" s="710" t="s">
        <v>878</v>
      </c>
      <c r="E4608" s="711" t="s">
        <v>831</v>
      </c>
      <c r="F4608" s="712"/>
      <c r="G4608" s="710">
        <v>15</v>
      </c>
      <c r="H4608" s="709" t="s">
        <v>807</v>
      </c>
      <c r="I4608" s="713" t="s">
        <v>881</v>
      </c>
      <c r="J4608" s="714" t="s">
        <v>802</v>
      </c>
      <c r="K4608" s="709">
        <v>12</v>
      </c>
      <c r="L4608" s="715">
        <f t="shared" si="139"/>
        <v>14.1</v>
      </c>
      <c r="M4608" s="716">
        <f t="shared" si="140"/>
        <v>169.2</v>
      </c>
      <c r="O4608" s="693"/>
    </row>
    <row r="4609" spans="2:15" s="645" customFormat="1" ht="21.75" customHeight="1">
      <c r="B4609" s="708">
        <v>44488</v>
      </c>
      <c r="C4609" s="709" t="s">
        <v>819</v>
      </c>
      <c r="D4609" s="710" t="s">
        <v>855</v>
      </c>
      <c r="E4609" s="711" t="s">
        <v>831</v>
      </c>
      <c r="F4609" s="712"/>
      <c r="G4609" s="710">
        <v>20</v>
      </c>
      <c r="H4609" s="709" t="s">
        <v>807</v>
      </c>
      <c r="I4609" s="713" t="s">
        <v>881</v>
      </c>
      <c r="J4609" s="714" t="s">
        <v>802</v>
      </c>
      <c r="K4609" s="709">
        <v>1</v>
      </c>
      <c r="L4609" s="715">
        <f t="shared" si="139"/>
        <v>18.8</v>
      </c>
      <c r="M4609" s="716">
        <f t="shared" si="140"/>
        <v>18.8</v>
      </c>
      <c r="O4609" s="693"/>
    </row>
    <row r="4610" spans="2:15" s="645" customFormat="1" ht="21.75" customHeight="1">
      <c r="B4610" s="708">
        <v>44488</v>
      </c>
      <c r="C4610" s="709" t="s">
        <v>819</v>
      </c>
      <c r="D4610" s="710" t="s">
        <v>875</v>
      </c>
      <c r="E4610" s="711" t="s">
        <v>831</v>
      </c>
      <c r="F4610" s="712"/>
      <c r="G4610" s="710">
        <v>20</v>
      </c>
      <c r="H4610" s="709" t="s">
        <v>807</v>
      </c>
      <c r="I4610" s="713" t="s">
        <v>881</v>
      </c>
      <c r="J4610" s="714" t="s">
        <v>802</v>
      </c>
      <c r="K4610" s="709">
        <v>6</v>
      </c>
      <c r="L4610" s="715">
        <f t="shared" si="139"/>
        <v>18.8</v>
      </c>
      <c r="M4610" s="716">
        <f t="shared" si="140"/>
        <v>112.80000000000001</v>
      </c>
      <c r="O4610" s="693"/>
    </row>
    <row r="4611" spans="2:15" s="645" customFormat="1" ht="21.75" customHeight="1">
      <c r="B4611" s="708">
        <v>44488</v>
      </c>
      <c r="C4611" s="709" t="s">
        <v>819</v>
      </c>
      <c r="D4611" s="710" t="s">
        <v>875</v>
      </c>
      <c r="E4611" s="711" t="s">
        <v>831</v>
      </c>
      <c r="F4611" s="712"/>
      <c r="G4611" s="710">
        <v>20</v>
      </c>
      <c r="H4611" s="709" t="s">
        <v>885</v>
      </c>
      <c r="I4611" s="713" t="s">
        <v>888</v>
      </c>
      <c r="J4611" s="714" t="s">
        <v>802</v>
      </c>
      <c r="K4611" s="709">
        <v>2</v>
      </c>
      <c r="L4611" s="715">
        <f t="shared" si="139"/>
        <v>18.8</v>
      </c>
      <c r="M4611" s="716">
        <f t="shared" si="140"/>
        <v>37.6</v>
      </c>
      <c r="O4611" s="693"/>
    </row>
    <row r="4612" spans="2:15" s="645" customFormat="1" ht="21.75" customHeight="1">
      <c r="B4612" s="708">
        <v>44488</v>
      </c>
      <c r="C4612" s="709" t="s">
        <v>819</v>
      </c>
      <c r="D4612" s="710" t="s">
        <v>867</v>
      </c>
      <c r="E4612" s="711" t="s">
        <v>831</v>
      </c>
      <c r="F4612" s="712"/>
      <c r="G4612" s="710">
        <v>20</v>
      </c>
      <c r="H4612" s="709" t="s">
        <v>885</v>
      </c>
      <c r="I4612" s="713" t="s">
        <v>888</v>
      </c>
      <c r="J4612" s="714" t="s">
        <v>802</v>
      </c>
      <c r="K4612" s="709">
        <v>3</v>
      </c>
      <c r="L4612" s="715">
        <f t="shared" si="139"/>
        <v>18.8</v>
      </c>
      <c r="M4612" s="716">
        <f t="shared" si="140"/>
        <v>56.400000000000006</v>
      </c>
      <c r="O4612" s="693"/>
    </row>
    <row r="4613" spans="2:15" s="645" customFormat="1" ht="21.75" customHeight="1">
      <c r="B4613" s="708">
        <v>44488</v>
      </c>
      <c r="C4613" s="709" t="s">
        <v>819</v>
      </c>
      <c r="D4613" s="710" t="s">
        <v>876</v>
      </c>
      <c r="E4613" s="711" t="s">
        <v>831</v>
      </c>
      <c r="F4613" s="712"/>
      <c r="G4613" s="710">
        <v>20</v>
      </c>
      <c r="H4613" s="709" t="s">
        <v>807</v>
      </c>
      <c r="I4613" s="713" t="s">
        <v>880</v>
      </c>
      <c r="J4613" s="714" t="s">
        <v>802</v>
      </c>
      <c r="K4613" s="709">
        <v>3</v>
      </c>
      <c r="L4613" s="715">
        <f t="shared" si="139"/>
        <v>18.8</v>
      </c>
      <c r="M4613" s="716">
        <f t="shared" si="140"/>
        <v>56.400000000000006</v>
      </c>
      <c r="O4613" s="693"/>
    </row>
    <row r="4614" spans="2:15" s="645" customFormat="1" ht="21.75" customHeight="1">
      <c r="B4614" s="708">
        <v>44488</v>
      </c>
      <c r="C4614" s="709" t="s">
        <v>819</v>
      </c>
      <c r="D4614" s="710" t="s">
        <v>876</v>
      </c>
      <c r="E4614" s="711" t="s">
        <v>831</v>
      </c>
      <c r="F4614" s="712"/>
      <c r="G4614" s="710">
        <v>20</v>
      </c>
      <c r="H4614" s="709" t="s">
        <v>885</v>
      </c>
      <c r="I4614" s="713" t="s">
        <v>888</v>
      </c>
      <c r="J4614" s="714" t="s">
        <v>802</v>
      </c>
      <c r="K4614" s="709">
        <v>2</v>
      </c>
      <c r="L4614" s="715">
        <f t="shared" si="139"/>
        <v>18.8</v>
      </c>
      <c r="M4614" s="716">
        <f t="shared" si="140"/>
        <v>37.6</v>
      </c>
      <c r="O4614" s="693"/>
    </row>
    <row r="4615" spans="2:15" s="645" customFormat="1" ht="21.75" customHeight="1">
      <c r="B4615" s="708">
        <v>44488</v>
      </c>
      <c r="C4615" s="709" t="s">
        <v>819</v>
      </c>
      <c r="D4615" s="710" t="s">
        <v>877</v>
      </c>
      <c r="E4615" s="711" t="s">
        <v>831</v>
      </c>
      <c r="F4615" s="712"/>
      <c r="G4615" s="710">
        <v>20</v>
      </c>
      <c r="H4615" s="709" t="s">
        <v>807</v>
      </c>
      <c r="I4615" s="713" t="s">
        <v>881</v>
      </c>
      <c r="J4615" s="714" t="s">
        <v>802</v>
      </c>
      <c r="K4615" s="709">
        <v>2</v>
      </c>
      <c r="L4615" s="715">
        <f t="shared" si="139"/>
        <v>18.8</v>
      </c>
      <c r="M4615" s="716">
        <f t="shared" si="140"/>
        <v>37.6</v>
      </c>
      <c r="O4615" s="693"/>
    </row>
    <row r="4616" spans="2:15" s="645" customFormat="1" ht="21.75" customHeight="1">
      <c r="B4616" s="708">
        <v>44488</v>
      </c>
      <c r="C4616" s="709" t="s">
        <v>819</v>
      </c>
      <c r="D4616" s="710" t="s">
        <v>877</v>
      </c>
      <c r="E4616" s="711" t="s">
        <v>831</v>
      </c>
      <c r="F4616" s="712"/>
      <c r="G4616" s="710">
        <v>20</v>
      </c>
      <c r="H4616" s="709" t="s">
        <v>885</v>
      </c>
      <c r="I4616" s="713" t="s">
        <v>888</v>
      </c>
      <c r="J4616" s="714" t="s">
        <v>802</v>
      </c>
      <c r="K4616" s="709">
        <v>2</v>
      </c>
      <c r="L4616" s="715">
        <f t="shared" si="139"/>
        <v>18.8</v>
      </c>
      <c r="M4616" s="716">
        <f t="shared" si="140"/>
        <v>37.6</v>
      </c>
      <c r="O4616" s="693"/>
    </row>
    <row r="4617" spans="2:15" s="645" customFormat="1" ht="21.75" customHeight="1">
      <c r="B4617" s="708">
        <v>44488</v>
      </c>
      <c r="C4617" s="709" t="s">
        <v>819</v>
      </c>
      <c r="D4617" s="710" t="s">
        <v>870</v>
      </c>
      <c r="E4617" s="711" t="s">
        <v>831</v>
      </c>
      <c r="F4617" s="712"/>
      <c r="G4617" s="710">
        <v>20</v>
      </c>
      <c r="H4617" s="709" t="s">
        <v>807</v>
      </c>
      <c r="I4617" s="713" t="s">
        <v>880</v>
      </c>
      <c r="J4617" s="714" t="s">
        <v>802</v>
      </c>
      <c r="K4617" s="709">
        <v>1</v>
      </c>
      <c r="L4617" s="715">
        <f t="shared" ref="L4617:L4680" si="141">VLOOKUP(G4617,$Q$4:$V$7,6,FALSE)</f>
        <v>18.8</v>
      </c>
      <c r="M4617" s="716">
        <f t="shared" si="140"/>
        <v>18.8</v>
      </c>
      <c r="O4617" s="693"/>
    </row>
    <row r="4618" spans="2:15" s="645" customFormat="1" ht="21.75" customHeight="1">
      <c r="B4618" s="708">
        <v>44488</v>
      </c>
      <c r="C4618" s="709" t="s">
        <v>819</v>
      </c>
      <c r="D4618" s="710" t="s">
        <v>870</v>
      </c>
      <c r="E4618" s="711" t="s">
        <v>831</v>
      </c>
      <c r="F4618" s="712"/>
      <c r="G4618" s="710">
        <v>20</v>
      </c>
      <c r="H4618" s="709" t="s">
        <v>885</v>
      </c>
      <c r="I4618" s="713" t="s">
        <v>888</v>
      </c>
      <c r="J4618" s="714" t="s">
        <v>802</v>
      </c>
      <c r="K4618" s="709">
        <v>1</v>
      </c>
      <c r="L4618" s="715">
        <f t="shared" si="141"/>
        <v>18.8</v>
      </c>
      <c r="M4618" s="716">
        <f t="shared" si="140"/>
        <v>18.8</v>
      </c>
      <c r="O4618" s="693"/>
    </row>
    <row r="4619" spans="2:15" s="645" customFormat="1" ht="21.75" customHeight="1">
      <c r="B4619" s="717">
        <v>44488</v>
      </c>
      <c r="C4619" s="718" t="s">
        <v>819</v>
      </c>
      <c r="D4619" s="719" t="s">
        <v>833</v>
      </c>
      <c r="E4619" s="720" t="s">
        <v>831</v>
      </c>
      <c r="F4619" s="721"/>
      <c r="G4619" s="719">
        <v>15</v>
      </c>
      <c r="H4619" s="718" t="s">
        <v>806</v>
      </c>
      <c r="I4619" s="722" t="s">
        <v>891</v>
      </c>
      <c r="J4619" s="723" t="s">
        <v>892</v>
      </c>
      <c r="K4619" s="718">
        <v>8</v>
      </c>
      <c r="L4619" s="724">
        <f t="shared" si="141"/>
        <v>14.1</v>
      </c>
      <c r="M4619" s="725">
        <f t="shared" si="140"/>
        <v>112.8</v>
      </c>
      <c r="O4619" s="693"/>
    </row>
    <row r="4620" spans="2:15" s="645" customFormat="1" ht="21.75" customHeight="1">
      <c r="B4620" s="717">
        <v>44488</v>
      </c>
      <c r="C4620" s="718" t="s">
        <v>819</v>
      </c>
      <c r="D4620" s="719" t="s">
        <v>830</v>
      </c>
      <c r="E4620" s="720" t="s">
        <v>831</v>
      </c>
      <c r="F4620" s="721"/>
      <c r="G4620" s="719">
        <v>15</v>
      </c>
      <c r="H4620" s="718" t="s">
        <v>806</v>
      </c>
      <c r="I4620" s="722" t="s">
        <v>891</v>
      </c>
      <c r="J4620" s="723" t="s">
        <v>892</v>
      </c>
      <c r="K4620" s="718">
        <v>9</v>
      </c>
      <c r="L4620" s="724">
        <f t="shared" si="141"/>
        <v>14.1</v>
      </c>
      <c r="M4620" s="725">
        <f t="shared" si="140"/>
        <v>126.89999999999999</v>
      </c>
      <c r="O4620" s="693"/>
    </row>
    <row r="4621" spans="2:15" s="645" customFormat="1" ht="21.75" customHeight="1">
      <c r="B4621" s="717">
        <v>44488</v>
      </c>
      <c r="C4621" s="718" t="s">
        <v>819</v>
      </c>
      <c r="D4621" s="719" t="s">
        <v>850</v>
      </c>
      <c r="E4621" s="720" t="s">
        <v>831</v>
      </c>
      <c r="F4621" s="721"/>
      <c r="G4621" s="719">
        <v>15</v>
      </c>
      <c r="H4621" s="718" t="s">
        <v>806</v>
      </c>
      <c r="I4621" s="722" t="s">
        <v>891</v>
      </c>
      <c r="J4621" s="723" t="s">
        <v>892</v>
      </c>
      <c r="K4621" s="718">
        <v>9</v>
      </c>
      <c r="L4621" s="724">
        <f t="shared" si="141"/>
        <v>14.1</v>
      </c>
      <c r="M4621" s="725">
        <f t="shared" si="140"/>
        <v>126.89999999999999</v>
      </c>
      <c r="O4621" s="693"/>
    </row>
    <row r="4622" spans="2:15" s="645" customFormat="1" ht="21.75" customHeight="1">
      <c r="B4622" s="717">
        <v>44488</v>
      </c>
      <c r="C4622" s="718" t="s">
        <v>819</v>
      </c>
      <c r="D4622" s="719" t="s">
        <v>845</v>
      </c>
      <c r="E4622" s="720" t="s">
        <v>831</v>
      </c>
      <c r="F4622" s="721"/>
      <c r="G4622" s="719">
        <v>17</v>
      </c>
      <c r="H4622" s="718" t="s">
        <v>806</v>
      </c>
      <c r="I4622" s="722" t="s">
        <v>891</v>
      </c>
      <c r="J4622" s="723" t="s">
        <v>892</v>
      </c>
      <c r="K4622" s="718">
        <v>9</v>
      </c>
      <c r="L4622" s="724">
        <f t="shared" si="141"/>
        <v>15.98</v>
      </c>
      <c r="M4622" s="725">
        <f t="shared" si="140"/>
        <v>143.82</v>
      </c>
      <c r="O4622" s="693"/>
    </row>
    <row r="4623" spans="2:15" s="645" customFormat="1" ht="21.75" customHeight="1">
      <c r="B4623" s="717">
        <v>44488</v>
      </c>
      <c r="C4623" s="718" t="s">
        <v>819</v>
      </c>
      <c r="D4623" s="719" t="s">
        <v>847</v>
      </c>
      <c r="E4623" s="720" t="s">
        <v>831</v>
      </c>
      <c r="F4623" s="721"/>
      <c r="G4623" s="719">
        <v>17</v>
      </c>
      <c r="H4623" s="718" t="s">
        <v>806</v>
      </c>
      <c r="I4623" s="722" t="s">
        <v>891</v>
      </c>
      <c r="J4623" s="723" t="s">
        <v>892</v>
      </c>
      <c r="K4623" s="718">
        <v>1</v>
      </c>
      <c r="L4623" s="724">
        <f t="shared" si="141"/>
        <v>15.98</v>
      </c>
      <c r="M4623" s="725">
        <f t="shared" si="140"/>
        <v>15.98</v>
      </c>
      <c r="O4623" s="693"/>
    </row>
    <row r="4624" spans="2:15" s="645" customFormat="1" ht="21.75" customHeight="1">
      <c r="B4624" s="661">
        <v>44489</v>
      </c>
      <c r="C4624" s="662" t="s">
        <v>819</v>
      </c>
      <c r="D4624" s="663" t="s">
        <v>835</v>
      </c>
      <c r="E4624" s="664" t="s">
        <v>831</v>
      </c>
      <c r="F4624" s="665"/>
      <c r="G4624" s="663">
        <v>20</v>
      </c>
      <c r="H4624" s="662" t="s">
        <v>807</v>
      </c>
      <c r="I4624" s="666" t="s">
        <v>881</v>
      </c>
      <c r="J4624" s="667" t="s">
        <v>805</v>
      </c>
      <c r="K4624" s="662">
        <v>3</v>
      </c>
      <c r="L4624" s="685">
        <f t="shared" si="141"/>
        <v>18.8</v>
      </c>
      <c r="M4624" s="686">
        <f t="shared" si="140"/>
        <v>56.400000000000006</v>
      </c>
      <c r="O4624" s="693"/>
    </row>
    <row r="4625" spans="2:15" s="645" customFormat="1" ht="21.75" customHeight="1">
      <c r="B4625" s="661">
        <v>44489</v>
      </c>
      <c r="C4625" s="662" t="s">
        <v>819</v>
      </c>
      <c r="D4625" s="663" t="s">
        <v>834</v>
      </c>
      <c r="E4625" s="664" t="s">
        <v>831</v>
      </c>
      <c r="F4625" s="665"/>
      <c r="G4625" s="663">
        <v>20</v>
      </c>
      <c r="H4625" s="662" t="s">
        <v>807</v>
      </c>
      <c r="I4625" s="666" t="s">
        <v>881</v>
      </c>
      <c r="J4625" s="667" t="s">
        <v>805</v>
      </c>
      <c r="K4625" s="662">
        <v>4</v>
      </c>
      <c r="L4625" s="685">
        <f t="shared" si="141"/>
        <v>18.8</v>
      </c>
      <c r="M4625" s="686">
        <f t="shared" si="140"/>
        <v>75.2</v>
      </c>
      <c r="O4625" s="693"/>
    </row>
    <row r="4626" spans="2:15" s="645" customFormat="1" ht="21.75" customHeight="1">
      <c r="B4626" s="661">
        <v>44489</v>
      </c>
      <c r="C4626" s="662" t="s">
        <v>819</v>
      </c>
      <c r="D4626" s="663" t="s">
        <v>848</v>
      </c>
      <c r="E4626" s="664" t="s">
        <v>831</v>
      </c>
      <c r="F4626" s="665"/>
      <c r="G4626" s="663">
        <v>20</v>
      </c>
      <c r="H4626" s="662" t="s">
        <v>807</v>
      </c>
      <c r="I4626" s="666" t="s">
        <v>881</v>
      </c>
      <c r="J4626" s="667" t="s">
        <v>805</v>
      </c>
      <c r="K4626" s="662">
        <v>2</v>
      </c>
      <c r="L4626" s="685">
        <f t="shared" si="141"/>
        <v>18.8</v>
      </c>
      <c r="M4626" s="686">
        <f t="shared" si="140"/>
        <v>37.6</v>
      </c>
      <c r="O4626" s="693"/>
    </row>
    <row r="4627" spans="2:15" s="645" customFormat="1" ht="21.75" customHeight="1">
      <c r="B4627" s="661">
        <v>44489</v>
      </c>
      <c r="C4627" s="662" t="s">
        <v>819</v>
      </c>
      <c r="D4627" s="663" t="s">
        <v>856</v>
      </c>
      <c r="E4627" s="664" t="s">
        <v>831</v>
      </c>
      <c r="F4627" s="665"/>
      <c r="G4627" s="663">
        <v>20</v>
      </c>
      <c r="H4627" s="662" t="s">
        <v>807</v>
      </c>
      <c r="I4627" s="666" t="s">
        <v>881</v>
      </c>
      <c r="J4627" s="667" t="s">
        <v>805</v>
      </c>
      <c r="K4627" s="662">
        <v>6</v>
      </c>
      <c r="L4627" s="685">
        <f t="shared" si="141"/>
        <v>18.8</v>
      </c>
      <c r="M4627" s="686">
        <f t="shared" si="140"/>
        <v>112.80000000000001</v>
      </c>
      <c r="O4627" s="693"/>
    </row>
    <row r="4628" spans="2:15" s="645" customFormat="1" ht="21.75" customHeight="1">
      <c r="B4628" s="708">
        <v>44489</v>
      </c>
      <c r="C4628" s="709" t="s">
        <v>819</v>
      </c>
      <c r="D4628" s="710" t="s">
        <v>849</v>
      </c>
      <c r="E4628" s="711" t="s">
        <v>831</v>
      </c>
      <c r="F4628" s="712"/>
      <c r="G4628" s="710">
        <v>20</v>
      </c>
      <c r="H4628" s="709" t="s">
        <v>807</v>
      </c>
      <c r="I4628" s="713" t="s">
        <v>881</v>
      </c>
      <c r="J4628" s="714" t="s">
        <v>802</v>
      </c>
      <c r="K4628" s="709">
        <v>1</v>
      </c>
      <c r="L4628" s="715">
        <f t="shared" si="141"/>
        <v>18.8</v>
      </c>
      <c r="M4628" s="716">
        <f t="shared" si="140"/>
        <v>18.8</v>
      </c>
      <c r="O4628" s="693"/>
    </row>
    <row r="4629" spans="2:15" s="645" customFormat="1" ht="21.75" customHeight="1">
      <c r="B4629" s="708">
        <v>44489</v>
      </c>
      <c r="C4629" s="709" t="s">
        <v>819</v>
      </c>
      <c r="D4629" s="710" t="s">
        <v>840</v>
      </c>
      <c r="E4629" s="711" t="s">
        <v>831</v>
      </c>
      <c r="F4629" s="712"/>
      <c r="G4629" s="710">
        <v>20</v>
      </c>
      <c r="H4629" s="709" t="s">
        <v>807</v>
      </c>
      <c r="I4629" s="713" t="s">
        <v>881</v>
      </c>
      <c r="J4629" s="714" t="s">
        <v>802</v>
      </c>
      <c r="K4629" s="709">
        <v>11</v>
      </c>
      <c r="L4629" s="715">
        <f t="shared" si="141"/>
        <v>18.8</v>
      </c>
      <c r="M4629" s="716">
        <f t="shared" si="140"/>
        <v>206.8</v>
      </c>
      <c r="O4629" s="693"/>
    </row>
    <row r="4630" spans="2:15" s="645" customFormat="1" ht="21.75" customHeight="1">
      <c r="B4630" s="708">
        <v>44489</v>
      </c>
      <c r="C4630" s="709" t="s">
        <v>819</v>
      </c>
      <c r="D4630" s="710" t="s">
        <v>835</v>
      </c>
      <c r="E4630" s="711" t="s">
        <v>831</v>
      </c>
      <c r="F4630" s="712"/>
      <c r="G4630" s="710">
        <v>20</v>
      </c>
      <c r="H4630" s="709" t="s">
        <v>807</v>
      </c>
      <c r="I4630" s="713" t="s">
        <v>881</v>
      </c>
      <c r="J4630" s="714" t="s">
        <v>802</v>
      </c>
      <c r="K4630" s="709">
        <v>8</v>
      </c>
      <c r="L4630" s="715">
        <f t="shared" si="141"/>
        <v>18.8</v>
      </c>
      <c r="M4630" s="716">
        <f t="shared" si="140"/>
        <v>150.4</v>
      </c>
      <c r="O4630" s="693"/>
    </row>
    <row r="4631" spans="2:15" s="645" customFormat="1" ht="21.75" customHeight="1">
      <c r="B4631" s="708">
        <v>44489</v>
      </c>
      <c r="C4631" s="709" t="s">
        <v>819</v>
      </c>
      <c r="D4631" s="710" t="s">
        <v>834</v>
      </c>
      <c r="E4631" s="711" t="s">
        <v>831</v>
      </c>
      <c r="F4631" s="712"/>
      <c r="G4631" s="710">
        <v>20</v>
      </c>
      <c r="H4631" s="709" t="s">
        <v>807</v>
      </c>
      <c r="I4631" s="713" t="s">
        <v>881</v>
      </c>
      <c r="J4631" s="714" t="s">
        <v>802</v>
      </c>
      <c r="K4631" s="709">
        <v>8</v>
      </c>
      <c r="L4631" s="715">
        <f t="shared" si="141"/>
        <v>18.8</v>
      </c>
      <c r="M4631" s="716">
        <f t="shared" si="140"/>
        <v>150.4</v>
      </c>
      <c r="O4631" s="693"/>
    </row>
    <row r="4632" spans="2:15" s="645" customFormat="1" ht="21.75" customHeight="1">
      <c r="B4632" s="708">
        <v>44489</v>
      </c>
      <c r="C4632" s="709" t="s">
        <v>819</v>
      </c>
      <c r="D4632" s="710" t="s">
        <v>856</v>
      </c>
      <c r="E4632" s="711" t="s">
        <v>831</v>
      </c>
      <c r="F4632" s="712"/>
      <c r="G4632" s="710">
        <v>20</v>
      </c>
      <c r="H4632" s="709" t="s">
        <v>807</v>
      </c>
      <c r="I4632" s="713" t="s">
        <v>881</v>
      </c>
      <c r="J4632" s="714" t="s">
        <v>802</v>
      </c>
      <c r="K4632" s="709">
        <v>6</v>
      </c>
      <c r="L4632" s="715">
        <f t="shared" si="141"/>
        <v>18.8</v>
      </c>
      <c r="M4632" s="716">
        <f t="shared" si="140"/>
        <v>112.80000000000001</v>
      </c>
      <c r="O4632" s="693"/>
    </row>
    <row r="4633" spans="2:15" s="645" customFormat="1" ht="21.75" customHeight="1">
      <c r="B4633" s="708">
        <v>44489</v>
      </c>
      <c r="C4633" s="709" t="s">
        <v>819</v>
      </c>
      <c r="D4633" s="710" t="s">
        <v>875</v>
      </c>
      <c r="E4633" s="711" t="s">
        <v>831</v>
      </c>
      <c r="F4633" s="712"/>
      <c r="G4633" s="710">
        <v>20</v>
      </c>
      <c r="H4633" s="709" t="s">
        <v>807</v>
      </c>
      <c r="I4633" s="713" t="s">
        <v>880</v>
      </c>
      <c r="J4633" s="714" t="s">
        <v>802</v>
      </c>
      <c r="K4633" s="709">
        <v>2</v>
      </c>
      <c r="L4633" s="715">
        <f t="shared" si="141"/>
        <v>18.8</v>
      </c>
      <c r="M4633" s="716">
        <f t="shared" si="140"/>
        <v>37.6</v>
      </c>
      <c r="O4633" s="693"/>
    </row>
    <row r="4634" spans="2:15" s="645" customFormat="1" ht="21.75" customHeight="1">
      <c r="B4634" s="708">
        <v>44489</v>
      </c>
      <c r="C4634" s="709" t="s">
        <v>819</v>
      </c>
      <c r="D4634" s="710" t="s">
        <v>867</v>
      </c>
      <c r="E4634" s="711" t="s">
        <v>831</v>
      </c>
      <c r="F4634" s="712"/>
      <c r="G4634" s="710">
        <v>20</v>
      </c>
      <c r="H4634" s="709" t="s">
        <v>807</v>
      </c>
      <c r="I4634" s="713" t="s">
        <v>880</v>
      </c>
      <c r="J4634" s="714" t="s">
        <v>802</v>
      </c>
      <c r="K4634" s="709">
        <v>3</v>
      </c>
      <c r="L4634" s="715">
        <f t="shared" si="141"/>
        <v>18.8</v>
      </c>
      <c r="M4634" s="716">
        <f t="shared" si="140"/>
        <v>56.400000000000006</v>
      </c>
      <c r="O4634" s="693"/>
    </row>
    <row r="4635" spans="2:15" s="645" customFormat="1" ht="21.75" customHeight="1">
      <c r="B4635" s="708">
        <v>44489</v>
      </c>
      <c r="C4635" s="709" t="s">
        <v>819</v>
      </c>
      <c r="D4635" s="710" t="s">
        <v>876</v>
      </c>
      <c r="E4635" s="711" t="s">
        <v>831</v>
      </c>
      <c r="F4635" s="712"/>
      <c r="G4635" s="710">
        <v>20</v>
      </c>
      <c r="H4635" s="709" t="s">
        <v>807</v>
      </c>
      <c r="I4635" s="713" t="s">
        <v>881</v>
      </c>
      <c r="J4635" s="714" t="s">
        <v>802</v>
      </c>
      <c r="K4635" s="709">
        <v>10</v>
      </c>
      <c r="L4635" s="715">
        <f t="shared" si="141"/>
        <v>18.8</v>
      </c>
      <c r="M4635" s="716">
        <f t="shared" si="140"/>
        <v>188</v>
      </c>
      <c r="O4635" s="693"/>
    </row>
    <row r="4636" spans="2:15" s="645" customFormat="1" ht="21.75" customHeight="1">
      <c r="B4636" s="717">
        <v>44489</v>
      </c>
      <c r="C4636" s="718" t="s">
        <v>819</v>
      </c>
      <c r="D4636" s="719" t="s">
        <v>833</v>
      </c>
      <c r="E4636" s="720" t="s">
        <v>831</v>
      </c>
      <c r="F4636" s="721"/>
      <c r="G4636" s="719">
        <v>15</v>
      </c>
      <c r="H4636" s="718" t="s">
        <v>806</v>
      </c>
      <c r="I4636" s="722" t="s">
        <v>882</v>
      </c>
      <c r="J4636" s="723" t="s">
        <v>892</v>
      </c>
      <c r="K4636" s="718">
        <v>12</v>
      </c>
      <c r="L4636" s="724">
        <f t="shared" si="141"/>
        <v>14.1</v>
      </c>
      <c r="M4636" s="725">
        <f t="shared" si="140"/>
        <v>169.2</v>
      </c>
      <c r="O4636" s="693"/>
    </row>
    <row r="4637" spans="2:15" s="645" customFormat="1" ht="21.75" customHeight="1">
      <c r="B4637" s="717">
        <v>44489</v>
      </c>
      <c r="C4637" s="718" t="s">
        <v>819</v>
      </c>
      <c r="D4637" s="719" t="s">
        <v>830</v>
      </c>
      <c r="E4637" s="720" t="s">
        <v>831</v>
      </c>
      <c r="F4637" s="721"/>
      <c r="G4637" s="719">
        <v>15</v>
      </c>
      <c r="H4637" s="718" t="s">
        <v>806</v>
      </c>
      <c r="I4637" s="722" t="s">
        <v>882</v>
      </c>
      <c r="J4637" s="723" t="s">
        <v>892</v>
      </c>
      <c r="K4637" s="718">
        <v>13</v>
      </c>
      <c r="L4637" s="724">
        <f t="shared" si="141"/>
        <v>14.1</v>
      </c>
      <c r="M4637" s="725">
        <f t="shared" si="140"/>
        <v>183.29999999999998</v>
      </c>
      <c r="O4637" s="693"/>
    </row>
    <row r="4638" spans="2:15" s="645" customFormat="1" ht="21.75" customHeight="1">
      <c r="B4638" s="717">
        <v>44489</v>
      </c>
      <c r="C4638" s="718" t="s">
        <v>819</v>
      </c>
      <c r="D4638" s="719" t="s">
        <v>850</v>
      </c>
      <c r="E4638" s="720" t="s">
        <v>831</v>
      </c>
      <c r="F4638" s="721"/>
      <c r="G4638" s="719">
        <v>15</v>
      </c>
      <c r="H4638" s="718" t="s">
        <v>806</v>
      </c>
      <c r="I4638" s="722" t="s">
        <v>882</v>
      </c>
      <c r="J4638" s="723" t="s">
        <v>892</v>
      </c>
      <c r="K4638" s="718">
        <v>11</v>
      </c>
      <c r="L4638" s="724">
        <f t="shared" si="141"/>
        <v>14.1</v>
      </c>
      <c r="M4638" s="725">
        <f t="shared" si="140"/>
        <v>155.1</v>
      </c>
      <c r="O4638" s="693"/>
    </row>
    <row r="4639" spans="2:15" s="645" customFormat="1" ht="21.75" customHeight="1">
      <c r="B4639" s="717">
        <v>44489</v>
      </c>
      <c r="C4639" s="718" t="s">
        <v>819</v>
      </c>
      <c r="D4639" s="719" t="s">
        <v>845</v>
      </c>
      <c r="E4639" s="720" t="s">
        <v>831</v>
      </c>
      <c r="F4639" s="721"/>
      <c r="G4639" s="719">
        <v>17</v>
      </c>
      <c r="H4639" s="718" t="s">
        <v>806</v>
      </c>
      <c r="I4639" s="722" t="s">
        <v>882</v>
      </c>
      <c r="J4639" s="723" t="s">
        <v>892</v>
      </c>
      <c r="K4639" s="718">
        <v>12</v>
      </c>
      <c r="L4639" s="724">
        <f t="shared" si="141"/>
        <v>15.98</v>
      </c>
      <c r="M4639" s="725">
        <f t="shared" si="140"/>
        <v>191.76</v>
      </c>
      <c r="O4639" s="693"/>
    </row>
    <row r="4640" spans="2:15" s="645" customFormat="1" ht="21.75" customHeight="1">
      <c r="B4640" s="717">
        <v>44489</v>
      </c>
      <c r="C4640" s="718" t="s">
        <v>819</v>
      </c>
      <c r="D4640" s="719" t="s">
        <v>847</v>
      </c>
      <c r="E4640" s="720" t="s">
        <v>831</v>
      </c>
      <c r="F4640" s="721"/>
      <c r="G4640" s="719">
        <v>17</v>
      </c>
      <c r="H4640" s="718" t="s">
        <v>806</v>
      </c>
      <c r="I4640" s="722" t="s">
        <v>882</v>
      </c>
      <c r="J4640" s="723" t="s">
        <v>892</v>
      </c>
      <c r="K4640" s="718">
        <v>12</v>
      </c>
      <c r="L4640" s="724">
        <f t="shared" si="141"/>
        <v>15.98</v>
      </c>
      <c r="M4640" s="725">
        <f t="shared" si="140"/>
        <v>191.76</v>
      </c>
      <c r="O4640" s="693"/>
    </row>
    <row r="4641" spans="2:15" s="645" customFormat="1" ht="21.75" customHeight="1">
      <c r="B4641" s="717">
        <v>44489</v>
      </c>
      <c r="C4641" s="718" t="s">
        <v>819</v>
      </c>
      <c r="D4641" s="719" t="s">
        <v>878</v>
      </c>
      <c r="E4641" s="720" t="s">
        <v>831</v>
      </c>
      <c r="F4641" s="721"/>
      <c r="G4641" s="719">
        <v>15</v>
      </c>
      <c r="H4641" s="718" t="s">
        <v>806</v>
      </c>
      <c r="I4641" s="722" t="s">
        <v>882</v>
      </c>
      <c r="J4641" s="723" t="s">
        <v>892</v>
      </c>
      <c r="K4641" s="718">
        <v>13</v>
      </c>
      <c r="L4641" s="724">
        <f t="shared" si="141"/>
        <v>14.1</v>
      </c>
      <c r="M4641" s="725">
        <f t="shared" si="140"/>
        <v>183.29999999999998</v>
      </c>
      <c r="O4641" s="693"/>
    </row>
    <row r="4642" spans="2:15" s="645" customFormat="1" ht="21.75" customHeight="1">
      <c r="B4642" s="717">
        <v>44489</v>
      </c>
      <c r="C4642" s="718" t="s">
        <v>837</v>
      </c>
      <c r="D4642" s="719" t="s">
        <v>856</v>
      </c>
      <c r="E4642" s="720" t="s">
        <v>831</v>
      </c>
      <c r="F4642" s="721"/>
      <c r="G4642" s="719">
        <v>20</v>
      </c>
      <c r="H4642" s="718" t="s">
        <v>806</v>
      </c>
      <c r="I4642" s="722" t="s">
        <v>882</v>
      </c>
      <c r="J4642" s="723" t="s">
        <v>892</v>
      </c>
      <c r="K4642" s="718">
        <v>3</v>
      </c>
      <c r="L4642" s="724">
        <f t="shared" si="141"/>
        <v>18.8</v>
      </c>
      <c r="M4642" s="725">
        <f t="shared" si="140"/>
        <v>56.400000000000006</v>
      </c>
      <c r="O4642" s="693"/>
    </row>
    <row r="4643" spans="2:15" s="645" customFormat="1" ht="21.75" customHeight="1">
      <c r="B4643" s="717">
        <v>44489</v>
      </c>
      <c r="C4643" s="718" t="s">
        <v>837</v>
      </c>
      <c r="D4643" s="719" t="s">
        <v>850</v>
      </c>
      <c r="E4643" s="720" t="s">
        <v>831</v>
      </c>
      <c r="F4643" s="721"/>
      <c r="G4643" s="719">
        <v>15</v>
      </c>
      <c r="H4643" s="718" t="s">
        <v>806</v>
      </c>
      <c r="I4643" s="722" t="s">
        <v>882</v>
      </c>
      <c r="J4643" s="723" t="s">
        <v>892</v>
      </c>
      <c r="K4643" s="718">
        <v>2</v>
      </c>
      <c r="L4643" s="724">
        <f t="shared" si="141"/>
        <v>14.1</v>
      </c>
      <c r="M4643" s="725">
        <f t="shared" si="140"/>
        <v>28.2</v>
      </c>
      <c r="O4643" s="693"/>
    </row>
    <row r="4644" spans="2:15" s="645" customFormat="1" ht="21.75" customHeight="1">
      <c r="B4644" s="717">
        <v>44489</v>
      </c>
      <c r="C4644" s="718" t="s">
        <v>837</v>
      </c>
      <c r="D4644" s="719" t="s">
        <v>845</v>
      </c>
      <c r="E4644" s="720" t="s">
        <v>831</v>
      </c>
      <c r="F4644" s="721"/>
      <c r="G4644" s="719">
        <v>17</v>
      </c>
      <c r="H4644" s="718" t="s">
        <v>806</v>
      </c>
      <c r="I4644" s="722" t="s">
        <v>882</v>
      </c>
      <c r="J4644" s="723" t="s">
        <v>892</v>
      </c>
      <c r="K4644" s="718">
        <v>2</v>
      </c>
      <c r="L4644" s="724">
        <f t="shared" si="141"/>
        <v>15.98</v>
      </c>
      <c r="M4644" s="725">
        <f t="shared" si="140"/>
        <v>31.96</v>
      </c>
      <c r="O4644" s="693"/>
    </row>
    <row r="4645" spans="2:15" s="645" customFormat="1" ht="21.75" customHeight="1">
      <c r="B4645" s="717">
        <v>44489</v>
      </c>
      <c r="C4645" s="718" t="s">
        <v>837</v>
      </c>
      <c r="D4645" s="719" t="s">
        <v>876</v>
      </c>
      <c r="E4645" s="720" t="s">
        <v>831</v>
      </c>
      <c r="F4645" s="721"/>
      <c r="G4645" s="719">
        <v>20</v>
      </c>
      <c r="H4645" s="718" t="s">
        <v>806</v>
      </c>
      <c r="I4645" s="722" t="s">
        <v>882</v>
      </c>
      <c r="J4645" s="723" t="s">
        <v>892</v>
      </c>
      <c r="K4645" s="718">
        <v>2</v>
      </c>
      <c r="L4645" s="724">
        <f t="shared" si="141"/>
        <v>18.8</v>
      </c>
      <c r="M4645" s="725">
        <f t="shared" si="140"/>
        <v>37.6</v>
      </c>
      <c r="O4645" s="693"/>
    </row>
    <row r="4646" spans="2:15" s="645" customFormat="1" ht="21.75" customHeight="1">
      <c r="B4646" s="661">
        <v>44490</v>
      </c>
      <c r="C4646" s="662" t="s">
        <v>819</v>
      </c>
      <c r="D4646" s="663" t="s">
        <v>849</v>
      </c>
      <c r="E4646" s="664" t="s">
        <v>831</v>
      </c>
      <c r="F4646" s="665"/>
      <c r="G4646" s="663">
        <v>20</v>
      </c>
      <c r="H4646" s="662" t="s">
        <v>807</v>
      </c>
      <c r="I4646" s="666" t="s">
        <v>857</v>
      </c>
      <c r="J4646" s="667" t="s">
        <v>805</v>
      </c>
      <c r="K4646" s="662">
        <v>1</v>
      </c>
      <c r="L4646" s="685">
        <f t="shared" si="141"/>
        <v>18.8</v>
      </c>
      <c r="M4646" s="686">
        <f t="shared" si="140"/>
        <v>18.8</v>
      </c>
      <c r="O4646" s="693"/>
    </row>
    <row r="4647" spans="2:15" s="645" customFormat="1" ht="21.75" customHeight="1">
      <c r="B4647" s="661">
        <v>44490</v>
      </c>
      <c r="C4647" s="662" t="s">
        <v>819</v>
      </c>
      <c r="D4647" s="663" t="s">
        <v>835</v>
      </c>
      <c r="E4647" s="664" t="s">
        <v>831</v>
      </c>
      <c r="F4647" s="665"/>
      <c r="G4647" s="663">
        <v>20</v>
      </c>
      <c r="H4647" s="662" t="s">
        <v>807</v>
      </c>
      <c r="I4647" s="666" t="s">
        <v>857</v>
      </c>
      <c r="J4647" s="667" t="s">
        <v>805</v>
      </c>
      <c r="K4647" s="662">
        <v>2</v>
      </c>
      <c r="L4647" s="685">
        <f t="shared" si="141"/>
        <v>18.8</v>
      </c>
      <c r="M4647" s="686">
        <f t="shared" ref="M4647:M4710" si="142">L4647*K4647</f>
        <v>37.6</v>
      </c>
      <c r="O4647" s="693"/>
    </row>
    <row r="4648" spans="2:15" s="645" customFormat="1" ht="21.75" customHeight="1">
      <c r="B4648" s="661">
        <v>44490</v>
      </c>
      <c r="C4648" s="662" t="s">
        <v>819</v>
      </c>
      <c r="D4648" s="663" t="s">
        <v>848</v>
      </c>
      <c r="E4648" s="664" t="s">
        <v>831</v>
      </c>
      <c r="F4648" s="665"/>
      <c r="G4648" s="663">
        <v>20</v>
      </c>
      <c r="H4648" s="662" t="s">
        <v>807</v>
      </c>
      <c r="I4648" s="666" t="s">
        <v>857</v>
      </c>
      <c r="J4648" s="667" t="s">
        <v>805</v>
      </c>
      <c r="K4648" s="662">
        <v>2</v>
      </c>
      <c r="L4648" s="685">
        <f t="shared" si="141"/>
        <v>18.8</v>
      </c>
      <c r="M4648" s="686">
        <f t="shared" si="142"/>
        <v>37.6</v>
      </c>
      <c r="O4648" s="693"/>
    </row>
    <row r="4649" spans="2:15" s="645" customFormat="1" ht="21.75" customHeight="1">
      <c r="B4649" s="661">
        <v>44490</v>
      </c>
      <c r="C4649" s="662" t="s">
        <v>819</v>
      </c>
      <c r="D4649" s="663" t="s">
        <v>847</v>
      </c>
      <c r="E4649" s="664" t="s">
        <v>831</v>
      </c>
      <c r="F4649" s="665"/>
      <c r="G4649" s="663">
        <v>17</v>
      </c>
      <c r="H4649" s="662" t="s">
        <v>807</v>
      </c>
      <c r="I4649" s="666" t="s">
        <v>805</v>
      </c>
      <c r="J4649" s="667" t="s">
        <v>805</v>
      </c>
      <c r="K4649" s="662">
        <v>3</v>
      </c>
      <c r="L4649" s="685">
        <f t="shared" si="141"/>
        <v>15.98</v>
      </c>
      <c r="M4649" s="686">
        <f t="shared" si="142"/>
        <v>47.94</v>
      </c>
      <c r="O4649" s="693"/>
    </row>
    <row r="4650" spans="2:15" s="645" customFormat="1" ht="21.75" customHeight="1">
      <c r="B4650" s="661">
        <v>44490</v>
      </c>
      <c r="C4650" s="662" t="s">
        <v>819</v>
      </c>
      <c r="D4650" s="663" t="s">
        <v>856</v>
      </c>
      <c r="E4650" s="664" t="s">
        <v>831</v>
      </c>
      <c r="F4650" s="665"/>
      <c r="G4650" s="663">
        <v>20</v>
      </c>
      <c r="H4650" s="662" t="s">
        <v>807</v>
      </c>
      <c r="I4650" s="666" t="s">
        <v>857</v>
      </c>
      <c r="J4650" s="667" t="s">
        <v>805</v>
      </c>
      <c r="K4650" s="662">
        <v>1</v>
      </c>
      <c r="L4650" s="685">
        <f t="shared" si="141"/>
        <v>18.8</v>
      </c>
      <c r="M4650" s="686">
        <f t="shared" si="142"/>
        <v>18.8</v>
      </c>
      <c r="O4650" s="693"/>
    </row>
    <row r="4651" spans="2:15" s="645" customFormat="1" ht="21.75" customHeight="1">
      <c r="B4651" s="661">
        <v>44490</v>
      </c>
      <c r="C4651" s="662" t="s">
        <v>837</v>
      </c>
      <c r="D4651" s="663" t="s">
        <v>834</v>
      </c>
      <c r="E4651" s="664" t="s">
        <v>831</v>
      </c>
      <c r="F4651" s="665"/>
      <c r="G4651" s="663">
        <v>20</v>
      </c>
      <c r="H4651" s="662" t="s">
        <v>807</v>
      </c>
      <c r="I4651" s="666" t="s">
        <v>857</v>
      </c>
      <c r="J4651" s="667" t="s">
        <v>805</v>
      </c>
      <c r="K4651" s="662">
        <v>5</v>
      </c>
      <c r="L4651" s="685">
        <f t="shared" si="141"/>
        <v>18.8</v>
      </c>
      <c r="M4651" s="686">
        <f t="shared" si="142"/>
        <v>94</v>
      </c>
      <c r="O4651" s="693"/>
    </row>
    <row r="4652" spans="2:15" s="645" customFormat="1" ht="21.75" customHeight="1">
      <c r="B4652" s="661">
        <v>44490</v>
      </c>
      <c r="C4652" s="662" t="s">
        <v>837</v>
      </c>
      <c r="D4652" s="663" t="s">
        <v>856</v>
      </c>
      <c r="E4652" s="664" t="s">
        <v>831</v>
      </c>
      <c r="F4652" s="665"/>
      <c r="G4652" s="663">
        <v>20</v>
      </c>
      <c r="H4652" s="662" t="s">
        <v>807</v>
      </c>
      <c r="I4652" s="666" t="s">
        <v>857</v>
      </c>
      <c r="J4652" s="667" t="s">
        <v>805</v>
      </c>
      <c r="K4652" s="662">
        <v>8</v>
      </c>
      <c r="L4652" s="685">
        <f t="shared" si="141"/>
        <v>18.8</v>
      </c>
      <c r="M4652" s="686">
        <f t="shared" si="142"/>
        <v>150.4</v>
      </c>
      <c r="O4652" s="693"/>
    </row>
    <row r="4653" spans="2:15" s="645" customFormat="1" ht="21.75" customHeight="1">
      <c r="B4653" s="661">
        <v>44490</v>
      </c>
      <c r="C4653" s="662" t="s">
        <v>837</v>
      </c>
      <c r="D4653" s="663" t="s">
        <v>855</v>
      </c>
      <c r="E4653" s="664" t="s">
        <v>831</v>
      </c>
      <c r="F4653" s="665"/>
      <c r="G4653" s="663">
        <v>20</v>
      </c>
      <c r="H4653" s="662" t="s">
        <v>807</v>
      </c>
      <c r="I4653" s="666" t="s">
        <v>857</v>
      </c>
      <c r="J4653" s="667" t="s">
        <v>805</v>
      </c>
      <c r="K4653" s="662">
        <v>2</v>
      </c>
      <c r="L4653" s="685">
        <f t="shared" si="141"/>
        <v>18.8</v>
      </c>
      <c r="M4653" s="686">
        <f t="shared" si="142"/>
        <v>37.6</v>
      </c>
      <c r="O4653" s="693"/>
    </row>
    <row r="4654" spans="2:15" s="645" customFormat="1" ht="21.75" customHeight="1">
      <c r="B4654" s="661">
        <v>44490</v>
      </c>
      <c r="C4654" s="662" t="s">
        <v>837</v>
      </c>
      <c r="D4654" s="663" t="s">
        <v>840</v>
      </c>
      <c r="E4654" s="664" t="s">
        <v>831</v>
      </c>
      <c r="F4654" s="665"/>
      <c r="G4654" s="663">
        <v>20</v>
      </c>
      <c r="H4654" s="662" t="s">
        <v>807</v>
      </c>
      <c r="I4654" s="666" t="s">
        <v>857</v>
      </c>
      <c r="J4654" s="667" t="s">
        <v>805</v>
      </c>
      <c r="K4654" s="662">
        <v>1</v>
      </c>
      <c r="L4654" s="685">
        <f t="shared" si="141"/>
        <v>18.8</v>
      </c>
      <c r="M4654" s="686">
        <f t="shared" si="142"/>
        <v>18.8</v>
      </c>
      <c r="O4654" s="693"/>
    </row>
    <row r="4655" spans="2:15" s="645" customFormat="1" ht="21.75" customHeight="1">
      <c r="B4655" s="661">
        <v>44490</v>
      </c>
      <c r="C4655" s="662" t="s">
        <v>837</v>
      </c>
      <c r="D4655" s="663" t="s">
        <v>835</v>
      </c>
      <c r="E4655" s="664" t="s">
        <v>831</v>
      </c>
      <c r="F4655" s="665"/>
      <c r="G4655" s="663">
        <v>20</v>
      </c>
      <c r="H4655" s="662" t="s">
        <v>807</v>
      </c>
      <c r="I4655" s="666" t="s">
        <v>857</v>
      </c>
      <c r="J4655" s="667" t="s">
        <v>805</v>
      </c>
      <c r="K4655" s="662">
        <v>6</v>
      </c>
      <c r="L4655" s="685">
        <f t="shared" si="141"/>
        <v>18.8</v>
      </c>
      <c r="M4655" s="686">
        <f t="shared" si="142"/>
        <v>112.80000000000001</v>
      </c>
      <c r="O4655" s="693"/>
    </row>
    <row r="4656" spans="2:15" s="645" customFormat="1" ht="21.75" customHeight="1">
      <c r="B4656" s="661">
        <v>44490</v>
      </c>
      <c r="C4656" s="662" t="s">
        <v>837</v>
      </c>
      <c r="D4656" s="663" t="s">
        <v>841</v>
      </c>
      <c r="E4656" s="664" t="s">
        <v>831</v>
      </c>
      <c r="F4656" s="665"/>
      <c r="G4656" s="663">
        <v>20</v>
      </c>
      <c r="H4656" s="662" t="s">
        <v>807</v>
      </c>
      <c r="I4656" s="666" t="s">
        <v>857</v>
      </c>
      <c r="J4656" s="667" t="s">
        <v>805</v>
      </c>
      <c r="K4656" s="662">
        <v>7</v>
      </c>
      <c r="L4656" s="685">
        <f t="shared" si="141"/>
        <v>18.8</v>
      </c>
      <c r="M4656" s="686">
        <f t="shared" si="142"/>
        <v>131.6</v>
      </c>
      <c r="O4656" s="693"/>
    </row>
    <row r="4657" spans="2:15" s="645" customFormat="1" ht="21.75" customHeight="1">
      <c r="B4657" s="661">
        <v>44490</v>
      </c>
      <c r="C4657" s="662" t="s">
        <v>837</v>
      </c>
      <c r="D4657" s="663" t="s">
        <v>848</v>
      </c>
      <c r="E4657" s="664" t="s">
        <v>831</v>
      </c>
      <c r="F4657" s="665"/>
      <c r="G4657" s="663">
        <v>20</v>
      </c>
      <c r="H4657" s="662" t="s">
        <v>807</v>
      </c>
      <c r="I4657" s="666" t="s">
        <v>857</v>
      </c>
      <c r="J4657" s="667" t="s">
        <v>805</v>
      </c>
      <c r="K4657" s="662">
        <v>2</v>
      </c>
      <c r="L4657" s="685">
        <f t="shared" si="141"/>
        <v>18.8</v>
      </c>
      <c r="M4657" s="686">
        <f t="shared" si="142"/>
        <v>37.6</v>
      </c>
      <c r="O4657" s="693"/>
    </row>
    <row r="4658" spans="2:15" s="645" customFormat="1" ht="21.75" customHeight="1">
      <c r="B4658" s="661">
        <v>44490</v>
      </c>
      <c r="C4658" s="662" t="s">
        <v>837</v>
      </c>
      <c r="D4658" s="663" t="s">
        <v>830</v>
      </c>
      <c r="E4658" s="664" t="s">
        <v>831</v>
      </c>
      <c r="F4658" s="665"/>
      <c r="G4658" s="663">
        <v>15</v>
      </c>
      <c r="H4658" s="662" t="s">
        <v>807</v>
      </c>
      <c r="I4658" s="666" t="s">
        <v>857</v>
      </c>
      <c r="J4658" s="667" t="s">
        <v>805</v>
      </c>
      <c r="K4658" s="662">
        <v>7</v>
      </c>
      <c r="L4658" s="685">
        <f t="shared" si="141"/>
        <v>14.1</v>
      </c>
      <c r="M4658" s="686">
        <f t="shared" si="142"/>
        <v>98.7</v>
      </c>
      <c r="O4658" s="693"/>
    </row>
    <row r="4659" spans="2:15" s="645" customFormat="1" ht="21.75" customHeight="1">
      <c r="B4659" s="661">
        <v>44490</v>
      </c>
      <c r="C4659" s="662" t="s">
        <v>837</v>
      </c>
      <c r="D4659" s="663" t="s">
        <v>845</v>
      </c>
      <c r="E4659" s="664" t="s">
        <v>831</v>
      </c>
      <c r="F4659" s="665"/>
      <c r="G4659" s="663">
        <v>17</v>
      </c>
      <c r="H4659" s="662" t="s">
        <v>807</v>
      </c>
      <c r="I4659" s="666" t="s">
        <v>857</v>
      </c>
      <c r="J4659" s="667" t="s">
        <v>805</v>
      </c>
      <c r="K4659" s="662">
        <v>1</v>
      </c>
      <c r="L4659" s="685">
        <f t="shared" si="141"/>
        <v>15.98</v>
      </c>
      <c r="M4659" s="686">
        <f t="shared" si="142"/>
        <v>15.98</v>
      </c>
      <c r="O4659" s="693"/>
    </row>
    <row r="4660" spans="2:15" s="645" customFormat="1" ht="21.75" customHeight="1">
      <c r="B4660" s="661">
        <v>44490</v>
      </c>
      <c r="C4660" s="662" t="s">
        <v>837</v>
      </c>
      <c r="D4660" s="663" t="s">
        <v>847</v>
      </c>
      <c r="E4660" s="664" t="s">
        <v>831</v>
      </c>
      <c r="F4660" s="665"/>
      <c r="G4660" s="663">
        <v>17</v>
      </c>
      <c r="H4660" s="662" t="s">
        <v>807</v>
      </c>
      <c r="I4660" s="666" t="s">
        <v>857</v>
      </c>
      <c r="J4660" s="667" t="s">
        <v>805</v>
      </c>
      <c r="K4660" s="662">
        <v>2</v>
      </c>
      <c r="L4660" s="685">
        <f t="shared" si="141"/>
        <v>15.98</v>
      </c>
      <c r="M4660" s="686">
        <f t="shared" si="142"/>
        <v>31.96</v>
      </c>
      <c r="O4660" s="693"/>
    </row>
    <row r="4661" spans="2:15" s="645" customFormat="1" ht="21.75" customHeight="1">
      <c r="B4661" s="661">
        <v>44490</v>
      </c>
      <c r="C4661" s="662" t="s">
        <v>837</v>
      </c>
      <c r="D4661" s="663" t="s">
        <v>878</v>
      </c>
      <c r="E4661" s="664" t="s">
        <v>831</v>
      </c>
      <c r="F4661" s="665"/>
      <c r="G4661" s="663">
        <v>15</v>
      </c>
      <c r="H4661" s="662" t="s">
        <v>807</v>
      </c>
      <c r="I4661" s="666" t="s">
        <v>857</v>
      </c>
      <c r="J4661" s="667" t="s">
        <v>805</v>
      </c>
      <c r="K4661" s="662">
        <v>7</v>
      </c>
      <c r="L4661" s="685">
        <f t="shared" si="141"/>
        <v>14.1</v>
      </c>
      <c r="M4661" s="686">
        <f t="shared" si="142"/>
        <v>98.7</v>
      </c>
      <c r="O4661" s="693"/>
    </row>
    <row r="4662" spans="2:15" s="645" customFormat="1" ht="21.75" customHeight="1">
      <c r="B4662" s="661">
        <v>44490</v>
      </c>
      <c r="C4662" s="662" t="s">
        <v>837</v>
      </c>
      <c r="D4662" s="663" t="s">
        <v>875</v>
      </c>
      <c r="E4662" s="664" t="s">
        <v>831</v>
      </c>
      <c r="F4662" s="665"/>
      <c r="G4662" s="663">
        <v>20</v>
      </c>
      <c r="H4662" s="662" t="s">
        <v>807</v>
      </c>
      <c r="I4662" s="666" t="s">
        <v>857</v>
      </c>
      <c r="J4662" s="667" t="s">
        <v>805</v>
      </c>
      <c r="K4662" s="662">
        <v>3</v>
      </c>
      <c r="L4662" s="685">
        <f t="shared" si="141"/>
        <v>18.8</v>
      </c>
      <c r="M4662" s="686">
        <f t="shared" si="142"/>
        <v>56.400000000000006</v>
      </c>
      <c r="O4662" s="693"/>
    </row>
    <row r="4663" spans="2:15" s="645" customFormat="1" ht="21.75" customHeight="1">
      <c r="B4663" s="661">
        <v>44490</v>
      </c>
      <c r="C4663" s="662" t="s">
        <v>837</v>
      </c>
      <c r="D4663" s="663" t="s">
        <v>876</v>
      </c>
      <c r="E4663" s="664" t="s">
        <v>831</v>
      </c>
      <c r="F4663" s="665"/>
      <c r="G4663" s="663">
        <v>20</v>
      </c>
      <c r="H4663" s="662" t="s">
        <v>807</v>
      </c>
      <c r="I4663" s="666" t="s">
        <v>857</v>
      </c>
      <c r="J4663" s="667" t="s">
        <v>805</v>
      </c>
      <c r="K4663" s="662">
        <v>7</v>
      </c>
      <c r="L4663" s="685">
        <f t="shared" si="141"/>
        <v>18.8</v>
      </c>
      <c r="M4663" s="686">
        <f t="shared" si="142"/>
        <v>131.6</v>
      </c>
      <c r="O4663" s="693"/>
    </row>
    <row r="4664" spans="2:15" s="645" customFormat="1" ht="21.75" customHeight="1">
      <c r="B4664" s="661">
        <v>44490</v>
      </c>
      <c r="C4664" s="662" t="s">
        <v>819</v>
      </c>
      <c r="D4664" s="663" t="s">
        <v>833</v>
      </c>
      <c r="E4664" s="664" t="s">
        <v>831</v>
      </c>
      <c r="F4664" s="665"/>
      <c r="G4664" s="663">
        <v>15</v>
      </c>
      <c r="H4664" s="662" t="s">
        <v>807</v>
      </c>
      <c r="I4664" s="666" t="s">
        <v>805</v>
      </c>
      <c r="J4664" s="667" t="s">
        <v>852</v>
      </c>
      <c r="K4664" s="662">
        <v>10</v>
      </c>
      <c r="L4664" s="685">
        <f t="shared" si="141"/>
        <v>14.1</v>
      </c>
      <c r="M4664" s="686">
        <f t="shared" si="142"/>
        <v>141</v>
      </c>
      <c r="O4664" s="693"/>
    </row>
    <row r="4665" spans="2:15" s="645" customFormat="1" ht="21.75" customHeight="1">
      <c r="B4665" s="661">
        <v>44490</v>
      </c>
      <c r="C4665" s="662" t="s">
        <v>819</v>
      </c>
      <c r="D4665" s="663" t="s">
        <v>830</v>
      </c>
      <c r="E4665" s="664" t="s">
        <v>831</v>
      </c>
      <c r="F4665" s="665"/>
      <c r="G4665" s="663">
        <v>15</v>
      </c>
      <c r="H4665" s="662" t="s">
        <v>807</v>
      </c>
      <c r="I4665" s="666" t="s">
        <v>805</v>
      </c>
      <c r="J4665" s="667" t="s">
        <v>852</v>
      </c>
      <c r="K4665" s="662">
        <v>9</v>
      </c>
      <c r="L4665" s="685">
        <f t="shared" si="141"/>
        <v>14.1</v>
      </c>
      <c r="M4665" s="686">
        <f t="shared" si="142"/>
        <v>126.89999999999999</v>
      </c>
      <c r="O4665" s="693"/>
    </row>
    <row r="4666" spans="2:15" s="645" customFormat="1" ht="21.75" customHeight="1">
      <c r="B4666" s="661">
        <v>44490</v>
      </c>
      <c r="C4666" s="662" t="s">
        <v>819</v>
      </c>
      <c r="D4666" s="663" t="s">
        <v>850</v>
      </c>
      <c r="E4666" s="664" t="s">
        <v>831</v>
      </c>
      <c r="F4666" s="665"/>
      <c r="G4666" s="663">
        <v>15</v>
      </c>
      <c r="H4666" s="662" t="s">
        <v>807</v>
      </c>
      <c r="I4666" s="666" t="s">
        <v>805</v>
      </c>
      <c r="J4666" s="667" t="s">
        <v>852</v>
      </c>
      <c r="K4666" s="662">
        <v>8</v>
      </c>
      <c r="L4666" s="685">
        <f t="shared" si="141"/>
        <v>14.1</v>
      </c>
      <c r="M4666" s="686">
        <f t="shared" si="142"/>
        <v>112.8</v>
      </c>
      <c r="O4666" s="693"/>
    </row>
    <row r="4667" spans="2:15" s="645" customFormat="1" ht="21.75" customHeight="1">
      <c r="B4667" s="661">
        <v>44490</v>
      </c>
      <c r="C4667" s="662" t="s">
        <v>819</v>
      </c>
      <c r="D4667" s="663" t="s">
        <v>845</v>
      </c>
      <c r="E4667" s="664" t="s">
        <v>831</v>
      </c>
      <c r="F4667" s="665"/>
      <c r="G4667" s="663">
        <v>17</v>
      </c>
      <c r="H4667" s="662" t="s">
        <v>807</v>
      </c>
      <c r="I4667" s="666" t="s">
        <v>805</v>
      </c>
      <c r="J4667" s="667" t="s">
        <v>852</v>
      </c>
      <c r="K4667" s="662">
        <v>11</v>
      </c>
      <c r="L4667" s="685">
        <f t="shared" si="141"/>
        <v>15.98</v>
      </c>
      <c r="M4667" s="686">
        <f t="shared" si="142"/>
        <v>175.78</v>
      </c>
      <c r="O4667" s="693"/>
    </row>
    <row r="4668" spans="2:15" s="645" customFormat="1" ht="21.75" customHeight="1">
      <c r="B4668" s="661">
        <v>44490</v>
      </c>
      <c r="C4668" s="662" t="s">
        <v>819</v>
      </c>
      <c r="D4668" s="663" t="s">
        <v>878</v>
      </c>
      <c r="E4668" s="664" t="s">
        <v>831</v>
      </c>
      <c r="F4668" s="665"/>
      <c r="G4668" s="663">
        <v>15</v>
      </c>
      <c r="H4668" s="662" t="s">
        <v>807</v>
      </c>
      <c r="I4668" s="666" t="s">
        <v>805</v>
      </c>
      <c r="J4668" s="667" t="s">
        <v>852</v>
      </c>
      <c r="K4668" s="662">
        <v>14</v>
      </c>
      <c r="L4668" s="685">
        <f t="shared" si="141"/>
        <v>14.1</v>
      </c>
      <c r="M4668" s="686">
        <f t="shared" si="142"/>
        <v>197.4</v>
      </c>
      <c r="O4668" s="693"/>
    </row>
    <row r="4669" spans="2:15" s="645" customFormat="1" ht="21.75" customHeight="1">
      <c r="B4669" s="661">
        <v>44490</v>
      </c>
      <c r="C4669" s="662" t="s">
        <v>819</v>
      </c>
      <c r="D4669" s="663" t="s">
        <v>875</v>
      </c>
      <c r="E4669" s="664" t="s">
        <v>831</v>
      </c>
      <c r="F4669" s="665"/>
      <c r="G4669" s="663">
        <v>20</v>
      </c>
      <c r="H4669" s="662" t="s">
        <v>807</v>
      </c>
      <c r="I4669" s="666" t="s">
        <v>857</v>
      </c>
      <c r="J4669" s="667" t="s">
        <v>852</v>
      </c>
      <c r="K4669" s="662">
        <v>5</v>
      </c>
      <c r="L4669" s="685">
        <f t="shared" si="141"/>
        <v>18.8</v>
      </c>
      <c r="M4669" s="686">
        <f t="shared" si="142"/>
        <v>94</v>
      </c>
      <c r="O4669" s="693"/>
    </row>
    <row r="4670" spans="2:15" s="645" customFormat="1" ht="21.75" customHeight="1">
      <c r="B4670" s="661">
        <v>44490</v>
      </c>
      <c r="C4670" s="662" t="s">
        <v>819</v>
      </c>
      <c r="D4670" s="663" t="s">
        <v>868</v>
      </c>
      <c r="E4670" s="664" t="s">
        <v>831</v>
      </c>
      <c r="F4670" s="665"/>
      <c r="G4670" s="663">
        <v>20</v>
      </c>
      <c r="H4670" s="662" t="s">
        <v>807</v>
      </c>
      <c r="I4670" s="666" t="s">
        <v>857</v>
      </c>
      <c r="J4670" s="667" t="s">
        <v>852</v>
      </c>
      <c r="K4670" s="662">
        <v>4</v>
      </c>
      <c r="L4670" s="685">
        <f t="shared" si="141"/>
        <v>18.8</v>
      </c>
      <c r="M4670" s="686">
        <f t="shared" si="142"/>
        <v>75.2</v>
      </c>
      <c r="O4670" s="693"/>
    </row>
    <row r="4671" spans="2:15" s="645" customFormat="1" ht="21.75" customHeight="1">
      <c r="B4671" s="661">
        <v>44490</v>
      </c>
      <c r="C4671" s="662" t="s">
        <v>837</v>
      </c>
      <c r="D4671" s="663" t="s">
        <v>855</v>
      </c>
      <c r="E4671" s="664" t="s">
        <v>831</v>
      </c>
      <c r="F4671" s="665"/>
      <c r="G4671" s="663">
        <v>20</v>
      </c>
      <c r="H4671" s="662" t="s">
        <v>807</v>
      </c>
      <c r="I4671" s="666" t="s">
        <v>857</v>
      </c>
      <c r="J4671" s="667" t="s">
        <v>852</v>
      </c>
      <c r="K4671" s="662">
        <v>5</v>
      </c>
      <c r="L4671" s="685">
        <f t="shared" si="141"/>
        <v>18.8</v>
      </c>
      <c r="M4671" s="686">
        <f t="shared" si="142"/>
        <v>94</v>
      </c>
      <c r="O4671" s="693"/>
    </row>
    <row r="4672" spans="2:15" s="645" customFormat="1" ht="21.75" customHeight="1">
      <c r="B4672" s="661">
        <v>44490</v>
      </c>
      <c r="C4672" s="662" t="s">
        <v>837</v>
      </c>
      <c r="D4672" s="663" t="s">
        <v>840</v>
      </c>
      <c r="E4672" s="664" t="s">
        <v>831</v>
      </c>
      <c r="F4672" s="665"/>
      <c r="G4672" s="663">
        <v>20</v>
      </c>
      <c r="H4672" s="662" t="s">
        <v>807</v>
      </c>
      <c r="I4672" s="666" t="s">
        <v>857</v>
      </c>
      <c r="J4672" s="667" t="s">
        <v>852</v>
      </c>
      <c r="K4672" s="662">
        <v>5</v>
      </c>
      <c r="L4672" s="685">
        <f t="shared" si="141"/>
        <v>18.8</v>
      </c>
      <c r="M4672" s="686">
        <f t="shared" si="142"/>
        <v>94</v>
      </c>
      <c r="O4672" s="693"/>
    </row>
    <row r="4673" spans="2:15" s="645" customFormat="1" ht="21.75" customHeight="1">
      <c r="B4673" s="661">
        <v>44490</v>
      </c>
      <c r="C4673" s="662" t="s">
        <v>837</v>
      </c>
      <c r="D4673" s="663" t="s">
        <v>835</v>
      </c>
      <c r="E4673" s="664" t="s">
        <v>831</v>
      </c>
      <c r="F4673" s="665"/>
      <c r="G4673" s="663">
        <v>20</v>
      </c>
      <c r="H4673" s="662" t="s">
        <v>807</v>
      </c>
      <c r="I4673" s="666" t="s">
        <v>857</v>
      </c>
      <c r="J4673" s="667" t="s">
        <v>852</v>
      </c>
      <c r="K4673" s="662">
        <v>1</v>
      </c>
      <c r="L4673" s="685">
        <f t="shared" si="141"/>
        <v>18.8</v>
      </c>
      <c r="M4673" s="686">
        <f t="shared" si="142"/>
        <v>18.8</v>
      </c>
      <c r="O4673" s="693"/>
    </row>
    <row r="4674" spans="2:15" s="645" customFormat="1" ht="21.75" customHeight="1">
      <c r="B4674" s="661">
        <v>44490</v>
      </c>
      <c r="C4674" s="662" t="s">
        <v>837</v>
      </c>
      <c r="D4674" s="663" t="s">
        <v>850</v>
      </c>
      <c r="E4674" s="664" t="s">
        <v>831</v>
      </c>
      <c r="F4674" s="665"/>
      <c r="G4674" s="663">
        <v>15</v>
      </c>
      <c r="H4674" s="662" t="s">
        <v>807</v>
      </c>
      <c r="I4674" s="666" t="s">
        <v>857</v>
      </c>
      <c r="J4674" s="667" t="s">
        <v>852</v>
      </c>
      <c r="K4674" s="662">
        <v>6</v>
      </c>
      <c r="L4674" s="685">
        <f t="shared" si="141"/>
        <v>14.1</v>
      </c>
      <c r="M4674" s="686">
        <f t="shared" si="142"/>
        <v>84.6</v>
      </c>
      <c r="O4674" s="693"/>
    </row>
    <row r="4675" spans="2:15" s="645" customFormat="1" ht="21.75" customHeight="1">
      <c r="B4675" s="661">
        <v>44490</v>
      </c>
      <c r="C4675" s="662" t="s">
        <v>837</v>
      </c>
      <c r="D4675" s="663" t="s">
        <v>875</v>
      </c>
      <c r="E4675" s="664" t="s">
        <v>831</v>
      </c>
      <c r="F4675" s="665"/>
      <c r="G4675" s="663">
        <v>20</v>
      </c>
      <c r="H4675" s="662" t="s">
        <v>807</v>
      </c>
      <c r="I4675" s="666" t="s">
        <v>857</v>
      </c>
      <c r="J4675" s="667" t="s">
        <v>852</v>
      </c>
      <c r="K4675" s="662">
        <v>1</v>
      </c>
      <c r="L4675" s="685">
        <f t="shared" si="141"/>
        <v>18.8</v>
      </c>
      <c r="M4675" s="686">
        <f t="shared" si="142"/>
        <v>18.8</v>
      </c>
      <c r="O4675" s="693"/>
    </row>
    <row r="4676" spans="2:15" s="645" customFormat="1" ht="21.75" customHeight="1">
      <c r="B4676" s="708">
        <v>44490</v>
      </c>
      <c r="C4676" s="709" t="s">
        <v>819</v>
      </c>
      <c r="D4676" s="710" t="s">
        <v>849</v>
      </c>
      <c r="E4676" s="711" t="s">
        <v>831</v>
      </c>
      <c r="F4676" s="712"/>
      <c r="G4676" s="710">
        <v>20</v>
      </c>
      <c r="H4676" s="709" t="s">
        <v>807</v>
      </c>
      <c r="I4676" s="713" t="s">
        <v>857</v>
      </c>
      <c r="J4676" s="714" t="s">
        <v>802</v>
      </c>
      <c r="K4676" s="709">
        <v>3</v>
      </c>
      <c r="L4676" s="715">
        <f t="shared" si="141"/>
        <v>18.8</v>
      </c>
      <c r="M4676" s="716">
        <f t="shared" si="142"/>
        <v>56.400000000000006</v>
      </c>
      <c r="O4676" s="693"/>
    </row>
    <row r="4677" spans="2:15" s="645" customFormat="1" ht="21.75" customHeight="1">
      <c r="B4677" s="708">
        <v>44490</v>
      </c>
      <c r="C4677" s="709" t="s">
        <v>819</v>
      </c>
      <c r="D4677" s="710" t="s">
        <v>840</v>
      </c>
      <c r="E4677" s="711" t="s">
        <v>831</v>
      </c>
      <c r="F4677" s="712"/>
      <c r="G4677" s="710">
        <v>20</v>
      </c>
      <c r="H4677" s="709" t="s">
        <v>807</v>
      </c>
      <c r="I4677" s="713" t="s">
        <v>857</v>
      </c>
      <c r="J4677" s="714" t="s">
        <v>802</v>
      </c>
      <c r="K4677" s="709">
        <v>4</v>
      </c>
      <c r="L4677" s="715">
        <f t="shared" si="141"/>
        <v>18.8</v>
      </c>
      <c r="M4677" s="716">
        <f t="shared" si="142"/>
        <v>75.2</v>
      </c>
      <c r="O4677" s="693"/>
    </row>
    <row r="4678" spans="2:15" s="645" customFormat="1" ht="21.75" customHeight="1">
      <c r="B4678" s="708">
        <v>44490</v>
      </c>
      <c r="C4678" s="709" t="s">
        <v>819</v>
      </c>
      <c r="D4678" s="710" t="s">
        <v>835</v>
      </c>
      <c r="E4678" s="711" t="s">
        <v>831</v>
      </c>
      <c r="F4678" s="712"/>
      <c r="G4678" s="710">
        <v>20</v>
      </c>
      <c r="H4678" s="709" t="s">
        <v>807</v>
      </c>
      <c r="I4678" s="713" t="s">
        <v>857</v>
      </c>
      <c r="J4678" s="714" t="s">
        <v>802</v>
      </c>
      <c r="K4678" s="709">
        <v>3</v>
      </c>
      <c r="L4678" s="715">
        <f t="shared" si="141"/>
        <v>18.8</v>
      </c>
      <c r="M4678" s="716">
        <f t="shared" si="142"/>
        <v>56.400000000000006</v>
      </c>
      <c r="O4678" s="693"/>
    </row>
    <row r="4679" spans="2:15" s="645" customFormat="1" ht="21.75" customHeight="1">
      <c r="B4679" s="708">
        <v>44490</v>
      </c>
      <c r="C4679" s="709" t="s">
        <v>819</v>
      </c>
      <c r="D4679" s="710" t="s">
        <v>848</v>
      </c>
      <c r="E4679" s="711" t="s">
        <v>831</v>
      </c>
      <c r="F4679" s="712"/>
      <c r="G4679" s="710">
        <v>20</v>
      </c>
      <c r="H4679" s="709" t="s">
        <v>807</v>
      </c>
      <c r="I4679" s="713" t="s">
        <v>857</v>
      </c>
      <c r="J4679" s="714" t="s">
        <v>802</v>
      </c>
      <c r="K4679" s="709">
        <v>3</v>
      </c>
      <c r="L4679" s="715">
        <f t="shared" si="141"/>
        <v>18.8</v>
      </c>
      <c r="M4679" s="716">
        <f t="shared" si="142"/>
        <v>56.400000000000006</v>
      </c>
      <c r="O4679" s="693"/>
    </row>
    <row r="4680" spans="2:15" s="645" customFormat="1" ht="21.75" customHeight="1">
      <c r="B4680" s="708">
        <v>44490</v>
      </c>
      <c r="C4680" s="709" t="s">
        <v>819</v>
      </c>
      <c r="D4680" s="710" t="s">
        <v>856</v>
      </c>
      <c r="E4680" s="711" t="s">
        <v>831</v>
      </c>
      <c r="F4680" s="712"/>
      <c r="G4680" s="710">
        <v>20</v>
      </c>
      <c r="H4680" s="709" t="s">
        <v>807</v>
      </c>
      <c r="I4680" s="713" t="s">
        <v>857</v>
      </c>
      <c r="J4680" s="714" t="s">
        <v>802</v>
      </c>
      <c r="K4680" s="709">
        <v>4</v>
      </c>
      <c r="L4680" s="715">
        <f t="shared" si="141"/>
        <v>18.8</v>
      </c>
      <c r="M4680" s="716">
        <f t="shared" si="142"/>
        <v>75.2</v>
      </c>
      <c r="O4680" s="693"/>
    </row>
    <row r="4681" spans="2:15" s="645" customFormat="1" ht="21.75" customHeight="1">
      <c r="B4681" s="708">
        <v>44490</v>
      </c>
      <c r="C4681" s="709" t="s">
        <v>819</v>
      </c>
      <c r="D4681" s="710" t="s">
        <v>855</v>
      </c>
      <c r="E4681" s="711" t="s">
        <v>831</v>
      </c>
      <c r="F4681" s="712"/>
      <c r="G4681" s="710">
        <v>20</v>
      </c>
      <c r="H4681" s="709" t="s">
        <v>807</v>
      </c>
      <c r="I4681" s="713" t="s">
        <v>857</v>
      </c>
      <c r="J4681" s="714" t="s">
        <v>802</v>
      </c>
      <c r="K4681" s="709">
        <v>1</v>
      </c>
      <c r="L4681" s="715">
        <f t="shared" ref="L4681:L4744" si="143">VLOOKUP(G4681,$Q$4:$V$7,6,FALSE)</f>
        <v>18.8</v>
      </c>
      <c r="M4681" s="716">
        <f t="shared" si="142"/>
        <v>18.8</v>
      </c>
      <c r="O4681" s="693"/>
    </row>
    <row r="4682" spans="2:15" s="645" customFormat="1" ht="21.75" customHeight="1">
      <c r="B4682" s="708">
        <v>44490</v>
      </c>
      <c r="C4682" s="709" t="s">
        <v>819</v>
      </c>
      <c r="D4682" s="710" t="s">
        <v>876</v>
      </c>
      <c r="E4682" s="711" t="s">
        <v>831</v>
      </c>
      <c r="F4682" s="712"/>
      <c r="G4682" s="710">
        <v>20</v>
      </c>
      <c r="H4682" s="709" t="s">
        <v>807</v>
      </c>
      <c r="I4682" s="713" t="s">
        <v>857</v>
      </c>
      <c r="J4682" s="714" t="s">
        <v>802</v>
      </c>
      <c r="K4682" s="709">
        <v>4</v>
      </c>
      <c r="L4682" s="715">
        <f t="shared" si="143"/>
        <v>18.8</v>
      </c>
      <c r="M4682" s="716">
        <f t="shared" si="142"/>
        <v>75.2</v>
      </c>
      <c r="O4682" s="693"/>
    </row>
    <row r="4683" spans="2:15" s="645" customFormat="1" ht="21.75" customHeight="1">
      <c r="B4683" s="708">
        <v>44490</v>
      </c>
      <c r="C4683" s="709" t="s">
        <v>819</v>
      </c>
      <c r="D4683" s="710" t="s">
        <v>877</v>
      </c>
      <c r="E4683" s="711" t="s">
        <v>831</v>
      </c>
      <c r="F4683" s="712"/>
      <c r="G4683" s="710">
        <v>20</v>
      </c>
      <c r="H4683" s="709" t="s">
        <v>807</v>
      </c>
      <c r="I4683" s="713" t="s">
        <v>857</v>
      </c>
      <c r="J4683" s="714" t="s">
        <v>802</v>
      </c>
      <c r="K4683" s="709">
        <v>5</v>
      </c>
      <c r="L4683" s="715">
        <f t="shared" si="143"/>
        <v>18.8</v>
      </c>
      <c r="M4683" s="716">
        <f t="shared" si="142"/>
        <v>94</v>
      </c>
      <c r="O4683" s="693"/>
    </row>
    <row r="4684" spans="2:15" s="645" customFormat="1" ht="21.75" customHeight="1">
      <c r="B4684" s="717">
        <v>44490</v>
      </c>
      <c r="C4684" s="718" t="s">
        <v>819</v>
      </c>
      <c r="D4684" s="719" t="s">
        <v>833</v>
      </c>
      <c r="E4684" s="720" t="s">
        <v>831</v>
      </c>
      <c r="F4684" s="721"/>
      <c r="G4684" s="719">
        <v>15</v>
      </c>
      <c r="H4684" s="718" t="s">
        <v>806</v>
      </c>
      <c r="I4684" s="722" t="s">
        <v>882</v>
      </c>
      <c r="J4684" s="723" t="s">
        <v>892</v>
      </c>
      <c r="K4684" s="718">
        <v>5</v>
      </c>
      <c r="L4684" s="724">
        <f t="shared" si="143"/>
        <v>14.1</v>
      </c>
      <c r="M4684" s="725">
        <f t="shared" si="142"/>
        <v>70.5</v>
      </c>
      <c r="O4684" s="693"/>
    </row>
    <row r="4685" spans="2:15" s="645" customFormat="1" ht="21.75" customHeight="1">
      <c r="B4685" s="717">
        <v>44490</v>
      </c>
      <c r="C4685" s="718" t="s">
        <v>819</v>
      </c>
      <c r="D4685" s="719" t="s">
        <v>830</v>
      </c>
      <c r="E4685" s="720" t="s">
        <v>831</v>
      </c>
      <c r="F4685" s="721"/>
      <c r="G4685" s="719">
        <v>15</v>
      </c>
      <c r="H4685" s="718" t="s">
        <v>806</v>
      </c>
      <c r="I4685" s="722" t="s">
        <v>882</v>
      </c>
      <c r="J4685" s="723" t="s">
        <v>892</v>
      </c>
      <c r="K4685" s="718">
        <v>4</v>
      </c>
      <c r="L4685" s="724">
        <f t="shared" si="143"/>
        <v>14.1</v>
      </c>
      <c r="M4685" s="725">
        <f t="shared" si="142"/>
        <v>56.4</v>
      </c>
      <c r="O4685" s="693"/>
    </row>
    <row r="4686" spans="2:15" s="645" customFormat="1" ht="21.75" customHeight="1">
      <c r="B4686" s="717">
        <v>44490</v>
      </c>
      <c r="C4686" s="718" t="s">
        <v>819</v>
      </c>
      <c r="D4686" s="719" t="s">
        <v>850</v>
      </c>
      <c r="E4686" s="720" t="s">
        <v>831</v>
      </c>
      <c r="F4686" s="721"/>
      <c r="G4686" s="719">
        <v>15</v>
      </c>
      <c r="H4686" s="718" t="s">
        <v>806</v>
      </c>
      <c r="I4686" s="722" t="s">
        <v>882</v>
      </c>
      <c r="J4686" s="723" t="s">
        <v>892</v>
      </c>
      <c r="K4686" s="718">
        <v>4</v>
      </c>
      <c r="L4686" s="724">
        <f t="shared" si="143"/>
        <v>14.1</v>
      </c>
      <c r="M4686" s="725">
        <f t="shared" si="142"/>
        <v>56.4</v>
      </c>
      <c r="O4686" s="693"/>
    </row>
    <row r="4687" spans="2:15" s="645" customFormat="1" ht="21.75" customHeight="1">
      <c r="B4687" s="717">
        <v>44490</v>
      </c>
      <c r="C4687" s="718" t="s">
        <v>819</v>
      </c>
      <c r="D4687" s="719" t="s">
        <v>845</v>
      </c>
      <c r="E4687" s="720" t="s">
        <v>831</v>
      </c>
      <c r="F4687" s="721"/>
      <c r="G4687" s="719">
        <v>17</v>
      </c>
      <c r="H4687" s="718" t="s">
        <v>806</v>
      </c>
      <c r="I4687" s="722" t="s">
        <v>882</v>
      </c>
      <c r="J4687" s="723" t="s">
        <v>892</v>
      </c>
      <c r="K4687" s="718">
        <v>4</v>
      </c>
      <c r="L4687" s="724">
        <f t="shared" si="143"/>
        <v>15.98</v>
      </c>
      <c r="M4687" s="725">
        <f t="shared" si="142"/>
        <v>63.92</v>
      </c>
      <c r="O4687" s="693"/>
    </row>
    <row r="4688" spans="2:15" s="645" customFormat="1" ht="21.75" customHeight="1">
      <c r="B4688" s="717">
        <v>44490</v>
      </c>
      <c r="C4688" s="718" t="s">
        <v>837</v>
      </c>
      <c r="D4688" s="719" t="s">
        <v>834</v>
      </c>
      <c r="E4688" s="720" t="s">
        <v>831</v>
      </c>
      <c r="F4688" s="721"/>
      <c r="G4688" s="719">
        <v>20</v>
      </c>
      <c r="H4688" s="718" t="s">
        <v>806</v>
      </c>
      <c r="I4688" s="722" t="s">
        <v>882</v>
      </c>
      <c r="J4688" s="723" t="s">
        <v>892</v>
      </c>
      <c r="K4688" s="718">
        <v>4</v>
      </c>
      <c r="L4688" s="724">
        <f t="shared" si="143"/>
        <v>18.8</v>
      </c>
      <c r="M4688" s="725">
        <f t="shared" si="142"/>
        <v>75.2</v>
      </c>
      <c r="O4688" s="693"/>
    </row>
    <row r="4689" spans="2:15" s="645" customFormat="1" ht="21.75" customHeight="1">
      <c r="B4689" s="717">
        <v>44490</v>
      </c>
      <c r="C4689" s="718" t="s">
        <v>837</v>
      </c>
      <c r="D4689" s="719" t="s">
        <v>850</v>
      </c>
      <c r="E4689" s="720" t="s">
        <v>831</v>
      </c>
      <c r="F4689" s="721"/>
      <c r="G4689" s="719">
        <v>15</v>
      </c>
      <c r="H4689" s="718" t="s">
        <v>806</v>
      </c>
      <c r="I4689" s="722" t="s">
        <v>882</v>
      </c>
      <c r="J4689" s="723" t="s">
        <v>892</v>
      </c>
      <c r="K4689" s="718">
        <v>4</v>
      </c>
      <c r="L4689" s="724">
        <f t="shared" si="143"/>
        <v>14.1</v>
      </c>
      <c r="M4689" s="725">
        <f t="shared" si="142"/>
        <v>56.4</v>
      </c>
      <c r="O4689" s="693"/>
    </row>
    <row r="4690" spans="2:15" s="645" customFormat="1" ht="21.75" customHeight="1">
      <c r="B4690" s="717">
        <v>44490</v>
      </c>
      <c r="C4690" s="718" t="s">
        <v>837</v>
      </c>
      <c r="D4690" s="719" t="s">
        <v>845</v>
      </c>
      <c r="E4690" s="720" t="s">
        <v>831</v>
      </c>
      <c r="F4690" s="721"/>
      <c r="G4690" s="719">
        <v>17</v>
      </c>
      <c r="H4690" s="718" t="s">
        <v>806</v>
      </c>
      <c r="I4690" s="722" t="s">
        <v>882</v>
      </c>
      <c r="J4690" s="723" t="s">
        <v>892</v>
      </c>
      <c r="K4690" s="718">
        <v>4</v>
      </c>
      <c r="L4690" s="724">
        <f t="shared" si="143"/>
        <v>15.98</v>
      </c>
      <c r="M4690" s="725">
        <f t="shared" si="142"/>
        <v>63.92</v>
      </c>
      <c r="O4690" s="693"/>
    </row>
    <row r="4691" spans="2:15" s="645" customFormat="1" ht="21.75" customHeight="1">
      <c r="B4691" s="661">
        <v>44491</v>
      </c>
      <c r="C4691" s="662" t="s">
        <v>819</v>
      </c>
      <c r="D4691" s="663" t="s">
        <v>840</v>
      </c>
      <c r="E4691" s="664" t="s">
        <v>831</v>
      </c>
      <c r="F4691" s="665"/>
      <c r="G4691" s="663">
        <v>20</v>
      </c>
      <c r="H4691" s="662" t="s">
        <v>807</v>
      </c>
      <c r="I4691" s="666" t="s">
        <v>857</v>
      </c>
      <c r="J4691" s="667" t="s">
        <v>805</v>
      </c>
      <c r="K4691" s="662">
        <v>2</v>
      </c>
      <c r="L4691" s="685">
        <f t="shared" si="143"/>
        <v>18.8</v>
      </c>
      <c r="M4691" s="686">
        <f t="shared" si="142"/>
        <v>37.6</v>
      </c>
      <c r="O4691" s="693"/>
    </row>
    <row r="4692" spans="2:15" s="645" customFormat="1" ht="21.75" customHeight="1">
      <c r="B4692" s="661">
        <v>44491</v>
      </c>
      <c r="C4692" s="662" t="s">
        <v>819</v>
      </c>
      <c r="D4692" s="663" t="s">
        <v>834</v>
      </c>
      <c r="E4692" s="664" t="s">
        <v>831</v>
      </c>
      <c r="F4692" s="665"/>
      <c r="G4692" s="663">
        <v>20</v>
      </c>
      <c r="H4692" s="662" t="s">
        <v>807</v>
      </c>
      <c r="I4692" s="666" t="s">
        <v>857</v>
      </c>
      <c r="J4692" s="667" t="s">
        <v>805</v>
      </c>
      <c r="K4692" s="662">
        <v>1</v>
      </c>
      <c r="L4692" s="685">
        <f t="shared" si="143"/>
        <v>18.8</v>
      </c>
      <c r="M4692" s="686">
        <f t="shared" si="142"/>
        <v>18.8</v>
      </c>
      <c r="O4692" s="693"/>
    </row>
    <row r="4693" spans="2:15" s="645" customFormat="1" ht="21.75" customHeight="1">
      <c r="B4693" s="661">
        <v>44491</v>
      </c>
      <c r="C4693" s="662" t="s">
        <v>819</v>
      </c>
      <c r="D4693" s="663" t="s">
        <v>836</v>
      </c>
      <c r="E4693" s="664" t="s">
        <v>831</v>
      </c>
      <c r="F4693" s="665"/>
      <c r="G4693" s="663">
        <v>15</v>
      </c>
      <c r="H4693" s="662" t="s">
        <v>807</v>
      </c>
      <c r="I4693" s="666" t="s">
        <v>857</v>
      </c>
      <c r="J4693" s="667" t="s">
        <v>805</v>
      </c>
      <c r="K4693" s="662">
        <v>1</v>
      </c>
      <c r="L4693" s="685">
        <f t="shared" si="143"/>
        <v>14.1</v>
      </c>
      <c r="M4693" s="686">
        <f t="shared" si="142"/>
        <v>14.1</v>
      </c>
      <c r="O4693" s="693"/>
    </row>
    <row r="4694" spans="2:15" s="645" customFormat="1" ht="21.75" customHeight="1">
      <c r="B4694" s="661">
        <v>44491</v>
      </c>
      <c r="C4694" s="662" t="s">
        <v>819</v>
      </c>
      <c r="D4694" s="663" t="s">
        <v>833</v>
      </c>
      <c r="E4694" s="664" t="s">
        <v>831</v>
      </c>
      <c r="F4694" s="665"/>
      <c r="G4694" s="663">
        <v>15</v>
      </c>
      <c r="H4694" s="662" t="s">
        <v>807</v>
      </c>
      <c r="I4694" s="666" t="s">
        <v>857</v>
      </c>
      <c r="J4694" s="667" t="s">
        <v>805</v>
      </c>
      <c r="K4694" s="662">
        <v>2</v>
      </c>
      <c r="L4694" s="685">
        <f t="shared" si="143"/>
        <v>14.1</v>
      </c>
      <c r="M4694" s="686">
        <f t="shared" si="142"/>
        <v>28.2</v>
      </c>
      <c r="O4694" s="693"/>
    </row>
    <row r="4695" spans="2:15" s="645" customFormat="1" ht="21.75" customHeight="1">
      <c r="B4695" s="661">
        <v>44491</v>
      </c>
      <c r="C4695" s="662" t="s">
        <v>819</v>
      </c>
      <c r="D4695" s="663" t="s">
        <v>830</v>
      </c>
      <c r="E4695" s="664" t="s">
        <v>831</v>
      </c>
      <c r="F4695" s="665"/>
      <c r="G4695" s="663">
        <v>15</v>
      </c>
      <c r="H4695" s="662" t="s">
        <v>807</v>
      </c>
      <c r="I4695" s="666" t="s">
        <v>857</v>
      </c>
      <c r="J4695" s="667" t="s">
        <v>805</v>
      </c>
      <c r="K4695" s="662">
        <v>2</v>
      </c>
      <c r="L4695" s="685">
        <f t="shared" si="143"/>
        <v>14.1</v>
      </c>
      <c r="M4695" s="686">
        <f t="shared" si="142"/>
        <v>28.2</v>
      </c>
      <c r="O4695" s="693"/>
    </row>
    <row r="4696" spans="2:15" s="645" customFormat="1" ht="21.75" customHeight="1">
      <c r="B4696" s="661">
        <v>44491</v>
      </c>
      <c r="C4696" s="662" t="s">
        <v>819</v>
      </c>
      <c r="D4696" s="663" t="s">
        <v>850</v>
      </c>
      <c r="E4696" s="664" t="s">
        <v>831</v>
      </c>
      <c r="F4696" s="665"/>
      <c r="G4696" s="663">
        <v>15</v>
      </c>
      <c r="H4696" s="662" t="s">
        <v>807</v>
      </c>
      <c r="I4696" s="666" t="s">
        <v>857</v>
      </c>
      <c r="J4696" s="667" t="s">
        <v>805</v>
      </c>
      <c r="K4696" s="662">
        <v>1</v>
      </c>
      <c r="L4696" s="685">
        <f t="shared" si="143"/>
        <v>14.1</v>
      </c>
      <c r="M4696" s="686">
        <f t="shared" si="142"/>
        <v>14.1</v>
      </c>
      <c r="O4696" s="693"/>
    </row>
    <row r="4697" spans="2:15" s="645" customFormat="1" ht="21.75" customHeight="1">
      <c r="B4697" s="661">
        <v>44491</v>
      </c>
      <c r="C4697" s="662" t="s">
        <v>819</v>
      </c>
      <c r="D4697" s="663" t="s">
        <v>847</v>
      </c>
      <c r="E4697" s="664" t="s">
        <v>831</v>
      </c>
      <c r="F4697" s="665"/>
      <c r="G4697" s="663">
        <v>17</v>
      </c>
      <c r="H4697" s="662" t="s">
        <v>807</v>
      </c>
      <c r="I4697" s="666" t="s">
        <v>857</v>
      </c>
      <c r="J4697" s="667" t="s">
        <v>805</v>
      </c>
      <c r="K4697" s="662">
        <v>1</v>
      </c>
      <c r="L4697" s="685">
        <f t="shared" si="143"/>
        <v>15.98</v>
      </c>
      <c r="M4697" s="686">
        <f t="shared" si="142"/>
        <v>15.98</v>
      </c>
      <c r="O4697" s="693"/>
    </row>
    <row r="4698" spans="2:15" s="645" customFormat="1" ht="21.75" customHeight="1">
      <c r="B4698" s="661">
        <v>44491</v>
      </c>
      <c r="C4698" s="662" t="s">
        <v>819</v>
      </c>
      <c r="D4698" s="663" t="s">
        <v>868</v>
      </c>
      <c r="E4698" s="664" t="s">
        <v>831</v>
      </c>
      <c r="F4698" s="665"/>
      <c r="G4698" s="663">
        <v>20</v>
      </c>
      <c r="H4698" s="662" t="s">
        <v>807</v>
      </c>
      <c r="I4698" s="666" t="s">
        <v>857</v>
      </c>
      <c r="J4698" s="667" t="s">
        <v>805</v>
      </c>
      <c r="K4698" s="662">
        <v>1</v>
      </c>
      <c r="L4698" s="685">
        <f t="shared" si="143"/>
        <v>18.8</v>
      </c>
      <c r="M4698" s="686">
        <f t="shared" si="142"/>
        <v>18.8</v>
      </c>
      <c r="O4698" s="693"/>
    </row>
    <row r="4699" spans="2:15" s="645" customFormat="1" ht="21.75" customHeight="1">
      <c r="B4699" s="661">
        <v>44491</v>
      </c>
      <c r="C4699" s="662" t="s">
        <v>819</v>
      </c>
      <c r="D4699" s="663" t="s">
        <v>870</v>
      </c>
      <c r="E4699" s="664" t="s">
        <v>831</v>
      </c>
      <c r="F4699" s="665"/>
      <c r="G4699" s="663">
        <v>20</v>
      </c>
      <c r="H4699" s="662" t="s">
        <v>807</v>
      </c>
      <c r="I4699" s="666" t="s">
        <v>857</v>
      </c>
      <c r="J4699" s="667" t="s">
        <v>805</v>
      </c>
      <c r="K4699" s="662">
        <v>3</v>
      </c>
      <c r="L4699" s="685">
        <f t="shared" si="143"/>
        <v>18.8</v>
      </c>
      <c r="M4699" s="686">
        <f t="shared" si="142"/>
        <v>56.400000000000006</v>
      </c>
      <c r="O4699" s="693"/>
    </row>
    <row r="4700" spans="2:15" s="645" customFormat="1" ht="21.75" customHeight="1">
      <c r="B4700" s="661">
        <v>44491</v>
      </c>
      <c r="C4700" s="662" t="s">
        <v>837</v>
      </c>
      <c r="D4700" s="663" t="s">
        <v>841</v>
      </c>
      <c r="E4700" s="664" t="s">
        <v>831</v>
      </c>
      <c r="F4700" s="665"/>
      <c r="G4700" s="663">
        <v>20</v>
      </c>
      <c r="H4700" s="662" t="s">
        <v>807</v>
      </c>
      <c r="I4700" s="666" t="s">
        <v>857</v>
      </c>
      <c r="J4700" s="667" t="s">
        <v>805</v>
      </c>
      <c r="K4700" s="662">
        <v>1</v>
      </c>
      <c r="L4700" s="685">
        <f t="shared" si="143"/>
        <v>18.8</v>
      </c>
      <c r="M4700" s="686">
        <f t="shared" si="142"/>
        <v>18.8</v>
      </c>
      <c r="O4700" s="693"/>
    </row>
    <row r="4701" spans="2:15" s="645" customFormat="1" ht="21.75" customHeight="1">
      <c r="B4701" s="661">
        <v>44491</v>
      </c>
      <c r="C4701" s="662" t="s">
        <v>837</v>
      </c>
      <c r="D4701" s="663" t="s">
        <v>841</v>
      </c>
      <c r="E4701" s="664" t="s">
        <v>831</v>
      </c>
      <c r="F4701" s="665"/>
      <c r="G4701" s="663">
        <v>20</v>
      </c>
      <c r="H4701" s="662" t="s">
        <v>807</v>
      </c>
      <c r="I4701" s="666" t="s">
        <v>805</v>
      </c>
      <c r="J4701" s="667" t="s">
        <v>805</v>
      </c>
      <c r="K4701" s="662">
        <v>6</v>
      </c>
      <c r="L4701" s="685">
        <f t="shared" si="143"/>
        <v>18.8</v>
      </c>
      <c r="M4701" s="686">
        <f t="shared" si="142"/>
        <v>112.80000000000001</v>
      </c>
      <c r="O4701" s="693"/>
    </row>
    <row r="4702" spans="2:15" s="645" customFormat="1" ht="21.75" customHeight="1">
      <c r="B4702" s="661">
        <v>44491</v>
      </c>
      <c r="C4702" s="662" t="s">
        <v>837</v>
      </c>
      <c r="D4702" s="663" t="s">
        <v>841</v>
      </c>
      <c r="E4702" s="664" t="s">
        <v>831</v>
      </c>
      <c r="F4702" s="665"/>
      <c r="G4702" s="663">
        <v>20</v>
      </c>
      <c r="H4702" s="662" t="s">
        <v>807</v>
      </c>
      <c r="I4702" s="666" t="s">
        <v>805</v>
      </c>
      <c r="J4702" s="667" t="s">
        <v>805</v>
      </c>
      <c r="K4702" s="662">
        <v>9</v>
      </c>
      <c r="L4702" s="685">
        <f t="shared" si="143"/>
        <v>18.8</v>
      </c>
      <c r="M4702" s="686">
        <f t="shared" si="142"/>
        <v>169.20000000000002</v>
      </c>
      <c r="O4702" s="693"/>
    </row>
    <row r="4703" spans="2:15" s="645" customFormat="1" ht="21.75" customHeight="1">
      <c r="B4703" s="661">
        <v>44491</v>
      </c>
      <c r="C4703" s="662" t="s">
        <v>837</v>
      </c>
      <c r="D4703" s="663" t="s">
        <v>847</v>
      </c>
      <c r="E4703" s="664" t="s">
        <v>831</v>
      </c>
      <c r="F4703" s="665"/>
      <c r="G4703" s="663">
        <v>17</v>
      </c>
      <c r="H4703" s="662" t="s">
        <v>807</v>
      </c>
      <c r="I4703" s="666" t="s">
        <v>805</v>
      </c>
      <c r="J4703" s="667" t="s">
        <v>805</v>
      </c>
      <c r="K4703" s="662">
        <v>16</v>
      </c>
      <c r="L4703" s="685">
        <f t="shared" si="143"/>
        <v>15.98</v>
      </c>
      <c r="M4703" s="686">
        <f t="shared" si="142"/>
        <v>255.68</v>
      </c>
      <c r="O4703" s="693"/>
    </row>
    <row r="4704" spans="2:15" s="645" customFormat="1" ht="21.75" customHeight="1">
      <c r="B4704" s="661">
        <v>44491</v>
      </c>
      <c r="C4704" s="662" t="s">
        <v>819</v>
      </c>
      <c r="D4704" s="663" t="s">
        <v>849</v>
      </c>
      <c r="E4704" s="664" t="s">
        <v>831</v>
      </c>
      <c r="F4704" s="665"/>
      <c r="G4704" s="663">
        <v>20</v>
      </c>
      <c r="H4704" s="662" t="s">
        <v>807</v>
      </c>
      <c r="I4704" s="666" t="s">
        <v>857</v>
      </c>
      <c r="J4704" s="667" t="s">
        <v>852</v>
      </c>
      <c r="K4704" s="662">
        <v>1</v>
      </c>
      <c r="L4704" s="685">
        <f t="shared" si="143"/>
        <v>18.8</v>
      </c>
      <c r="M4704" s="686">
        <f t="shared" si="142"/>
        <v>18.8</v>
      </c>
      <c r="O4704" s="693"/>
    </row>
    <row r="4705" spans="2:15" s="645" customFormat="1" ht="21.75" customHeight="1">
      <c r="B4705" s="661">
        <v>44491</v>
      </c>
      <c r="C4705" s="662" t="s">
        <v>837</v>
      </c>
      <c r="D4705" s="663" t="s">
        <v>855</v>
      </c>
      <c r="E4705" s="664" t="s">
        <v>831</v>
      </c>
      <c r="F4705" s="665"/>
      <c r="G4705" s="663">
        <v>20</v>
      </c>
      <c r="H4705" s="662" t="s">
        <v>806</v>
      </c>
      <c r="I4705" s="666" t="s">
        <v>882</v>
      </c>
      <c r="J4705" s="667" t="s">
        <v>852</v>
      </c>
      <c r="K4705" s="662">
        <v>7</v>
      </c>
      <c r="L4705" s="685">
        <f t="shared" si="143"/>
        <v>18.8</v>
      </c>
      <c r="M4705" s="686">
        <f t="shared" si="142"/>
        <v>131.6</v>
      </c>
      <c r="O4705" s="693"/>
    </row>
    <row r="4706" spans="2:15" s="645" customFormat="1" ht="21.75" customHeight="1">
      <c r="B4706" s="708">
        <v>44491</v>
      </c>
      <c r="C4706" s="709" t="s">
        <v>819</v>
      </c>
      <c r="D4706" s="710" t="s">
        <v>849</v>
      </c>
      <c r="E4706" s="711" t="s">
        <v>831</v>
      </c>
      <c r="F4706" s="712"/>
      <c r="G4706" s="710">
        <v>20</v>
      </c>
      <c r="H4706" s="709" t="s">
        <v>807</v>
      </c>
      <c r="I4706" s="713" t="s">
        <v>857</v>
      </c>
      <c r="J4706" s="714" t="s">
        <v>802</v>
      </c>
      <c r="K4706" s="709">
        <v>1</v>
      </c>
      <c r="L4706" s="715">
        <f t="shared" si="143"/>
        <v>18.8</v>
      </c>
      <c r="M4706" s="716">
        <f t="shared" si="142"/>
        <v>18.8</v>
      </c>
      <c r="O4706" s="693"/>
    </row>
    <row r="4707" spans="2:15" s="645" customFormat="1" ht="21.75" customHeight="1">
      <c r="B4707" s="708">
        <v>44491</v>
      </c>
      <c r="C4707" s="709" t="s">
        <v>819</v>
      </c>
      <c r="D4707" s="710" t="s">
        <v>835</v>
      </c>
      <c r="E4707" s="711" t="s">
        <v>831</v>
      </c>
      <c r="F4707" s="712"/>
      <c r="G4707" s="710">
        <v>20</v>
      </c>
      <c r="H4707" s="709" t="s">
        <v>807</v>
      </c>
      <c r="I4707" s="713" t="s">
        <v>857</v>
      </c>
      <c r="J4707" s="714" t="s">
        <v>802</v>
      </c>
      <c r="K4707" s="709">
        <v>2</v>
      </c>
      <c r="L4707" s="715">
        <f t="shared" si="143"/>
        <v>18.8</v>
      </c>
      <c r="M4707" s="716">
        <f t="shared" si="142"/>
        <v>37.6</v>
      </c>
      <c r="O4707" s="693"/>
    </row>
    <row r="4708" spans="2:15" s="645" customFormat="1" ht="21.75" customHeight="1">
      <c r="B4708" s="708">
        <v>44491</v>
      </c>
      <c r="C4708" s="709" t="s">
        <v>819</v>
      </c>
      <c r="D4708" s="710" t="s">
        <v>841</v>
      </c>
      <c r="E4708" s="711" t="s">
        <v>831</v>
      </c>
      <c r="F4708" s="712"/>
      <c r="G4708" s="710">
        <v>20</v>
      </c>
      <c r="H4708" s="709" t="s">
        <v>807</v>
      </c>
      <c r="I4708" s="713" t="s">
        <v>857</v>
      </c>
      <c r="J4708" s="714" t="s">
        <v>802</v>
      </c>
      <c r="K4708" s="709">
        <v>1</v>
      </c>
      <c r="L4708" s="715">
        <f t="shared" si="143"/>
        <v>18.8</v>
      </c>
      <c r="M4708" s="716">
        <f t="shared" si="142"/>
        <v>18.8</v>
      </c>
      <c r="O4708" s="693"/>
    </row>
    <row r="4709" spans="2:15" s="645" customFormat="1" ht="21.75" customHeight="1">
      <c r="B4709" s="708">
        <v>44491</v>
      </c>
      <c r="C4709" s="709" t="s">
        <v>819</v>
      </c>
      <c r="D4709" s="710" t="s">
        <v>834</v>
      </c>
      <c r="E4709" s="711" t="s">
        <v>831</v>
      </c>
      <c r="F4709" s="712"/>
      <c r="G4709" s="710">
        <v>20</v>
      </c>
      <c r="H4709" s="709" t="s">
        <v>807</v>
      </c>
      <c r="I4709" s="713" t="s">
        <v>857</v>
      </c>
      <c r="J4709" s="714" t="s">
        <v>802</v>
      </c>
      <c r="K4709" s="709">
        <v>2</v>
      </c>
      <c r="L4709" s="715">
        <f t="shared" si="143"/>
        <v>18.8</v>
      </c>
      <c r="M4709" s="716">
        <f t="shared" si="142"/>
        <v>37.6</v>
      </c>
      <c r="O4709" s="693"/>
    </row>
    <row r="4710" spans="2:15" s="645" customFormat="1" ht="21.75" customHeight="1">
      <c r="B4710" s="708">
        <v>44491</v>
      </c>
      <c r="C4710" s="709" t="s">
        <v>819</v>
      </c>
      <c r="D4710" s="710" t="s">
        <v>834</v>
      </c>
      <c r="E4710" s="711" t="s">
        <v>831</v>
      </c>
      <c r="F4710" s="712"/>
      <c r="G4710" s="710">
        <v>20</v>
      </c>
      <c r="H4710" s="709" t="s">
        <v>885</v>
      </c>
      <c r="I4710" s="713" t="s">
        <v>888</v>
      </c>
      <c r="J4710" s="714" t="s">
        <v>802</v>
      </c>
      <c r="K4710" s="709">
        <v>2</v>
      </c>
      <c r="L4710" s="715">
        <f t="shared" si="143"/>
        <v>18.8</v>
      </c>
      <c r="M4710" s="716">
        <f t="shared" si="142"/>
        <v>37.6</v>
      </c>
      <c r="O4710" s="693"/>
    </row>
    <row r="4711" spans="2:15" s="645" customFormat="1" ht="21.75" customHeight="1">
      <c r="B4711" s="708">
        <v>44491</v>
      </c>
      <c r="C4711" s="709" t="s">
        <v>819</v>
      </c>
      <c r="D4711" s="710" t="s">
        <v>848</v>
      </c>
      <c r="E4711" s="711" t="s">
        <v>831</v>
      </c>
      <c r="F4711" s="712"/>
      <c r="G4711" s="710">
        <v>20</v>
      </c>
      <c r="H4711" s="709" t="s">
        <v>807</v>
      </c>
      <c r="I4711" s="713" t="s">
        <v>857</v>
      </c>
      <c r="J4711" s="714" t="s">
        <v>802</v>
      </c>
      <c r="K4711" s="709">
        <v>2</v>
      </c>
      <c r="L4711" s="715">
        <f t="shared" si="143"/>
        <v>18.8</v>
      </c>
      <c r="M4711" s="716">
        <f t="shared" ref="M4711:M4774" si="144">L4711*K4711</f>
        <v>37.6</v>
      </c>
      <c r="O4711" s="693"/>
    </row>
    <row r="4712" spans="2:15" s="645" customFormat="1" ht="21.75" customHeight="1">
      <c r="B4712" s="708">
        <v>44491</v>
      </c>
      <c r="C4712" s="709" t="s">
        <v>819</v>
      </c>
      <c r="D4712" s="710" t="s">
        <v>836</v>
      </c>
      <c r="E4712" s="711" t="s">
        <v>831</v>
      </c>
      <c r="F4712" s="712"/>
      <c r="G4712" s="710">
        <v>15</v>
      </c>
      <c r="H4712" s="709" t="s">
        <v>885</v>
      </c>
      <c r="I4712" s="713" t="s">
        <v>888</v>
      </c>
      <c r="J4712" s="714" t="s">
        <v>802</v>
      </c>
      <c r="K4712" s="709">
        <v>2</v>
      </c>
      <c r="L4712" s="715">
        <f t="shared" si="143"/>
        <v>14.1</v>
      </c>
      <c r="M4712" s="716">
        <f t="shared" si="144"/>
        <v>28.2</v>
      </c>
      <c r="O4712" s="693"/>
    </row>
    <row r="4713" spans="2:15" s="645" customFormat="1" ht="21.75" customHeight="1">
      <c r="B4713" s="708">
        <v>44491</v>
      </c>
      <c r="C4713" s="709" t="s">
        <v>819</v>
      </c>
      <c r="D4713" s="710" t="s">
        <v>836</v>
      </c>
      <c r="E4713" s="711" t="s">
        <v>831</v>
      </c>
      <c r="F4713" s="712"/>
      <c r="G4713" s="710">
        <v>15</v>
      </c>
      <c r="H4713" s="709" t="s">
        <v>807</v>
      </c>
      <c r="I4713" s="713" t="s">
        <v>857</v>
      </c>
      <c r="J4713" s="714" t="s">
        <v>802</v>
      </c>
      <c r="K4713" s="709">
        <v>3</v>
      </c>
      <c r="L4713" s="715">
        <f t="shared" si="143"/>
        <v>14.1</v>
      </c>
      <c r="M4713" s="716">
        <f t="shared" si="144"/>
        <v>42.3</v>
      </c>
      <c r="O4713" s="693"/>
    </row>
    <row r="4714" spans="2:15" s="645" customFormat="1" ht="21.75" customHeight="1">
      <c r="B4714" s="708">
        <v>44491</v>
      </c>
      <c r="C4714" s="709" t="s">
        <v>819</v>
      </c>
      <c r="D4714" s="710" t="s">
        <v>833</v>
      </c>
      <c r="E4714" s="711" t="s">
        <v>831</v>
      </c>
      <c r="F4714" s="712"/>
      <c r="G4714" s="710">
        <v>15</v>
      </c>
      <c r="H4714" s="709" t="s">
        <v>885</v>
      </c>
      <c r="I4714" s="713" t="s">
        <v>888</v>
      </c>
      <c r="J4714" s="714" t="s">
        <v>802</v>
      </c>
      <c r="K4714" s="709">
        <v>2</v>
      </c>
      <c r="L4714" s="715">
        <f t="shared" si="143"/>
        <v>14.1</v>
      </c>
      <c r="M4714" s="716">
        <f t="shared" si="144"/>
        <v>28.2</v>
      </c>
      <c r="O4714" s="693"/>
    </row>
    <row r="4715" spans="2:15" s="645" customFormat="1" ht="21.75" customHeight="1">
      <c r="B4715" s="708">
        <v>44491</v>
      </c>
      <c r="C4715" s="709" t="s">
        <v>819</v>
      </c>
      <c r="D4715" s="710" t="s">
        <v>833</v>
      </c>
      <c r="E4715" s="711" t="s">
        <v>831</v>
      </c>
      <c r="F4715" s="712"/>
      <c r="G4715" s="710">
        <v>15</v>
      </c>
      <c r="H4715" s="709" t="s">
        <v>807</v>
      </c>
      <c r="I4715" s="713" t="s">
        <v>857</v>
      </c>
      <c r="J4715" s="714" t="s">
        <v>802</v>
      </c>
      <c r="K4715" s="709">
        <v>3</v>
      </c>
      <c r="L4715" s="715">
        <f t="shared" si="143"/>
        <v>14.1</v>
      </c>
      <c r="M4715" s="716">
        <f t="shared" si="144"/>
        <v>42.3</v>
      </c>
      <c r="O4715" s="693"/>
    </row>
    <row r="4716" spans="2:15" s="645" customFormat="1" ht="21.75" customHeight="1">
      <c r="B4716" s="708">
        <v>44491</v>
      </c>
      <c r="C4716" s="709" t="s">
        <v>819</v>
      </c>
      <c r="D4716" s="710" t="s">
        <v>830</v>
      </c>
      <c r="E4716" s="711" t="s">
        <v>831</v>
      </c>
      <c r="F4716" s="712"/>
      <c r="G4716" s="710">
        <v>15</v>
      </c>
      <c r="H4716" s="709" t="s">
        <v>885</v>
      </c>
      <c r="I4716" s="713" t="s">
        <v>888</v>
      </c>
      <c r="J4716" s="714" t="s">
        <v>802</v>
      </c>
      <c r="K4716" s="709">
        <v>2</v>
      </c>
      <c r="L4716" s="715">
        <f t="shared" si="143"/>
        <v>14.1</v>
      </c>
      <c r="M4716" s="716">
        <f t="shared" si="144"/>
        <v>28.2</v>
      </c>
      <c r="O4716" s="693"/>
    </row>
    <row r="4717" spans="2:15" s="645" customFormat="1" ht="21.75" customHeight="1">
      <c r="B4717" s="708">
        <v>44491</v>
      </c>
      <c r="C4717" s="709" t="s">
        <v>819</v>
      </c>
      <c r="D4717" s="710" t="s">
        <v>830</v>
      </c>
      <c r="E4717" s="711" t="s">
        <v>831</v>
      </c>
      <c r="F4717" s="712"/>
      <c r="G4717" s="710">
        <v>15</v>
      </c>
      <c r="H4717" s="709" t="s">
        <v>807</v>
      </c>
      <c r="I4717" s="713" t="s">
        <v>857</v>
      </c>
      <c r="J4717" s="714" t="s">
        <v>802</v>
      </c>
      <c r="K4717" s="709">
        <v>1</v>
      </c>
      <c r="L4717" s="715">
        <f t="shared" si="143"/>
        <v>14.1</v>
      </c>
      <c r="M4717" s="716">
        <f t="shared" si="144"/>
        <v>14.1</v>
      </c>
      <c r="O4717" s="693"/>
    </row>
    <row r="4718" spans="2:15" s="645" customFormat="1" ht="21.75" customHeight="1">
      <c r="B4718" s="708">
        <v>44491</v>
      </c>
      <c r="C4718" s="709" t="s">
        <v>819</v>
      </c>
      <c r="D4718" s="710" t="s">
        <v>850</v>
      </c>
      <c r="E4718" s="711" t="s">
        <v>831</v>
      </c>
      <c r="F4718" s="712"/>
      <c r="G4718" s="710">
        <v>15</v>
      </c>
      <c r="H4718" s="709" t="s">
        <v>807</v>
      </c>
      <c r="I4718" s="713" t="s">
        <v>857</v>
      </c>
      <c r="J4718" s="714" t="s">
        <v>802</v>
      </c>
      <c r="K4718" s="709">
        <v>4</v>
      </c>
      <c r="L4718" s="715">
        <f t="shared" si="143"/>
        <v>14.1</v>
      </c>
      <c r="M4718" s="716">
        <f t="shared" si="144"/>
        <v>56.4</v>
      </c>
      <c r="O4718" s="693"/>
    </row>
    <row r="4719" spans="2:15" s="645" customFormat="1" ht="21.75" customHeight="1">
      <c r="B4719" s="708">
        <v>44491</v>
      </c>
      <c r="C4719" s="709" t="s">
        <v>819</v>
      </c>
      <c r="D4719" s="710" t="s">
        <v>850</v>
      </c>
      <c r="E4719" s="711" t="s">
        <v>831</v>
      </c>
      <c r="F4719" s="712"/>
      <c r="G4719" s="710">
        <v>15</v>
      </c>
      <c r="H4719" s="709" t="s">
        <v>885</v>
      </c>
      <c r="I4719" s="713" t="s">
        <v>888</v>
      </c>
      <c r="J4719" s="714" t="s">
        <v>802</v>
      </c>
      <c r="K4719" s="709">
        <v>1</v>
      </c>
      <c r="L4719" s="715">
        <f t="shared" si="143"/>
        <v>14.1</v>
      </c>
      <c r="M4719" s="716">
        <f t="shared" si="144"/>
        <v>14.1</v>
      </c>
      <c r="O4719" s="693"/>
    </row>
    <row r="4720" spans="2:15" s="645" customFormat="1" ht="21.75" customHeight="1">
      <c r="B4720" s="708">
        <v>44491</v>
      </c>
      <c r="C4720" s="709" t="s">
        <v>819</v>
      </c>
      <c r="D4720" s="710" t="s">
        <v>847</v>
      </c>
      <c r="E4720" s="711" t="s">
        <v>831</v>
      </c>
      <c r="F4720" s="712"/>
      <c r="G4720" s="710">
        <v>17</v>
      </c>
      <c r="H4720" s="709" t="s">
        <v>885</v>
      </c>
      <c r="I4720" s="713" t="s">
        <v>888</v>
      </c>
      <c r="J4720" s="714" t="s">
        <v>802</v>
      </c>
      <c r="K4720" s="709">
        <v>1</v>
      </c>
      <c r="L4720" s="715">
        <f t="shared" si="143"/>
        <v>15.98</v>
      </c>
      <c r="M4720" s="716">
        <f t="shared" si="144"/>
        <v>15.98</v>
      </c>
      <c r="O4720" s="693"/>
    </row>
    <row r="4721" spans="2:15" s="645" customFormat="1" ht="21.75" customHeight="1">
      <c r="B4721" s="708">
        <v>44491</v>
      </c>
      <c r="C4721" s="709" t="s">
        <v>819</v>
      </c>
      <c r="D4721" s="710" t="s">
        <v>847</v>
      </c>
      <c r="E4721" s="711" t="s">
        <v>831</v>
      </c>
      <c r="F4721" s="712"/>
      <c r="G4721" s="710">
        <v>17</v>
      </c>
      <c r="H4721" s="709" t="s">
        <v>807</v>
      </c>
      <c r="I4721" s="713" t="s">
        <v>857</v>
      </c>
      <c r="J4721" s="714" t="s">
        <v>802</v>
      </c>
      <c r="K4721" s="709">
        <v>2</v>
      </c>
      <c r="L4721" s="715">
        <f t="shared" si="143"/>
        <v>15.98</v>
      </c>
      <c r="M4721" s="716">
        <f t="shared" si="144"/>
        <v>31.96</v>
      </c>
      <c r="O4721" s="693"/>
    </row>
    <row r="4722" spans="2:15" s="645" customFormat="1" ht="21.75" customHeight="1">
      <c r="B4722" s="708">
        <v>44491</v>
      </c>
      <c r="C4722" s="709" t="s">
        <v>819</v>
      </c>
      <c r="D4722" s="710" t="s">
        <v>878</v>
      </c>
      <c r="E4722" s="711" t="s">
        <v>831</v>
      </c>
      <c r="F4722" s="712"/>
      <c r="G4722" s="710">
        <v>15</v>
      </c>
      <c r="H4722" s="709" t="s">
        <v>807</v>
      </c>
      <c r="I4722" s="713" t="s">
        <v>857</v>
      </c>
      <c r="J4722" s="714" t="s">
        <v>802</v>
      </c>
      <c r="K4722" s="709">
        <v>6</v>
      </c>
      <c r="L4722" s="715">
        <f t="shared" si="143"/>
        <v>14.1</v>
      </c>
      <c r="M4722" s="716">
        <f t="shared" si="144"/>
        <v>84.6</v>
      </c>
      <c r="O4722" s="693"/>
    </row>
    <row r="4723" spans="2:15" s="645" customFormat="1" ht="21.75" customHeight="1">
      <c r="B4723" s="708">
        <v>44491</v>
      </c>
      <c r="C4723" s="709" t="s">
        <v>819</v>
      </c>
      <c r="D4723" s="710" t="s">
        <v>855</v>
      </c>
      <c r="E4723" s="711" t="s">
        <v>831</v>
      </c>
      <c r="F4723" s="712"/>
      <c r="G4723" s="710">
        <v>20</v>
      </c>
      <c r="H4723" s="709" t="s">
        <v>807</v>
      </c>
      <c r="I4723" s="713" t="s">
        <v>857</v>
      </c>
      <c r="J4723" s="714" t="s">
        <v>802</v>
      </c>
      <c r="K4723" s="709">
        <v>1</v>
      </c>
      <c r="L4723" s="715">
        <f t="shared" si="143"/>
        <v>18.8</v>
      </c>
      <c r="M4723" s="716">
        <f t="shared" si="144"/>
        <v>18.8</v>
      </c>
      <c r="O4723" s="693"/>
    </row>
    <row r="4724" spans="2:15" s="645" customFormat="1" ht="21.75" customHeight="1">
      <c r="B4724" s="708">
        <v>44491</v>
      </c>
      <c r="C4724" s="709" t="s">
        <v>819</v>
      </c>
      <c r="D4724" s="710" t="s">
        <v>867</v>
      </c>
      <c r="E4724" s="711" t="s">
        <v>831</v>
      </c>
      <c r="F4724" s="712"/>
      <c r="G4724" s="710">
        <v>20</v>
      </c>
      <c r="H4724" s="709" t="s">
        <v>885</v>
      </c>
      <c r="I4724" s="713" t="s">
        <v>888</v>
      </c>
      <c r="J4724" s="714" t="s">
        <v>802</v>
      </c>
      <c r="K4724" s="709">
        <v>1</v>
      </c>
      <c r="L4724" s="715">
        <f t="shared" si="143"/>
        <v>18.8</v>
      </c>
      <c r="M4724" s="716">
        <f t="shared" si="144"/>
        <v>18.8</v>
      </c>
      <c r="O4724" s="693"/>
    </row>
    <row r="4725" spans="2:15" s="645" customFormat="1" ht="21.75" customHeight="1">
      <c r="B4725" s="708">
        <v>44491</v>
      </c>
      <c r="C4725" s="709" t="s">
        <v>819</v>
      </c>
      <c r="D4725" s="710" t="s">
        <v>867</v>
      </c>
      <c r="E4725" s="711" t="s">
        <v>831</v>
      </c>
      <c r="F4725" s="712"/>
      <c r="G4725" s="710">
        <v>20</v>
      </c>
      <c r="H4725" s="709" t="s">
        <v>807</v>
      </c>
      <c r="I4725" s="713" t="s">
        <v>857</v>
      </c>
      <c r="J4725" s="714" t="s">
        <v>802</v>
      </c>
      <c r="K4725" s="709">
        <v>3</v>
      </c>
      <c r="L4725" s="715">
        <f t="shared" si="143"/>
        <v>18.8</v>
      </c>
      <c r="M4725" s="716">
        <f t="shared" si="144"/>
        <v>56.400000000000006</v>
      </c>
      <c r="O4725" s="693"/>
    </row>
    <row r="4726" spans="2:15" s="645" customFormat="1" ht="21.75" customHeight="1">
      <c r="B4726" s="708">
        <v>44491</v>
      </c>
      <c r="C4726" s="709" t="s">
        <v>819</v>
      </c>
      <c r="D4726" s="710" t="s">
        <v>876</v>
      </c>
      <c r="E4726" s="711" t="s">
        <v>831</v>
      </c>
      <c r="F4726" s="712"/>
      <c r="G4726" s="710">
        <v>20</v>
      </c>
      <c r="H4726" s="709" t="s">
        <v>807</v>
      </c>
      <c r="I4726" s="713" t="s">
        <v>857</v>
      </c>
      <c r="J4726" s="714" t="s">
        <v>802</v>
      </c>
      <c r="K4726" s="709">
        <v>4</v>
      </c>
      <c r="L4726" s="715">
        <f t="shared" si="143"/>
        <v>18.8</v>
      </c>
      <c r="M4726" s="716">
        <f t="shared" si="144"/>
        <v>75.2</v>
      </c>
      <c r="O4726" s="693"/>
    </row>
    <row r="4727" spans="2:15" s="645" customFormat="1" ht="21.75" customHeight="1">
      <c r="B4727" s="708">
        <v>44491</v>
      </c>
      <c r="C4727" s="709" t="s">
        <v>819</v>
      </c>
      <c r="D4727" s="710" t="s">
        <v>876</v>
      </c>
      <c r="E4727" s="711" t="s">
        <v>831</v>
      </c>
      <c r="F4727" s="712"/>
      <c r="G4727" s="710">
        <v>20</v>
      </c>
      <c r="H4727" s="709" t="s">
        <v>885</v>
      </c>
      <c r="I4727" s="713" t="s">
        <v>888</v>
      </c>
      <c r="J4727" s="714" t="s">
        <v>802</v>
      </c>
      <c r="K4727" s="709">
        <v>1</v>
      </c>
      <c r="L4727" s="715">
        <f t="shared" si="143"/>
        <v>18.8</v>
      </c>
      <c r="M4727" s="716">
        <f t="shared" si="144"/>
        <v>18.8</v>
      </c>
      <c r="O4727" s="693"/>
    </row>
    <row r="4728" spans="2:15" s="645" customFormat="1" ht="21.75" customHeight="1">
      <c r="B4728" s="708">
        <v>44491</v>
      </c>
      <c r="C4728" s="709" t="s">
        <v>819</v>
      </c>
      <c r="D4728" s="710" t="s">
        <v>868</v>
      </c>
      <c r="E4728" s="711" t="s">
        <v>831</v>
      </c>
      <c r="F4728" s="712"/>
      <c r="G4728" s="710">
        <v>20</v>
      </c>
      <c r="H4728" s="709" t="s">
        <v>807</v>
      </c>
      <c r="I4728" s="713" t="s">
        <v>857</v>
      </c>
      <c r="J4728" s="714" t="s">
        <v>802</v>
      </c>
      <c r="K4728" s="709">
        <v>3</v>
      </c>
      <c r="L4728" s="715">
        <f t="shared" si="143"/>
        <v>18.8</v>
      </c>
      <c r="M4728" s="716">
        <f t="shared" si="144"/>
        <v>56.400000000000006</v>
      </c>
      <c r="O4728" s="693"/>
    </row>
    <row r="4729" spans="2:15" s="645" customFormat="1" ht="21.75" customHeight="1">
      <c r="B4729" s="708">
        <v>44491</v>
      </c>
      <c r="C4729" s="709" t="s">
        <v>819</v>
      </c>
      <c r="D4729" s="710" t="s">
        <v>868</v>
      </c>
      <c r="E4729" s="711" t="s">
        <v>831</v>
      </c>
      <c r="F4729" s="712"/>
      <c r="G4729" s="710">
        <v>20</v>
      </c>
      <c r="H4729" s="709" t="s">
        <v>885</v>
      </c>
      <c r="I4729" s="713" t="s">
        <v>888</v>
      </c>
      <c r="J4729" s="714" t="s">
        <v>802</v>
      </c>
      <c r="K4729" s="709">
        <v>1</v>
      </c>
      <c r="L4729" s="715">
        <f t="shared" si="143"/>
        <v>18.8</v>
      </c>
      <c r="M4729" s="716">
        <f t="shared" si="144"/>
        <v>18.8</v>
      </c>
      <c r="O4729" s="693"/>
    </row>
    <row r="4730" spans="2:15" s="645" customFormat="1" ht="21.75" customHeight="1">
      <c r="B4730" s="708">
        <v>44491</v>
      </c>
      <c r="C4730" s="709" t="s">
        <v>819</v>
      </c>
      <c r="D4730" s="710" t="s">
        <v>870</v>
      </c>
      <c r="E4730" s="711" t="s">
        <v>831</v>
      </c>
      <c r="F4730" s="712"/>
      <c r="G4730" s="710">
        <v>20</v>
      </c>
      <c r="H4730" s="709" t="s">
        <v>885</v>
      </c>
      <c r="I4730" s="713" t="s">
        <v>888</v>
      </c>
      <c r="J4730" s="714" t="s">
        <v>802</v>
      </c>
      <c r="K4730" s="709">
        <v>1</v>
      </c>
      <c r="L4730" s="715">
        <f t="shared" si="143"/>
        <v>18.8</v>
      </c>
      <c r="M4730" s="716">
        <f t="shared" si="144"/>
        <v>18.8</v>
      </c>
      <c r="O4730" s="693"/>
    </row>
    <row r="4731" spans="2:15" s="645" customFormat="1" ht="21.75" customHeight="1">
      <c r="B4731" s="708">
        <v>44491</v>
      </c>
      <c r="C4731" s="709" t="s">
        <v>819</v>
      </c>
      <c r="D4731" s="710" t="s">
        <v>870</v>
      </c>
      <c r="E4731" s="711" t="s">
        <v>831</v>
      </c>
      <c r="F4731" s="712"/>
      <c r="G4731" s="710">
        <v>20</v>
      </c>
      <c r="H4731" s="709" t="s">
        <v>807</v>
      </c>
      <c r="I4731" s="713" t="s">
        <v>857</v>
      </c>
      <c r="J4731" s="714" t="s">
        <v>802</v>
      </c>
      <c r="K4731" s="709">
        <v>3</v>
      </c>
      <c r="L4731" s="715">
        <f t="shared" si="143"/>
        <v>18.8</v>
      </c>
      <c r="M4731" s="716">
        <f t="shared" si="144"/>
        <v>56.400000000000006</v>
      </c>
      <c r="O4731" s="693"/>
    </row>
    <row r="4732" spans="2:15" s="645" customFormat="1" ht="21.75" customHeight="1">
      <c r="B4732" s="708">
        <v>44491</v>
      </c>
      <c r="C4732" s="709" t="s">
        <v>837</v>
      </c>
      <c r="D4732" s="710" t="s">
        <v>878</v>
      </c>
      <c r="E4732" s="711" t="s">
        <v>831</v>
      </c>
      <c r="F4732" s="712"/>
      <c r="G4732" s="710">
        <v>15</v>
      </c>
      <c r="H4732" s="709" t="s">
        <v>807</v>
      </c>
      <c r="I4732" s="713" t="s">
        <v>857</v>
      </c>
      <c r="J4732" s="714" t="s">
        <v>802</v>
      </c>
      <c r="K4732" s="709">
        <v>1</v>
      </c>
      <c r="L4732" s="715">
        <f t="shared" si="143"/>
        <v>14.1</v>
      </c>
      <c r="M4732" s="716">
        <f t="shared" si="144"/>
        <v>14.1</v>
      </c>
      <c r="O4732" s="693"/>
    </row>
    <row r="4733" spans="2:15" s="645" customFormat="1" ht="21.75" customHeight="1">
      <c r="B4733" s="717">
        <v>44491</v>
      </c>
      <c r="C4733" s="718" t="s">
        <v>837</v>
      </c>
      <c r="D4733" s="719" t="s">
        <v>834</v>
      </c>
      <c r="E4733" s="720" t="s">
        <v>831</v>
      </c>
      <c r="F4733" s="721"/>
      <c r="G4733" s="719">
        <v>20</v>
      </c>
      <c r="H4733" s="718" t="s">
        <v>806</v>
      </c>
      <c r="I4733" s="722" t="s">
        <v>882</v>
      </c>
      <c r="J4733" s="723" t="s">
        <v>892</v>
      </c>
      <c r="K4733" s="718">
        <v>7</v>
      </c>
      <c r="L4733" s="724">
        <f t="shared" si="143"/>
        <v>18.8</v>
      </c>
      <c r="M4733" s="725">
        <f t="shared" si="144"/>
        <v>131.6</v>
      </c>
      <c r="O4733" s="693"/>
    </row>
    <row r="4734" spans="2:15" s="645" customFormat="1" ht="21.75" customHeight="1">
      <c r="B4734" s="717">
        <v>44491</v>
      </c>
      <c r="C4734" s="718" t="s">
        <v>837</v>
      </c>
      <c r="D4734" s="719" t="s">
        <v>835</v>
      </c>
      <c r="E4734" s="720" t="s">
        <v>831</v>
      </c>
      <c r="F4734" s="721"/>
      <c r="G4734" s="719">
        <v>20</v>
      </c>
      <c r="H4734" s="718" t="s">
        <v>806</v>
      </c>
      <c r="I4734" s="722" t="s">
        <v>882</v>
      </c>
      <c r="J4734" s="723" t="s">
        <v>892</v>
      </c>
      <c r="K4734" s="718">
        <v>8</v>
      </c>
      <c r="L4734" s="724">
        <f t="shared" si="143"/>
        <v>18.8</v>
      </c>
      <c r="M4734" s="725">
        <f t="shared" si="144"/>
        <v>150.4</v>
      </c>
      <c r="O4734" s="693"/>
    </row>
    <row r="4735" spans="2:15" s="645" customFormat="1" ht="21.75" customHeight="1">
      <c r="B4735" s="717">
        <v>44491</v>
      </c>
      <c r="C4735" s="718" t="s">
        <v>837</v>
      </c>
      <c r="D4735" s="719" t="s">
        <v>878</v>
      </c>
      <c r="E4735" s="720" t="s">
        <v>831</v>
      </c>
      <c r="F4735" s="721"/>
      <c r="G4735" s="719">
        <v>15</v>
      </c>
      <c r="H4735" s="718" t="s">
        <v>806</v>
      </c>
      <c r="I4735" s="722" t="s">
        <v>882</v>
      </c>
      <c r="J4735" s="723" t="s">
        <v>892</v>
      </c>
      <c r="K4735" s="718">
        <v>8</v>
      </c>
      <c r="L4735" s="724">
        <f t="shared" si="143"/>
        <v>14.1</v>
      </c>
      <c r="M4735" s="725">
        <f t="shared" si="144"/>
        <v>112.8</v>
      </c>
      <c r="O4735" s="693"/>
    </row>
    <row r="4736" spans="2:15" s="645" customFormat="1" ht="21.75" customHeight="1">
      <c r="B4736" s="717">
        <v>44491</v>
      </c>
      <c r="C4736" s="718" t="s">
        <v>837</v>
      </c>
      <c r="D4736" s="719" t="s">
        <v>875</v>
      </c>
      <c r="E4736" s="720" t="s">
        <v>831</v>
      </c>
      <c r="F4736" s="721"/>
      <c r="G4736" s="719">
        <v>20</v>
      </c>
      <c r="H4736" s="718" t="s">
        <v>806</v>
      </c>
      <c r="I4736" s="722" t="s">
        <v>882</v>
      </c>
      <c r="J4736" s="723" t="s">
        <v>892</v>
      </c>
      <c r="K4736" s="718">
        <v>7</v>
      </c>
      <c r="L4736" s="724">
        <f t="shared" si="143"/>
        <v>18.8</v>
      </c>
      <c r="M4736" s="725">
        <f t="shared" si="144"/>
        <v>131.6</v>
      </c>
      <c r="O4736" s="693"/>
    </row>
    <row r="4737" spans="2:15" s="645" customFormat="1" ht="21.75" customHeight="1">
      <c r="B4737" s="717">
        <v>44491</v>
      </c>
      <c r="C4737" s="718" t="s">
        <v>837</v>
      </c>
      <c r="D4737" s="719" t="s">
        <v>876</v>
      </c>
      <c r="E4737" s="720" t="s">
        <v>831</v>
      </c>
      <c r="F4737" s="721"/>
      <c r="G4737" s="719">
        <v>20</v>
      </c>
      <c r="H4737" s="718" t="s">
        <v>806</v>
      </c>
      <c r="I4737" s="722" t="s">
        <v>882</v>
      </c>
      <c r="J4737" s="723" t="s">
        <v>892</v>
      </c>
      <c r="K4737" s="718">
        <v>9</v>
      </c>
      <c r="L4737" s="724">
        <f t="shared" si="143"/>
        <v>18.8</v>
      </c>
      <c r="M4737" s="725">
        <f t="shared" si="144"/>
        <v>169.20000000000002</v>
      </c>
      <c r="O4737" s="693"/>
    </row>
    <row r="4738" spans="2:15" s="645" customFormat="1" ht="21.75" customHeight="1">
      <c r="B4738" s="661">
        <v>44492</v>
      </c>
      <c r="C4738" s="662" t="s">
        <v>819</v>
      </c>
      <c r="D4738" s="663" t="s">
        <v>849</v>
      </c>
      <c r="E4738" s="664" t="s">
        <v>831</v>
      </c>
      <c r="F4738" s="665"/>
      <c r="G4738" s="663">
        <v>20</v>
      </c>
      <c r="H4738" s="662" t="s">
        <v>807</v>
      </c>
      <c r="I4738" s="666" t="s">
        <v>859</v>
      </c>
      <c r="J4738" s="667" t="s">
        <v>805</v>
      </c>
      <c r="K4738" s="662">
        <v>2</v>
      </c>
      <c r="L4738" s="685">
        <f t="shared" si="143"/>
        <v>18.8</v>
      </c>
      <c r="M4738" s="686">
        <f t="shared" si="144"/>
        <v>37.6</v>
      </c>
      <c r="O4738" s="693"/>
    </row>
    <row r="4739" spans="2:15" s="645" customFormat="1" ht="21.75" customHeight="1">
      <c r="B4739" s="661">
        <v>44492</v>
      </c>
      <c r="C4739" s="662" t="s">
        <v>819</v>
      </c>
      <c r="D4739" s="663" t="s">
        <v>835</v>
      </c>
      <c r="E4739" s="664" t="s">
        <v>831</v>
      </c>
      <c r="F4739" s="665"/>
      <c r="G4739" s="663">
        <v>20</v>
      </c>
      <c r="H4739" s="662" t="s">
        <v>807</v>
      </c>
      <c r="I4739" s="666" t="s">
        <v>859</v>
      </c>
      <c r="J4739" s="667" t="s">
        <v>805</v>
      </c>
      <c r="K4739" s="662">
        <v>1</v>
      </c>
      <c r="L4739" s="685">
        <f t="shared" si="143"/>
        <v>18.8</v>
      </c>
      <c r="M4739" s="686">
        <f t="shared" si="144"/>
        <v>18.8</v>
      </c>
      <c r="O4739" s="693"/>
    </row>
    <row r="4740" spans="2:15" s="645" customFormat="1" ht="21.75" customHeight="1">
      <c r="B4740" s="661">
        <v>44492</v>
      </c>
      <c r="C4740" s="662" t="s">
        <v>819</v>
      </c>
      <c r="D4740" s="663" t="s">
        <v>834</v>
      </c>
      <c r="E4740" s="664" t="s">
        <v>831</v>
      </c>
      <c r="F4740" s="665"/>
      <c r="G4740" s="663">
        <v>20</v>
      </c>
      <c r="H4740" s="662" t="s">
        <v>807</v>
      </c>
      <c r="I4740" s="666" t="s">
        <v>859</v>
      </c>
      <c r="J4740" s="667" t="s">
        <v>805</v>
      </c>
      <c r="K4740" s="662">
        <v>3</v>
      </c>
      <c r="L4740" s="685">
        <f t="shared" si="143"/>
        <v>18.8</v>
      </c>
      <c r="M4740" s="686">
        <f t="shared" si="144"/>
        <v>56.400000000000006</v>
      </c>
      <c r="O4740" s="693"/>
    </row>
    <row r="4741" spans="2:15" s="645" customFormat="1" ht="21.75" customHeight="1">
      <c r="B4741" s="661">
        <v>44492</v>
      </c>
      <c r="C4741" s="662" t="s">
        <v>819</v>
      </c>
      <c r="D4741" s="663" t="s">
        <v>848</v>
      </c>
      <c r="E4741" s="664" t="s">
        <v>831</v>
      </c>
      <c r="F4741" s="665"/>
      <c r="G4741" s="663">
        <v>20</v>
      </c>
      <c r="H4741" s="662" t="s">
        <v>807</v>
      </c>
      <c r="I4741" s="666" t="s">
        <v>859</v>
      </c>
      <c r="J4741" s="667" t="s">
        <v>805</v>
      </c>
      <c r="K4741" s="662">
        <v>1</v>
      </c>
      <c r="L4741" s="685">
        <f t="shared" si="143"/>
        <v>18.8</v>
      </c>
      <c r="M4741" s="686">
        <f t="shared" si="144"/>
        <v>18.8</v>
      </c>
      <c r="O4741" s="693"/>
    </row>
    <row r="4742" spans="2:15" s="645" customFormat="1" ht="21.75" customHeight="1">
      <c r="B4742" s="661">
        <v>44492</v>
      </c>
      <c r="C4742" s="662" t="s">
        <v>819</v>
      </c>
      <c r="D4742" s="663" t="s">
        <v>836</v>
      </c>
      <c r="E4742" s="664" t="s">
        <v>831</v>
      </c>
      <c r="F4742" s="665"/>
      <c r="G4742" s="663">
        <v>15</v>
      </c>
      <c r="H4742" s="662" t="s">
        <v>807</v>
      </c>
      <c r="I4742" s="666" t="s">
        <v>859</v>
      </c>
      <c r="J4742" s="667" t="s">
        <v>805</v>
      </c>
      <c r="K4742" s="662">
        <v>1</v>
      </c>
      <c r="L4742" s="685">
        <f t="shared" si="143"/>
        <v>14.1</v>
      </c>
      <c r="M4742" s="686">
        <f t="shared" si="144"/>
        <v>14.1</v>
      </c>
      <c r="O4742" s="693"/>
    </row>
    <row r="4743" spans="2:15" s="645" customFormat="1" ht="21.75" customHeight="1">
      <c r="B4743" s="661">
        <v>44492</v>
      </c>
      <c r="C4743" s="662" t="s">
        <v>819</v>
      </c>
      <c r="D4743" s="663" t="s">
        <v>845</v>
      </c>
      <c r="E4743" s="664" t="s">
        <v>831</v>
      </c>
      <c r="F4743" s="665"/>
      <c r="G4743" s="663">
        <v>17</v>
      </c>
      <c r="H4743" s="662" t="s">
        <v>807</v>
      </c>
      <c r="I4743" s="666" t="s">
        <v>859</v>
      </c>
      <c r="J4743" s="667" t="s">
        <v>805</v>
      </c>
      <c r="K4743" s="662">
        <v>1</v>
      </c>
      <c r="L4743" s="685">
        <f t="shared" si="143"/>
        <v>15.98</v>
      </c>
      <c r="M4743" s="686">
        <f t="shared" si="144"/>
        <v>15.98</v>
      </c>
      <c r="O4743" s="693"/>
    </row>
    <row r="4744" spans="2:15" s="645" customFormat="1" ht="21.75" customHeight="1">
      <c r="B4744" s="661">
        <v>44492</v>
      </c>
      <c r="C4744" s="662" t="s">
        <v>819</v>
      </c>
      <c r="D4744" s="663" t="s">
        <v>847</v>
      </c>
      <c r="E4744" s="664" t="s">
        <v>831</v>
      </c>
      <c r="F4744" s="665"/>
      <c r="G4744" s="663">
        <v>17</v>
      </c>
      <c r="H4744" s="662" t="s">
        <v>807</v>
      </c>
      <c r="I4744" s="666" t="s">
        <v>859</v>
      </c>
      <c r="J4744" s="667" t="s">
        <v>805</v>
      </c>
      <c r="K4744" s="662">
        <v>1</v>
      </c>
      <c r="L4744" s="685">
        <f t="shared" si="143"/>
        <v>15.98</v>
      </c>
      <c r="M4744" s="686">
        <f t="shared" si="144"/>
        <v>15.98</v>
      </c>
      <c r="O4744" s="693"/>
    </row>
    <row r="4745" spans="2:15" s="645" customFormat="1" ht="21.75" customHeight="1">
      <c r="B4745" s="661">
        <v>44492</v>
      </c>
      <c r="C4745" s="662" t="s">
        <v>819</v>
      </c>
      <c r="D4745" s="663" t="s">
        <v>875</v>
      </c>
      <c r="E4745" s="664" t="s">
        <v>831</v>
      </c>
      <c r="F4745" s="665"/>
      <c r="G4745" s="663">
        <v>20</v>
      </c>
      <c r="H4745" s="662" t="s">
        <v>807</v>
      </c>
      <c r="I4745" s="666" t="s">
        <v>859</v>
      </c>
      <c r="J4745" s="667" t="s">
        <v>805</v>
      </c>
      <c r="K4745" s="662">
        <v>1</v>
      </c>
      <c r="L4745" s="685">
        <f t="shared" ref="L4745:L4808" si="145">VLOOKUP(G4745,$Q$4:$V$7,6,FALSE)</f>
        <v>18.8</v>
      </c>
      <c r="M4745" s="686">
        <f t="shared" si="144"/>
        <v>18.8</v>
      </c>
      <c r="O4745" s="693"/>
    </row>
    <row r="4746" spans="2:15" s="645" customFormat="1" ht="21.75" customHeight="1">
      <c r="B4746" s="661">
        <v>44492</v>
      </c>
      <c r="C4746" s="662" t="s">
        <v>819</v>
      </c>
      <c r="D4746" s="663" t="s">
        <v>867</v>
      </c>
      <c r="E4746" s="664" t="s">
        <v>831</v>
      </c>
      <c r="F4746" s="665"/>
      <c r="G4746" s="663">
        <v>20</v>
      </c>
      <c r="H4746" s="662" t="s">
        <v>807</v>
      </c>
      <c r="I4746" s="666" t="s">
        <v>859</v>
      </c>
      <c r="J4746" s="667" t="s">
        <v>805</v>
      </c>
      <c r="K4746" s="662">
        <v>1</v>
      </c>
      <c r="L4746" s="685">
        <f t="shared" si="145"/>
        <v>18.8</v>
      </c>
      <c r="M4746" s="686">
        <f t="shared" si="144"/>
        <v>18.8</v>
      </c>
      <c r="O4746" s="693"/>
    </row>
    <row r="4747" spans="2:15" s="645" customFormat="1" ht="21.75" customHeight="1">
      <c r="B4747" s="661">
        <v>44492</v>
      </c>
      <c r="C4747" s="662" t="s">
        <v>819</v>
      </c>
      <c r="D4747" s="663" t="s">
        <v>868</v>
      </c>
      <c r="E4747" s="664" t="s">
        <v>831</v>
      </c>
      <c r="F4747" s="665"/>
      <c r="G4747" s="663">
        <v>20</v>
      </c>
      <c r="H4747" s="662" t="s">
        <v>807</v>
      </c>
      <c r="I4747" s="666" t="s">
        <v>859</v>
      </c>
      <c r="J4747" s="667" t="s">
        <v>805</v>
      </c>
      <c r="K4747" s="662">
        <v>1</v>
      </c>
      <c r="L4747" s="685">
        <f t="shared" si="145"/>
        <v>18.8</v>
      </c>
      <c r="M4747" s="686">
        <f t="shared" si="144"/>
        <v>18.8</v>
      </c>
      <c r="O4747" s="693"/>
    </row>
    <row r="4748" spans="2:15" s="645" customFormat="1" ht="21.75" customHeight="1">
      <c r="B4748" s="661">
        <v>44492</v>
      </c>
      <c r="C4748" s="662" t="s">
        <v>819</v>
      </c>
      <c r="D4748" s="663" t="s">
        <v>868</v>
      </c>
      <c r="E4748" s="664" t="s">
        <v>831</v>
      </c>
      <c r="F4748" s="665"/>
      <c r="G4748" s="663">
        <v>20</v>
      </c>
      <c r="H4748" s="662" t="s">
        <v>807</v>
      </c>
      <c r="I4748" s="666" t="s">
        <v>805</v>
      </c>
      <c r="J4748" s="667" t="s">
        <v>805</v>
      </c>
      <c r="K4748" s="662">
        <v>4</v>
      </c>
      <c r="L4748" s="685">
        <f t="shared" si="145"/>
        <v>18.8</v>
      </c>
      <c r="M4748" s="686">
        <f t="shared" si="144"/>
        <v>75.2</v>
      </c>
      <c r="O4748" s="693"/>
    </row>
    <row r="4749" spans="2:15" s="645" customFormat="1" ht="21.75" customHeight="1">
      <c r="B4749" s="708">
        <v>44492</v>
      </c>
      <c r="C4749" s="709" t="s">
        <v>819</v>
      </c>
      <c r="D4749" s="710" t="s">
        <v>849</v>
      </c>
      <c r="E4749" s="711" t="s">
        <v>831</v>
      </c>
      <c r="F4749" s="712"/>
      <c r="G4749" s="710">
        <v>20</v>
      </c>
      <c r="H4749" s="709" t="s">
        <v>807</v>
      </c>
      <c r="I4749" s="713" t="s">
        <v>859</v>
      </c>
      <c r="J4749" s="714" t="s">
        <v>802</v>
      </c>
      <c r="K4749" s="709">
        <v>1</v>
      </c>
      <c r="L4749" s="715">
        <f t="shared" si="145"/>
        <v>18.8</v>
      </c>
      <c r="M4749" s="716">
        <f t="shared" si="144"/>
        <v>18.8</v>
      </c>
      <c r="O4749" s="693"/>
    </row>
    <row r="4750" spans="2:15" s="645" customFormat="1" ht="21.75" customHeight="1">
      <c r="B4750" s="708">
        <v>44492</v>
      </c>
      <c r="C4750" s="709" t="s">
        <v>819</v>
      </c>
      <c r="D4750" s="710" t="s">
        <v>840</v>
      </c>
      <c r="E4750" s="711" t="s">
        <v>831</v>
      </c>
      <c r="F4750" s="712"/>
      <c r="G4750" s="710">
        <v>20</v>
      </c>
      <c r="H4750" s="709" t="s">
        <v>807</v>
      </c>
      <c r="I4750" s="713" t="s">
        <v>859</v>
      </c>
      <c r="J4750" s="714" t="s">
        <v>802</v>
      </c>
      <c r="K4750" s="709">
        <v>6</v>
      </c>
      <c r="L4750" s="715">
        <f t="shared" si="145"/>
        <v>18.8</v>
      </c>
      <c r="M4750" s="716">
        <f t="shared" si="144"/>
        <v>112.80000000000001</v>
      </c>
      <c r="O4750" s="693"/>
    </row>
    <row r="4751" spans="2:15" s="645" customFormat="1" ht="21.75" customHeight="1">
      <c r="B4751" s="708">
        <v>44492</v>
      </c>
      <c r="C4751" s="709" t="s">
        <v>819</v>
      </c>
      <c r="D4751" s="710" t="s">
        <v>835</v>
      </c>
      <c r="E4751" s="711" t="s">
        <v>831</v>
      </c>
      <c r="F4751" s="712"/>
      <c r="G4751" s="710">
        <v>20</v>
      </c>
      <c r="H4751" s="709" t="s">
        <v>807</v>
      </c>
      <c r="I4751" s="713" t="s">
        <v>859</v>
      </c>
      <c r="J4751" s="714" t="s">
        <v>802</v>
      </c>
      <c r="K4751" s="709">
        <v>5</v>
      </c>
      <c r="L4751" s="715">
        <f t="shared" si="145"/>
        <v>18.8</v>
      </c>
      <c r="M4751" s="716">
        <f t="shared" si="144"/>
        <v>94</v>
      </c>
      <c r="O4751" s="693"/>
    </row>
    <row r="4752" spans="2:15" s="645" customFormat="1" ht="21.75" customHeight="1">
      <c r="B4752" s="708">
        <v>44492</v>
      </c>
      <c r="C4752" s="709" t="s">
        <v>819</v>
      </c>
      <c r="D4752" s="710" t="s">
        <v>841</v>
      </c>
      <c r="E4752" s="711" t="s">
        <v>831</v>
      </c>
      <c r="F4752" s="712"/>
      <c r="G4752" s="710">
        <v>20</v>
      </c>
      <c r="H4752" s="709" t="s">
        <v>807</v>
      </c>
      <c r="I4752" s="713" t="s">
        <v>859</v>
      </c>
      <c r="J4752" s="714" t="s">
        <v>802</v>
      </c>
      <c r="K4752" s="709">
        <v>5</v>
      </c>
      <c r="L4752" s="715">
        <f t="shared" si="145"/>
        <v>18.8</v>
      </c>
      <c r="M4752" s="716">
        <f t="shared" si="144"/>
        <v>94</v>
      </c>
      <c r="O4752" s="693"/>
    </row>
    <row r="4753" spans="2:15" s="645" customFormat="1" ht="21.75" customHeight="1">
      <c r="B4753" s="708">
        <v>44492</v>
      </c>
      <c r="C4753" s="709" t="s">
        <v>819</v>
      </c>
      <c r="D4753" s="710" t="s">
        <v>834</v>
      </c>
      <c r="E4753" s="711" t="s">
        <v>831</v>
      </c>
      <c r="F4753" s="712"/>
      <c r="G4753" s="710">
        <v>20</v>
      </c>
      <c r="H4753" s="709" t="s">
        <v>807</v>
      </c>
      <c r="I4753" s="713" t="s">
        <v>859</v>
      </c>
      <c r="J4753" s="714" t="s">
        <v>802</v>
      </c>
      <c r="K4753" s="709">
        <v>2</v>
      </c>
      <c r="L4753" s="715">
        <f t="shared" si="145"/>
        <v>18.8</v>
      </c>
      <c r="M4753" s="716">
        <f t="shared" si="144"/>
        <v>37.6</v>
      </c>
      <c r="O4753" s="693"/>
    </row>
    <row r="4754" spans="2:15" s="645" customFormat="1" ht="21.75" customHeight="1">
      <c r="B4754" s="708">
        <v>44492</v>
      </c>
      <c r="C4754" s="709" t="s">
        <v>819</v>
      </c>
      <c r="D4754" s="710" t="s">
        <v>848</v>
      </c>
      <c r="E4754" s="711" t="s">
        <v>831</v>
      </c>
      <c r="F4754" s="712"/>
      <c r="G4754" s="710">
        <v>20</v>
      </c>
      <c r="H4754" s="709" t="s">
        <v>807</v>
      </c>
      <c r="I4754" s="713" t="s">
        <v>859</v>
      </c>
      <c r="J4754" s="714" t="s">
        <v>802</v>
      </c>
      <c r="K4754" s="709">
        <v>5</v>
      </c>
      <c r="L4754" s="715">
        <f t="shared" si="145"/>
        <v>18.8</v>
      </c>
      <c r="M4754" s="716">
        <f t="shared" si="144"/>
        <v>94</v>
      </c>
      <c r="O4754" s="693"/>
    </row>
    <row r="4755" spans="2:15" s="645" customFormat="1" ht="21.75" customHeight="1">
      <c r="B4755" s="708">
        <v>44492</v>
      </c>
      <c r="C4755" s="709" t="s">
        <v>819</v>
      </c>
      <c r="D4755" s="710" t="s">
        <v>836</v>
      </c>
      <c r="E4755" s="711" t="s">
        <v>831</v>
      </c>
      <c r="F4755" s="712"/>
      <c r="G4755" s="710">
        <v>15</v>
      </c>
      <c r="H4755" s="709" t="s">
        <v>807</v>
      </c>
      <c r="I4755" s="713" t="s">
        <v>859</v>
      </c>
      <c r="J4755" s="714" t="s">
        <v>802</v>
      </c>
      <c r="K4755" s="709">
        <v>4</v>
      </c>
      <c r="L4755" s="715">
        <f t="shared" si="145"/>
        <v>14.1</v>
      </c>
      <c r="M4755" s="716">
        <f t="shared" si="144"/>
        <v>56.4</v>
      </c>
      <c r="O4755" s="693"/>
    </row>
    <row r="4756" spans="2:15" s="645" customFormat="1" ht="21.75" customHeight="1">
      <c r="B4756" s="708">
        <v>44492</v>
      </c>
      <c r="C4756" s="709" t="s">
        <v>819</v>
      </c>
      <c r="D4756" s="710" t="s">
        <v>830</v>
      </c>
      <c r="E4756" s="711" t="s">
        <v>831</v>
      </c>
      <c r="F4756" s="712"/>
      <c r="G4756" s="710">
        <v>15</v>
      </c>
      <c r="H4756" s="709" t="s">
        <v>807</v>
      </c>
      <c r="I4756" s="713" t="s">
        <v>859</v>
      </c>
      <c r="J4756" s="714" t="s">
        <v>802</v>
      </c>
      <c r="K4756" s="709">
        <v>4</v>
      </c>
      <c r="L4756" s="715">
        <f t="shared" si="145"/>
        <v>14.1</v>
      </c>
      <c r="M4756" s="716">
        <f t="shared" si="144"/>
        <v>56.4</v>
      </c>
      <c r="O4756" s="693"/>
    </row>
    <row r="4757" spans="2:15" s="645" customFormat="1" ht="21.75" customHeight="1">
      <c r="B4757" s="708">
        <v>44492</v>
      </c>
      <c r="C4757" s="709" t="s">
        <v>819</v>
      </c>
      <c r="D4757" s="710" t="s">
        <v>845</v>
      </c>
      <c r="E4757" s="711" t="s">
        <v>831</v>
      </c>
      <c r="F4757" s="712"/>
      <c r="G4757" s="710">
        <v>17</v>
      </c>
      <c r="H4757" s="709" t="s">
        <v>807</v>
      </c>
      <c r="I4757" s="713" t="s">
        <v>859</v>
      </c>
      <c r="J4757" s="714" t="s">
        <v>802</v>
      </c>
      <c r="K4757" s="709">
        <v>5</v>
      </c>
      <c r="L4757" s="715">
        <f t="shared" si="145"/>
        <v>15.98</v>
      </c>
      <c r="M4757" s="716">
        <f t="shared" si="144"/>
        <v>79.900000000000006</v>
      </c>
      <c r="O4757" s="693"/>
    </row>
    <row r="4758" spans="2:15" s="645" customFormat="1" ht="21.75" customHeight="1">
      <c r="B4758" s="708">
        <v>44492</v>
      </c>
      <c r="C4758" s="709" t="s">
        <v>819</v>
      </c>
      <c r="D4758" s="710" t="s">
        <v>847</v>
      </c>
      <c r="E4758" s="711" t="s">
        <v>831</v>
      </c>
      <c r="F4758" s="712"/>
      <c r="G4758" s="710">
        <v>17</v>
      </c>
      <c r="H4758" s="709" t="s">
        <v>807</v>
      </c>
      <c r="I4758" s="713" t="s">
        <v>859</v>
      </c>
      <c r="J4758" s="714" t="s">
        <v>802</v>
      </c>
      <c r="K4758" s="709">
        <v>6</v>
      </c>
      <c r="L4758" s="715">
        <f t="shared" si="145"/>
        <v>15.98</v>
      </c>
      <c r="M4758" s="716">
        <f t="shared" si="144"/>
        <v>95.88</v>
      </c>
      <c r="O4758" s="693"/>
    </row>
    <row r="4759" spans="2:15" s="645" customFormat="1" ht="21.75" customHeight="1">
      <c r="B4759" s="708">
        <v>44492</v>
      </c>
      <c r="C4759" s="709" t="s">
        <v>819</v>
      </c>
      <c r="D4759" s="710" t="s">
        <v>856</v>
      </c>
      <c r="E4759" s="711" t="s">
        <v>831</v>
      </c>
      <c r="F4759" s="712"/>
      <c r="G4759" s="710">
        <v>20</v>
      </c>
      <c r="H4759" s="709" t="s">
        <v>807</v>
      </c>
      <c r="I4759" s="713" t="s">
        <v>859</v>
      </c>
      <c r="J4759" s="714" t="s">
        <v>802</v>
      </c>
      <c r="K4759" s="709">
        <v>2</v>
      </c>
      <c r="L4759" s="715">
        <f t="shared" si="145"/>
        <v>18.8</v>
      </c>
      <c r="M4759" s="716">
        <f t="shared" si="144"/>
        <v>37.6</v>
      </c>
      <c r="O4759" s="693"/>
    </row>
    <row r="4760" spans="2:15" s="645" customFormat="1" ht="21.75" customHeight="1">
      <c r="B4760" s="708">
        <v>44492</v>
      </c>
      <c r="C4760" s="709" t="s">
        <v>819</v>
      </c>
      <c r="D4760" s="710" t="s">
        <v>878</v>
      </c>
      <c r="E4760" s="711" t="s">
        <v>831</v>
      </c>
      <c r="F4760" s="712"/>
      <c r="G4760" s="710">
        <v>15</v>
      </c>
      <c r="H4760" s="709" t="s">
        <v>807</v>
      </c>
      <c r="I4760" s="713" t="s">
        <v>859</v>
      </c>
      <c r="J4760" s="714" t="s">
        <v>802</v>
      </c>
      <c r="K4760" s="709">
        <v>6</v>
      </c>
      <c r="L4760" s="715">
        <f t="shared" si="145"/>
        <v>14.1</v>
      </c>
      <c r="M4760" s="716">
        <f t="shared" si="144"/>
        <v>84.6</v>
      </c>
      <c r="O4760" s="693"/>
    </row>
    <row r="4761" spans="2:15" s="645" customFormat="1" ht="21.75" customHeight="1">
      <c r="B4761" s="708">
        <v>44492</v>
      </c>
      <c r="C4761" s="709" t="s">
        <v>819</v>
      </c>
      <c r="D4761" s="710" t="s">
        <v>855</v>
      </c>
      <c r="E4761" s="711" t="s">
        <v>831</v>
      </c>
      <c r="F4761" s="712"/>
      <c r="G4761" s="710">
        <v>20</v>
      </c>
      <c r="H4761" s="709" t="s">
        <v>807</v>
      </c>
      <c r="I4761" s="713" t="s">
        <v>859</v>
      </c>
      <c r="J4761" s="714" t="s">
        <v>802</v>
      </c>
      <c r="K4761" s="709">
        <v>6</v>
      </c>
      <c r="L4761" s="715">
        <f t="shared" si="145"/>
        <v>18.8</v>
      </c>
      <c r="M4761" s="716">
        <f t="shared" si="144"/>
        <v>112.80000000000001</v>
      </c>
      <c r="O4761" s="693"/>
    </row>
    <row r="4762" spans="2:15" s="645" customFormat="1" ht="21.75" customHeight="1">
      <c r="B4762" s="708">
        <v>44492</v>
      </c>
      <c r="C4762" s="709" t="s">
        <v>819</v>
      </c>
      <c r="D4762" s="710" t="s">
        <v>875</v>
      </c>
      <c r="E4762" s="711" t="s">
        <v>831</v>
      </c>
      <c r="F4762" s="712"/>
      <c r="G4762" s="710">
        <v>20</v>
      </c>
      <c r="H4762" s="709" t="s">
        <v>807</v>
      </c>
      <c r="I4762" s="713" t="s">
        <v>859</v>
      </c>
      <c r="J4762" s="714" t="s">
        <v>802</v>
      </c>
      <c r="K4762" s="709">
        <v>3</v>
      </c>
      <c r="L4762" s="715">
        <f t="shared" si="145"/>
        <v>18.8</v>
      </c>
      <c r="M4762" s="716">
        <f t="shared" si="144"/>
        <v>56.400000000000006</v>
      </c>
      <c r="O4762" s="693"/>
    </row>
    <row r="4763" spans="2:15" s="645" customFormat="1" ht="21.75" customHeight="1">
      <c r="B4763" s="708">
        <v>44492</v>
      </c>
      <c r="C4763" s="709" t="s">
        <v>819</v>
      </c>
      <c r="D4763" s="710" t="s">
        <v>867</v>
      </c>
      <c r="E4763" s="711" t="s">
        <v>831</v>
      </c>
      <c r="F4763" s="712"/>
      <c r="G4763" s="710">
        <v>20</v>
      </c>
      <c r="H4763" s="709" t="s">
        <v>807</v>
      </c>
      <c r="I4763" s="713" t="s">
        <v>859</v>
      </c>
      <c r="J4763" s="714" t="s">
        <v>802</v>
      </c>
      <c r="K4763" s="709">
        <v>3</v>
      </c>
      <c r="L4763" s="715">
        <f t="shared" si="145"/>
        <v>18.8</v>
      </c>
      <c r="M4763" s="716">
        <f t="shared" si="144"/>
        <v>56.400000000000006</v>
      </c>
      <c r="O4763" s="693"/>
    </row>
    <row r="4764" spans="2:15" s="645" customFormat="1" ht="21.75" customHeight="1">
      <c r="B4764" s="708">
        <v>44492</v>
      </c>
      <c r="C4764" s="709" t="s">
        <v>819</v>
      </c>
      <c r="D4764" s="710" t="s">
        <v>876</v>
      </c>
      <c r="E4764" s="711" t="s">
        <v>831</v>
      </c>
      <c r="F4764" s="712"/>
      <c r="G4764" s="710">
        <v>20</v>
      </c>
      <c r="H4764" s="709" t="s">
        <v>807</v>
      </c>
      <c r="I4764" s="713" t="s">
        <v>859</v>
      </c>
      <c r="J4764" s="714" t="s">
        <v>802</v>
      </c>
      <c r="K4764" s="709">
        <v>5</v>
      </c>
      <c r="L4764" s="715">
        <f t="shared" si="145"/>
        <v>18.8</v>
      </c>
      <c r="M4764" s="716">
        <f t="shared" si="144"/>
        <v>94</v>
      </c>
      <c r="O4764" s="693"/>
    </row>
    <row r="4765" spans="2:15" s="645" customFormat="1" ht="21.75" customHeight="1">
      <c r="B4765" s="708">
        <v>44492</v>
      </c>
      <c r="C4765" s="709" t="s">
        <v>819</v>
      </c>
      <c r="D4765" s="710" t="s">
        <v>868</v>
      </c>
      <c r="E4765" s="711" t="s">
        <v>831</v>
      </c>
      <c r="F4765" s="712"/>
      <c r="G4765" s="710">
        <v>20</v>
      </c>
      <c r="H4765" s="709" t="s">
        <v>807</v>
      </c>
      <c r="I4765" s="713" t="s">
        <v>859</v>
      </c>
      <c r="J4765" s="714" t="s">
        <v>802</v>
      </c>
      <c r="K4765" s="709">
        <v>3</v>
      </c>
      <c r="L4765" s="715">
        <f t="shared" si="145"/>
        <v>18.8</v>
      </c>
      <c r="M4765" s="716">
        <f t="shared" si="144"/>
        <v>56.400000000000006</v>
      </c>
      <c r="O4765" s="693"/>
    </row>
    <row r="4766" spans="2:15" s="645" customFormat="1" ht="21.75" customHeight="1">
      <c r="B4766" s="708">
        <v>44492</v>
      </c>
      <c r="C4766" s="709" t="s">
        <v>819</v>
      </c>
      <c r="D4766" s="710" t="s">
        <v>870</v>
      </c>
      <c r="E4766" s="711" t="s">
        <v>831</v>
      </c>
      <c r="F4766" s="712"/>
      <c r="G4766" s="710">
        <v>20</v>
      </c>
      <c r="H4766" s="709" t="s">
        <v>807</v>
      </c>
      <c r="I4766" s="713" t="s">
        <v>859</v>
      </c>
      <c r="J4766" s="714" t="s">
        <v>802</v>
      </c>
      <c r="K4766" s="709">
        <v>3</v>
      </c>
      <c r="L4766" s="715">
        <f t="shared" si="145"/>
        <v>18.8</v>
      </c>
      <c r="M4766" s="716">
        <f t="shared" si="144"/>
        <v>56.400000000000006</v>
      </c>
      <c r="O4766" s="693"/>
    </row>
    <row r="4767" spans="2:15" s="645" customFormat="1" ht="21.75" customHeight="1">
      <c r="B4767" s="708">
        <v>44492</v>
      </c>
      <c r="C4767" s="709" t="s">
        <v>837</v>
      </c>
      <c r="D4767" s="710" t="s">
        <v>856</v>
      </c>
      <c r="E4767" s="711" t="s">
        <v>831</v>
      </c>
      <c r="F4767" s="712"/>
      <c r="G4767" s="710">
        <v>20</v>
      </c>
      <c r="H4767" s="709" t="s">
        <v>807</v>
      </c>
      <c r="I4767" s="713" t="s">
        <v>859</v>
      </c>
      <c r="J4767" s="714" t="s">
        <v>802</v>
      </c>
      <c r="K4767" s="709">
        <v>10</v>
      </c>
      <c r="L4767" s="715">
        <f t="shared" si="145"/>
        <v>18.8</v>
      </c>
      <c r="M4767" s="716">
        <f t="shared" si="144"/>
        <v>188</v>
      </c>
      <c r="O4767" s="693"/>
    </row>
    <row r="4768" spans="2:15" s="645" customFormat="1" ht="21.75" customHeight="1">
      <c r="B4768" s="708">
        <v>44492</v>
      </c>
      <c r="C4768" s="709" t="s">
        <v>837</v>
      </c>
      <c r="D4768" s="710" t="s">
        <v>855</v>
      </c>
      <c r="E4768" s="711" t="s">
        <v>831</v>
      </c>
      <c r="F4768" s="712"/>
      <c r="G4768" s="710">
        <v>20</v>
      </c>
      <c r="H4768" s="709" t="s">
        <v>807</v>
      </c>
      <c r="I4768" s="713" t="s">
        <v>859</v>
      </c>
      <c r="J4768" s="714" t="s">
        <v>802</v>
      </c>
      <c r="K4768" s="709">
        <v>11</v>
      </c>
      <c r="L4768" s="715">
        <f t="shared" si="145"/>
        <v>18.8</v>
      </c>
      <c r="M4768" s="716">
        <f t="shared" si="144"/>
        <v>206.8</v>
      </c>
      <c r="O4768" s="693"/>
    </row>
    <row r="4769" spans="2:15" s="645" customFormat="1" ht="21.75" customHeight="1">
      <c r="B4769" s="708">
        <v>44492</v>
      </c>
      <c r="C4769" s="709" t="s">
        <v>837</v>
      </c>
      <c r="D4769" s="710" t="s">
        <v>835</v>
      </c>
      <c r="E4769" s="711" t="s">
        <v>831</v>
      </c>
      <c r="F4769" s="712"/>
      <c r="G4769" s="710">
        <v>20</v>
      </c>
      <c r="H4769" s="709" t="s">
        <v>807</v>
      </c>
      <c r="I4769" s="713" t="s">
        <v>859</v>
      </c>
      <c r="J4769" s="714" t="s">
        <v>802</v>
      </c>
      <c r="K4769" s="709">
        <v>11</v>
      </c>
      <c r="L4769" s="715">
        <f t="shared" si="145"/>
        <v>18.8</v>
      </c>
      <c r="M4769" s="716">
        <f t="shared" si="144"/>
        <v>206.8</v>
      </c>
      <c r="O4769" s="693"/>
    </row>
    <row r="4770" spans="2:15" s="645" customFormat="1" ht="21.75" customHeight="1">
      <c r="B4770" s="708">
        <v>44492</v>
      </c>
      <c r="C4770" s="709" t="s">
        <v>837</v>
      </c>
      <c r="D4770" s="710" t="s">
        <v>841</v>
      </c>
      <c r="E4770" s="711" t="s">
        <v>831</v>
      </c>
      <c r="F4770" s="712"/>
      <c r="G4770" s="710">
        <v>20</v>
      </c>
      <c r="H4770" s="709" t="s">
        <v>807</v>
      </c>
      <c r="I4770" s="713" t="s">
        <v>859</v>
      </c>
      <c r="J4770" s="714" t="s">
        <v>802</v>
      </c>
      <c r="K4770" s="709">
        <v>11</v>
      </c>
      <c r="L4770" s="715">
        <f t="shared" si="145"/>
        <v>18.8</v>
      </c>
      <c r="M4770" s="716">
        <f t="shared" si="144"/>
        <v>206.8</v>
      </c>
      <c r="O4770" s="693"/>
    </row>
    <row r="4771" spans="2:15" s="645" customFormat="1" ht="21.75" customHeight="1">
      <c r="B4771" s="708">
        <v>44492</v>
      </c>
      <c r="C4771" s="709" t="s">
        <v>837</v>
      </c>
      <c r="D4771" s="710" t="s">
        <v>848</v>
      </c>
      <c r="E4771" s="711" t="s">
        <v>831</v>
      </c>
      <c r="F4771" s="712"/>
      <c r="G4771" s="710">
        <v>20</v>
      </c>
      <c r="H4771" s="709" t="s">
        <v>807</v>
      </c>
      <c r="I4771" s="713" t="s">
        <v>859</v>
      </c>
      <c r="J4771" s="714" t="s">
        <v>802</v>
      </c>
      <c r="K4771" s="709">
        <v>11</v>
      </c>
      <c r="L4771" s="715">
        <f t="shared" si="145"/>
        <v>18.8</v>
      </c>
      <c r="M4771" s="716">
        <f t="shared" si="144"/>
        <v>206.8</v>
      </c>
      <c r="O4771" s="693"/>
    </row>
    <row r="4772" spans="2:15" s="645" customFormat="1" ht="21.75" customHeight="1">
      <c r="B4772" s="708">
        <v>44492</v>
      </c>
      <c r="C4772" s="709" t="s">
        <v>837</v>
      </c>
      <c r="D4772" s="710" t="s">
        <v>830</v>
      </c>
      <c r="E4772" s="711" t="s">
        <v>831</v>
      </c>
      <c r="F4772" s="712"/>
      <c r="G4772" s="710">
        <v>15</v>
      </c>
      <c r="H4772" s="709" t="s">
        <v>807</v>
      </c>
      <c r="I4772" s="713" t="s">
        <v>859</v>
      </c>
      <c r="J4772" s="714" t="s">
        <v>802</v>
      </c>
      <c r="K4772" s="709">
        <v>10</v>
      </c>
      <c r="L4772" s="715">
        <f t="shared" si="145"/>
        <v>14.1</v>
      </c>
      <c r="M4772" s="716">
        <f t="shared" si="144"/>
        <v>141</v>
      </c>
      <c r="O4772" s="693"/>
    </row>
    <row r="4773" spans="2:15" s="645" customFormat="1" ht="21.75" customHeight="1">
      <c r="B4773" s="708">
        <v>44492</v>
      </c>
      <c r="C4773" s="709" t="s">
        <v>837</v>
      </c>
      <c r="D4773" s="710" t="s">
        <v>850</v>
      </c>
      <c r="E4773" s="711" t="s">
        <v>831</v>
      </c>
      <c r="F4773" s="712"/>
      <c r="G4773" s="710">
        <v>15</v>
      </c>
      <c r="H4773" s="709" t="s">
        <v>807</v>
      </c>
      <c r="I4773" s="713" t="s">
        <v>859</v>
      </c>
      <c r="J4773" s="714" t="s">
        <v>802</v>
      </c>
      <c r="K4773" s="709">
        <v>10</v>
      </c>
      <c r="L4773" s="715">
        <f t="shared" si="145"/>
        <v>14.1</v>
      </c>
      <c r="M4773" s="716">
        <f t="shared" si="144"/>
        <v>141</v>
      </c>
      <c r="O4773" s="693"/>
    </row>
    <row r="4774" spans="2:15" s="645" customFormat="1" ht="21.75" customHeight="1">
      <c r="B4774" s="708">
        <v>44492</v>
      </c>
      <c r="C4774" s="709" t="s">
        <v>837</v>
      </c>
      <c r="D4774" s="710" t="s">
        <v>845</v>
      </c>
      <c r="E4774" s="711" t="s">
        <v>831</v>
      </c>
      <c r="F4774" s="712"/>
      <c r="G4774" s="710">
        <v>17</v>
      </c>
      <c r="H4774" s="709" t="s">
        <v>807</v>
      </c>
      <c r="I4774" s="713" t="s">
        <v>859</v>
      </c>
      <c r="J4774" s="714" t="s">
        <v>802</v>
      </c>
      <c r="K4774" s="709">
        <v>4</v>
      </c>
      <c r="L4774" s="715">
        <f t="shared" si="145"/>
        <v>15.98</v>
      </c>
      <c r="M4774" s="716">
        <f t="shared" si="144"/>
        <v>63.92</v>
      </c>
      <c r="O4774" s="693"/>
    </row>
    <row r="4775" spans="2:15" s="645" customFormat="1" ht="21.75" customHeight="1">
      <c r="B4775" s="708">
        <v>44492</v>
      </c>
      <c r="C4775" s="709" t="s">
        <v>837</v>
      </c>
      <c r="D4775" s="710" t="s">
        <v>847</v>
      </c>
      <c r="E4775" s="711" t="s">
        <v>831</v>
      </c>
      <c r="F4775" s="712"/>
      <c r="G4775" s="710">
        <v>17</v>
      </c>
      <c r="H4775" s="709" t="s">
        <v>807</v>
      </c>
      <c r="I4775" s="713" t="s">
        <v>859</v>
      </c>
      <c r="J4775" s="714" t="s">
        <v>802</v>
      </c>
      <c r="K4775" s="709">
        <v>10</v>
      </c>
      <c r="L4775" s="715">
        <f t="shared" si="145"/>
        <v>15.98</v>
      </c>
      <c r="M4775" s="716">
        <f t="shared" ref="M4775:M4838" si="146">L4775*K4775</f>
        <v>159.80000000000001</v>
      </c>
      <c r="O4775" s="693"/>
    </row>
    <row r="4776" spans="2:15" s="645" customFormat="1" ht="21.75" customHeight="1">
      <c r="B4776" s="708">
        <v>44492</v>
      </c>
      <c r="C4776" s="709" t="s">
        <v>837</v>
      </c>
      <c r="D4776" s="710" t="s">
        <v>876</v>
      </c>
      <c r="E4776" s="711" t="s">
        <v>831</v>
      </c>
      <c r="F4776" s="712"/>
      <c r="G4776" s="710">
        <v>20</v>
      </c>
      <c r="H4776" s="709" t="s">
        <v>807</v>
      </c>
      <c r="I4776" s="713" t="s">
        <v>859</v>
      </c>
      <c r="J4776" s="714" t="s">
        <v>802</v>
      </c>
      <c r="K4776" s="709">
        <v>10</v>
      </c>
      <c r="L4776" s="715">
        <f t="shared" si="145"/>
        <v>18.8</v>
      </c>
      <c r="M4776" s="716">
        <f t="shared" si="146"/>
        <v>188</v>
      </c>
      <c r="O4776" s="693"/>
    </row>
    <row r="4777" spans="2:15" s="645" customFormat="1" ht="21.75" customHeight="1">
      <c r="B4777" s="717">
        <v>44492</v>
      </c>
      <c r="C4777" s="718" t="s">
        <v>837</v>
      </c>
      <c r="D4777" s="719" t="s">
        <v>834</v>
      </c>
      <c r="E4777" s="720" t="s">
        <v>831</v>
      </c>
      <c r="F4777" s="721"/>
      <c r="G4777" s="719">
        <v>20</v>
      </c>
      <c r="H4777" s="718" t="s">
        <v>806</v>
      </c>
      <c r="I4777" s="722" t="s">
        <v>882</v>
      </c>
      <c r="J4777" s="723" t="s">
        <v>892</v>
      </c>
      <c r="K4777" s="718">
        <v>14</v>
      </c>
      <c r="L4777" s="724">
        <f t="shared" si="145"/>
        <v>18.8</v>
      </c>
      <c r="M4777" s="725">
        <f t="shared" si="146"/>
        <v>263.2</v>
      </c>
      <c r="O4777" s="693"/>
    </row>
    <row r="4778" spans="2:15" s="645" customFormat="1" ht="21.75" customHeight="1">
      <c r="B4778" s="717">
        <v>44492</v>
      </c>
      <c r="C4778" s="718" t="s">
        <v>837</v>
      </c>
      <c r="D4778" s="719" t="s">
        <v>845</v>
      </c>
      <c r="E4778" s="720" t="s">
        <v>831</v>
      </c>
      <c r="F4778" s="721"/>
      <c r="G4778" s="719">
        <v>17</v>
      </c>
      <c r="H4778" s="718" t="s">
        <v>806</v>
      </c>
      <c r="I4778" s="722" t="s">
        <v>882</v>
      </c>
      <c r="J4778" s="723" t="s">
        <v>892</v>
      </c>
      <c r="K4778" s="718">
        <v>12</v>
      </c>
      <c r="L4778" s="724">
        <f t="shared" si="145"/>
        <v>15.98</v>
      </c>
      <c r="M4778" s="725">
        <f t="shared" si="146"/>
        <v>191.76</v>
      </c>
      <c r="O4778" s="693"/>
    </row>
    <row r="4779" spans="2:15" s="645" customFormat="1" ht="21.75" customHeight="1">
      <c r="B4779" s="717">
        <v>44492</v>
      </c>
      <c r="C4779" s="718" t="s">
        <v>837</v>
      </c>
      <c r="D4779" s="719" t="s">
        <v>878</v>
      </c>
      <c r="E4779" s="720" t="s">
        <v>831</v>
      </c>
      <c r="F4779" s="721"/>
      <c r="G4779" s="719">
        <v>15</v>
      </c>
      <c r="H4779" s="718" t="s">
        <v>806</v>
      </c>
      <c r="I4779" s="722" t="s">
        <v>882</v>
      </c>
      <c r="J4779" s="723" t="s">
        <v>892</v>
      </c>
      <c r="K4779" s="718">
        <v>13</v>
      </c>
      <c r="L4779" s="724">
        <f t="shared" si="145"/>
        <v>14.1</v>
      </c>
      <c r="M4779" s="725">
        <f t="shared" si="146"/>
        <v>183.29999999999998</v>
      </c>
      <c r="O4779" s="693"/>
    </row>
    <row r="4780" spans="2:15" s="645" customFormat="1" ht="21.75" customHeight="1">
      <c r="B4780" s="661">
        <v>44493</v>
      </c>
      <c r="C4780" s="662" t="s">
        <v>819</v>
      </c>
      <c r="D4780" s="663" t="s">
        <v>849</v>
      </c>
      <c r="E4780" s="664" t="s">
        <v>831</v>
      </c>
      <c r="F4780" s="665"/>
      <c r="G4780" s="663">
        <v>20</v>
      </c>
      <c r="H4780" s="662" t="s">
        <v>807</v>
      </c>
      <c r="I4780" s="666" t="s">
        <v>859</v>
      </c>
      <c r="J4780" s="667" t="s">
        <v>805</v>
      </c>
      <c r="K4780" s="662">
        <v>1</v>
      </c>
      <c r="L4780" s="685">
        <f t="shared" si="145"/>
        <v>18.8</v>
      </c>
      <c r="M4780" s="686">
        <f t="shared" si="146"/>
        <v>18.8</v>
      </c>
      <c r="O4780" s="693"/>
    </row>
    <row r="4781" spans="2:15" s="645" customFormat="1" ht="21.75" customHeight="1">
      <c r="B4781" s="661">
        <v>44493</v>
      </c>
      <c r="C4781" s="662" t="s">
        <v>819</v>
      </c>
      <c r="D4781" s="663" t="s">
        <v>849</v>
      </c>
      <c r="E4781" s="664" t="s">
        <v>831</v>
      </c>
      <c r="F4781" s="665"/>
      <c r="G4781" s="663">
        <v>20</v>
      </c>
      <c r="H4781" s="662" t="s">
        <v>807</v>
      </c>
      <c r="I4781" s="666" t="s">
        <v>857</v>
      </c>
      <c r="J4781" s="667" t="s">
        <v>805</v>
      </c>
      <c r="K4781" s="662">
        <v>1</v>
      </c>
      <c r="L4781" s="685">
        <f t="shared" si="145"/>
        <v>18.8</v>
      </c>
      <c r="M4781" s="686">
        <f t="shared" si="146"/>
        <v>18.8</v>
      </c>
      <c r="O4781" s="693"/>
    </row>
    <row r="4782" spans="2:15" s="645" customFormat="1" ht="21.75" customHeight="1">
      <c r="B4782" s="661">
        <v>44493</v>
      </c>
      <c r="C4782" s="662" t="s">
        <v>819</v>
      </c>
      <c r="D4782" s="663" t="s">
        <v>835</v>
      </c>
      <c r="E4782" s="664" t="s">
        <v>831</v>
      </c>
      <c r="F4782" s="665"/>
      <c r="G4782" s="663">
        <v>20</v>
      </c>
      <c r="H4782" s="662" t="s">
        <v>807</v>
      </c>
      <c r="I4782" s="666" t="s">
        <v>857</v>
      </c>
      <c r="J4782" s="667" t="s">
        <v>805</v>
      </c>
      <c r="K4782" s="662">
        <v>1</v>
      </c>
      <c r="L4782" s="685">
        <f t="shared" si="145"/>
        <v>18.8</v>
      </c>
      <c r="M4782" s="686">
        <f t="shared" si="146"/>
        <v>18.8</v>
      </c>
      <c r="O4782" s="693"/>
    </row>
    <row r="4783" spans="2:15" s="645" customFormat="1" ht="21.75" customHeight="1">
      <c r="B4783" s="661">
        <v>44493</v>
      </c>
      <c r="C4783" s="662" t="s">
        <v>819</v>
      </c>
      <c r="D4783" s="663" t="s">
        <v>848</v>
      </c>
      <c r="E4783" s="664" t="s">
        <v>831</v>
      </c>
      <c r="F4783" s="665"/>
      <c r="G4783" s="663">
        <v>20</v>
      </c>
      <c r="H4783" s="662" t="s">
        <v>807</v>
      </c>
      <c r="I4783" s="666" t="s">
        <v>859</v>
      </c>
      <c r="J4783" s="667" t="s">
        <v>805</v>
      </c>
      <c r="K4783" s="662">
        <v>1</v>
      </c>
      <c r="L4783" s="685">
        <f t="shared" si="145"/>
        <v>18.8</v>
      </c>
      <c r="M4783" s="686">
        <f t="shared" si="146"/>
        <v>18.8</v>
      </c>
      <c r="O4783" s="693"/>
    </row>
    <row r="4784" spans="2:15" s="645" customFormat="1" ht="21.75" customHeight="1">
      <c r="B4784" s="661">
        <v>44493</v>
      </c>
      <c r="C4784" s="662" t="s">
        <v>819</v>
      </c>
      <c r="D4784" s="663" t="s">
        <v>836</v>
      </c>
      <c r="E4784" s="664" t="s">
        <v>831</v>
      </c>
      <c r="F4784" s="665"/>
      <c r="G4784" s="663">
        <v>15</v>
      </c>
      <c r="H4784" s="662" t="s">
        <v>807</v>
      </c>
      <c r="I4784" s="666" t="s">
        <v>857</v>
      </c>
      <c r="J4784" s="667" t="s">
        <v>805</v>
      </c>
      <c r="K4784" s="662">
        <v>3</v>
      </c>
      <c r="L4784" s="685">
        <f t="shared" si="145"/>
        <v>14.1</v>
      </c>
      <c r="M4784" s="686">
        <f t="shared" si="146"/>
        <v>42.3</v>
      </c>
      <c r="O4784" s="693"/>
    </row>
    <row r="4785" spans="2:15" s="645" customFormat="1" ht="21.75" customHeight="1">
      <c r="B4785" s="661">
        <v>44493</v>
      </c>
      <c r="C4785" s="662" t="s">
        <v>819</v>
      </c>
      <c r="D4785" s="663" t="s">
        <v>830</v>
      </c>
      <c r="E4785" s="664" t="s">
        <v>831</v>
      </c>
      <c r="F4785" s="665"/>
      <c r="G4785" s="663">
        <v>15</v>
      </c>
      <c r="H4785" s="662" t="s">
        <v>807</v>
      </c>
      <c r="I4785" s="666" t="s">
        <v>859</v>
      </c>
      <c r="J4785" s="667" t="s">
        <v>805</v>
      </c>
      <c r="K4785" s="662">
        <v>2</v>
      </c>
      <c r="L4785" s="685">
        <f t="shared" si="145"/>
        <v>14.1</v>
      </c>
      <c r="M4785" s="686">
        <f t="shared" si="146"/>
        <v>28.2</v>
      </c>
      <c r="O4785" s="693"/>
    </row>
    <row r="4786" spans="2:15" s="645" customFormat="1" ht="21.75" customHeight="1">
      <c r="B4786" s="661">
        <v>44493</v>
      </c>
      <c r="C4786" s="662" t="s">
        <v>819</v>
      </c>
      <c r="D4786" s="663" t="s">
        <v>845</v>
      </c>
      <c r="E4786" s="664" t="s">
        <v>831</v>
      </c>
      <c r="F4786" s="665"/>
      <c r="G4786" s="663">
        <v>17</v>
      </c>
      <c r="H4786" s="662" t="s">
        <v>807</v>
      </c>
      <c r="I4786" s="666" t="s">
        <v>857</v>
      </c>
      <c r="J4786" s="667" t="s">
        <v>805</v>
      </c>
      <c r="K4786" s="662">
        <v>2</v>
      </c>
      <c r="L4786" s="685">
        <f t="shared" si="145"/>
        <v>15.98</v>
      </c>
      <c r="M4786" s="686">
        <f t="shared" si="146"/>
        <v>31.96</v>
      </c>
      <c r="O4786" s="693"/>
    </row>
    <row r="4787" spans="2:15" s="645" customFormat="1" ht="21.75" customHeight="1">
      <c r="B4787" s="661">
        <v>44493</v>
      </c>
      <c r="C4787" s="662" t="s">
        <v>819</v>
      </c>
      <c r="D4787" s="663" t="s">
        <v>847</v>
      </c>
      <c r="E4787" s="664" t="s">
        <v>831</v>
      </c>
      <c r="F4787" s="665"/>
      <c r="G4787" s="663">
        <v>17</v>
      </c>
      <c r="H4787" s="662" t="s">
        <v>807</v>
      </c>
      <c r="I4787" s="666" t="s">
        <v>859</v>
      </c>
      <c r="J4787" s="667" t="s">
        <v>805</v>
      </c>
      <c r="K4787" s="662">
        <v>2</v>
      </c>
      <c r="L4787" s="685">
        <f t="shared" si="145"/>
        <v>15.98</v>
      </c>
      <c r="M4787" s="686">
        <f t="shared" si="146"/>
        <v>31.96</v>
      </c>
      <c r="O4787" s="693"/>
    </row>
    <row r="4788" spans="2:15" s="645" customFormat="1" ht="21.75" customHeight="1">
      <c r="B4788" s="661">
        <v>44493</v>
      </c>
      <c r="C4788" s="662" t="s">
        <v>819</v>
      </c>
      <c r="D4788" s="663" t="s">
        <v>855</v>
      </c>
      <c r="E4788" s="664" t="s">
        <v>831</v>
      </c>
      <c r="F4788" s="665"/>
      <c r="G4788" s="663">
        <v>20</v>
      </c>
      <c r="H4788" s="662" t="s">
        <v>807</v>
      </c>
      <c r="I4788" s="666" t="s">
        <v>857</v>
      </c>
      <c r="J4788" s="667" t="s">
        <v>805</v>
      </c>
      <c r="K4788" s="662">
        <v>2</v>
      </c>
      <c r="L4788" s="685">
        <f t="shared" si="145"/>
        <v>18.8</v>
      </c>
      <c r="M4788" s="686">
        <f t="shared" si="146"/>
        <v>37.6</v>
      </c>
      <c r="O4788" s="693"/>
    </row>
    <row r="4789" spans="2:15" s="645" customFormat="1" ht="21.75" customHeight="1">
      <c r="B4789" s="661">
        <v>44493</v>
      </c>
      <c r="C4789" s="662" t="s">
        <v>819</v>
      </c>
      <c r="D4789" s="663" t="s">
        <v>876</v>
      </c>
      <c r="E4789" s="664" t="s">
        <v>831</v>
      </c>
      <c r="F4789" s="665"/>
      <c r="G4789" s="663">
        <v>20</v>
      </c>
      <c r="H4789" s="662" t="s">
        <v>807</v>
      </c>
      <c r="I4789" s="666" t="s">
        <v>857</v>
      </c>
      <c r="J4789" s="667" t="s">
        <v>805</v>
      </c>
      <c r="K4789" s="662">
        <v>6</v>
      </c>
      <c r="L4789" s="685">
        <f t="shared" si="145"/>
        <v>18.8</v>
      </c>
      <c r="M4789" s="686">
        <f t="shared" si="146"/>
        <v>112.80000000000001</v>
      </c>
      <c r="O4789" s="693"/>
    </row>
    <row r="4790" spans="2:15" s="645" customFormat="1" ht="21.75" customHeight="1">
      <c r="B4790" s="661">
        <v>44493</v>
      </c>
      <c r="C4790" s="662" t="s">
        <v>819</v>
      </c>
      <c r="D4790" s="663" t="s">
        <v>868</v>
      </c>
      <c r="E4790" s="664" t="s">
        <v>831</v>
      </c>
      <c r="F4790" s="665"/>
      <c r="G4790" s="663">
        <v>20</v>
      </c>
      <c r="H4790" s="662" t="s">
        <v>807</v>
      </c>
      <c r="I4790" s="666" t="s">
        <v>859</v>
      </c>
      <c r="J4790" s="667" t="s">
        <v>805</v>
      </c>
      <c r="K4790" s="662">
        <v>1</v>
      </c>
      <c r="L4790" s="685">
        <f t="shared" si="145"/>
        <v>18.8</v>
      </c>
      <c r="M4790" s="686">
        <f t="shared" si="146"/>
        <v>18.8</v>
      </c>
      <c r="O4790" s="693"/>
    </row>
    <row r="4791" spans="2:15" s="645" customFormat="1" ht="21.75" customHeight="1">
      <c r="B4791" s="661">
        <v>44493</v>
      </c>
      <c r="C4791" s="662" t="s">
        <v>819</v>
      </c>
      <c r="D4791" s="663" t="s">
        <v>868</v>
      </c>
      <c r="E4791" s="664" t="s">
        <v>831</v>
      </c>
      <c r="F4791" s="665"/>
      <c r="G4791" s="663">
        <v>20</v>
      </c>
      <c r="H4791" s="662" t="s">
        <v>807</v>
      </c>
      <c r="I4791" s="666" t="s">
        <v>857</v>
      </c>
      <c r="J4791" s="667" t="s">
        <v>805</v>
      </c>
      <c r="K4791" s="662">
        <v>2</v>
      </c>
      <c r="L4791" s="685">
        <f t="shared" si="145"/>
        <v>18.8</v>
      </c>
      <c r="M4791" s="686">
        <f t="shared" si="146"/>
        <v>37.6</v>
      </c>
      <c r="O4791" s="693"/>
    </row>
    <row r="4792" spans="2:15" s="645" customFormat="1" ht="21.75" customHeight="1">
      <c r="B4792" s="661">
        <v>44493</v>
      </c>
      <c r="C4792" s="662" t="s">
        <v>819</v>
      </c>
      <c r="D4792" s="663" t="s">
        <v>870</v>
      </c>
      <c r="E4792" s="664" t="s">
        <v>831</v>
      </c>
      <c r="F4792" s="665"/>
      <c r="G4792" s="663">
        <v>20</v>
      </c>
      <c r="H4792" s="662" t="s">
        <v>807</v>
      </c>
      <c r="I4792" s="666" t="s">
        <v>859</v>
      </c>
      <c r="J4792" s="667" t="s">
        <v>805</v>
      </c>
      <c r="K4792" s="662">
        <v>2</v>
      </c>
      <c r="L4792" s="685">
        <f t="shared" si="145"/>
        <v>18.8</v>
      </c>
      <c r="M4792" s="686">
        <f t="shared" si="146"/>
        <v>37.6</v>
      </c>
      <c r="O4792" s="693"/>
    </row>
    <row r="4793" spans="2:15" s="645" customFormat="1" ht="21.75" customHeight="1">
      <c r="B4793" s="661">
        <v>44493</v>
      </c>
      <c r="C4793" s="662" t="s">
        <v>837</v>
      </c>
      <c r="D4793" s="663" t="s">
        <v>834</v>
      </c>
      <c r="E4793" s="664" t="s">
        <v>831</v>
      </c>
      <c r="F4793" s="665"/>
      <c r="G4793" s="663">
        <v>20</v>
      </c>
      <c r="H4793" s="662" t="s">
        <v>807</v>
      </c>
      <c r="I4793" s="666" t="s">
        <v>857</v>
      </c>
      <c r="J4793" s="667" t="s">
        <v>805</v>
      </c>
      <c r="K4793" s="662">
        <v>1</v>
      </c>
      <c r="L4793" s="685">
        <f t="shared" si="145"/>
        <v>18.8</v>
      </c>
      <c r="M4793" s="686">
        <f t="shared" si="146"/>
        <v>18.8</v>
      </c>
      <c r="O4793" s="693"/>
    </row>
    <row r="4794" spans="2:15" s="645" customFormat="1" ht="21.75" customHeight="1">
      <c r="B4794" s="661">
        <v>44493</v>
      </c>
      <c r="C4794" s="662" t="s">
        <v>837</v>
      </c>
      <c r="D4794" s="663" t="s">
        <v>840</v>
      </c>
      <c r="E4794" s="664" t="s">
        <v>831</v>
      </c>
      <c r="F4794" s="665"/>
      <c r="G4794" s="663">
        <v>20</v>
      </c>
      <c r="H4794" s="662" t="s">
        <v>807</v>
      </c>
      <c r="I4794" s="666" t="s">
        <v>857</v>
      </c>
      <c r="J4794" s="667" t="s">
        <v>805</v>
      </c>
      <c r="K4794" s="662">
        <v>2</v>
      </c>
      <c r="L4794" s="685">
        <f t="shared" si="145"/>
        <v>18.8</v>
      </c>
      <c r="M4794" s="686">
        <f t="shared" si="146"/>
        <v>37.6</v>
      </c>
      <c r="O4794" s="693"/>
    </row>
    <row r="4795" spans="2:15" s="645" customFormat="1" ht="21.75" customHeight="1">
      <c r="B4795" s="661">
        <v>44493</v>
      </c>
      <c r="C4795" s="662" t="s">
        <v>837</v>
      </c>
      <c r="D4795" s="663" t="s">
        <v>835</v>
      </c>
      <c r="E4795" s="664" t="s">
        <v>831</v>
      </c>
      <c r="F4795" s="665"/>
      <c r="G4795" s="663">
        <v>20</v>
      </c>
      <c r="H4795" s="662" t="s">
        <v>807</v>
      </c>
      <c r="I4795" s="666" t="s">
        <v>857</v>
      </c>
      <c r="J4795" s="667" t="s">
        <v>805</v>
      </c>
      <c r="K4795" s="662">
        <v>3</v>
      </c>
      <c r="L4795" s="685">
        <f t="shared" si="145"/>
        <v>18.8</v>
      </c>
      <c r="M4795" s="686">
        <f t="shared" si="146"/>
        <v>56.400000000000006</v>
      </c>
      <c r="O4795" s="693"/>
    </row>
    <row r="4796" spans="2:15" s="645" customFormat="1" ht="21.75" customHeight="1">
      <c r="B4796" s="661">
        <v>44493</v>
      </c>
      <c r="C4796" s="662" t="s">
        <v>837</v>
      </c>
      <c r="D4796" s="663" t="s">
        <v>841</v>
      </c>
      <c r="E4796" s="664" t="s">
        <v>831</v>
      </c>
      <c r="F4796" s="665"/>
      <c r="G4796" s="663">
        <v>20</v>
      </c>
      <c r="H4796" s="662" t="s">
        <v>807</v>
      </c>
      <c r="I4796" s="666" t="s">
        <v>857</v>
      </c>
      <c r="J4796" s="667" t="s">
        <v>805</v>
      </c>
      <c r="K4796" s="662">
        <v>1</v>
      </c>
      <c r="L4796" s="685">
        <f t="shared" si="145"/>
        <v>18.8</v>
      </c>
      <c r="M4796" s="686">
        <f t="shared" si="146"/>
        <v>18.8</v>
      </c>
      <c r="O4796" s="693"/>
    </row>
    <row r="4797" spans="2:15" s="645" customFormat="1" ht="21.75" customHeight="1">
      <c r="B4797" s="661">
        <v>44493</v>
      </c>
      <c r="C4797" s="662" t="s">
        <v>837</v>
      </c>
      <c r="D4797" s="663" t="s">
        <v>848</v>
      </c>
      <c r="E4797" s="664" t="s">
        <v>831</v>
      </c>
      <c r="F4797" s="665"/>
      <c r="G4797" s="663">
        <v>20</v>
      </c>
      <c r="H4797" s="662" t="s">
        <v>807</v>
      </c>
      <c r="I4797" s="666" t="s">
        <v>857</v>
      </c>
      <c r="J4797" s="667" t="s">
        <v>805</v>
      </c>
      <c r="K4797" s="662">
        <v>1</v>
      </c>
      <c r="L4797" s="685">
        <f t="shared" si="145"/>
        <v>18.8</v>
      </c>
      <c r="M4797" s="686">
        <f t="shared" si="146"/>
        <v>18.8</v>
      </c>
      <c r="O4797" s="693"/>
    </row>
    <row r="4798" spans="2:15" s="645" customFormat="1" ht="21.75" customHeight="1">
      <c r="B4798" s="661">
        <v>44493</v>
      </c>
      <c r="C4798" s="662" t="s">
        <v>837</v>
      </c>
      <c r="D4798" s="663" t="s">
        <v>830</v>
      </c>
      <c r="E4798" s="664" t="s">
        <v>831</v>
      </c>
      <c r="F4798" s="665"/>
      <c r="G4798" s="663">
        <v>15</v>
      </c>
      <c r="H4798" s="662" t="s">
        <v>807</v>
      </c>
      <c r="I4798" s="666" t="s">
        <v>857</v>
      </c>
      <c r="J4798" s="667" t="s">
        <v>805</v>
      </c>
      <c r="K4798" s="662">
        <v>3</v>
      </c>
      <c r="L4798" s="685">
        <f t="shared" si="145"/>
        <v>14.1</v>
      </c>
      <c r="M4798" s="686">
        <f t="shared" si="146"/>
        <v>42.3</v>
      </c>
      <c r="O4798" s="693"/>
    </row>
    <row r="4799" spans="2:15" s="645" customFormat="1" ht="21.75" customHeight="1">
      <c r="B4799" s="661">
        <v>44493</v>
      </c>
      <c r="C4799" s="662" t="s">
        <v>837</v>
      </c>
      <c r="D4799" s="663" t="s">
        <v>850</v>
      </c>
      <c r="E4799" s="664" t="s">
        <v>831</v>
      </c>
      <c r="F4799" s="665"/>
      <c r="G4799" s="663">
        <v>15</v>
      </c>
      <c r="H4799" s="662" t="s">
        <v>807</v>
      </c>
      <c r="I4799" s="666" t="s">
        <v>857</v>
      </c>
      <c r="J4799" s="667" t="s">
        <v>805</v>
      </c>
      <c r="K4799" s="662">
        <v>3</v>
      </c>
      <c r="L4799" s="685">
        <f t="shared" si="145"/>
        <v>14.1</v>
      </c>
      <c r="M4799" s="686">
        <f t="shared" si="146"/>
        <v>42.3</v>
      </c>
      <c r="O4799" s="693"/>
    </row>
    <row r="4800" spans="2:15" s="645" customFormat="1" ht="21.75" customHeight="1">
      <c r="B4800" s="661">
        <v>44493</v>
      </c>
      <c r="C4800" s="662" t="s">
        <v>837</v>
      </c>
      <c r="D4800" s="663" t="s">
        <v>845</v>
      </c>
      <c r="E4800" s="664" t="s">
        <v>831</v>
      </c>
      <c r="F4800" s="665"/>
      <c r="G4800" s="663">
        <v>17</v>
      </c>
      <c r="H4800" s="662" t="s">
        <v>807</v>
      </c>
      <c r="I4800" s="666" t="s">
        <v>857</v>
      </c>
      <c r="J4800" s="667" t="s">
        <v>805</v>
      </c>
      <c r="K4800" s="662">
        <v>3</v>
      </c>
      <c r="L4800" s="685">
        <f t="shared" si="145"/>
        <v>15.98</v>
      </c>
      <c r="M4800" s="686">
        <f t="shared" si="146"/>
        <v>47.94</v>
      </c>
      <c r="O4800" s="693"/>
    </row>
    <row r="4801" spans="2:15" s="645" customFormat="1" ht="21.75" customHeight="1">
      <c r="B4801" s="661">
        <v>44493</v>
      </c>
      <c r="C4801" s="662" t="s">
        <v>837</v>
      </c>
      <c r="D4801" s="663" t="s">
        <v>847</v>
      </c>
      <c r="E4801" s="664" t="s">
        <v>831</v>
      </c>
      <c r="F4801" s="665"/>
      <c r="G4801" s="663">
        <v>17</v>
      </c>
      <c r="H4801" s="662" t="s">
        <v>807</v>
      </c>
      <c r="I4801" s="666" t="s">
        <v>859</v>
      </c>
      <c r="J4801" s="667" t="s">
        <v>805</v>
      </c>
      <c r="K4801" s="662">
        <v>2</v>
      </c>
      <c r="L4801" s="685">
        <f t="shared" si="145"/>
        <v>15.98</v>
      </c>
      <c r="M4801" s="686">
        <f t="shared" si="146"/>
        <v>31.96</v>
      </c>
      <c r="O4801" s="693"/>
    </row>
    <row r="4802" spans="2:15" s="645" customFormat="1" ht="21.75" customHeight="1">
      <c r="B4802" s="708">
        <v>44493</v>
      </c>
      <c r="C4802" s="709" t="s">
        <v>819</v>
      </c>
      <c r="D4802" s="710" t="s">
        <v>849</v>
      </c>
      <c r="E4802" s="711" t="s">
        <v>831</v>
      </c>
      <c r="F4802" s="712"/>
      <c r="G4802" s="710">
        <v>20</v>
      </c>
      <c r="H4802" s="709" t="s">
        <v>807</v>
      </c>
      <c r="I4802" s="713" t="s">
        <v>857</v>
      </c>
      <c r="J4802" s="714" t="s">
        <v>802</v>
      </c>
      <c r="K4802" s="709">
        <v>2</v>
      </c>
      <c r="L4802" s="715">
        <f t="shared" si="145"/>
        <v>18.8</v>
      </c>
      <c r="M4802" s="716">
        <f t="shared" si="146"/>
        <v>37.6</v>
      </c>
      <c r="O4802" s="693"/>
    </row>
    <row r="4803" spans="2:15" s="645" customFormat="1" ht="21.75" customHeight="1">
      <c r="B4803" s="708">
        <v>44493</v>
      </c>
      <c r="C4803" s="709" t="s">
        <v>819</v>
      </c>
      <c r="D4803" s="710" t="s">
        <v>840</v>
      </c>
      <c r="E4803" s="711" t="s">
        <v>831</v>
      </c>
      <c r="F4803" s="712"/>
      <c r="G4803" s="710">
        <v>20</v>
      </c>
      <c r="H4803" s="709" t="s">
        <v>807</v>
      </c>
      <c r="I4803" s="713" t="s">
        <v>859</v>
      </c>
      <c r="J4803" s="714" t="s">
        <v>802</v>
      </c>
      <c r="K4803" s="709">
        <v>5</v>
      </c>
      <c r="L4803" s="715">
        <f t="shared" si="145"/>
        <v>18.8</v>
      </c>
      <c r="M4803" s="716">
        <f t="shared" si="146"/>
        <v>94</v>
      </c>
      <c r="O4803" s="693"/>
    </row>
    <row r="4804" spans="2:15" s="645" customFormat="1" ht="21.75" customHeight="1">
      <c r="B4804" s="708">
        <v>44493</v>
      </c>
      <c r="C4804" s="709" t="s">
        <v>819</v>
      </c>
      <c r="D4804" s="710" t="s">
        <v>835</v>
      </c>
      <c r="E4804" s="711" t="s">
        <v>831</v>
      </c>
      <c r="F4804" s="712"/>
      <c r="G4804" s="710">
        <v>20</v>
      </c>
      <c r="H4804" s="709" t="s">
        <v>807</v>
      </c>
      <c r="I4804" s="713" t="s">
        <v>857</v>
      </c>
      <c r="J4804" s="714" t="s">
        <v>802</v>
      </c>
      <c r="K4804" s="709">
        <v>3</v>
      </c>
      <c r="L4804" s="715">
        <f t="shared" si="145"/>
        <v>18.8</v>
      </c>
      <c r="M4804" s="716">
        <f t="shared" si="146"/>
        <v>56.400000000000006</v>
      </c>
      <c r="O4804" s="693"/>
    </row>
    <row r="4805" spans="2:15" s="645" customFormat="1" ht="21.75" customHeight="1">
      <c r="B4805" s="708">
        <v>44493</v>
      </c>
      <c r="C4805" s="709" t="s">
        <v>819</v>
      </c>
      <c r="D4805" s="710" t="s">
        <v>835</v>
      </c>
      <c r="E4805" s="711" t="s">
        <v>831</v>
      </c>
      <c r="F4805" s="712"/>
      <c r="G4805" s="710">
        <v>20</v>
      </c>
      <c r="H4805" s="709" t="s">
        <v>807</v>
      </c>
      <c r="I4805" s="713" t="s">
        <v>859</v>
      </c>
      <c r="J4805" s="714" t="s">
        <v>802</v>
      </c>
      <c r="K4805" s="709">
        <v>1</v>
      </c>
      <c r="L4805" s="715">
        <f t="shared" si="145"/>
        <v>18.8</v>
      </c>
      <c r="M4805" s="716">
        <f t="shared" si="146"/>
        <v>18.8</v>
      </c>
      <c r="O4805" s="693"/>
    </row>
    <row r="4806" spans="2:15" s="645" customFormat="1" ht="21.75" customHeight="1">
      <c r="B4806" s="708">
        <v>44493</v>
      </c>
      <c r="C4806" s="709" t="s">
        <v>819</v>
      </c>
      <c r="D4806" s="710" t="s">
        <v>841</v>
      </c>
      <c r="E4806" s="711" t="s">
        <v>831</v>
      </c>
      <c r="F4806" s="712"/>
      <c r="G4806" s="710">
        <v>20</v>
      </c>
      <c r="H4806" s="709" t="s">
        <v>807</v>
      </c>
      <c r="I4806" s="713" t="s">
        <v>857</v>
      </c>
      <c r="J4806" s="714" t="s">
        <v>802</v>
      </c>
      <c r="K4806" s="709">
        <v>4</v>
      </c>
      <c r="L4806" s="715">
        <f t="shared" si="145"/>
        <v>18.8</v>
      </c>
      <c r="M4806" s="716">
        <f t="shared" si="146"/>
        <v>75.2</v>
      </c>
      <c r="O4806" s="693"/>
    </row>
    <row r="4807" spans="2:15" s="645" customFormat="1" ht="21.75" customHeight="1">
      <c r="B4807" s="708">
        <v>44493</v>
      </c>
      <c r="C4807" s="709" t="s">
        <v>819</v>
      </c>
      <c r="D4807" s="710" t="s">
        <v>841</v>
      </c>
      <c r="E4807" s="711" t="s">
        <v>831</v>
      </c>
      <c r="F4807" s="712"/>
      <c r="G4807" s="710">
        <v>20</v>
      </c>
      <c r="H4807" s="709" t="s">
        <v>807</v>
      </c>
      <c r="I4807" s="713" t="s">
        <v>859</v>
      </c>
      <c r="J4807" s="714" t="s">
        <v>802</v>
      </c>
      <c r="K4807" s="709">
        <v>1</v>
      </c>
      <c r="L4807" s="715">
        <f t="shared" si="145"/>
        <v>18.8</v>
      </c>
      <c r="M4807" s="716">
        <f t="shared" si="146"/>
        <v>18.8</v>
      </c>
      <c r="O4807" s="693"/>
    </row>
    <row r="4808" spans="2:15" s="645" customFormat="1" ht="21.75" customHeight="1">
      <c r="B4808" s="708">
        <v>44493</v>
      </c>
      <c r="C4808" s="709" t="s">
        <v>819</v>
      </c>
      <c r="D4808" s="710" t="s">
        <v>834</v>
      </c>
      <c r="E4808" s="711" t="s">
        <v>831</v>
      </c>
      <c r="F4808" s="712"/>
      <c r="G4808" s="710">
        <v>20</v>
      </c>
      <c r="H4808" s="709" t="s">
        <v>807</v>
      </c>
      <c r="I4808" s="713" t="s">
        <v>857</v>
      </c>
      <c r="J4808" s="714" t="s">
        <v>802</v>
      </c>
      <c r="K4808" s="709">
        <v>3</v>
      </c>
      <c r="L4808" s="715">
        <f t="shared" si="145"/>
        <v>18.8</v>
      </c>
      <c r="M4808" s="716">
        <f t="shared" si="146"/>
        <v>56.400000000000006</v>
      </c>
      <c r="O4808" s="693"/>
    </row>
    <row r="4809" spans="2:15" s="645" customFormat="1" ht="21.75" customHeight="1">
      <c r="B4809" s="708">
        <v>44493</v>
      </c>
      <c r="C4809" s="709" t="s">
        <v>819</v>
      </c>
      <c r="D4809" s="710" t="s">
        <v>848</v>
      </c>
      <c r="E4809" s="711" t="s">
        <v>831</v>
      </c>
      <c r="F4809" s="712"/>
      <c r="G4809" s="710">
        <v>20</v>
      </c>
      <c r="H4809" s="709" t="s">
        <v>807</v>
      </c>
      <c r="I4809" s="713" t="s">
        <v>857</v>
      </c>
      <c r="J4809" s="714" t="s">
        <v>802</v>
      </c>
      <c r="K4809" s="709">
        <v>2</v>
      </c>
      <c r="L4809" s="715">
        <f t="shared" ref="L4809:L4872" si="147">VLOOKUP(G4809,$Q$4:$V$7,6,FALSE)</f>
        <v>18.8</v>
      </c>
      <c r="M4809" s="716">
        <f t="shared" si="146"/>
        <v>37.6</v>
      </c>
      <c r="O4809" s="693"/>
    </row>
    <row r="4810" spans="2:15" s="645" customFormat="1" ht="21.75" customHeight="1">
      <c r="B4810" s="708">
        <v>44493</v>
      </c>
      <c r="C4810" s="709" t="s">
        <v>819</v>
      </c>
      <c r="D4810" s="710" t="s">
        <v>848</v>
      </c>
      <c r="E4810" s="711" t="s">
        <v>831</v>
      </c>
      <c r="F4810" s="712"/>
      <c r="G4810" s="710">
        <v>20</v>
      </c>
      <c r="H4810" s="709" t="s">
        <v>807</v>
      </c>
      <c r="I4810" s="713" t="s">
        <v>859</v>
      </c>
      <c r="J4810" s="714" t="s">
        <v>802</v>
      </c>
      <c r="K4810" s="709">
        <v>1</v>
      </c>
      <c r="L4810" s="715">
        <f t="shared" si="147"/>
        <v>18.8</v>
      </c>
      <c r="M4810" s="716">
        <f t="shared" si="146"/>
        <v>18.8</v>
      </c>
      <c r="O4810" s="693"/>
    </row>
    <row r="4811" spans="2:15" s="645" customFormat="1" ht="21.75" customHeight="1">
      <c r="B4811" s="708">
        <v>44493</v>
      </c>
      <c r="C4811" s="709" t="s">
        <v>819</v>
      </c>
      <c r="D4811" s="710" t="s">
        <v>836</v>
      </c>
      <c r="E4811" s="711" t="s">
        <v>831</v>
      </c>
      <c r="F4811" s="712"/>
      <c r="G4811" s="710">
        <v>15</v>
      </c>
      <c r="H4811" s="709" t="s">
        <v>807</v>
      </c>
      <c r="I4811" s="713" t="s">
        <v>857</v>
      </c>
      <c r="J4811" s="714" t="s">
        <v>802</v>
      </c>
      <c r="K4811" s="709">
        <v>3</v>
      </c>
      <c r="L4811" s="715">
        <f t="shared" si="147"/>
        <v>14.1</v>
      </c>
      <c r="M4811" s="716">
        <f t="shared" si="146"/>
        <v>42.3</v>
      </c>
      <c r="O4811" s="693"/>
    </row>
    <row r="4812" spans="2:15" s="645" customFormat="1" ht="21.75" customHeight="1">
      <c r="B4812" s="708">
        <v>44493</v>
      </c>
      <c r="C4812" s="709" t="s">
        <v>819</v>
      </c>
      <c r="D4812" s="710" t="s">
        <v>830</v>
      </c>
      <c r="E4812" s="711" t="s">
        <v>831</v>
      </c>
      <c r="F4812" s="712"/>
      <c r="G4812" s="710">
        <v>15</v>
      </c>
      <c r="H4812" s="709" t="s">
        <v>807</v>
      </c>
      <c r="I4812" s="713" t="s">
        <v>857</v>
      </c>
      <c r="J4812" s="714" t="s">
        <v>802</v>
      </c>
      <c r="K4812" s="709">
        <v>1</v>
      </c>
      <c r="L4812" s="715">
        <f t="shared" si="147"/>
        <v>14.1</v>
      </c>
      <c r="M4812" s="716">
        <f t="shared" si="146"/>
        <v>14.1</v>
      </c>
      <c r="O4812" s="693"/>
    </row>
    <row r="4813" spans="2:15" s="645" customFormat="1" ht="21.75" customHeight="1">
      <c r="B4813" s="708">
        <v>44493</v>
      </c>
      <c r="C4813" s="709" t="s">
        <v>819</v>
      </c>
      <c r="D4813" s="710" t="s">
        <v>845</v>
      </c>
      <c r="E4813" s="711" t="s">
        <v>831</v>
      </c>
      <c r="F4813" s="712"/>
      <c r="G4813" s="710">
        <v>17</v>
      </c>
      <c r="H4813" s="709" t="s">
        <v>807</v>
      </c>
      <c r="I4813" s="713" t="s">
        <v>857</v>
      </c>
      <c r="J4813" s="714" t="s">
        <v>802</v>
      </c>
      <c r="K4813" s="709">
        <v>2</v>
      </c>
      <c r="L4813" s="715">
        <f t="shared" si="147"/>
        <v>15.98</v>
      </c>
      <c r="M4813" s="716">
        <f t="shared" si="146"/>
        <v>31.96</v>
      </c>
      <c r="O4813" s="693"/>
    </row>
    <row r="4814" spans="2:15" s="645" customFormat="1" ht="21.75" customHeight="1">
      <c r="B4814" s="708">
        <v>44493</v>
      </c>
      <c r="C4814" s="709" t="s">
        <v>819</v>
      </c>
      <c r="D4814" s="710" t="s">
        <v>847</v>
      </c>
      <c r="E4814" s="711" t="s">
        <v>831</v>
      </c>
      <c r="F4814" s="712"/>
      <c r="G4814" s="710">
        <v>17</v>
      </c>
      <c r="H4814" s="709" t="s">
        <v>807</v>
      </c>
      <c r="I4814" s="713" t="s">
        <v>857</v>
      </c>
      <c r="J4814" s="714" t="s">
        <v>802</v>
      </c>
      <c r="K4814" s="709">
        <v>2</v>
      </c>
      <c r="L4814" s="715">
        <f t="shared" si="147"/>
        <v>15.98</v>
      </c>
      <c r="M4814" s="716">
        <f t="shared" si="146"/>
        <v>31.96</v>
      </c>
      <c r="O4814" s="693"/>
    </row>
    <row r="4815" spans="2:15" s="645" customFormat="1" ht="21.75" customHeight="1">
      <c r="B4815" s="708">
        <v>44493</v>
      </c>
      <c r="C4815" s="709" t="s">
        <v>819</v>
      </c>
      <c r="D4815" s="710" t="s">
        <v>847</v>
      </c>
      <c r="E4815" s="711" t="s">
        <v>831</v>
      </c>
      <c r="F4815" s="712"/>
      <c r="G4815" s="710">
        <v>17</v>
      </c>
      <c r="H4815" s="709" t="s">
        <v>807</v>
      </c>
      <c r="I4815" s="713" t="s">
        <v>859</v>
      </c>
      <c r="J4815" s="714" t="s">
        <v>802</v>
      </c>
      <c r="K4815" s="709">
        <v>1</v>
      </c>
      <c r="L4815" s="715">
        <f t="shared" si="147"/>
        <v>15.98</v>
      </c>
      <c r="M4815" s="716">
        <f t="shared" si="146"/>
        <v>15.98</v>
      </c>
      <c r="O4815" s="693"/>
    </row>
    <row r="4816" spans="2:15" s="645" customFormat="1" ht="21.75" customHeight="1">
      <c r="B4816" s="708">
        <v>44493</v>
      </c>
      <c r="C4816" s="709" t="s">
        <v>819</v>
      </c>
      <c r="D4816" s="710" t="s">
        <v>878</v>
      </c>
      <c r="E4816" s="711" t="s">
        <v>831</v>
      </c>
      <c r="F4816" s="712"/>
      <c r="G4816" s="710">
        <v>15</v>
      </c>
      <c r="H4816" s="709" t="s">
        <v>807</v>
      </c>
      <c r="I4816" s="713" t="s">
        <v>857</v>
      </c>
      <c r="J4816" s="714" t="s">
        <v>802</v>
      </c>
      <c r="K4816" s="709">
        <v>4</v>
      </c>
      <c r="L4816" s="715">
        <f t="shared" si="147"/>
        <v>14.1</v>
      </c>
      <c r="M4816" s="716">
        <f t="shared" si="146"/>
        <v>56.4</v>
      </c>
      <c r="O4816" s="693"/>
    </row>
    <row r="4817" spans="2:15" s="645" customFormat="1" ht="21.75" customHeight="1">
      <c r="B4817" s="708">
        <v>44493</v>
      </c>
      <c r="C4817" s="709" t="s">
        <v>819</v>
      </c>
      <c r="D4817" s="710" t="s">
        <v>855</v>
      </c>
      <c r="E4817" s="711" t="s">
        <v>831</v>
      </c>
      <c r="F4817" s="712"/>
      <c r="G4817" s="710">
        <v>20</v>
      </c>
      <c r="H4817" s="709" t="s">
        <v>807</v>
      </c>
      <c r="I4817" s="713" t="s">
        <v>857</v>
      </c>
      <c r="J4817" s="714" t="s">
        <v>802</v>
      </c>
      <c r="K4817" s="709">
        <v>4</v>
      </c>
      <c r="L4817" s="715">
        <f t="shared" si="147"/>
        <v>18.8</v>
      </c>
      <c r="M4817" s="716">
        <f t="shared" si="146"/>
        <v>75.2</v>
      </c>
      <c r="O4817" s="693"/>
    </row>
    <row r="4818" spans="2:15" s="645" customFormat="1" ht="21.75" customHeight="1">
      <c r="B4818" s="708">
        <v>44493</v>
      </c>
      <c r="C4818" s="709" t="s">
        <v>819</v>
      </c>
      <c r="D4818" s="710" t="s">
        <v>875</v>
      </c>
      <c r="E4818" s="711" t="s">
        <v>831</v>
      </c>
      <c r="F4818" s="712"/>
      <c r="G4818" s="710">
        <v>20</v>
      </c>
      <c r="H4818" s="709" t="s">
        <v>807</v>
      </c>
      <c r="I4818" s="713" t="s">
        <v>857</v>
      </c>
      <c r="J4818" s="714" t="s">
        <v>802</v>
      </c>
      <c r="K4818" s="709">
        <v>1</v>
      </c>
      <c r="L4818" s="715">
        <f t="shared" si="147"/>
        <v>18.8</v>
      </c>
      <c r="M4818" s="716">
        <f t="shared" si="146"/>
        <v>18.8</v>
      </c>
      <c r="O4818" s="693"/>
    </row>
    <row r="4819" spans="2:15" s="645" customFormat="1" ht="21.75" customHeight="1">
      <c r="B4819" s="708">
        <v>44493</v>
      </c>
      <c r="C4819" s="709" t="s">
        <v>819</v>
      </c>
      <c r="D4819" s="710" t="s">
        <v>875</v>
      </c>
      <c r="E4819" s="711" t="s">
        <v>831</v>
      </c>
      <c r="F4819" s="712"/>
      <c r="G4819" s="710">
        <v>20</v>
      </c>
      <c r="H4819" s="709" t="s">
        <v>807</v>
      </c>
      <c r="I4819" s="713" t="s">
        <v>859</v>
      </c>
      <c r="J4819" s="714" t="s">
        <v>802</v>
      </c>
      <c r="K4819" s="709">
        <v>1</v>
      </c>
      <c r="L4819" s="715">
        <f t="shared" si="147"/>
        <v>18.8</v>
      </c>
      <c r="M4819" s="716">
        <f t="shared" si="146"/>
        <v>18.8</v>
      </c>
      <c r="O4819" s="693"/>
    </row>
    <row r="4820" spans="2:15" s="645" customFormat="1" ht="21.75" customHeight="1">
      <c r="B4820" s="708">
        <v>44493</v>
      </c>
      <c r="C4820" s="709" t="s">
        <v>819</v>
      </c>
      <c r="D4820" s="710" t="s">
        <v>867</v>
      </c>
      <c r="E4820" s="711" t="s">
        <v>831</v>
      </c>
      <c r="F4820" s="712"/>
      <c r="G4820" s="710">
        <v>20</v>
      </c>
      <c r="H4820" s="709" t="s">
        <v>807</v>
      </c>
      <c r="I4820" s="713" t="s">
        <v>857</v>
      </c>
      <c r="J4820" s="714" t="s">
        <v>802</v>
      </c>
      <c r="K4820" s="709">
        <v>3</v>
      </c>
      <c r="L4820" s="715">
        <f t="shared" si="147"/>
        <v>18.8</v>
      </c>
      <c r="M4820" s="716">
        <f t="shared" si="146"/>
        <v>56.400000000000006</v>
      </c>
      <c r="O4820" s="693"/>
    </row>
    <row r="4821" spans="2:15" s="645" customFormat="1" ht="21.75" customHeight="1">
      <c r="B4821" s="708">
        <v>44493</v>
      </c>
      <c r="C4821" s="709" t="s">
        <v>819</v>
      </c>
      <c r="D4821" s="710" t="s">
        <v>867</v>
      </c>
      <c r="E4821" s="711" t="s">
        <v>831</v>
      </c>
      <c r="F4821" s="712"/>
      <c r="G4821" s="710">
        <v>20</v>
      </c>
      <c r="H4821" s="709" t="s">
        <v>807</v>
      </c>
      <c r="I4821" s="713" t="s">
        <v>859</v>
      </c>
      <c r="J4821" s="714" t="s">
        <v>802</v>
      </c>
      <c r="K4821" s="709">
        <v>2</v>
      </c>
      <c r="L4821" s="715">
        <f t="shared" si="147"/>
        <v>18.8</v>
      </c>
      <c r="M4821" s="716">
        <f t="shared" si="146"/>
        <v>37.6</v>
      </c>
      <c r="O4821" s="693"/>
    </row>
    <row r="4822" spans="2:15" s="645" customFormat="1" ht="21.75" customHeight="1">
      <c r="B4822" s="708">
        <v>44493</v>
      </c>
      <c r="C4822" s="709" t="s">
        <v>819</v>
      </c>
      <c r="D4822" s="710" t="s">
        <v>868</v>
      </c>
      <c r="E4822" s="711" t="s">
        <v>831</v>
      </c>
      <c r="F4822" s="712"/>
      <c r="G4822" s="710">
        <v>20</v>
      </c>
      <c r="H4822" s="709" t="s">
        <v>807</v>
      </c>
      <c r="I4822" s="713" t="s">
        <v>857</v>
      </c>
      <c r="J4822" s="714" t="s">
        <v>802</v>
      </c>
      <c r="K4822" s="709">
        <v>2</v>
      </c>
      <c r="L4822" s="715">
        <f t="shared" si="147"/>
        <v>18.8</v>
      </c>
      <c r="M4822" s="716">
        <f t="shared" si="146"/>
        <v>37.6</v>
      </c>
      <c r="O4822" s="693"/>
    </row>
    <row r="4823" spans="2:15" s="645" customFormat="1" ht="21.75" customHeight="1">
      <c r="B4823" s="708">
        <v>44493</v>
      </c>
      <c r="C4823" s="709" t="s">
        <v>819</v>
      </c>
      <c r="D4823" s="710" t="s">
        <v>868</v>
      </c>
      <c r="E4823" s="711" t="s">
        <v>831</v>
      </c>
      <c r="F4823" s="712"/>
      <c r="G4823" s="710">
        <v>20</v>
      </c>
      <c r="H4823" s="709" t="s">
        <v>807</v>
      </c>
      <c r="I4823" s="713" t="s">
        <v>859</v>
      </c>
      <c r="J4823" s="714" t="s">
        <v>802</v>
      </c>
      <c r="K4823" s="709">
        <v>1</v>
      </c>
      <c r="L4823" s="715">
        <f t="shared" si="147"/>
        <v>18.8</v>
      </c>
      <c r="M4823" s="716">
        <f t="shared" si="146"/>
        <v>18.8</v>
      </c>
      <c r="O4823" s="693"/>
    </row>
    <row r="4824" spans="2:15" s="645" customFormat="1" ht="21.75" customHeight="1">
      <c r="B4824" s="708">
        <v>44493</v>
      </c>
      <c r="C4824" s="709" t="s">
        <v>819</v>
      </c>
      <c r="D4824" s="710" t="s">
        <v>870</v>
      </c>
      <c r="E4824" s="711" t="s">
        <v>831</v>
      </c>
      <c r="F4824" s="712"/>
      <c r="G4824" s="710">
        <v>20</v>
      </c>
      <c r="H4824" s="709" t="s">
        <v>807</v>
      </c>
      <c r="I4824" s="713" t="s">
        <v>857</v>
      </c>
      <c r="J4824" s="714" t="s">
        <v>802</v>
      </c>
      <c r="K4824" s="709">
        <v>2</v>
      </c>
      <c r="L4824" s="715">
        <f t="shared" si="147"/>
        <v>18.8</v>
      </c>
      <c r="M4824" s="716">
        <f t="shared" si="146"/>
        <v>37.6</v>
      </c>
      <c r="O4824" s="693"/>
    </row>
    <row r="4825" spans="2:15" s="645" customFormat="1" ht="21.75" customHeight="1">
      <c r="B4825" s="708">
        <v>44493</v>
      </c>
      <c r="C4825" s="709" t="s">
        <v>837</v>
      </c>
      <c r="D4825" s="710" t="s">
        <v>855</v>
      </c>
      <c r="E4825" s="711" t="s">
        <v>831</v>
      </c>
      <c r="F4825" s="712"/>
      <c r="G4825" s="710">
        <v>20</v>
      </c>
      <c r="H4825" s="709" t="s">
        <v>807</v>
      </c>
      <c r="I4825" s="713" t="s">
        <v>857</v>
      </c>
      <c r="J4825" s="714" t="s">
        <v>802</v>
      </c>
      <c r="K4825" s="709">
        <v>10</v>
      </c>
      <c r="L4825" s="715">
        <f t="shared" si="147"/>
        <v>18.8</v>
      </c>
      <c r="M4825" s="716">
        <f t="shared" si="146"/>
        <v>188</v>
      </c>
      <c r="O4825" s="693"/>
    </row>
    <row r="4826" spans="2:15" s="645" customFormat="1" ht="21.75" customHeight="1">
      <c r="B4826" s="708">
        <v>44493</v>
      </c>
      <c r="C4826" s="709" t="s">
        <v>837</v>
      </c>
      <c r="D4826" s="710" t="s">
        <v>840</v>
      </c>
      <c r="E4826" s="711" t="s">
        <v>831</v>
      </c>
      <c r="F4826" s="712"/>
      <c r="G4826" s="710">
        <v>20</v>
      </c>
      <c r="H4826" s="709" t="s">
        <v>807</v>
      </c>
      <c r="I4826" s="713" t="s">
        <v>857</v>
      </c>
      <c r="J4826" s="714" t="s">
        <v>802</v>
      </c>
      <c r="K4826" s="709">
        <v>8</v>
      </c>
      <c r="L4826" s="715">
        <f t="shared" si="147"/>
        <v>18.8</v>
      </c>
      <c r="M4826" s="716">
        <f t="shared" si="146"/>
        <v>150.4</v>
      </c>
      <c r="O4826" s="693"/>
    </row>
    <row r="4827" spans="2:15" s="645" customFormat="1" ht="21.75" customHeight="1">
      <c r="B4827" s="708">
        <v>44493</v>
      </c>
      <c r="C4827" s="709" t="s">
        <v>837</v>
      </c>
      <c r="D4827" s="710" t="s">
        <v>835</v>
      </c>
      <c r="E4827" s="711" t="s">
        <v>831</v>
      </c>
      <c r="F4827" s="712"/>
      <c r="G4827" s="710">
        <v>20</v>
      </c>
      <c r="H4827" s="709" t="s">
        <v>807</v>
      </c>
      <c r="I4827" s="713" t="s">
        <v>857</v>
      </c>
      <c r="J4827" s="714" t="s">
        <v>802</v>
      </c>
      <c r="K4827" s="709">
        <v>7</v>
      </c>
      <c r="L4827" s="715">
        <f t="shared" si="147"/>
        <v>18.8</v>
      </c>
      <c r="M4827" s="716">
        <f t="shared" si="146"/>
        <v>131.6</v>
      </c>
      <c r="O4827" s="693"/>
    </row>
    <row r="4828" spans="2:15" s="645" customFormat="1" ht="21.75" customHeight="1">
      <c r="B4828" s="708">
        <v>44493</v>
      </c>
      <c r="C4828" s="709" t="s">
        <v>837</v>
      </c>
      <c r="D4828" s="710" t="s">
        <v>841</v>
      </c>
      <c r="E4828" s="711" t="s">
        <v>831</v>
      </c>
      <c r="F4828" s="712"/>
      <c r="G4828" s="710">
        <v>20</v>
      </c>
      <c r="H4828" s="709" t="s">
        <v>807</v>
      </c>
      <c r="I4828" s="713" t="s">
        <v>857</v>
      </c>
      <c r="J4828" s="714" t="s">
        <v>802</v>
      </c>
      <c r="K4828" s="709">
        <v>9</v>
      </c>
      <c r="L4828" s="715">
        <f t="shared" si="147"/>
        <v>18.8</v>
      </c>
      <c r="M4828" s="716">
        <f t="shared" si="146"/>
        <v>169.20000000000002</v>
      </c>
      <c r="O4828" s="693"/>
    </row>
    <row r="4829" spans="2:15" s="645" customFormat="1" ht="21.75" customHeight="1">
      <c r="B4829" s="708">
        <v>44493</v>
      </c>
      <c r="C4829" s="709" t="s">
        <v>837</v>
      </c>
      <c r="D4829" s="710" t="s">
        <v>848</v>
      </c>
      <c r="E4829" s="711" t="s">
        <v>831</v>
      </c>
      <c r="F4829" s="712"/>
      <c r="G4829" s="710">
        <v>20</v>
      </c>
      <c r="H4829" s="709" t="s">
        <v>807</v>
      </c>
      <c r="I4829" s="713" t="s">
        <v>857</v>
      </c>
      <c r="J4829" s="714" t="s">
        <v>802</v>
      </c>
      <c r="K4829" s="709">
        <v>9</v>
      </c>
      <c r="L4829" s="715">
        <f t="shared" si="147"/>
        <v>18.8</v>
      </c>
      <c r="M4829" s="716">
        <f t="shared" si="146"/>
        <v>169.20000000000002</v>
      </c>
      <c r="O4829" s="693"/>
    </row>
    <row r="4830" spans="2:15" s="645" customFormat="1" ht="21.75" customHeight="1">
      <c r="B4830" s="708">
        <v>44493</v>
      </c>
      <c r="C4830" s="709" t="s">
        <v>837</v>
      </c>
      <c r="D4830" s="710" t="s">
        <v>830</v>
      </c>
      <c r="E4830" s="711" t="s">
        <v>831</v>
      </c>
      <c r="F4830" s="712"/>
      <c r="G4830" s="710">
        <v>15</v>
      </c>
      <c r="H4830" s="709" t="s">
        <v>807</v>
      </c>
      <c r="I4830" s="713" t="s">
        <v>857</v>
      </c>
      <c r="J4830" s="714" t="s">
        <v>802</v>
      </c>
      <c r="K4830" s="709">
        <v>6</v>
      </c>
      <c r="L4830" s="715">
        <f t="shared" si="147"/>
        <v>14.1</v>
      </c>
      <c r="M4830" s="716">
        <f t="shared" si="146"/>
        <v>84.6</v>
      </c>
      <c r="O4830" s="693"/>
    </row>
    <row r="4831" spans="2:15" s="645" customFormat="1" ht="21.75" customHeight="1">
      <c r="B4831" s="708">
        <v>44493</v>
      </c>
      <c r="C4831" s="709" t="s">
        <v>837</v>
      </c>
      <c r="D4831" s="710" t="s">
        <v>850</v>
      </c>
      <c r="E4831" s="711" t="s">
        <v>831</v>
      </c>
      <c r="F4831" s="712"/>
      <c r="G4831" s="710">
        <v>15</v>
      </c>
      <c r="H4831" s="709" t="s">
        <v>807</v>
      </c>
      <c r="I4831" s="713" t="s">
        <v>857</v>
      </c>
      <c r="J4831" s="714" t="s">
        <v>802</v>
      </c>
      <c r="K4831" s="709">
        <v>6</v>
      </c>
      <c r="L4831" s="715">
        <f t="shared" si="147"/>
        <v>14.1</v>
      </c>
      <c r="M4831" s="716">
        <f t="shared" si="146"/>
        <v>84.6</v>
      </c>
      <c r="O4831" s="693"/>
    </row>
    <row r="4832" spans="2:15" s="645" customFormat="1" ht="21.75" customHeight="1">
      <c r="B4832" s="708">
        <v>44493</v>
      </c>
      <c r="C4832" s="709" t="s">
        <v>837</v>
      </c>
      <c r="D4832" s="710" t="s">
        <v>845</v>
      </c>
      <c r="E4832" s="711" t="s">
        <v>831</v>
      </c>
      <c r="F4832" s="712"/>
      <c r="G4832" s="710">
        <v>17</v>
      </c>
      <c r="H4832" s="709" t="s">
        <v>807</v>
      </c>
      <c r="I4832" s="713" t="s">
        <v>857</v>
      </c>
      <c r="J4832" s="714" t="s">
        <v>802</v>
      </c>
      <c r="K4832" s="709">
        <v>6</v>
      </c>
      <c r="L4832" s="715">
        <f t="shared" si="147"/>
        <v>15.98</v>
      </c>
      <c r="M4832" s="716">
        <f t="shared" si="146"/>
        <v>95.88</v>
      </c>
      <c r="O4832" s="693"/>
    </row>
    <row r="4833" spans="2:15" s="645" customFormat="1" ht="21.75" customHeight="1">
      <c r="B4833" s="708">
        <v>44493</v>
      </c>
      <c r="C4833" s="709" t="s">
        <v>837</v>
      </c>
      <c r="D4833" s="710" t="s">
        <v>847</v>
      </c>
      <c r="E4833" s="711" t="s">
        <v>831</v>
      </c>
      <c r="F4833" s="712"/>
      <c r="G4833" s="710">
        <v>17</v>
      </c>
      <c r="H4833" s="709" t="s">
        <v>807</v>
      </c>
      <c r="I4833" s="713" t="s">
        <v>857</v>
      </c>
      <c r="J4833" s="714" t="s">
        <v>802</v>
      </c>
      <c r="K4833" s="709">
        <v>8</v>
      </c>
      <c r="L4833" s="715">
        <f t="shared" si="147"/>
        <v>15.98</v>
      </c>
      <c r="M4833" s="716">
        <f t="shared" si="146"/>
        <v>127.84</v>
      </c>
      <c r="O4833" s="693"/>
    </row>
    <row r="4834" spans="2:15" s="645" customFormat="1" ht="21.75" customHeight="1">
      <c r="B4834" s="708">
        <v>44493</v>
      </c>
      <c r="C4834" s="709" t="s">
        <v>837</v>
      </c>
      <c r="D4834" s="710" t="s">
        <v>878</v>
      </c>
      <c r="E4834" s="711" t="s">
        <v>831</v>
      </c>
      <c r="F4834" s="712"/>
      <c r="G4834" s="710">
        <v>15</v>
      </c>
      <c r="H4834" s="709" t="s">
        <v>807</v>
      </c>
      <c r="I4834" s="713" t="s">
        <v>857</v>
      </c>
      <c r="J4834" s="714" t="s">
        <v>802</v>
      </c>
      <c r="K4834" s="709">
        <v>9</v>
      </c>
      <c r="L4834" s="715">
        <f t="shared" si="147"/>
        <v>14.1</v>
      </c>
      <c r="M4834" s="716">
        <f t="shared" si="146"/>
        <v>126.89999999999999</v>
      </c>
      <c r="O4834" s="693"/>
    </row>
    <row r="4835" spans="2:15" s="645" customFormat="1" ht="21.75" customHeight="1">
      <c r="B4835" s="708">
        <v>44493</v>
      </c>
      <c r="C4835" s="709" t="s">
        <v>837</v>
      </c>
      <c r="D4835" s="710" t="s">
        <v>875</v>
      </c>
      <c r="E4835" s="711" t="s">
        <v>831</v>
      </c>
      <c r="F4835" s="712"/>
      <c r="G4835" s="710">
        <v>20</v>
      </c>
      <c r="H4835" s="709" t="s">
        <v>807</v>
      </c>
      <c r="I4835" s="713" t="s">
        <v>857</v>
      </c>
      <c r="J4835" s="714" t="s">
        <v>802</v>
      </c>
      <c r="K4835" s="709">
        <v>10</v>
      </c>
      <c r="L4835" s="715">
        <f t="shared" si="147"/>
        <v>18.8</v>
      </c>
      <c r="M4835" s="716">
        <f t="shared" si="146"/>
        <v>188</v>
      </c>
      <c r="O4835" s="693"/>
    </row>
    <row r="4836" spans="2:15" s="645" customFormat="1" ht="21.75" customHeight="1">
      <c r="B4836" s="661">
        <v>44494</v>
      </c>
      <c r="C4836" s="662" t="s">
        <v>819</v>
      </c>
      <c r="D4836" s="663" t="s">
        <v>830</v>
      </c>
      <c r="E4836" s="664" t="s">
        <v>831</v>
      </c>
      <c r="F4836" s="665"/>
      <c r="G4836" s="663">
        <v>15</v>
      </c>
      <c r="H4836" s="662" t="s">
        <v>807</v>
      </c>
      <c r="I4836" s="666" t="s">
        <v>857</v>
      </c>
      <c r="J4836" s="667" t="s">
        <v>805</v>
      </c>
      <c r="K4836" s="662">
        <v>1</v>
      </c>
      <c r="L4836" s="685">
        <f t="shared" si="147"/>
        <v>14.1</v>
      </c>
      <c r="M4836" s="686">
        <f t="shared" si="146"/>
        <v>14.1</v>
      </c>
      <c r="O4836" s="693"/>
    </row>
    <row r="4837" spans="2:15" s="645" customFormat="1" ht="21.75" customHeight="1">
      <c r="B4837" s="661">
        <v>44494</v>
      </c>
      <c r="C4837" s="662" t="s">
        <v>819</v>
      </c>
      <c r="D4837" s="663" t="s">
        <v>875</v>
      </c>
      <c r="E4837" s="664" t="s">
        <v>831</v>
      </c>
      <c r="F4837" s="665"/>
      <c r="G4837" s="663">
        <v>20</v>
      </c>
      <c r="H4837" s="662" t="s">
        <v>807</v>
      </c>
      <c r="I4837" s="666" t="s">
        <v>857</v>
      </c>
      <c r="J4837" s="667" t="s">
        <v>805</v>
      </c>
      <c r="K4837" s="662">
        <v>3</v>
      </c>
      <c r="L4837" s="685">
        <f t="shared" si="147"/>
        <v>18.8</v>
      </c>
      <c r="M4837" s="686">
        <f t="shared" si="146"/>
        <v>56.400000000000006</v>
      </c>
      <c r="O4837" s="693"/>
    </row>
    <row r="4838" spans="2:15" s="645" customFormat="1" ht="21.75" customHeight="1">
      <c r="B4838" s="661">
        <v>44494</v>
      </c>
      <c r="C4838" s="662" t="s">
        <v>819</v>
      </c>
      <c r="D4838" s="663" t="s">
        <v>867</v>
      </c>
      <c r="E4838" s="664" t="s">
        <v>831</v>
      </c>
      <c r="F4838" s="665"/>
      <c r="G4838" s="663">
        <v>20</v>
      </c>
      <c r="H4838" s="662" t="s">
        <v>807</v>
      </c>
      <c r="I4838" s="666" t="s">
        <v>857</v>
      </c>
      <c r="J4838" s="667" t="s">
        <v>805</v>
      </c>
      <c r="K4838" s="662">
        <v>3</v>
      </c>
      <c r="L4838" s="685">
        <f t="shared" si="147"/>
        <v>18.8</v>
      </c>
      <c r="M4838" s="686">
        <f t="shared" si="146"/>
        <v>56.400000000000006</v>
      </c>
      <c r="O4838" s="693"/>
    </row>
    <row r="4839" spans="2:15" s="645" customFormat="1" ht="21.75" customHeight="1">
      <c r="B4839" s="708">
        <v>44494</v>
      </c>
      <c r="C4839" s="709" t="s">
        <v>819</v>
      </c>
      <c r="D4839" s="710" t="s">
        <v>840</v>
      </c>
      <c r="E4839" s="711" t="s">
        <v>831</v>
      </c>
      <c r="F4839" s="712"/>
      <c r="G4839" s="710">
        <v>20</v>
      </c>
      <c r="H4839" s="709" t="s">
        <v>807</v>
      </c>
      <c r="I4839" s="713" t="s">
        <v>857</v>
      </c>
      <c r="J4839" s="714" t="s">
        <v>802</v>
      </c>
      <c r="K4839" s="709">
        <v>4</v>
      </c>
      <c r="L4839" s="715">
        <f t="shared" si="147"/>
        <v>18.8</v>
      </c>
      <c r="M4839" s="716">
        <f t="shared" ref="M4839:M4902" si="148">L4839*K4839</f>
        <v>75.2</v>
      </c>
      <c r="O4839" s="693"/>
    </row>
    <row r="4840" spans="2:15" s="645" customFormat="1" ht="21.75" customHeight="1">
      <c r="B4840" s="708">
        <v>44494</v>
      </c>
      <c r="C4840" s="709" t="s">
        <v>819</v>
      </c>
      <c r="D4840" s="710" t="s">
        <v>841</v>
      </c>
      <c r="E4840" s="711" t="s">
        <v>831</v>
      </c>
      <c r="F4840" s="712"/>
      <c r="G4840" s="710">
        <v>20</v>
      </c>
      <c r="H4840" s="709" t="s">
        <v>807</v>
      </c>
      <c r="I4840" s="713" t="s">
        <v>857</v>
      </c>
      <c r="J4840" s="714" t="s">
        <v>802</v>
      </c>
      <c r="K4840" s="709">
        <v>3</v>
      </c>
      <c r="L4840" s="715">
        <f t="shared" si="147"/>
        <v>18.8</v>
      </c>
      <c r="M4840" s="716">
        <f t="shared" si="148"/>
        <v>56.400000000000006</v>
      </c>
      <c r="O4840" s="693"/>
    </row>
    <row r="4841" spans="2:15" s="645" customFormat="1" ht="21.75" customHeight="1">
      <c r="B4841" s="708">
        <v>44494</v>
      </c>
      <c r="C4841" s="709" t="s">
        <v>819</v>
      </c>
      <c r="D4841" s="710" t="s">
        <v>834</v>
      </c>
      <c r="E4841" s="711" t="s">
        <v>831</v>
      </c>
      <c r="F4841" s="712"/>
      <c r="G4841" s="710">
        <v>20</v>
      </c>
      <c r="H4841" s="709" t="s">
        <v>807</v>
      </c>
      <c r="I4841" s="713" t="s">
        <v>857</v>
      </c>
      <c r="J4841" s="714" t="s">
        <v>802</v>
      </c>
      <c r="K4841" s="709">
        <v>1</v>
      </c>
      <c r="L4841" s="715">
        <f t="shared" si="147"/>
        <v>18.8</v>
      </c>
      <c r="M4841" s="716">
        <f t="shared" si="148"/>
        <v>18.8</v>
      </c>
      <c r="O4841" s="693"/>
    </row>
    <row r="4842" spans="2:15" s="645" customFormat="1" ht="21.75" customHeight="1">
      <c r="B4842" s="708">
        <v>44494</v>
      </c>
      <c r="C4842" s="709" t="s">
        <v>819</v>
      </c>
      <c r="D4842" s="710" t="s">
        <v>848</v>
      </c>
      <c r="E4842" s="711" t="s">
        <v>831</v>
      </c>
      <c r="F4842" s="712"/>
      <c r="G4842" s="710">
        <v>20</v>
      </c>
      <c r="H4842" s="709" t="s">
        <v>807</v>
      </c>
      <c r="I4842" s="713" t="s">
        <v>857</v>
      </c>
      <c r="J4842" s="714" t="s">
        <v>802</v>
      </c>
      <c r="K4842" s="709">
        <v>3</v>
      </c>
      <c r="L4842" s="715">
        <f t="shared" si="147"/>
        <v>18.8</v>
      </c>
      <c r="M4842" s="716">
        <f t="shared" si="148"/>
        <v>56.400000000000006</v>
      </c>
      <c r="O4842" s="693"/>
    </row>
    <row r="4843" spans="2:15" s="645" customFormat="1" ht="21.75" customHeight="1">
      <c r="B4843" s="708">
        <v>44494</v>
      </c>
      <c r="C4843" s="709" t="s">
        <v>819</v>
      </c>
      <c r="D4843" s="710" t="s">
        <v>836</v>
      </c>
      <c r="E4843" s="711" t="s">
        <v>831</v>
      </c>
      <c r="F4843" s="712"/>
      <c r="G4843" s="710">
        <v>15</v>
      </c>
      <c r="H4843" s="709" t="s">
        <v>807</v>
      </c>
      <c r="I4843" s="713" t="s">
        <v>857</v>
      </c>
      <c r="J4843" s="714" t="s">
        <v>802</v>
      </c>
      <c r="K4843" s="709">
        <v>4</v>
      </c>
      <c r="L4843" s="715">
        <f t="shared" si="147"/>
        <v>14.1</v>
      </c>
      <c r="M4843" s="716">
        <f t="shared" si="148"/>
        <v>56.4</v>
      </c>
      <c r="O4843" s="693"/>
    </row>
    <row r="4844" spans="2:15" s="645" customFormat="1" ht="21.75" customHeight="1">
      <c r="B4844" s="708">
        <v>44494</v>
      </c>
      <c r="C4844" s="709" t="s">
        <v>819</v>
      </c>
      <c r="D4844" s="710" t="s">
        <v>856</v>
      </c>
      <c r="E4844" s="711" t="s">
        <v>831</v>
      </c>
      <c r="F4844" s="712"/>
      <c r="G4844" s="710">
        <v>20</v>
      </c>
      <c r="H4844" s="709" t="s">
        <v>807</v>
      </c>
      <c r="I4844" s="713" t="s">
        <v>857</v>
      </c>
      <c r="J4844" s="714" t="s">
        <v>802</v>
      </c>
      <c r="K4844" s="709">
        <v>4</v>
      </c>
      <c r="L4844" s="715">
        <f t="shared" si="147"/>
        <v>18.8</v>
      </c>
      <c r="M4844" s="716">
        <f t="shared" si="148"/>
        <v>75.2</v>
      </c>
      <c r="O4844" s="693"/>
    </row>
    <row r="4845" spans="2:15" s="645" customFormat="1" ht="21.75" customHeight="1">
      <c r="B4845" s="708">
        <v>44494</v>
      </c>
      <c r="C4845" s="709" t="s">
        <v>819</v>
      </c>
      <c r="D4845" s="710" t="s">
        <v>876</v>
      </c>
      <c r="E4845" s="711" t="s">
        <v>831</v>
      </c>
      <c r="F4845" s="712"/>
      <c r="G4845" s="710">
        <v>20</v>
      </c>
      <c r="H4845" s="709" t="s">
        <v>807</v>
      </c>
      <c r="I4845" s="713" t="s">
        <v>857</v>
      </c>
      <c r="J4845" s="714" t="s">
        <v>802</v>
      </c>
      <c r="K4845" s="709">
        <v>3</v>
      </c>
      <c r="L4845" s="715">
        <f t="shared" si="147"/>
        <v>18.8</v>
      </c>
      <c r="M4845" s="716">
        <f t="shared" si="148"/>
        <v>56.400000000000006</v>
      </c>
      <c r="O4845" s="693"/>
    </row>
    <row r="4846" spans="2:15" s="645" customFormat="1" ht="21.75" customHeight="1">
      <c r="B4846" s="708">
        <v>44494</v>
      </c>
      <c r="C4846" s="709" t="s">
        <v>819</v>
      </c>
      <c r="D4846" s="710" t="s">
        <v>868</v>
      </c>
      <c r="E4846" s="711" t="s">
        <v>831</v>
      </c>
      <c r="F4846" s="712"/>
      <c r="G4846" s="710">
        <v>20</v>
      </c>
      <c r="H4846" s="709" t="s">
        <v>807</v>
      </c>
      <c r="I4846" s="713" t="s">
        <v>857</v>
      </c>
      <c r="J4846" s="714" t="s">
        <v>802</v>
      </c>
      <c r="K4846" s="709">
        <v>1</v>
      </c>
      <c r="L4846" s="715">
        <f t="shared" si="147"/>
        <v>18.8</v>
      </c>
      <c r="M4846" s="716">
        <f t="shared" si="148"/>
        <v>18.8</v>
      </c>
      <c r="O4846" s="693"/>
    </row>
    <row r="4847" spans="2:15" s="645" customFormat="1" ht="21.75" customHeight="1">
      <c r="B4847" s="708">
        <v>44494</v>
      </c>
      <c r="C4847" s="709" t="s">
        <v>819</v>
      </c>
      <c r="D4847" s="710" t="s">
        <v>870</v>
      </c>
      <c r="E4847" s="711" t="s">
        <v>831</v>
      </c>
      <c r="F4847" s="712"/>
      <c r="G4847" s="710">
        <v>20</v>
      </c>
      <c r="H4847" s="709" t="s">
        <v>807</v>
      </c>
      <c r="I4847" s="713" t="s">
        <v>857</v>
      </c>
      <c r="J4847" s="714" t="s">
        <v>802</v>
      </c>
      <c r="K4847" s="709">
        <v>4</v>
      </c>
      <c r="L4847" s="715">
        <f t="shared" si="147"/>
        <v>18.8</v>
      </c>
      <c r="M4847" s="716">
        <f t="shared" si="148"/>
        <v>75.2</v>
      </c>
      <c r="O4847" s="693"/>
    </row>
    <row r="4848" spans="2:15" s="645" customFormat="1" ht="21.75" customHeight="1">
      <c r="B4848" s="661">
        <v>44495</v>
      </c>
      <c r="C4848" s="662" t="s">
        <v>819</v>
      </c>
      <c r="D4848" s="663" t="s">
        <v>835</v>
      </c>
      <c r="E4848" s="664" t="s">
        <v>831</v>
      </c>
      <c r="F4848" s="665"/>
      <c r="G4848" s="663">
        <v>20</v>
      </c>
      <c r="H4848" s="662" t="s">
        <v>807</v>
      </c>
      <c r="I4848" s="666" t="s">
        <v>805</v>
      </c>
      <c r="J4848" s="667" t="s">
        <v>805</v>
      </c>
      <c r="K4848" s="662">
        <v>5</v>
      </c>
      <c r="L4848" s="685">
        <f t="shared" si="147"/>
        <v>18.8</v>
      </c>
      <c r="M4848" s="686">
        <f t="shared" si="148"/>
        <v>94</v>
      </c>
      <c r="O4848" s="693"/>
    </row>
    <row r="4849" spans="2:15" s="645" customFormat="1" ht="21.75" customHeight="1">
      <c r="B4849" s="708">
        <v>44495</v>
      </c>
      <c r="C4849" s="709" t="s">
        <v>819</v>
      </c>
      <c r="D4849" s="710" t="s">
        <v>835</v>
      </c>
      <c r="E4849" s="711" t="s">
        <v>831</v>
      </c>
      <c r="F4849" s="712"/>
      <c r="G4849" s="710">
        <v>20</v>
      </c>
      <c r="H4849" s="709" t="s">
        <v>807</v>
      </c>
      <c r="I4849" s="713" t="s">
        <v>805</v>
      </c>
      <c r="J4849" s="714" t="s">
        <v>802</v>
      </c>
      <c r="K4849" s="709">
        <v>8</v>
      </c>
      <c r="L4849" s="715">
        <f t="shared" si="147"/>
        <v>18.8</v>
      </c>
      <c r="M4849" s="716">
        <f t="shared" si="148"/>
        <v>150.4</v>
      </c>
      <c r="O4849" s="693"/>
    </row>
    <row r="4850" spans="2:15" s="645" customFormat="1" ht="21.75" customHeight="1">
      <c r="B4850" s="708">
        <v>44495</v>
      </c>
      <c r="C4850" s="709" t="s">
        <v>819</v>
      </c>
      <c r="D4850" s="710" t="s">
        <v>845</v>
      </c>
      <c r="E4850" s="711" t="s">
        <v>831</v>
      </c>
      <c r="F4850" s="712"/>
      <c r="G4850" s="710">
        <v>17</v>
      </c>
      <c r="H4850" s="709" t="s">
        <v>807</v>
      </c>
      <c r="I4850" s="713" t="s">
        <v>805</v>
      </c>
      <c r="J4850" s="714" t="s">
        <v>802</v>
      </c>
      <c r="K4850" s="709">
        <v>4</v>
      </c>
      <c r="L4850" s="715">
        <f t="shared" si="147"/>
        <v>15.98</v>
      </c>
      <c r="M4850" s="716">
        <f t="shared" si="148"/>
        <v>63.92</v>
      </c>
      <c r="O4850" s="693"/>
    </row>
    <row r="4851" spans="2:15" s="645" customFormat="1" ht="21.75" customHeight="1">
      <c r="B4851" s="708">
        <v>44495</v>
      </c>
      <c r="C4851" s="709" t="s">
        <v>819</v>
      </c>
      <c r="D4851" s="710" t="s">
        <v>878</v>
      </c>
      <c r="E4851" s="711" t="s">
        <v>831</v>
      </c>
      <c r="F4851" s="712"/>
      <c r="G4851" s="710">
        <v>15</v>
      </c>
      <c r="H4851" s="709" t="s">
        <v>807</v>
      </c>
      <c r="I4851" s="713" t="s">
        <v>805</v>
      </c>
      <c r="J4851" s="714" t="s">
        <v>802</v>
      </c>
      <c r="K4851" s="709">
        <v>5</v>
      </c>
      <c r="L4851" s="715">
        <f t="shared" si="147"/>
        <v>14.1</v>
      </c>
      <c r="M4851" s="716">
        <f t="shared" si="148"/>
        <v>70.5</v>
      </c>
      <c r="O4851" s="693"/>
    </row>
    <row r="4852" spans="2:15" s="645" customFormat="1" ht="21.75" customHeight="1">
      <c r="B4852" s="708">
        <v>44495</v>
      </c>
      <c r="C4852" s="709" t="s">
        <v>819</v>
      </c>
      <c r="D4852" s="710" t="s">
        <v>875</v>
      </c>
      <c r="E4852" s="711" t="s">
        <v>831</v>
      </c>
      <c r="F4852" s="712"/>
      <c r="G4852" s="710">
        <v>20</v>
      </c>
      <c r="H4852" s="709" t="s">
        <v>807</v>
      </c>
      <c r="I4852" s="713" t="s">
        <v>805</v>
      </c>
      <c r="J4852" s="714" t="s">
        <v>802</v>
      </c>
      <c r="K4852" s="709">
        <v>14</v>
      </c>
      <c r="L4852" s="715">
        <f t="shared" si="147"/>
        <v>18.8</v>
      </c>
      <c r="M4852" s="716">
        <f t="shared" si="148"/>
        <v>263.2</v>
      </c>
      <c r="O4852" s="693"/>
    </row>
    <row r="4853" spans="2:15" s="645" customFormat="1" ht="21.75" customHeight="1">
      <c r="B4853" s="708">
        <v>44495</v>
      </c>
      <c r="C4853" s="709" t="s">
        <v>819</v>
      </c>
      <c r="D4853" s="710" t="s">
        <v>868</v>
      </c>
      <c r="E4853" s="711" t="s">
        <v>831</v>
      </c>
      <c r="F4853" s="712"/>
      <c r="G4853" s="710">
        <v>20</v>
      </c>
      <c r="H4853" s="709" t="s">
        <v>807</v>
      </c>
      <c r="I4853" s="713" t="s">
        <v>805</v>
      </c>
      <c r="J4853" s="714" t="s">
        <v>802</v>
      </c>
      <c r="K4853" s="709">
        <v>13</v>
      </c>
      <c r="L4853" s="715">
        <f t="shared" si="147"/>
        <v>18.8</v>
      </c>
      <c r="M4853" s="716">
        <f t="shared" si="148"/>
        <v>244.4</v>
      </c>
      <c r="O4853" s="693"/>
    </row>
    <row r="4854" spans="2:15" s="645" customFormat="1" ht="21.75" customHeight="1">
      <c r="B4854" s="708">
        <v>44495</v>
      </c>
      <c r="C4854" s="709" t="s">
        <v>819</v>
      </c>
      <c r="D4854" s="710" t="s">
        <v>877</v>
      </c>
      <c r="E4854" s="711" t="s">
        <v>831</v>
      </c>
      <c r="F4854" s="712"/>
      <c r="G4854" s="710">
        <v>20</v>
      </c>
      <c r="H4854" s="709" t="s">
        <v>807</v>
      </c>
      <c r="I4854" s="713" t="s">
        <v>805</v>
      </c>
      <c r="J4854" s="714" t="s">
        <v>802</v>
      </c>
      <c r="K4854" s="709">
        <v>16</v>
      </c>
      <c r="L4854" s="715">
        <f t="shared" si="147"/>
        <v>18.8</v>
      </c>
      <c r="M4854" s="716">
        <f t="shared" si="148"/>
        <v>300.8</v>
      </c>
      <c r="O4854" s="693"/>
    </row>
    <row r="4855" spans="2:15" s="645" customFormat="1" ht="21.75" customHeight="1">
      <c r="B4855" s="661">
        <v>44496</v>
      </c>
      <c r="C4855" s="662" t="s">
        <v>819</v>
      </c>
      <c r="D4855" s="663" t="s">
        <v>840</v>
      </c>
      <c r="E4855" s="664" t="s">
        <v>831</v>
      </c>
      <c r="F4855" s="665"/>
      <c r="G4855" s="663">
        <v>20</v>
      </c>
      <c r="H4855" s="662" t="s">
        <v>807</v>
      </c>
      <c r="I4855" s="666" t="s">
        <v>859</v>
      </c>
      <c r="J4855" s="667" t="s">
        <v>865</v>
      </c>
      <c r="K4855" s="662">
        <v>2</v>
      </c>
      <c r="L4855" s="685">
        <f t="shared" si="147"/>
        <v>18.8</v>
      </c>
      <c r="M4855" s="686">
        <f t="shared" si="148"/>
        <v>37.6</v>
      </c>
      <c r="O4855" s="693"/>
    </row>
    <row r="4856" spans="2:15" s="645" customFormat="1" ht="21.75" customHeight="1">
      <c r="B4856" s="661">
        <v>44496</v>
      </c>
      <c r="C4856" s="662" t="s">
        <v>819</v>
      </c>
      <c r="D4856" s="663" t="s">
        <v>835</v>
      </c>
      <c r="E4856" s="664" t="s">
        <v>831</v>
      </c>
      <c r="F4856" s="665"/>
      <c r="G4856" s="663">
        <v>20</v>
      </c>
      <c r="H4856" s="662" t="s">
        <v>807</v>
      </c>
      <c r="I4856" s="666" t="s">
        <v>805</v>
      </c>
      <c r="J4856" s="667" t="s">
        <v>865</v>
      </c>
      <c r="K4856" s="662">
        <v>5</v>
      </c>
      <c r="L4856" s="685">
        <f t="shared" si="147"/>
        <v>18.8</v>
      </c>
      <c r="M4856" s="686">
        <f t="shared" si="148"/>
        <v>94</v>
      </c>
      <c r="O4856" s="693"/>
    </row>
    <row r="4857" spans="2:15" s="645" customFormat="1" ht="21.75" customHeight="1">
      <c r="B4857" s="661">
        <v>44496</v>
      </c>
      <c r="C4857" s="662" t="s">
        <v>819</v>
      </c>
      <c r="D4857" s="663" t="s">
        <v>835</v>
      </c>
      <c r="E4857" s="664" t="s">
        <v>831</v>
      </c>
      <c r="F4857" s="665"/>
      <c r="G4857" s="663">
        <v>20</v>
      </c>
      <c r="H4857" s="662" t="s">
        <v>807</v>
      </c>
      <c r="I4857" s="666" t="s">
        <v>859</v>
      </c>
      <c r="J4857" s="667" t="s">
        <v>865</v>
      </c>
      <c r="K4857" s="662">
        <v>3</v>
      </c>
      <c r="L4857" s="685">
        <f t="shared" si="147"/>
        <v>18.8</v>
      </c>
      <c r="M4857" s="686">
        <f t="shared" si="148"/>
        <v>56.400000000000006</v>
      </c>
      <c r="O4857" s="693"/>
    </row>
    <row r="4858" spans="2:15" s="645" customFormat="1" ht="21.75" customHeight="1">
      <c r="B4858" s="661">
        <v>44496</v>
      </c>
      <c r="C4858" s="662" t="s">
        <v>819</v>
      </c>
      <c r="D4858" s="663" t="s">
        <v>841</v>
      </c>
      <c r="E4858" s="664" t="s">
        <v>831</v>
      </c>
      <c r="F4858" s="665"/>
      <c r="G4858" s="663">
        <v>20</v>
      </c>
      <c r="H4858" s="662" t="s">
        <v>807</v>
      </c>
      <c r="I4858" s="666" t="s">
        <v>805</v>
      </c>
      <c r="J4858" s="667" t="s">
        <v>865</v>
      </c>
      <c r="K4858" s="662">
        <v>3</v>
      </c>
      <c r="L4858" s="685">
        <f t="shared" si="147"/>
        <v>18.8</v>
      </c>
      <c r="M4858" s="686">
        <f t="shared" si="148"/>
        <v>56.400000000000006</v>
      </c>
      <c r="O4858" s="693"/>
    </row>
    <row r="4859" spans="2:15" s="645" customFormat="1" ht="21.75" customHeight="1">
      <c r="B4859" s="661">
        <v>44496</v>
      </c>
      <c r="C4859" s="662" t="s">
        <v>819</v>
      </c>
      <c r="D4859" s="663" t="s">
        <v>834</v>
      </c>
      <c r="E4859" s="664" t="s">
        <v>831</v>
      </c>
      <c r="F4859" s="665"/>
      <c r="G4859" s="663">
        <v>20</v>
      </c>
      <c r="H4859" s="662" t="s">
        <v>807</v>
      </c>
      <c r="I4859" s="666" t="s">
        <v>805</v>
      </c>
      <c r="J4859" s="667" t="s">
        <v>865</v>
      </c>
      <c r="K4859" s="662">
        <v>5</v>
      </c>
      <c r="L4859" s="685">
        <f t="shared" si="147"/>
        <v>18.8</v>
      </c>
      <c r="M4859" s="686">
        <f t="shared" si="148"/>
        <v>94</v>
      </c>
      <c r="O4859" s="693"/>
    </row>
    <row r="4860" spans="2:15" s="645" customFormat="1" ht="21.75" customHeight="1">
      <c r="B4860" s="661">
        <v>44496</v>
      </c>
      <c r="C4860" s="662" t="s">
        <v>819</v>
      </c>
      <c r="D4860" s="663" t="s">
        <v>834</v>
      </c>
      <c r="E4860" s="664" t="s">
        <v>831</v>
      </c>
      <c r="F4860" s="665"/>
      <c r="G4860" s="663">
        <v>20</v>
      </c>
      <c r="H4860" s="662" t="s">
        <v>807</v>
      </c>
      <c r="I4860" s="666" t="s">
        <v>859</v>
      </c>
      <c r="J4860" s="667" t="s">
        <v>865</v>
      </c>
      <c r="K4860" s="662">
        <v>3</v>
      </c>
      <c r="L4860" s="685">
        <f t="shared" si="147"/>
        <v>18.8</v>
      </c>
      <c r="M4860" s="686">
        <f t="shared" si="148"/>
        <v>56.400000000000006</v>
      </c>
      <c r="O4860" s="693"/>
    </row>
    <row r="4861" spans="2:15" s="645" customFormat="1" ht="21.75" customHeight="1">
      <c r="B4861" s="661">
        <v>44496</v>
      </c>
      <c r="C4861" s="662" t="s">
        <v>819</v>
      </c>
      <c r="D4861" s="663" t="s">
        <v>833</v>
      </c>
      <c r="E4861" s="664" t="s">
        <v>831</v>
      </c>
      <c r="F4861" s="665"/>
      <c r="G4861" s="663">
        <v>15</v>
      </c>
      <c r="H4861" s="662" t="s">
        <v>807</v>
      </c>
      <c r="I4861" s="666" t="s">
        <v>859</v>
      </c>
      <c r="J4861" s="667" t="s">
        <v>865</v>
      </c>
      <c r="K4861" s="662">
        <v>3</v>
      </c>
      <c r="L4861" s="685">
        <f t="shared" si="147"/>
        <v>14.1</v>
      </c>
      <c r="M4861" s="686">
        <f t="shared" si="148"/>
        <v>42.3</v>
      </c>
      <c r="O4861" s="693"/>
    </row>
    <row r="4862" spans="2:15" s="645" customFormat="1" ht="21.75" customHeight="1">
      <c r="B4862" s="661">
        <v>44496</v>
      </c>
      <c r="C4862" s="662" t="s">
        <v>819</v>
      </c>
      <c r="D4862" s="663" t="s">
        <v>845</v>
      </c>
      <c r="E4862" s="664" t="s">
        <v>831</v>
      </c>
      <c r="F4862" s="665"/>
      <c r="G4862" s="663">
        <v>17</v>
      </c>
      <c r="H4862" s="662" t="s">
        <v>807</v>
      </c>
      <c r="I4862" s="666" t="s">
        <v>805</v>
      </c>
      <c r="J4862" s="667" t="s">
        <v>865</v>
      </c>
      <c r="K4862" s="662">
        <v>4</v>
      </c>
      <c r="L4862" s="685">
        <f t="shared" si="147"/>
        <v>15.98</v>
      </c>
      <c r="M4862" s="686">
        <f t="shared" si="148"/>
        <v>63.92</v>
      </c>
      <c r="O4862" s="693"/>
    </row>
    <row r="4863" spans="2:15" s="645" customFormat="1" ht="21.75" customHeight="1">
      <c r="B4863" s="661">
        <v>44496</v>
      </c>
      <c r="C4863" s="662" t="s">
        <v>819</v>
      </c>
      <c r="D4863" s="663" t="s">
        <v>845</v>
      </c>
      <c r="E4863" s="664" t="s">
        <v>831</v>
      </c>
      <c r="F4863" s="665"/>
      <c r="G4863" s="663">
        <v>17</v>
      </c>
      <c r="H4863" s="662" t="s">
        <v>807</v>
      </c>
      <c r="I4863" s="666" t="s">
        <v>859</v>
      </c>
      <c r="J4863" s="667" t="s">
        <v>865</v>
      </c>
      <c r="K4863" s="662">
        <v>3</v>
      </c>
      <c r="L4863" s="685">
        <f t="shared" si="147"/>
        <v>15.98</v>
      </c>
      <c r="M4863" s="686">
        <f t="shared" si="148"/>
        <v>47.94</v>
      </c>
      <c r="O4863" s="693"/>
    </row>
    <row r="4864" spans="2:15" s="645" customFormat="1" ht="21.75" customHeight="1">
      <c r="B4864" s="661">
        <v>44496</v>
      </c>
      <c r="C4864" s="662" t="s">
        <v>819</v>
      </c>
      <c r="D4864" s="663" t="s">
        <v>847</v>
      </c>
      <c r="E4864" s="664" t="s">
        <v>831</v>
      </c>
      <c r="F4864" s="665"/>
      <c r="G4864" s="663">
        <v>17</v>
      </c>
      <c r="H4864" s="662" t="s">
        <v>807</v>
      </c>
      <c r="I4864" s="666" t="s">
        <v>805</v>
      </c>
      <c r="J4864" s="667" t="s">
        <v>865</v>
      </c>
      <c r="K4864" s="662">
        <v>2</v>
      </c>
      <c r="L4864" s="685">
        <f t="shared" si="147"/>
        <v>15.98</v>
      </c>
      <c r="M4864" s="686">
        <f t="shared" si="148"/>
        <v>31.96</v>
      </c>
      <c r="O4864" s="693"/>
    </row>
    <row r="4865" spans="2:15" s="645" customFormat="1" ht="21.75" customHeight="1">
      <c r="B4865" s="661">
        <v>44496</v>
      </c>
      <c r="C4865" s="662" t="s">
        <v>819</v>
      </c>
      <c r="D4865" s="663" t="s">
        <v>856</v>
      </c>
      <c r="E4865" s="664" t="s">
        <v>831</v>
      </c>
      <c r="F4865" s="665"/>
      <c r="G4865" s="663">
        <v>20</v>
      </c>
      <c r="H4865" s="662" t="s">
        <v>807</v>
      </c>
      <c r="I4865" s="666" t="s">
        <v>805</v>
      </c>
      <c r="J4865" s="667" t="s">
        <v>865</v>
      </c>
      <c r="K4865" s="662">
        <v>3</v>
      </c>
      <c r="L4865" s="685">
        <f t="shared" si="147"/>
        <v>18.8</v>
      </c>
      <c r="M4865" s="686">
        <f t="shared" si="148"/>
        <v>56.400000000000006</v>
      </c>
      <c r="O4865" s="693"/>
    </row>
    <row r="4866" spans="2:15" s="645" customFormat="1" ht="21.75" customHeight="1">
      <c r="B4866" s="661">
        <v>44496</v>
      </c>
      <c r="C4866" s="662" t="s">
        <v>819</v>
      </c>
      <c r="D4866" s="663" t="s">
        <v>856</v>
      </c>
      <c r="E4866" s="664" t="s">
        <v>831</v>
      </c>
      <c r="F4866" s="665"/>
      <c r="G4866" s="663">
        <v>20</v>
      </c>
      <c r="H4866" s="662" t="s">
        <v>807</v>
      </c>
      <c r="I4866" s="666" t="s">
        <v>859</v>
      </c>
      <c r="J4866" s="667" t="s">
        <v>865</v>
      </c>
      <c r="K4866" s="662">
        <v>1</v>
      </c>
      <c r="L4866" s="685">
        <f t="shared" si="147"/>
        <v>18.8</v>
      </c>
      <c r="M4866" s="686">
        <f t="shared" si="148"/>
        <v>18.8</v>
      </c>
      <c r="O4866" s="693"/>
    </row>
    <row r="4867" spans="2:15" s="645" customFormat="1" ht="21.75" customHeight="1">
      <c r="B4867" s="661">
        <v>44496</v>
      </c>
      <c r="C4867" s="662" t="s">
        <v>819</v>
      </c>
      <c r="D4867" s="663" t="s">
        <v>855</v>
      </c>
      <c r="E4867" s="664" t="s">
        <v>831</v>
      </c>
      <c r="F4867" s="665"/>
      <c r="G4867" s="663">
        <v>20</v>
      </c>
      <c r="H4867" s="662" t="s">
        <v>807</v>
      </c>
      <c r="I4867" s="666" t="s">
        <v>859</v>
      </c>
      <c r="J4867" s="667" t="s">
        <v>865</v>
      </c>
      <c r="K4867" s="662">
        <v>1</v>
      </c>
      <c r="L4867" s="685">
        <f t="shared" si="147"/>
        <v>18.8</v>
      </c>
      <c r="M4867" s="686">
        <f t="shared" si="148"/>
        <v>18.8</v>
      </c>
      <c r="O4867" s="693"/>
    </row>
    <row r="4868" spans="2:15" s="645" customFormat="1" ht="21.75" customHeight="1">
      <c r="B4868" s="661">
        <v>44496</v>
      </c>
      <c r="C4868" s="662" t="s">
        <v>819</v>
      </c>
      <c r="D4868" s="663" t="s">
        <v>855</v>
      </c>
      <c r="E4868" s="664" t="s">
        <v>831</v>
      </c>
      <c r="F4868" s="665"/>
      <c r="G4868" s="663">
        <v>20</v>
      </c>
      <c r="H4868" s="662" t="s">
        <v>807</v>
      </c>
      <c r="I4868" s="666" t="s">
        <v>805</v>
      </c>
      <c r="J4868" s="667" t="s">
        <v>865</v>
      </c>
      <c r="K4868" s="662">
        <v>2</v>
      </c>
      <c r="L4868" s="685">
        <f t="shared" si="147"/>
        <v>18.8</v>
      </c>
      <c r="M4868" s="686">
        <f t="shared" si="148"/>
        <v>37.6</v>
      </c>
      <c r="O4868" s="693"/>
    </row>
    <row r="4869" spans="2:15" s="645" customFormat="1" ht="21.75" customHeight="1">
      <c r="B4869" s="661">
        <v>44496</v>
      </c>
      <c r="C4869" s="662" t="s">
        <v>819</v>
      </c>
      <c r="D4869" s="663" t="s">
        <v>875</v>
      </c>
      <c r="E4869" s="664" t="s">
        <v>831</v>
      </c>
      <c r="F4869" s="665"/>
      <c r="G4869" s="663">
        <v>20</v>
      </c>
      <c r="H4869" s="662" t="s">
        <v>807</v>
      </c>
      <c r="I4869" s="666" t="s">
        <v>805</v>
      </c>
      <c r="J4869" s="667" t="s">
        <v>865</v>
      </c>
      <c r="K4869" s="662">
        <v>4</v>
      </c>
      <c r="L4869" s="685">
        <f t="shared" si="147"/>
        <v>18.8</v>
      </c>
      <c r="M4869" s="686">
        <f t="shared" si="148"/>
        <v>75.2</v>
      </c>
      <c r="O4869" s="693"/>
    </row>
    <row r="4870" spans="2:15" s="645" customFormat="1" ht="21.75" customHeight="1">
      <c r="B4870" s="661">
        <v>44496</v>
      </c>
      <c r="C4870" s="662" t="s">
        <v>819</v>
      </c>
      <c r="D4870" s="663" t="s">
        <v>875</v>
      </c>
      <c r="E4870" s="664" t="s">
        <v>831</v>
      </c>
      <c r="F4870" s="665"/>
      <c r="G4870" s="663">
        <v>20</v>
      </c>
      <c r="H4870" s="662" t="s">
        <v>807</v>
      </c>
      <c r="I4870" s="666" t="s">
        <v>859</v>
      </c>
      <c r="J4870" s="667" t="s">
        <v>865</v>
      </c>
      <c r="K4870" s="662">
        <v>2</v>
      </c>
      <c r="L4870" s="685">
        <f t="shared" si="147"/>
        <v>18.8</v>
      </c>
      <c r="M4870" s="686">
        <f t="shared" si="148"/>
        <v>37.6</v>
      </c>
      <c r="O4870" s="693"/>
    </row>
    <row r="4871" spans="2:15" s="645" customFormat="1" ht="21.75" customHeight="1">
      <c r="B4871" s="661">
        <v>44496</v>
      </c>
      <c r="C4871" s="662" t="s">
        <v>819</v>
      </c>
      <c r="D4871" s="663" t="s">
        <v>877</v>
      </c>
      <c r="E4871" s="664" t="s">
        <v>831</v>
      </c>
      <c r="F4871" s="665"/>
      <c r="G4871" s="663">
        <v>20</v>
      </c>
      <c r="H4871" s="662" t="s">
        <v>807</v>
      </c>
      <c r="I4871" s="666" t="s">
        <v>859</v>
      </c>
      <c r="J4871" s="667" t="s">
        <v>865</v>
      </c>
      <c r="K4871" s="662">
        <v>3</v>
      </c>
      <c r="L4871" s="685">
        <f t="shared" si="147"/>
        <v>18.8</v>
      </c>
      <c r="M4871" s="686">
        <f t="shared" si="148"/>
        <v>56.400000000000006</v>
      </c>
      <c r="O4871" s="693"/>
    </row>
    <row r="4872" spans="2:15" s="645" customFormat="1" ht="21.75" customHeight="1">
      <c r="B4872" s="699">
        <v>44496</v>
      </c>
      <c r="C4872" s="700" t="s">
        <v>819</v>
      </c>
      <c r="D4872" s="701" t="s">
        <v>835</v>
      </c>
      <c r="E4872" s="702" t="s">
        <v>831</v>
      </c>
      <c r="F4872" s="703"/>
      <c r="G4872" s="701">
        <v>20</v>
      </c>
      <c r="H4872" s="700" t="s">
        <v>807</v>
      </c>
      <c r="I4872" s="704" t="s">
        <v>805</v>
      </c>
      <c r="J4872" s="705" t="s">
        <v>805</v>
      </c>
      <c r="K4872" s="700">
        <v>5</v>
      </c>
      <c r="L4872" s="706">
        <f t="shared" si="147"/>
        <v>18.8</v>
      </c>
      <c r="M4872" s="707">
        <f t="shared" si="148"/>
        <v>94</v>
      </c>
      <c r="O4872" s="693"/>
    </row>
    <row r="4873" spans="2:15" s="645" customFormat="1" ht="21.75" customHeight="1">
      <c r="B4873" s="699">
        <v>44496</v>
      </c>
      <c r="C4873" s="700" t="s">
        <v>819</v>
      </c>
      <c r="D4873" s="701" t="s">
        <v>841</v>
      </c>
      <c r="E4873" s="702" t="s">
        <v>831</v>
      </c>
      <c r="F4873" s="703"/>
      <c r="G4873" s="701">
        <v>20</v>
      </c>
      <c r="H4873" s="700" t="s">
        <v>807</v>
      </c>
      <c r="I4873" s="704" t="s">
        <v>805</v>
      </c>
      <c r="J4873" s="705" t="s">
        <v>805</v>
      </c>
      <c r="K4873" s="700">
        <v>8</v>
      </c>
      <c r="L4873" s="706">
        <f t="shared" ref="L4873:L4936" si="149">VLOOKUP(G4873,$Q$4:$V$7,6,FALSE)</f>
        <v>18.8</v>
      </c>
      <c r="M4873" s="707">
        <f t="shared" si="148"/>
        <v>150.4</v>
      </c>
      <c r="O4873" s="693"/>
    </row>
    <row r="4874" spans="2:15" s="645" customFormat="1" ht="21.75" customHeight="1">
      <c r="B4874" s="699">
        <v>44496</v>
      </c>
      <c r="C4874" s="700" t="s">
        <v>819</v>
      </c>
      <c r="D4874" s="701" t="s">
        <v>834</v>
      </c>
      <c r="E4874" s="702" t="s">
        <v>831</v>
      </c>
      <c r="F4874" s="703"/>
      <c r="G4874" s="701">
        <v>20</v>
      </c>
      <c r="H4874" s="700" t="s">
        <v>807</v>
      </c>
      <c r="I4874" s="704" t="s">
        <v>805</v>
      </c>
      <c r="J4874" s="705" t="s">
        <v>805</v>
      </c>
      <c r="K4874" s="700">
        <v>4</v>
      </c>
      <c r="L4874" s="706">
        <f t="shared" si="149"/>
        <v>18.8</v>
      </c>
      <c r="M4874" s="707">
        <f t="shared" si="148"/>
        <v>75.2</v>
      </c>
      <c r="O4874" s="693"/>
    </row>
    <row r="4875" spans="2:15" s="645" customFormat="1" ht="21.75" customHeight="1">
      <c r="B4875" s="699">
        <v>44496</v>
      </c>
      <c r="C4875" s="700" t="s">
        <v>819</v>
      </c>
      <c r="D4875" s="701" t="s">
        <v>845</v>
      </c>
      <c r="E4875" s="702" t="s">
        <v>831</v>
      </c>
      <c r="F4875" s="703"/>
      <c r="G4875" s="701">
        <v>17</v>
      </c>
      <c r="H4875" s="700" t="s">
        <v>807</v>
      </c>
      <c r="I4875" s="704" t="s">
        <v>805</v>
      </c>
      <c r="J4875" s="705" t="s">
        <v>805</v>
      </c>
      <c r="K4875" s="700">
        <v>3</v>
      </c>
      <c r="L4875" s="706">
        <f t="shared" si="149"/>
        <v>15.98</v>
      </c>
      <c r="M4875" s="707">
        <f t="shared" si="148"/>
        <v>47.94</v>
      </c>
      <c r="O4875" s="693"/>
    </row>
    <row r="4876" spans="2:15" s="645" customFormat="1" ht="21.75" customHeight="1">
      <c r="B4876" s="699">
        <v>44496</v>
      </c>
      <c r="C4876" s="700" t="s">
        <v>819</v>
      </c>
      <c r="D4876" s="701" t="s">
        <v>845</v>
      </c>
      <c r="E4876" s="702" t="s">
        <v>831</v>
      </c>
      <c r="F4876" s="703"/>
      <c r="G4876" s="701">
        <v>17</v>
      </c>
      <c r="H4876" s="700" t="s">
        <v>807</v>
      </c>
      <c r="I4876" s="704" t="s">
        <v>805</v>
      </c>
      <c r="J4876" s="705" t="s">
        <v>805</v>
      </c>
      <c r="K4876" s="700">
        <v>1</v>
      </c>
      <c r="L4876" s="706">
        <f t="shared" si="149"/>
        <v>15.98</v>
      </c>
      <c r="M4876" s="707">
        <f t="shared" si="148"/>
        <v>15.98</v>
      </c>
      <c r="O4876" s="693"/>
    </row>
    <row r="4877" spans="2:15" s="645" customFormat="1" ht="21.75" customHeight="1">
      <c r="B4877" s="699">
        <v>44496</v>
      </c>
      <c r="C4877" s="700" t="s">
        <v>819</v>
      </c>
      <c r="D4877" s="701" t="s">
        <v>847</v>
      </c>
      <c r="E4877" s="702" t="s">
        <v>831</v>
      </c>
      <c r="F4877" s="703"/>
      <c r="G4877" s="701">
        <v>17</v>
      </c>
      <c r="H4877" s="700" t="s">
        <v>807</v>
      </c>
      <c r="I4877" s="704" t="s">
        <v>805</v>
      </c>
      <c r="J4877" s="705" t="s">
        <v>805</v>
      </c>
      <c r="K4877" s="700">
        <v>8</v>
      </c>
      <c r="L4877" s="706">
        <f t="shared" si="149"/>
        <v>15.98</v>
      </c>
      <c r="M4877" s="707">
        <f t="shared" si="148"/>
        <v>127.84</v>
      </c>
      <c r="O4877" s="693"/>
    </row>
    <row r="4878" spans="2:15" s="645" customFormat="1" ht="21.75" customHeight="1">
      <c r="B4878" s="699">
        <v>44496</v>
      </c>
      <c r="C4878" s="700" t="s">
        <v>819</v>
      </c>
      <c r="D4878" s="701" t="s">
        <v>878</v>
      </c>
      <c r="E4878" s="702" t="s">
        <v>831</v>
      </c>
      <c r="F4878" s="703"/>
      <c r="G4878" s="701">
        <v>15</v>
      </c>
      <c r="H4878" s="700" t="s">
        <v>807</v>
      </c>
      <c r="I4878" s="704" t="s">
        <v>881</v>
      </c>
      <c r="J4878" s="705" t="s">
        <v>805</v>
      </c>
      <c r="K4878" s="700">
        <v>2</v>
      </c>
      <c r="L4878" s="706">
        <f t="shared" si="149"/>
        <v>14.1</v>
      </c>
      <c r="M4878" s="707">
        <f t="shared" si="148"/>
        <v>28.2</v>
      </c>
      <c r="O4878" s="693"/>
    </row>
    <row r="4879" spans="2:15" s="645" customFormat="1" ht="21.75" customHeight="1">
      <c r="B4879" s="699">
        <v>44496</v>
      </c>
      <c r="C4879" s="700" t="s">
        <v>819</v>
      </c>
      <c r="D4879" s="701" t="s">
        <v>878</v>
      </c>
      <c r="E4879" s="702" t="s">
        <v>831</v>
      </c>
      <c r="F4879" s="703"/>
      <c r="G4879" s="701">
        <v>15</v>
      </c>
      <c r="H4879" s="700" t="s">
        <v>807</v>
      </c>
      <c r="I4879" s="704" t="s">
        <v>881</v>
      </c>
      <c r="J4879" s="705" t="s">
        <v>805</v>
      </c>
      <c r="K4879" s="700">
        <v>2</v>
      </c>
      <c r="L4879" s="706">
        <f t="shared" si="149"/>
        <v>14.1</v>
      </c>
      <c r="M4879" s="707">
        <f t="shared" si="148"/>
        <v>28.2</v>
      </c>
      <c r="O4879" s="693"/>
    </row>
    <row r="4880" spans="2:15" s="645" customFormat="1" ht="21.75" customHeight="1">
      <c r="B4880" s="699">
        <v>44496</v>
      </c>
      <c r="C4880" s="700" t="s">
        <v>819</v>
      </c>
      <c r="D4880" s="701" t="s">
        <v>855</v>
      </c>
      <c r="E4880" s="702" t="s">
        <v>831</v>
      </c>
      <c r="F4880" s="703"/>
      <c r="G4880" s="701">
        <v>20</v>
      </c>
      <c r="H4880" s="700" t="s">
        <v>807</v>
      </c>
      <c r="I4880" s="704" t="s">
        <v>881</v>
      </c>
      <c r="J4880" s="705" t="s">
        <v>805</v>
      </c>
      <c r="K4880" s="700">
        <v>1</v>
      </c>
      <c r="L4880" s="706">
        <f t="shared" si="149"/>
        <v>18.8</v>
      </c>
      <c r="M4880" s="707">
        <f t="shared" si="148"/>
        <v>18.8</v>
      </c>
      <c r="O4880" s="693"/>
    </row>
    <row r="4881" spans="2:15" s="645" customFormat="1" ht="21.75" customHeight="1">
      <c r="B4881" s="699">
        <v>44496</v>
      </c>
      <c r="C4881" s="700" t="s">
        <v>819</v>
      </c>
      <c r="D4881" s="701" t="s">
        <v>855</v>
      </c>
      <c r="E4881" s="702" t="s">
        <v>831</v>
      </c>
      <c r="F4881" s="703"/>
      <c r="G4881" s="701">
        <v>20</v>
      </c>
      <c r="H4881" s="700" t="s">
        <v>807</v>
      </c>
      <c r="I4881" s="704" t="s">
        <v>859</v>
      </c>
      <c r="J4881" s="705" t="s">
        <v>805</v>
      </c>
      <c r="K4881" s="700">
        <v>1</v>
      </c>
      <c r="L4881" s="706">
        <f t="shared" si="149"/>
        <v>18.8</v>
      </c>
      <c r="M4881" s="707">
        <f t="shared" si="148"/>
        <v>18.8</v>
      </c>
      <c r="O4881" s="693"/>
    </row>
    <row r="4882" spans="2:15" s="645" customFormat="1" ht="21.75" customHeight="1">
      <c r="B4882" s="699">
        <v>44496</v>
      </c>
      <c r="C4882" s="700" t="s">
        <v>819</v>
      </c>
      <c r="D4882" s="701" t="s">
        <v>875</v>
      </c>
      <c r="E4882" s="702" t="s">
        <v>831</v>
      </c>
      <c r="F4882" s="703"/>
      <c r="G4882" s="701">
        <v>20</v>
      </c>
      <c r="H4882" s="700" t="s">
        <v>807</v>
      </c>
      <c r="I4882" s="704" t="s">
        <v>805</v>
      </c>
      <c r="J4882" s="705" t="s">
        <v>805</v>
      </c>
      <c r="K4882" s="700">
        <v>4</v>
      </c>
      <c r="L4882" s="706">
        <f t="shared" si="149"/>
        <v>18.8</v>
      </c>
      <c r="M4882" s="707">
        <f t="shared" si="148"/>
        <v>75.2</v>
      </c>
      <c r="O4882" s="693"/>
    </row>
    <row r="4883" spans="2:15" s="645" customFormat="1" ht="21.75" customHeight="1">
      <c r="B4883" s="699">
        <v>44496</v>
      </c>
      <c r="C4883" s="700" t="s">
        <v>819</v>
      </c>
      <c r="D4883" s="701" t="s">
        <v>876</v>
      </c>
      <c r="E4883" s="702" t="s">
        <v>831</v>
      </c>
      <c r="F4883" s="703"/>
      <c r="G4883" s="701">
        <v>20</v>
      </c>
      <c r="H4883" s="700" t="s">
        <v>807</v>
      </c>
      <c r="I4883" s="704" t="s">
        <v>881</v>
      </c>
      <c r="J4883" s="705" t="s">
        <v>805</v>
      </c>
      <c r="K4883" s="700">
        <v>5</v>
      </c>
      <c r="L4883" s="706">
        <f t="shared" si="149"/>
        <v>18.8</v>
      </c>
      <c r="M4883" s="707">
        <f t="shared" si="148"/>
        <v>94</v>
      </c>
      <c r="O4883" s="693"/>
    </row>
    <row r="4884" spans="2:15" s="645" customFormat="1" ht="21.75" customHeight="1">
      <c r="B4884" s="699">
        <v>44496</v>
      </c>
      <c r="C4884" s="700" t="s">
        <v>819</v>
      </c>
      <c r="D4884" s="701" t="s">
        <v>868</v>
      </c>
      <c r="E4884" s="702" t="s">
        <v>831</v>
      </c>
      <c r="F4884" s="703"/>
      <c r="G4884" s="701">
        <v>20</v>
      </c>
      <c r="H4884" s="700" t="s">
        <v>807</v>
      </c>
      <c r="I4884" s="704" t="s">
        <v>805</v>
      </c>
      <c r="J4884" s="705" t="s">
        <v>805</v>
      </c>
      <c r="K4884" s="700">
        <v>6</v>
      </c>
      <c r="L4884" s="706">
        <f t="shared" si="149"/>
        <v>18.8</v>
      </c>
      <c r="M4884" s="707">
        <f t="shared" si="148"/>
        <v>112.80000000000001</v>
      </c>
      <c r="O4884" s="693"/>
    </row>
    <row r="4885" spans="2:15" s="645" customFormat="1" ht="21.75" customHeight="1">
      <c r="B4885" s="699">
        <v>44496</v>
      </c>
      <c r="C4885" s="700" t="s">
        <v>819</v>
      </c>
      <c r="D4885" s="701" t="s">
        <v>877</v>
      </c>
      <c r="E4885" s="702" t="s">
        <v>831</v>
      </c>
      <c r="F4885" s="703"/>
      <c r="G4885" s="701">
        <v>20</v>
      </c>
      <c r="H4885" s="700" t="s">
        <v>807</v>
      </c>
      <c r="I4885" s="704" t="s">
        <v>805</v>
      </c>
      <c r="J4885" s="705" t="s">
        <v>805</v>
      </c>
      <c r="K4885" s="700">
        <v>9</v>
      </c>
      <c r="L4885" s="706">
        <f t="shared" si="149"/>
        <v>18.8</v>
      </c>
      <c r="M4885" s="707">
        <f t="shared" si="148"/>
        <v>169.20000000000002</v>
      </c>
      <c r="O4885" s="693"/>
    </row>
    <row r="4886" spans="2:15" s="645" customFormat="1" ht="21.75" customHeight="1">
      <c r="B4886" s="708">
        <v>44496</v>
      </c>
      <c r="C4886" s="709" t="s">
        <v>819</v>
      </c>
      <c r="D4886" s="710" t="s">
        <v>835</v>
      </c>
      <c r="E4886" s="711" t="s">
        <v>831</v>
      </c>
      <c r="F4886" s="712"/>
      <c r="G4886" s="710">
        <v>20</v>
      </c>
      <c r="H4886" s="709" t="s">
        <v>807</v>
      </c>
      <c r="I4886" s="713" t="s">
        <v>805</v>
      </c>
      <c r="J4886" s="714" t="s">
        <v>802</v>
      </c>
      <c r="K4886" s="709">
        <v>5</v>
      </c>
      <c r="L4886" s="715">
        <f t="shared" si="149"/>
        <v>18.8</v>
      </c>
      <c r="M4886" s="716">
        <f t="shared" si="148"/>
        <v>94</v>
      </c>
      <c r="O4886" s="693"/>
    </row>
    <row r="4887" spans="2:15" s="645" customFormat="1" ht="21.75" customHeight="1">
      <c r="B4887" s="708">
        <v>44496</v>
      </c>
      <c r="C4887" s="709" t="s">
        <v>819</v>
      </c>
      <c r="D4887" s="710" t="s">
        <v>841</v>
      </c>
      <c r="E4887" s="711" t="s">
        <v>831</v>
      </c>
      <c r="F4887" s="712"/>
      <c r="G4887" s="710">
        <v>20</v>
      </c>
      <c r="H4887" s="709" t="s">
        <v>807</v>
      </c>
      <c r="I4887" s="713" t="s">
        <v>880</v>
      </c>
      <c r="J4887" s="714" t="s">
        <v>802</v>
      </c>
      <c r="K4887" s="709">
        <v>8</v>
      </c>
      <c r="L4887" s="715">
        <f t="shared" si="149"/>
        <v>18.8</v>
      </c>
      <c r="M4887" s="716">
        <f t="shared" si="148"/>
        <v>150.4</v>
      </c>
      <c r="O4887" s="693"/>
    </row>
    <row r="4888" spans="2:15" s="645" customFormat="1" ht="21.75" customHeight="1">
      <c r="B4888" s="708">
        <v>44496</v>
      </c>
      <c r="C4888" s="709" t="s">
        <v>819</v>
      </c>
      <c r="D4888" s="710" t="s">
        <v>834</v>
      </c>
      <c r="E4888" s="711" t="s">
        <v>831</v>
      </c>
      <c r="F4888" s="712"/>
      <c r="G4888" s="710">
        <v>20</v>
      </c>
      <c r="H4888" s="709" t="s">
        <v>807</v>
      </c>
      <c r="I4888" s="713" t="s">
        <v>805</v>
      </c>
      <c r="J4888" s="714" t="s">
        <v>802</v>
      </c>
      <c r="K4888" s="709">
        <v>4</v>
      </c>
      <c r="L4888" s="715">
        <f t="shared" si="149"/>
        <v>18.8</v>
      </c>
      <c r="M4888" s="716">
        <f t="shared" si="148"/>
        <v>75.2</v>
      </c>
      <c r="O4888" s="693"/>
    </row>
    <row r="4889" spans="2:15" s="645" customFormat="1" ht="21.75" customHeight="1">
      <c r="B4889" s="708">
        <v>44496</v>
      </c>
      <c r="C4889" s="709" t="s">
        <v>819</v>
      </c>
      <c r="D4889" s="710" t="s">
        <v>845</v>
      </c>
      <c r="E4889" s="711" t="s">
        <v>831</v>
      </c>
      <c r="F4889" s="712"/>
      <c r="G4889" s="710">
        <v>17</v>
      </c>
      <c r="H4889" s="709" t="s">
        <v>807</v>
      </c>
      <c r="I4889" s="713" t="s">
        <v>805</v>
      </c>
      <c r="J4889" s="714" t="s">
        <v>802</v>
      </c>
      <c r="K4889" s="709">
        <v>3</v>
      </c>
      <c r="L4889" s="715">
        <f t="shared" si="149"/>
        <v>15.98</v>
      </c>
      <c r="M4889" s="716">
        <f t="shared" si="148"/>
        <v>47.94</v>
      </c>
      <c r="O4889" s="693"/>
    </row>
    <row r="4890" spans="2:15" s="645" customFormat="1" ht="21.75" customHeight="1">
      <c r="B4890" s="708">
        <v>44496</v>
      </c>
      <c r="C4890" s="709" t="s">
        <v>819</v>
      </c>
      <c r="D4890" s="710" t="s">
        <v>845</v>
      </c>
      <c r="E4890" s="711" t="s">
        <v>831</v>
      </c>
      <c r="F4890" s="712"/>
      <c r="G4890" s="710">
        <v>17</v>
      </c>
      <c r="H4890" s="709" t="s">
        <v>807</v>
      </c>
      <c r="I4890" s="713" t="s">
        <v>805</v>
      </c>
      <c r="J4890" s="714" t="s">
        <v>802</v>
      </c>
      <c r="K4890" s="709">
        <v>1</v>
      </c>
      <c r="L4890" s="715">
        <f t="shared" si="149"/>
        <v>15.98</v>
      </c>
      <c r="M4890" s="716">
        <f t="shared" si="148"/>
        <v>15.98</v>
      </c>
      <c r="O4890" s="693"/>
    </row>
    <row r="4891" spans="2:15" s="645" customFormat="1" ht="21.75" customHeight="1">
      <c r="B4891" s="708">
        <v>44496</v>
      </c>
      <c r="C4891" s="709" t="s">
        <v>819</v>
      </c>
      <c r="D4891" s="710" t="s">
        <v>847</v>
      </c>
      <c r="E4891" s="711" t="s">
        <v>831</v>
      </c>
      <c r="F4891" s="712"/>
      <c r="G4891" s="710">
        <v>17</v>
      </c>
      <c r="H4891" s="709" t="s">
        <v>807</v>
      </c>
      <c r="I4891" s="713" t="s">
        <v>880</v>
      </c>
      <c r="J4891" s="714" t="s">
        <v>802</v>
      </c>
      <c r="K4891" s="709">
        <v>8</v>
      </c>
      <c r="L4891" s="715">
        <f t="shared" si="149"/>
        <v>15.98</v>
      </c>
      <c r="M4891" s="716">
        <f t="shared" si="148"/>
        <v>127.84</v>
      </c>
      <c r="O4891" s="693"/>
    </row>
    <row r="4892" spans="2:15" s="645" customFormat="1" ht="21.75" customHeight="1">
      <c r="B4892" s="708">
        <v>44496</v>
      </c>
      <c r="C4892" s="709" t="s">
        <v>819</v>
      </c>
      <c r="D4892" s="710" t="s">
        <v>878</v>
      </c>
      <c r="E4892" s="711" t="s">
        <v>831</v>
      </c>
      <c r="F4892" s="712"/>
      <c r="G4892" s="710">
        <v>15</v>
      </c>
      <c r="H4892" s="709" t="s">
        <v>807</v>
      </c>
      <c r="I4892" s="713" t="s">
        <v>881</v>
      </c>
      <c r="J4892" s="714" t="s">
        <v>802</v>
      </c>
      <c r="K4892" s="709">
        <v>2</v>
      </c>
      <c r="L4892" s="715">
        <f t="shared" si="149"/>
        <v>14.1</v>
      </c>
      <c r="M4892" s="716">
        <f t="shared" si="148"/>
        <v>28.2</v>
      </c>
      <c r="O4892" s="693"/>
    </row>
    <row r="4893" spans="2:15" s="645" customFormat="1" ht="21.75" customHeight="1">
      <c r="B4893" s="708">
        <v>44496</v>
      </c>
      <c r="C4893" s="709" t="s">
        <v>819</v>
      </c>
      <c r="D4893" s="710" t="s">
        <v>878</v>
      </c>
      <c r="E4893" s="711" t="s">
        <v>831</v>
      </c>
      <c r="F4893" s="712"/>
      <c r="G4893" s="710">
        <v>15</v>
      </c>
      <c r="H4893" s="709" t="s">
        <v>807</v>
      </c>
      <c r="I4893" s="713" t="s">
        <v>881</v>
      </c>
      <c r="J4893" s="714" t="s">
        <v>802</v>
      </c>
      <c r="K4893" s="709">
        <v>2</v>
      </c>
      <c r="L4893" s="715">
        <f t="shared" si="149"/>
        <v>14.1</v>
      </c>
      <c r="M4893" s="716">
        <f t="shared" si="148"/>
        <v>28.2</v>
      </c>
      <c r="O4893" s="693"/>
    </row>
    <row r="4894" spans="2:15" s="645" customFormat="1" ht="21.75" customHeight="1">
      <c r="B4894" s="708">
        <v>44496</v>
      </c>
      <c r="C4894" s="709" t="s">
        <v>819</v>
      </c>
      <c r="D4894" s="710" t="s">
        <v>855</v>
      </c>
      <c r="E4894" s="711" t="s">
        <v>831</v>
      </c>
      <c r="F4894" s="712"/>
      <c r="G4894" s="710">
        <v>20</v>
      </c>
      <c r="H4894" s="709" t="s">
        <v>807</v>
      </c>
      <c r="I4894" s="713" t="s">
        <v>881</v>
      </c>
      <c r="J4894" s="714" t="s">
        <v>802</v>
      </c>
      <c r="K4894" s="709">
        <v>1</v>
      </c>
      <c r="L4894" s="715">
        <f t="shared" si="149"/>
        <v>18.8</v>
      </c>
      <c r="M4894" s="716">
        <f t="shared" si="148"/>
        <v>18.8</v>
      </c>
      <c r="O4894" s="693"/>
    </row>
    <row r="4895" spans="2:15" s="645" customFormat="1" ht="21.75" customHeight="1">
      <c r="B4895" s="708">
        <v>44496</v>
      </c>
      <c r="C4895" s="709" t="s">
        <v>819</v>
      </c>
      <c r="D4895" s="710" t="s">
        <v>855</v>
      </c>
      <c r="E4895" s="711" t="s">
        <v>831</v>
      </c>
      <c r="F4895" s="712"/>
      <c r="G4895" s="710">
        <v>20</v>
      </c>
      <c r="H4895" s="709" t="s">
        <v>807</v>
      </c>
      <c r="I4895" s="713" t="s">
        <v>859</v>
      </c>
      <c r="J4895" s="714" t="s">
        <v>802</v>
      </c>
      <c r="K4895" s="709">
        <v>1</v>
      </c>
      <c r="L4895" s="715">
        <f t="shared" si="149"/>
        <v>18.8</v>
      </c>
      <c r="M4895" s="716">
        <f t="shared" si="148"/>
        <v>18.8</v>
      </c>
      <c r="O4895" s="693"/>
    </row>
    <row r="4896" spans="2:15" s="645" customFormat="1" ht="21.75" customHeight="1">
      <c r="B4896" s="708">
        <v>44496</v>
      </c>
      <c r="C4896" s="709" t="s">
        <v>819</v>
      </c>
      <c r="D4896" s="710" t="s">
        <v>875</v>
      </c>
      <c r="E4896" s="711" t="s">
        <v>831</v>
      </c>
      <c r="F4896" s="712"/>
      <c r="G4896" s="710">
        <v>20</v>
      </c>
      <c r="H4896" s="709" t="s">
        <v>807</v>
      </c>
      <c r="I4896" s="713" t="s">
        <v>805</v>
      </c>
      <c r="J4896" s="714" t="s">
        <v>802</v>
      </c>
      <c r="K4896" s="709">
        <v>4</v>
      </c>
      <c r="L4896" s="715">
        <f t="shared" si="149"/>
        <v>18.8</v>
      </c>
      <c r="M4896" s="716">
        <f t="shared" si="148"/>
        <v>75.2</v>
      </c>
      <c r="O4896" s="693"/>
    </row>
    <row r="4897" spans="2:15" s="645" customFormat="1" ht="21.75" customHeight="1">
      <c r="B4897" s="708">
        <v>44496</v>
      </c>
      <c r="C4897" s="709" t="s">
        <v>819</v>
      </c>
      <c r="D4897" s="710" t="s">
        <v>876</v>
      </c>
      <c r="E4897" s="711" t="s">
        <v>831</v>
      </c>
      <c r="F4897" s="712"/>
      <c r="G4897" s="710">
        <v>20</v>
      </c>
      <c r="H4897" s="709" t="s">
        <v>807</v>
      </c>
      <c r="I4897" s="713" t="s">
        <v>881</v>
      </c>
      <c r="J4897" s="714" t="s">
        <v>802</v>
      </c>
      <c r="K4897" s="709">
        <v>5</v>
      </c>
      <c r="L4897" s="715">
        <f t="shared" si="149"/>
        <v>18.8</v>
      </c>
      <c r="M4897" s="716">
        <f t="shared" si="148"/>
        <v>94</v>
      </c>
      <c r="O4897" s="693"/>
    </row>
    <row r="4898" spans="2:15" s="645" customFormat="1" ht="21.75" customHeight="1">
      <c r="B4898" s="708">
        <v>44496</v>
      </c>
      <c r="C4898" s="709" t="s">
        <v>819</v>
      </c>
      <c r="D4898" s="710" t="s">
        <v>868</v>
      </c>
      <c r="E4898" s="711" t="s">
        <v>831</v>
      </c>
      <c r="F4898" s="712"/>
      <c r="G4898" s="710">
        <v>20</v>
      </c>
      <c r="H4898" s="709" t="s">
        <v>807</v>
      </c>
      <c r="I4898" s="713" t="s">
        <v>805</v>
      </c>
      <c r="J4898" s="714" t="s">
        <v>802</v>
      </c>
      <c r="K4898" s="709">
        <v>6</v>
      </c>
      <c r="L4898" s="715">
        <f t="shared" si="149"/>
        <v>18.8</v>
      </c>
      <c r="M4898" s="716">
        <f t="shared" si="148"/>
        <v>112.80000000000001</v>
      </c>
      <c r="O4898" s="693"/>
    </row>
    <row r="4899" spans="2:15" s="645" customFormat="1" ht="21.75" customHeight="1">
      <c r="B4899" s="708">
        <v>44496</v>
      </c>
      <c r="C4899" s="709" t="s">
        <v>819</v>
      </c>
      <c r="D4899" s="710" t="s">
        <v>877</v>
      </c>
      <c r="E4899" s="711" t="s">
        <v>831</v>
      </c>
      <c r="F4899" s="712"/>
      <c r="G4899" s="710">
        <v>20</v>
      </c>
      <c r="H4899" s="709" t="s">
        <v>807</v>
      </c>
      <c r="I4899" s="713" t="s">
        <v>805</v>
      </c>
      <c r="J4899" s="714" t="s">
        <v>802</v>
      </c>
      <c r="K4899" s="709">
        <v>9</v>
      </c>
      <c r="L4899" s="715">
        <f t="shared" si="149"/>
        <v>18.8</v>
      </c>
      <c r="M4899" s="716">
        <f t="shared" si="148"/>
        <v>169.20000000000002</v>
      </c>
      <c r="O4899" s="693"/>
    </row>
    <row r="4900" spans="2:15" s="645" customFormat="1" ht="21.75" customHeight="1">
      <c r="B4900" s="661">
        <v>44497</v>
      </c>
      <c r="C4900" s="662" t="s">
        <v>819</v>
      </c>
      <c r="D4900" s="663" t="s">
        <v>840</v>
      </c>
      <c r="E4900" s="664" t="s">
        <v>831</v>
      </c>
      <c r="F4900" s="665"/>
      <c r="G4900" s="663">
        <v>20</v>
      </c>
      <c r="H4900" s="662" t="s">
        <v>807</v>
      </c>
      <c r="I4900" s="666" t="s">
        <v>859</v>
      </c>
      <c r="J4900" s="667" t="s">
        <v>865</v>
      </c>
      <c r="K4900" s="662">
        <v>6</v>
      </c>
      <c r="L4900" s="685">
        <f t="shared" si="149"/>
        <v>18.8</v>
      </c>
      <c r="M4900" s="686">
        <f t="shared" si="148"/>
        <v>112.80000000000001</v>
      </c>
      <c r="O4900" s="693"/>
    </row>
    <row r="4901" spans="2:15" s="645" customFormat="1" ht="21.75" customHeight="1">
      <c r="B4901" s="661">
        <v>44497</v>
      </c>
      <c r="C4901" s="662" t="s">
        <v>819</v>
      </c>
      <c r="D4901" s="663" t="s">
        <v>835</v>
      </c>
      <c r="E4901" s="664" t="s">
        <v>831</v>
      </c>
      <c r="F4901" s="665"/>
      <c r="G4901" s="663">
        <v>20</v>
      </c>
      <c r="H4901" s="662" t="s">
        <v>807</v>
      </c>
      <c r="I4901" s="666" t="s">
        <v>859</v>
      </c>
      <c r="J4901" s="667" t="s">
        <v>865</v>
      </c>
      <c r="K4901" s="662">
        <v>5</v>
      </c>
      <c r="L4901" s="685">
        <f t="shared" si="149"/>
        <v>18.8</v>
      </c>
      <c r="M4901" s="686">
        <f t="shared" si="148"/>
        <v>94</v>
      </c>
      <c r="O4901" s="693"/>
    </row>
    <row r="4902" spans="2:15" s="645" customFormat="1" ht="21.75" customHeight="1">
      <c r="B4902" s="661">
        <v>44497</v>
      </c>
      <c r="C4902" s="662" t="s">
        <v>819</v>
      </c>
      <c r="D4902" s="663" t="s">
        <v>841</v>
      </c>
      <c r="E4902" s="664" t="s">
        <v>831</v>
      </c>
      <c r="F4902" s="665"/>
      <c r="G4902" s="663">
        <v>20</v>
      </c>
      <c r="H4902" s="662" t="s">
        <v>807</v>
      </c>
      <c r="I4902" s="666" t="s">
        <v>859</v>
      </c>
      <c r="J4902" s="667" t="s">
        <v>865</v>
      </c>
      <c r="K4902" s="662">
        <v>5</v>
      </c>
      <c r="L4902" s="685">
        <f t="shared" si="149"/>
        <v>18.8</v>
      </c>
      <c r="M4902" s="686">
        <f t="shared" si="148"/>
        <v>94</v>
      </c>
      <c r="O4902" s="693"/>
    </row>
    <row r="4903" spans="2:15" s="645" customFormat="1" ht="21.75" customHeight="1">
      <c r="B4903" s="661">
        <v>44497</v>
      </c>
      <c r="C4903" s="662" t="s">
        <v>819</v>
      </c>
      <c r="D4903" s="663" t="s">
        <v>834</v>
      </c>
      <c r="E4903" s="664" t="s">
        <v>831</v>
      </c>
      <c r="F4903" s="665"/>
      <c r="G4903" s="663">
        <v>20</v>
      </c>
      <c r="H4903" s="662" t="s">
        <v>807</v>
      </c>
      <c r="I4903" s="666" t="s">
        <v>859</v>
      </c>
      <c r="J4903" s="667" t="s">
        <v>865</v>
      </c>
      <c r="K4903" s="662">
        <v>3</v>
      </c>
      <c r="L4903" s="685">
        <f t="shared" si="149"/>
        <v>18.8</v>
      </c>
      <c r="M4903" s="686">
        <f t="shared" ref="M4903:M4966" si="150">L4903*K4903</f>
        <v>56.400000000000006</v>
      </c>
      <c r="O4903" s="693"/>
    </row>
    <row r="4904" spans="2:15" s="645" customFormat="1" ht="21.75" customHeight="1">
      <c r="B4904" s="661">
        <v>44497</v>
      </c>
      <c r="C4904" s="662" t="s">
        <v>819</v>
      </c>
      <c r="D4904" s="663" t="s">
        <v>833</v>
      </c>
      <c r="E4904" s="664" t="s">
        <v>831</v>
      </c>
      <c r="F4904" s="665"/>
      <c r="G4904" s="663">
        <v>15</v>
      </c>
      <c r="H4904" s="662" t="s">
        <v>807</v>
      </c>
      <c r="I4904" s="666" t="s">
        <v>859</v>
      </c>
      <c r="J4904" s="667" t="s">
        <v>865</v>
      </c>
      <c r="K4904" s="662">
        <v>6</v>
      </c>
      <c r="L4904" s="685">
        <f t="shared" si="149"/>
        <v>14.1</v>
      </c>
      <c r="M4904" s="686">
        <f t="shared" si="150"/>
        <v>84.6</v>
      </c>
      <c r="O4904" s="693"/>
    </row>
    <row r="4905" spans="2:15" s="645" customFormat="1" ht="21.75" customHeight="1">
      <c r="B4905" s="661">
        <v>44497</v>
      </c>
      <c r="C4905" s="662" t="s">
        <v>819</v>
      </c>
      <c r="D4905" s="663" t="s">
        <v>845</v>
      </c>
      <c r="E4905" s="664" t="s">
        <v>831</v>
      </c>
      <c r="F4905" s="665"/>
      <c r="G4905" s="663">
        <v>17</v>
      </c>
      <c r="H4905" s="662" t="s">
        <v>807</v>
      </c>
      <c r="I4905" s="666" t="s">
        <v>859</v>
      </c>
      <c r="J4905" s="667" t="s">
        <v>865</v>
      </c>
      <c r="K4905" s="662">
        <v>3</v>
      </c>
      <c r="L4905" s="685">
        <f t="shared" si="149"/>
        <v>15.98</v>
      </c>
      <c r="M4905" s="686">
        <f t="shared" si="150"/>
        <v>47.94</v>
      </c>
      <c r="O4905" s="693"/>
    </row>
    <row r="4906" spans="2:15" s="645" customFormat="1" ht="21.75" customHeight="1">
      <c r="B4906" s="661">
        <v>44497</v>
      </c>
      <c r="C4906" s="662" t="s">
        <v>819</v>
      </c>
      <c r="D4906" s="663" t="s">
        <v>856</v>
      </c>
      <c r="E4906" s="664" t="s">
        <v>831</v>
      </c>
      <c r="F4906" s="665"/>
      <c r="G4906" s="663">
        <v>20</v>
      </c>
      <c r="H4906" s="662" t="s">
        <v>807</v>
      </c>
      <c r="I4906" s="666" t="s">
        <v>859</v>
      </c>
      <c r="J4906" s="667" t="s">
        <v>865</v>
      </c>
      <c r="K4906" s="662">
        <v>5</v>
      </c>
      <c r="L4906" s="685">
        <f t="shared" si="149"/>
        <v>18.8</v>
      </c>
      <c r="M4906" s="686">
        <f t="shared" si="150"/>
        <v>94</v>
      </c>
      <c r="O4906" s="693"/>
    </row>
    <row r="4907" spans="2:15" s="645" customFormat="1" ht="21.75" customHeight="1">
      <c r="B4907" s="661">
        <v>44497</v>
      </c>
      <c r="C4907" s="662" t="s">
        <v>819</v>
      </c>
      <c r="D4907" s="663" t="s">
        <v>878</v>
      </c>
      <c r="E4907" s="664" t="s">
        <v>831</v>
      </c>
      <c r="F4907" s="665"/>
      <c r="G4907" s="663">
        <v>15</v>
      </c>
      <c r="H4907" s="662" t="s">
        <v>807</v>
      </c>
      <c r="I4907" s="666" t="s">
        <v>859</v>
      </c>
      <c r="J4907" s="667" t="s">
        <v>865</v>
      </c>
      <c r="K4907" s="662">
        <v>3</v>
      </c>
      <c r="L4907" s="685">
        <f t="shared" si="149"/>
        <v>14.1</v>
      </c>
      <c r="M4907" s="686">
        <f t="shared" si="150"/>
        <v>42.3</v>
      </c>
      <c r="O4907" s="693"/>
    </row>
    <row r="4908" spans="2:15" s="645" customFormat="1" ht="21.75" customHeight="1">
      <c r="B4908" s="661">
        <v>44497</v>
      </c>
      <c r="C4908" s="662" t="s">
        <v>819</v>
      </c>
      <c r="D4908" s="663" t="s">
        <v>855</v>
      </c>
      <c r="E4908" s="664" t="s">
        <v>831</v>
      </c>
      <c r="F4908" s="665"/>
      <c r="G4908" s="663">
        <v>20</v>
      </c>
      <c r="H4908" s="662" t="s">
        <v>807</v>
      </c>
      <c r="I4908" s="666" t="s">
        <v>859</v>
      </c>
      <c r="J4908" s="667" t="s">
        <v>865</v>
      </c>
      <c r="K4908" s="662">
        <v>5</v>
      </c>
      <c r="L4908" s="685">
        <f t="shared" si="149"/>
        <v>18.8</v>
      </c>
      <c r="M4908" s="686">
        <f t="shared" si="150"/>
        <v>94</v>
      </c>
      <c r="O4908" s="693"/>
    </row>
    <row r="4909" spans="2:15" s="645" customFormat="1" ht="21.75" customHeight="1">
      <c r="B4909" s="661">
        <v>44497</v>
      </c>
      <c r="C4909" s="662" t="s">
        <v>819</v>
      </c>
      <c r="D4909" s="663" t="s">
        <v>875</v>
      </c>
      <c r="E4909" s="664" t="s">
        <v>831</v>
      </c>
      <c r="F4909" s="665"/>
      <c r="G4909" s="663">
        <v>20</v>
      </c>
      <c r="H4909" s="662" t="s">
        <v>807</v>
      </c>
      <c r="I4909" s="666" t="s">
        <v>859</v>
      </c>
      <c r="J4909" s="667" t="s">
        <v>865</v>
      </c>
      <c r="K4909" s="662">
        <v>7</v>
      </c>
      <c r="L4909" s="685">
        <f t="shared" si="149"/>
        <v>18.8</v>
      </c>
      <c r="M4909" s="686">
        <f t="shared" si="150"/>
        <v>131.6</v>
      </c>
      <c r="O4909" s="693"/>
    </row>
    <row r="4910" spans="2:15" s="645" customFormat="1" ht="21.75" customHeight="1">
      <c r="B4910" s="661">
        <v>44497</v>
      </c>
      <c r="C4910" s="662" t="s">
        <v>819</v>
      </c>
      <c r="D4910" s="663" t="s">
        <v>876</v>
      </c>
      <c r="E4910" s="664" t="s">
        <v>831</v>
      </c>
      <c r="F4910" s="665"/>
      <c r="G4910" s="663">
        <v>20</v>
      </c>
      <c r="H4910" s="662" t="s">
        <v>807</v>
      </c>
      <c r="I4910" s="666" t="s">
        <v>859</v>
      </c>
      <c r="J4910" s="667" t="s">
        <v>865</v>
      </c>
      <c r="K4910" s="662">
        <v>4</v>
      </c>
      <c r="L4910" s="685">
        <f t="shared" si="149"/>
        <v>18.8</v>
      </c>
      <c r="M4910" s="686">
        <f t="shared" si="150"/>
        <v>75.2</v>
      </c>
      <c r="O4910" s="693"/>
    </row>
    <row r="4911" spans="2:15" s="645" customFormat="1" ht="21.75" customHeight="1">
      <c r="B4911" s="661">
        <v>44497</v>
      </c>
      <c r="C4911" s="662" t="s">
        <v>819</v>
      </c>
      <c r="D4911" s="663" t="s">
        <v>877</v>
      </c>
      <c r="E4911" s="664" t="s">
        <v>831</v>
      </c>
      <c r="F4911" s="665"/>
      <c r="G4911" s="663">
        <v>20</v>
      </c>
      <c r="H4911" s="662" t="s">
        <v>807</v>
      </c>
      <c r="I4911" s="666" t="s">
        <v>859</v>
      </c>
      <c r="J4911" s="667" t="s">
        <v>865</v>
      </c>
      <c r="K4911" s="662">
        <v>8</v>
      </c>
      <c r="L4911" s="685">
        <f t="shared" si="149"/>
        <v>18.8</v>
      </c>
      <c r="M4911" s="686">
        <f t="shared" si="150"/>
        <v>150.4</v>
      </c>
      <c r="O4911" s="693"/>
    </row>
    <row r="4912" spans="2:15" s="645" customFormat="1" ht="21.75" customHeight="1">
      <c r="B4912" s="699">
        <v>44497</v>
      </c>
      <c r="C4912" s="700" t="s">
        <v>819</v>
      </c>
      <c r="D4912" s="701" t="s">
        <v>840</v>
      </c>
      <c r="E4912" s="702" t="s">
        <v>831</v>
      </c>
      <c r="F4912" s="703"/>
      <c r="G4912" s="701">
        <v>20</v>
      </c>
      <c r="H4912" s="700" t="s">
        <v>807</v>
      </c>
      <c r="I4912" s="704" t="s">
        <v>859</v>
      </c>
      <c r="J4912" s="705" t="s">
        <v>805</v>
      </c>
      <c r="K4912" s="700">
        <v>2</v>
      </c>
      <c r="L4912" s="706">
        <f t="shared" si="149"/>
        <v>18.8</v>
      </c>
      <c r="M4912" s="707">
        <f t="shared" si="150"/>
        <v>37.6</v>
      </c>
      <c r="O4912" s="693"/>
    </row>
    <row r="4913" spans="2:15" s="645" customFormat="1" ht="21.75" customHeight="1">
      <c r="B4913" s="699">
        <v>44497</v>
      </c>
      <c r="C4913" s="700" t="s">
        <v>819</v>
      </c>
      <c r="D4913" s="701" t="s">
        <v>835</v>
      </c>
      <c r="E4913" s="702" t="s">
        <v>831</v>
      </c>
      <c r="F4913" s="703"/>
      <c r="G4913" s="701">
        <v>20</v>
      </c>
      <c r="H4913" s="700" t="s">
        <v>807</v>
      </c>
      <c r="I4913" s="704" t="s">
        <v>859</v>
      </c>
      <c r="J4913" s="705" t="s">
        <v>805</v>
      </c>
      <c r="K4913" s="700">
        <v>4</v>
      </c>
      <c r="L4913" s="706">
        <f t="shared" si="149"/>
        <v>18.8</v>
      </c>
      <c r="M4913" s="707">
        <f t="shared" si="150"/>
        <v>75.2</v>
      </c>
      <c r="O4913" s="693"/>
    </row>
    <row r="4914" spans="2:15" s="645" customFormat="1" ht="21.75" customHeight="1">
      <c r="B4914" s="699">
        <v>44497</v>
      </c>
      <c r="C4914" s="700" t="s">
        <v>819</v>
      </c>
      <c r="D4914" s="701" t="s">
        <v>841</v>
      </c>
      <c r="E4914" s="702" t="s">
        <v>831</v>
      </c>
      <c r="F4914" s="703"/>
      <c r="G4914" s="701">
        <v>20</v>
      </c>
      <c r="H4914" s="700" t="s">
        <v>807</v>
      </c>
      <c r="I4914" s="704" t="s">
        <v>859</v>
      </c>
      <c r="J4914" s="705" t="s">
        <v>805</v>
      </c>
      <c r="K4914" s="700">
        <v>4</v>
      </c>
      <c r="L4914" s="706">
        <f t="shared" si="149"/>
        <v>18.8</v>
      </c>
      <c r="M4914" s="707">
        <f t="shared" si="150"/>
        <v>75.2</v>
      </c>
      <c r="O4914" s="693"/>
    </row>
    <row r="4915" spans="2:15" s="645" customFormat="1" ht="21.75" customHeight="1">
      <c r="B4915" s="699">
        <v>44497</v>
      </c>
      <c r="C4915" s="700" t="s">
        <v>819</v>
      </c>
      <c r="D4915" s="701" t="s">
        <v>834</v>
      </c>
      <c r="E4915" s="702" t="s">
        <v>831</v>
      </c>
      <c r="F4915" s="703"/>
      <c r="G4915" s="701">
        <v>20</v>
      </c>
      <c r="H4915" s="700" t="s">
        <v>807</v>
      </c>
      <c r="I4915" s="704" t="s">
        <v>859</v>
      </c>
      <c r="J4915" s="705" t="s">
        <v>805</v>
      </c>
      <c r="K4915" s="700">
        <v>4</v>
      </c>
      <c r="L4915" s="706">
        <f t="shared" si="149"/>
        <v>18.8</v>
      </c>
      <c r="M4915" s="707">
        <f t="shared" si="150"/>
        <v>75.2</v>
      </c>
      <c r="O4915" s="693"/>
    </row>
    <row r="4916" spans="2:15" s="645" customFormat="1" ht="21.75" customHeight="1">
      <c r="B4916" s="699">
        <v>44497</v>
      </c>
      <c r="C4916" s="700" t="s">
        <v>819</v>
      </c>
      <c r="D4916" s="701" t="s">
        <v>833</v>
      </c>
      <c r="E4916" s="702" t="s">
        <v>831</v>
      </c>
      <c r="F4916" s="703"/>
      <c r="G4916" s="701">
        <v>15</v>
      </c>
      <c r="H4916" s="700" t="s">
        <v>807</v>
      </c>
      <c r="I4916" s="704" t="s">
        <v>859</v>
      </c>
      <c r="J4916" s="705" t="s">
        <v>805</v>
      </c>
      <c r="K4916" s="700">
        <v>1</v>
      </c>
      <c r="L4916" s="706">
        <f t="shared" si="149"/>
        <v>14.1</v>
      </c>
      <c r="M4916" s="707">
        <f t="shared" si="150"/>
        <v>14.1</v>
      </c>
      <c r="O4916" s="693"/>
    </row>
    <row r="4917" spans="2:15" s="645" customFormat="1" ht="21.75" customHeight="1">
      <c r="B4917" s="699">
        <v>44497</v>
      </c>
      <c r="C4917" s="700" t="s">
        <v>819</v>
      </c>
      <c r="D4917" s="701" t="s">
        <v>845</v>
      </c>
      <c r="E4917" s="702" t="s">
        <v>831</v>
      </c>
      <c r="F4917" s="703"/>
      <c r="G4917" s="701">
        <v>17</v>
      </c>
      <c r="H4917" s="700" t="s">
        <v>807</v>
      </c>
      <c r="I4917" s="704" t="s">
        <v>859</v>
      </c>
      <c r="J4917" s="705" t="s">
        <v>805</v>
      </c>
      <c r="K4917" s="700">
        <v>6</v>
      </c>
      <c r="L4917" s="706">
        <f t="shared" si="149"/>
        <v>15.98</v>
      </c>
      <c r="M4917" s="707">
        <f t="shared" si="150"/>
        <v>95.88</v>
      </c>
      <c r="O4917" s="693"/>
    </row>
    <row r="4918" spans="2:15" s="645" customFormat="1" ht="21.75" customHeight="1">
      <c r="B4918" s="699">
        <v>44497</v>
      </c>
      <c r="C4918" s="700" t="s">
        <v>819</v>
      </c>
      <c r="D4918" s="701" t="s">
        <v>847</v>
      </c>
      <c r="E4918" s="702" t="s">
        <v>831</v>
      </c>
      <c r="F4918" s="703"/>
      <c r="G4918" s="701">
        <v>17</v>
      </c>
      <c r="H4918" s="700" t="s">
        <v>807</v>
      </c>
      <c r="I4918" s="704" t="s">
        <v>805</v>
      </c>
      <c r="J4918" s="705" t="s">
        <v>805</v>
      </c>
      <c r="K4918" s="700">
        <v>20</v>
      </c>
      <c r="L4918" s="706">
        <f t="shared" si="149"/>
        <v>15.98</v>
      </c>
      <c r="M4918" s="707">
        <f t="shared" si="150"/>
        <v>319.60000000000002</v>
      </c>
      <c r="O4918" s="693"/>
    </row>
    <row r="4919" spans="2:15" s="645" customFormat="1" ht="21.75" customHeight="1">
      <c r="B4919" s="699">
        <v>44497</v>
      </c>
      <c r="C4919" s="700" t="s">
        <v>819</v>
      </c>
      <c r="D4919" s="701" t="s">
        <v>847</v>
      </c>
      <c r="E4919" s="702" t="s">
        <v>831</v>
      </c>
      <c r="F4919" s="703"/>
      <c r="G4919" s="701">
        <v>17</v>
      </c>
      <c r="H4919" s="700" t="s">
        <v>807</v>
      </c>
      <c r="I4919" s="704" t="s">
        <v>881</v>
      </c>
      <c r="J4919" s="705" t="s">
        <v>805</v>
      </c>
      <c r="K4919" s="700">
        <v>3</v>
      </c>
      <c r="L4919" s="706">
        <f t="shared" si="149"/>
        <v>15.98</v>
      </c>
      <c r="M4919" s="707">
        <f t="shared" si="150"/>
        <v>47.94</v>
      </c>
      <c r="O4919" s="693"/>
    </row>
    <row r="4920" spans="2:15" s="645" customFormat="1" ht="21.75" customHeight="1">
      <c r="B4920" s="699">
        <v>44497</v>
      </c>
      <c r="C4920" s="700" t="s">
        <v>819</v>
      </c>
      <c r="D4920" s="701" t="s">
        <v>856</v>
      </c>
      <c r="E4920" s="702" t="s">
        <v>831</v>
      </c>
      <c r="F4920" s="703"/>
      <c r="G4920" s="701">
        <v>20</v>
      </c>
      <c r="H4920" s="700" t="s">
        <v>807</v>
      </c>
      <c r="I4920" s="704" t="s">
        <v>859</v>
      </c>
      <c r="J4920" s="705" t="s">
        <v>805</v>
      </c>
      <c r="K4920" s="700">
        <v>5</v>
      </c>
      <c r="L4920" s="706">
        <f t="shared" si="149"/>
        <v>18.8</v>
      </c>
      <c r="M4920" s="707">
        <f t="shared" si="150"/>
        <v>94</v>
      </c>
      <c r="O4920" s="693"/>
    </row>
    <row r="4921" spans="2:15" s="645" customFormat="1" ht="21.75" customHeight="1">
      <c r="B4921" s="699">
        <v>44497</v>
      </c>
      <c r="C4921" s="700" t="s">
        <v>819</v>
      </c>
      <c r="D4921" s="701" t="s">
        <v>878</v>
      </c>
      <c r="E4921" s="702" t="s">
        <v>831</v>
      </c>
      <c r="F4921" s="703"/>
      <c r="G4921" s="701">
        <v>15</v>
      </c>
      <c r="H4921" s="700" t="s">
        <v>807</v>
      </c>
      <c r="I4921" s="704" t="s">
        <v>859</v>
      </c>
      <c r="J4921" s="705" t="s">
        <v>805</v>
      </c>
      <c r="K4921" s="700">
        <v>5</v>
      </c>
      <c r="L4921" s="706">
        <f t="shared" si="149"/>
        <v>14.1</v>
      </c>
      <c r="M4921" s="707">
        <f t="shared" si="150"/>
        <v>70.5</v>
      </c>
      <c r="O4921" s="693"/>
    </row>
    <row r="4922" spans="2:15" s="645" customFormat="1" ht="21.75" customHeight="1">
      <c r="B4922" s="699">
        <v>44497</v>
      </c>
      <c r="C4922" s="700" t="s">
        <v>819</v>
      </c>
      <c r="D4922" s="701" t="s">
        <v>855</v>
      </c>
      <c r="E4922" s="702" t="s">
        <v>831</v>
      </c>
      <c r="F4922" s="703"/>
      <c r="G4922" s="701">
        <v>20</v>
      </c>
      <c r="H4922" s="700" t="s">
        <v>807</v>
      </c>
      <c r="I4922" s="704" t="s">
        <v>859</v>
      </c>
      <c r="J4922" s="705" t="s">
        <v>805</v>
      </c>
      <c r="K4922" s="700">
        <v>4</v>
      </c>
      <c r="L4922" s="706">
        <f t="shared" si="149"/>
        <v>18.8</v>
      </c>
      <c r="M4922" s="707">
        <f t="shared" si="150"/>
        <v>75.2</v>
      </c>
      <c r="O4922" s="693"/>
    </row>
    <row r="4923" spans="2:15" s="645" customFormat="1" ht="21.75" customHeight="1">
      <c r="B4923" s="699">
        <v>44497</v>
      </c>
      <c r="C4923" s="700" t="s">
        <v>819</v>
      </c>
      <c r="D4923" s="701" t="s">
        <v>875</v>
      </c>
      <c r="E4923" s="702" t="s">
        <v>831</v>
      </c>
      <c r="F4923" s="703"/>
      <c r="G4923" s="701">
        <v>20</v>
      </c>
      <c r="H4923" s="700" t="s">
        <v>807</v>
      </c>
      <c r="I4923" s="704" t="s">
        <v>859</v>
      </c>
      <c r="J4923" s="705" t="s">
        <v>805</v>
      </c>
      <c r="K4923" s="700">
        <v>2</v>
      </c>
      <c r="L4923" s="706">
        <f t="shared" si="149"/>
        <v>18.8</v>
      </c>
      <c r="M4923" s="707">
        <f t="shared" si="150"/>
        <v>37.6</v>
      </c>
      <c r="O4923" s="693"/>
    </row>
    <row r="4924" spans="2:15" s="645" customFormat="1" ht="21.75" customHeight="1">
      <c r="B4924" s="699">
        <v>44497</v>
      </c>
      <c r="C4924" s="700" t="s">
        <v>819</v>
      </c>
      <c r="D4924" s="701" t="s">
        <v>876</v>
      </c>
      <c r="E4924" s="702" t="s">
        <v>831</v>
      </c>
      <c r="F4924" s="703"/>
      <c r="G4924" s="701">
        <v>20</v>
      </c>
      <c r="H4924" s="700" t="s">
        <v>807</v>
      </c>
      <c r="I4924" s="704" t="s">
        <v>859</v>
      </c>
      <c r="J4924" s="705" t="s">
        <v>805</v>
      </c>
      <c r="K4924" s="700">
        <v>3</v>
      </c>
      <c r="L4924" s="706">
        <f t="shared" si="149"/>
        <v>18.8</v>
      </c>
      <c r="M4924" s="707">
        <f t="shared" si="150"/>
        <v>56.400000000000006</v>
      </c>
      <c r="O4924" s="693"/>
    </row>
    <row r="4925" spans="2:15" s="645" customFormat="1" ht="21.75" customHeight="1">
      <c r="B4925" s="661">
        <v>44498</v>
      </c>
      <c r="C4925" s="662" t="s">
        <v>819</v>
      </c>
      <c r="D4925" s="663" t="s">
        <v>840</v>
      </c>
      <c r="E4925" s="664" t="s">
        <v>831</v>
      </c>
      <c r="F4925" s="665"/>
      <c r="G4925" s="663">
        <v>20</v>
      </c>
      <c r="H4925" s="662" t="s">
        <v>807</v>
      </c>
      <c r="I4925" s="666" t="s">
        <v>857</v>
      </c>
      <c r="J4925" s="667" t="s">
        <v>865</v>
      </c>
      <c r="K4925" s="662">
        <v>6</v>
      </c>
      <c r="L4925" s="685">
        <f t="shared" si="149"/>
        <v>18.8</v>
      </c>
      <c r="M4925" s="686">
        <f t="shared" si="150"/>
        <v>112.80000000000001</v>
      </c>
      <c r="O4925" s="693"/>
    </row>
    <row r="4926" spans="2:15" s="645" customFormat="1" ht="21.75" customHeight="1">
      <c r="B4926" s="661">
        <v>44498</v>
      </c>
      <c r="C4926" s="662" t="s">
        <v>819</v>
      </c>
      <c r="D4926" s="663" t="s">
        <v>835</v>
      </c>
      <c r="E4926" s="664" t="s">
        <v>831</v>
      </c>
      <c r="F4926" s="665"/>
      <c r="G4926" s="663">
        <v>20</v>
      </c>
      <c r="H4926" s="662" t="s">
        <v>807</v>
      </c>
      <c r="I4926" s="666" t="s">
        <v>857</v>
      </c>
      <c r="J4926" s="667" t="s">
        <v>865</v>
      </c>
      <c r="K4926" s="662">
        <v>4</v>
      </c>
      <c r="L4926" s="685">
        <f t="shared" si="149"/>
        <v>18.8</v>
      </c>
      <c r="M4926" s="686">
        <f t="shared" si="150"/>
        <v>75.2</v>
      </c>
      <c r="O4926" s="693"/>
    </row>
    <row r="4927" spans="2:15" s="645" customFormat="1" ht="21.75" customHeight="1">
      <c r="B4927" s="661">
        <v>44498</v>
      </c>
      <c r="C4927" s="662" t="s">
        <v>819</v>
      </c>
      <c r="D4927" s="663" t="s">
        <v>841</v>
      </c>
      <c r="E4927" s="664" t="s">
        <v>831</v>
      </c>
      <c r="F4927" s="665"/>
      <c r="G4927" s="663">
        <v>20</v>
      </c>
      <c r="H4927" s="662" t="s">
        <v>807</v>
      </c>
      <c r="I4927" s="666" t="s">
        <v>857</v>
      </c>
      <c r="J4927" s="667" t="s">
        <v>865</v>
      </c>
      <c r="K4927" s="662">
        <v>5</v>
      </c>
      <c r="L4927" s="685">
        <f t="shared" si="149"/>
        <v>18.8</v>
      </c>
      <c r="M4927" s="686">
        <f t="shared" si="150"/>
        <v>94</v>
      </c>
      <c r="O4927" s="693"/>
    </row>
    <row r="4928" spans="2:15" s="645" customFormat="1" ht="21.75" customHeight="1">
      <c r="B4928" s="661">
        <v>44498</v>
      </c>
      <c r="C4928" s="662" t="s">
        <v>819</v>
      </c>
      <c r="D4928" s="663" t="s">
        <v>848</v>
      </c>
      <c r="E4928" s="664" t="s">
        <v>831</v>
      </c>
      <c r="F4928" s="665"/>
      <c r="G4928" s="663">
        <v>20</v>
      </c>
      <c r="H4928" s="662" t="s">
        <v>807</v>
      </c>
      <c r="I4928" s="666" t="s">
        <v>857</v>
      </c>
      <c r="J4928" s="667" t="s">
        <v>865</v>
      </c>
      <c r="K4928" s="662">
        <v>7</v>
      </c>
      <c r="L4928" s="685">
        <f t="shared" si="149"/>
        <v>18.8</v>
      </c>
      <c r="M4928" s="686">
        <f t="shared" si="150"/>
        <v>131.6</v>
      </c>
      <c r="O4928" s="693"/>
    </row>
    <row r="4929" spans="2:15" s="645" customFormat="1" ht="21.75" customHeight="1">
      <c r="B4929" s="661">
        <v>44498</v>
      </c>
      <c r="C4929" s="662" t="s">
        <v>819</v>
      </c>
      <c r="D4929" s="663" t="s">
        <v>833</v>
      </c>
      <c r="E4929" s="664" t="s">
        <v>831</v>
      </c>
      <c r="F4929" s="665"/>
      <c r="G4929" s="663">
        <v>15</v>
      </c>
      <c r="H4929" s="662" t="s">
        <v>807</v>
      </c>
      <c r="I4929" s="666" t="s">
        <v>857</v>
      </c>
      <c r="J4929" s="667" t="s">
        <v>865</v>
      </c>
      <c r="K4929" s="662">
        <v>2</v>
      </c>
      <c r="L4929" s="685">
        <f t="shared" si="149"/>
        <v>14.1</v>
      </c>
      <c r="M4929" s="686">
        <f t="shared" si="150"/>
        <v>28.2</v>
      </c>
      <c r="O4929" s="693"/>
    </row>
    <row r="4930" spans="2:15" s="645" customFormat="1" ht="21.75" customHeight="1">
      <c r="B4930" s="661">
        <v>44498</v>
      </c>
      <c r="C4930" s="662" t="s">
        <v>819</v>
      </c>
      <c r="D4930" s="663" t="s">
        <v>845</v>
      </c>
      <c r="E4930" s="664" t="s">
        <v>831</v>
      </c>
      <c r="F4930" s="665"/>
      <c r="G4930" s="663">
        <v>17</v>
      </c>
      <c r="H4930" s="662" t="s">
        <v>807</v>
      </c>
      <c r="I4930" s="666" t="s">
        <v>857</v>
      </c>
      <c r="J4930" s="667" t="s">
        <v>865</v>
      </c>
      <c r="K4930" s="662">
        <v>7</v>
      </c>
      <c r="L4930" s="685">
        <f t="shared" si="149"/>
        <v>15.98</v>
      </c>
      <c r="M4930" s="686">
        <f t="shared" si="150"/>
        <v>111.86</v>
      </c>
      <c r="O4930" s="693"/>
    </row>
    <row r="4931" spans="2:15" s="645" customFormat="1" ht="21.75" customHeight="1">
      <c r="B4931" s="661">
        <v>44498</v>
      </c>
      <c r="C4931" s="662" t="s">
        <v>819</v>
      </c>
      <c r="D4931" s="663" t="s">
        <v>847</v>
      </c>
      <c r="E4931" s="664" t="s">
        <v>831</v>
      </c>
      <c r="F4931" s="665"/>
      <c r="G4931" s="663">
        <v>17</v>
      </c>
      <c r="H4931" s="662" t="s">
        <v>807</v>
      </c>
      <c r="I4931" s="666" t="s">
        <v>857</v>
      </c>
      <c r="J4931" s="667" t="s">
        <v>865</v>
      </c>
      <c r="K4931" s="662">
        <v>7</v>
      </c>
      <c r="L4931" s="685">
        <f t="shared" si="149"/>
        <v>15.98</v>
      </c>
      <c r="M4931" s="686">
        <f t="shared" si="150"/>
        <v>111.86</v>
      </c>
      <c r="O4931" s="693"/>
    </row>
    <row r="4932" spans="2:15" s="645" customFormat="1" ht="21.75" customHeight="1">
      <c r="B4932" s="661">
        <v>44498</v>
      </c>
      <c r="C4932" s="662" t="s">
        <v>819</v>
      </c>
      <c r="D4932" s="663" t="s">
        <v>856</v>
      </c>
      <c r="E4932" s="664" t="s">
        <v>831</v>
      </c>
      <c r="F4932" s="665"/>
      <c r="G4932" s="663">
        <v>20</v>
      </c>
      <c r="H4932" s="662" t="s">
        <v>807</v>
      </c>
      <c r="I4932" s="666" t="s">
        <v>857</v>
      </c>
      <c r="J4932" s="667" t="s">
        <v>865</v>
      </c>
      <c r="K4932" s="662">
        <v>8</v>
      </c>
      <c r="L4932" s="685">
        <f t="shared" si="149"/>
        <v>18.8</v>
      </c>
      <c r="M4932" s="686">
        <f t="shared" si="150"/>
        <v>150.4</v>
      </c>
      <c r="O4932" s="693"/>
    </row>
    <row r="4933" spans="2:15" s="645" customFormat="1" ht="21.75" customHeight="1">
      <c r="B4933" s="661">
        <v>44498</v>
      </c>
      <c r="C4933" s="662" t="s">
        <v>819</v>
      </c>
      <c r="D4933" s="663" t="s">
        <v>878</v>
      </c>
      <c r="E4933" s="664" t="s">
        <v>831</v>
      </c>
      <c r="F4933" s="665"/>
      <c r="G4933" s="663">
        <v>15</v>
      </c>
      <c r="H4933" s="662" t="s">
        <v>807</v>
      </c>
      <c r="I4933" s="666" t="s">
        <v>857</v>
      </c>
      <c r="J4933" s="667" t="s">
        <v>865</v>
      </c>
      <c r="K4933" s="662">
        <v>4</v>
      </c>
      <c r="L4933" s="685">
        <f t="shared" si="149"/>
        <v>14.1</v>
      </c>
      <c r="M4933" s="686">
        <f t="shared" si="150"/>
        <v>56.4</v>
      </c>
      <c r="O4933" s="693"/>
    </row>
    <row r="4934" spans="2:15" s="645" customFormat="1" ht="21.75" customHeight="1">
      <c r="B4934" s="661">
        <v>44498</v>
      </c>
      <c r="C4934" s="662" t="s">
        <v>819</v>
      </c>
      <c r="D4934" s="663" t="s">
        <v>855</v>
      </c>
      <c r="E4934" s="664" t="s">
        <v>831</v>
      </c>
      <c r="F4934" s="665"/>
      <c r="G4934" s="663">
        <v>20</v>
      </c>
      <c r="H4934" s="662" t="s">
        <v>807</v>
      </c>
      <c r="I4934" s="666" t="s">
        <v>857</v>
      </c>
      <c r="J4934" s="667" t="s">
        <v>865</v>
      </c>
      <c r="K4934" s="662">
        <v>6</v>
      </c>
      <c r="L4934" s="685">
        <f t="shared" si="149"/>
        <v>18.8</v>
      </c>
      <c r="M4934" s="686">
        <f t="shared" si="150"/>
        <v>112.80000000000001</v>
      </c>
      <c r="O4934" s="693"/>
    </row>
    <row r="4935" spans="2:15" s="645" customFormat="1" ht="21.75" customHeight="1">
      <c r="B4935" s="661">
        <v>44498</v>
      </c>
      <c r="C4935" s="662" t="s">
        <v>819</v>
      </c>
      <c r="D4935" s="663" t="s">
        <v>876</v>
      </c>
      <c r="E4935" s="664" t="s">
        <v>831</v>
      </c>
      <c r="F4935" s="665"/>
      <c r="G4935" s="663">
        <v>20</v>
      </c>
      <c r="H4935" s="662" t="s">
        <v>807</v>
      </c>
      <c r="I4935" s="666" t="s">
        <v>857</v>
      </c>
      <c r="J4935" s="667" t="s">
        <v>865</v>
      </c>
      <c r="K4935" s="662">
        <v>5</v>
      </c>
      <c r="L4935" s="685">
        <f t="shared" si="149"/>
        <v>18.8</v>
      </c>
      <c r="M4935" s="686">
        <f t="shared" si="150"/>
        <v>94</v>
      </c>
      <c r="O4935" s="693"/>
    </row>
    <row r="4936" spans="2:15" s="645" customFormat="1" ht="21.75" customHeight="1">
      <c r="B4936" s="661">
        <v>44498</v>
      </c>
      <c r="C4936" s="662" t="s">
        <v>819</v>
      </c>
      <c r="D4936" s="663" t="s">
        <v>877</v>
      </c>
      <c r="E4936" s="664" t="s">
        <v>831</v>
      </c>
      <c r="F4936" s="665"/>
      <c r="G4936" s="663">
        <v>20</v>
      </c>
      <c r="H4936" s="662" t="s">
        <v>807</v>
      </c>
      <c r="I4936" s="666" t="s">
        <v>857</v>
      </c>
      <c r="J4936" s="667" t="s">
        <v>865</v>
      </c>
      <c r="K4936" s="662">
        <v>8</v>
      </c>
      <c r="L4936" s="685">
        <f t="shared" si="149"/>
        <v>18.8</v>
      </c>
      <c r="M4936" s="686">
        <f t="shared" si="150"/>
        <v>150.4</v>
      </c>
      <c r="O4936" s="693"/>
    </row>
    <row r="4937" spans="2:15" s="645" customFormat="1" ht="21.75" customHeight="1">
      <c r="B4937" s="699">
        <v>44498</v>
      </c>
      <c r="C4937" s="700" t="s">
        <v>819</v>
      </c>
      <c r="D4937" s="701" t="s">
        <v>848</v>
      </c>
      <c r="E4937" s="702" t="s">
        <v>831</v>
      </c>
      <c r="F4937" s="703"/>
      <c r="G4937" s="701">
        <v>20</v>
      </c>
      <c r="H4937" s="700" t="s">
        <v>807</v>
      </c>
      <c r="I4937" s="704" t="s">
        <v>857</v>
      </c>
      <c r="J4937" s="705" t="s">
        <v>805</v>
      </c>
      <c r="K4937" s="700">
        <v>1</v>
      </c>
      <c r="L4937" s="706">
        <f t="shared" ref="L4937:L5000" si="151">VLOOKUP(G4937,$Q$4:$V$7,6,FALSE)</f>
        <v>18.8</v>
      </c>
      <c r="M4937" s="707">
        <f t="shared" si="150"/>
        <v>18.8</v>
      </c>
      <c r="O4937" s="693"/>
    </row>
    <row r="4938" spans="2:15" s="645" customFormat="1" ht="21.75" customHeight="1">
      <c r="B4938" s="699">
        <v>44498</v>
      </c>
      <c r="C4938" s="700" t="s">
        <v>819</v>
      </c>
      <c r="D4938" s="701" t="s">
        <v>833</v>
      </c>
      <c r="E4938" s="702" t="s">
        <v>831</v>
      </c>
      <c r="F4938" s="703"/>
      <c r="G4938" s="701">
        <v>15</v>
      </c>
      <c r="H4938" s="700" t="s">
        <v>807</v>
      </c>
      <c r="I4938" s="704" t="s">
        <v>857</v>
      </c>
      <c r="J4938" s="705" t="s">
        <v>805</v>
      </c>
      <c r="K4938" s="700">
        <v>1</v>
      </c>
      <c r="L4938" s="706">
        <f t="shared" si="151"/>
        <v>14.1</v>
      </c>
      <c r="M4938" s="707">
        <f t="shared" si="150"/>
        <v>14.1</v>
      </c>
      <c r="O4938" s="693"/>
    </row>
    <row r="4939" spans="2:15" s="645" customFormat="1" ht="21.75" customHeight="1">
      <c r="B4939" s="699">
        <v>44498</v>
      </c>
      <c r="C4939" s="700" t="s">
        <v>819</v>
      </c>
      <c r="D4939" s="701" t="s">
        <v>845</v>
      </c>
      <c r="E4939" s="702" t="s">
        <v>831</v>
      </c>
      <c r="F4939" s="703"/>
      <c r="G4939" s="701">
        <v>17</v>
      </c>
      <c r="H4939" s="700" t="s">
        <v>807</v>
      </c>
      <c r="I4939" s="704" t="s">
        <v>857</v>
      </c>
      <c r="J4939" s="705" t="s">
        <v>805</v>
      </c>
      <c r="K4939" s="700">
        <v>1</v>
      </c>
      <c r="L4939" s="706">
        <f t="shared" si="151"/>
        <v>15.98</v>
      </c>
      <c r="M4939" s="707">
        <f t="shared" si="150"/>
        <v>15.98</v>
      </c>
      <c r="O4939" s="693"/>
    </row>
    <row r="4940" spans="2:15" s="645" customFormat="1" ht="21.75" customHeight="1">
      <c r="B4940" s="699">
        <v>44498</v>
      </c>
      <c r="C4940" s="700" t="s">
        <v>819</v>
      </c>
      <c r="D4940" s="701" t="s">
        <v>847</v>
      </c>
      <c r="E4940" s="702" t="s">
        <v>831</v>
      </c>
      <c r="F4940" s="703"/>
      <c r="G4940" s="701">
        <v>17</v>
      </c>
      <c r="H4940" s="700" t="s">
        <v>807</v>
      </c>
      <c r="I4940" s="704" t="s">
        <v>857</v>
      </c>
      <c r="J4940" s="705" t="s">
        <v>805</v>
      </c>
      <c r="K4940" s="700">
        <v>1</v>
      </c>
      <c r="L4940" s="706">
        <f t="shared" si="151"/>
        <v>15.98</v>
      </c>
      <c r="M4940" s="707">
        <f t="shared" si="150"/>
        <v>15.98</v>
      </c>
      <c r="O4940" s="693"/>
    </row>
    <row r="4941" spans="2:15" s="645" customFormat="1" ht="21.75" customHeight="1">
      <c r="B4941" s="699">
        <v>44498</v>
      </c>
      <c r="C4941" s="700" t="s">
        <v>819</v>
      </c>
      <c r="D4941" s="701" t="s">
        <v>856</v>
      </c>
      <c r="E4941" s="702" t="s">
        <v>831</v>
      </c>
      <c r="F4941" s="703"/>
      <c r="G4941" s="701">
        <v>20</v>
      </c>
      <c r="H4941" s="700" t="s">
        <v>807</v>
      </c>
      <c r="I4941" s="704" t="s">
        <v>857</v>
      </c>
      <c r="J4941" s="705" t="s">
        <v>805</v>
      </c>
      <c r="K4941" s="700">
        <v>1</v>
      </c>
      <c r="L4941" s="706">
        <f t="shared" si="151"/>
        <v>18.8</v>
      </c>
      <c r="M4941" s="707">
        <f t="shared" si="150"/>
        <v>18.8</v>
      </c>
      <c r="O4941" s="693"/>
    </row>
    <row r="4942" spans="2:15" s="645" customFormat="1" ht="21.75" customHeight="1">
      <c r="B4942" s="699">
        <v>44498</v>
      </c>
      <c r="C4942" s="700" t="s">
        <v>819</v>
      </c>
      <c r="D4942" s="701" t="s">
        <v>875</v>
      </c>
      <c r="E4942" s="702" t="s">
        <v>831</v>
      </c>
      <c r="F4942" s="703"/>
      <c r="G4942" s="701">
        <v>20</v>
      </c>
      <c r="H4942" s="700" t="s">
        <v>807</v>
      </c>
      <c r="I4942" s="704" t="s">
        <v>857</v>
      </c>
      <c r="J4942" s="705" t="s">
        <v>805</v>
      </c>
      <c r="K4942" s="700">
        <v>8</v>
      </c>
      <c r="L4942" s="706">
        <f t="shared" si="151"/>
        <v>18.8</v>
      </c>
      <c r="M4942" s="707">
        <f t="shared" si="150"/>
        <v>150.4</v>
      </c>
      <c r="O4942" s="693"/>
    </row>
    <row r="4943" spans="2:15" s="645" customFormat="1" ht="21.75" customHeight="1">
      <c r="B4943" s="699">
        <v>44498</v>
      </c>
      <c r="C4943" s="700" t="s">
        <v>819</v>
      </c>
      <c r="D4943" s="701" t="s">
        <v>876</v>
      </c>
      <c r="E4943" s="702" t="s">
        <v>831</v>
      </c>
      <c r="F4943" s="703"/>
      <c r="G4943" s="701">
        <v>20</v>
      </c>
      <c r="H4943" s="700" t="s">
        <v>807</v>
      </c>
      <c r="I4943" s="704" t="s">
        <v>857</v>
      </c>
      <c r="J4943" s="705" t="s">
        <v>805</v>
      </c>
      <c r="K4943" s="700">
        <v>1</v>
      </c>
      <c r="L4943" s="706">
        <f t="shared" si="151"/>
        <v>18.8</v>
      </c>
      <c r="M4943" s="707">
        <f t="shared" si="150"/>
        <v>18.8</v>
      </c>
      <c r="O4943" s="693"/>
    </row>
    <row r="4944" spans="2:15" s="645" customFormat="1" ht="21.75" customHeight="1">
      <c r="B4944" s="717">
        <v>44498</v>
      </c>
      <c r="C4944" s="718" t="s">
        <v>819</v>
      </c>
      <c r="D4944" s="719" t="s">
        <v>835</v>
      </c>
      <c r="E4944" s="720" t="s">
        <v>831</v>
      </c>
      <c r="F4944" s="721"/>
      <c r="G4944" s="719">
        <v>20</v>
      </c>
      <c r="H4944" s="718" t="s">
        <v>806</v>
      </c>
      <c r="I4944" s="722" t="s">
        <v>882</v>
      </c>
      <c r="J4944" s="723" t="s">
        <v>892</v>
      </c>
      <c r="K4944" s="718">
        <v>12</v>
      </c>
      <c r="L4944" s="724">
        <f t="shared" si="151"/>
        <v>18.8</v>
      </c>
      <c r="M4944" s="725">
        <f t="shared" si="150"/>
        <v>225.60000000000002</v>
      </c>
      <c r="O4944" s="693"/>
    </row>
    <row r="4945" spans="2:15" s="645" customFormat="1" ht="21.75" customHeight="1">
      <c r="B4945" s="717">
        <v>44498</v>
      </c>
      <c r="C4945" s="718" t="s">
        <v>819</v>
      </c>
      <c r="D4945" s="719" t="s">
        <v>833</v>
      </c>
      <c r="E4945" s="720" t="s">
        <v>831</v>
      </c>
      <c r="F4945" s="721"/>
      <c r="G4945" s="719">
        <v>15</v>
      </c>
      <c r="H4945" s="718" t="s">
        <v>806</v>
      </c>
      <c r="I4945" s="722" t="s">
        <v>882</v>
      </c>
      <c r="J4945" s="723" t="s">
        <v>892</v>
      </c>
      <c r="K4945" s="718">
        <v>12</v>
      </c>
      <c r="L4945" s="724">
        <f t="shared" si="151"/>
        <v>14.1</v>
      </c>
      <c r="M4945" s="725">
        <f t="shared" si="150"/>
        <v>169.2</v>
      </c>
      <c r="O4945" s="693"/>
    </row>
    <row r="4946" spans="2:15" s="645" customFormat="1" ht="21.75" customHeight="1">
      <c r="B4946" s="717">
        <v>44498</v>
      </c>
      <c r="C4946" s="718" t="s">
        <v>819</v>
      </c>
      <c r="D4946" s="719" t="s">
        <v>855</v>
      </c>
      <c r="E4946" s="720" t="s">
        <v>831</v>
      </c>
      <c r="F4946" s="721"/>
      <c r="G4946" s="719">
        <v>20</v>
      </c>
      <c r="H4946" s="718" t="s">
        <v>806</v>
      </c>
      <c r="I4946" s="722" t="s">
        <v>882</v>
      </c>
      <c r="J4946" s="723" t="s">
        <v>892</v>
      </c>
      <c r="K4946" s="718">
        <v>1</v>
      </c>
      <c r="L4946" s="724">
        <f t="shared" si="151"/>
        <v>18.8</v>
      </c>
      <c r="M4946" s="725">
        <f t="shared" si="150"/>
        <v>18.8</v>
      </c>
      <c r="O4946" s="693"/>
    </row>
    <row r="4947" spans="2:15" s="645" customFormat="1" ht="21.75" customHeight="1">
      <c r="B4947" s="661">
        <v>44499</v>
      </c>
      <c r="C4947" s="662" t="s">
        <v>819</v>
      </c>
      <c r="D4947" s="663" t="s">
        <v>833</v>
      </c>
      <c r="E4947" s="664" t="s">
        <v>831</v>
      </c>
      <c r="F4947" s="665"/>
      <c r="G4947" s="663">
        <v>15</v>
      </c>
      <c r="H4947" s="662" t="s">
        <v>807</v>
      </c>
      <c r="I4947" s="666" t="s">
        <v>805</v>
      </c>
      <c r="J4947" s="667" t="s">
        <v>805</v>
      </c>
      <c r="K4947" s="662">
        <v>2</v>
      </c>
      <c r="L4947" s="685">
        <f t="shared" si="151"/>
        <v>14.1</v>
      </c>
      <c r="M4947" s="686">
        <f t="shared" si="150"/>
        <v>28.2</v>
      </c>
      <c r="O4947" s="693"/>
    </row>
    <row r="4948" spans="2:15" s="645" customFormat="1" ht="21.75" customHeight="1">
      <c r="B4948" s="661">
        <v>44499</v>
      </c>
      <c r="C4948" s="662" t="s">
        <v>819</v>
      </c>
      <c r="D4948" s="663" t="s">
        <v>847</v>
      </c>
      <c r="E4948" s="664" t="s">
        <v>831</v>
      </c>
      <c r="F4948" s="665"/>
      <c r="G4948" s="663">
        <v>17</v>
      </c>
      <c r="H4948" s="662" t="s">
        <v>807</v>
      </c>
      <c r="I4948" s="666" t="s">
        <v>805</v>
      </c>
      <c r="J4948" s="667" t="s">
        <v>805</v>
      </c>
      <c r="K4948" s="662">
        <v>2</v>
      </c>
      <c r="L4948" s="685">
        <f t="shared" si="151"/>
        <v>15.98</v>
      </c>
      <c r="M4948" s="686">
        <f t="shared" si="150"/>
        <v>31.96</v>
      </c>
      <c r="O4948" s="693"/>
    </row>
    <row r="4949" spans="2:15" s="645" customFormat="1" ht="21.75" customHeight="1">
      <c r="B4949" s="661">
        <v>44499</v>
      </c>
      <c r="C4949" s="662" t="s">
        <v>819</v>
      </c>
      <c r="D4949" s="663" t="s">
        <v>878</v>
      </c>
      <c r="E4949" s="664" t="s">
        <v>831</v>
      </c>
      <c r="F4949" s="665"/>
      <c r="G4949" s="663">
        <v>15</v>
      </c>
      <c r="H4949" s="662" t="s">
        <v>807</v>
      </c>
      <c r="I4949" s="666" t="s">
        <v>805</v>
      </c>
      <c r="J4949" s="667" t="s">
        <v>805</v>
      </c>
      <c r="K4949" s="662">
        <v>2</v>
      </c>
      <c r="L4949" s="685">
        <f t="shared" si="151"/>
        <v>14.1</v>
      </c>
      <c r="M4949" s="686">
        <f t="shared" si="150"/>
        <v>28.2</v>
      </c>
      <c r="O4949" s="693"/>
    </row>
    <row r="4950" spans="2:15" s="645" customFormat="1" ht="21.75" customHeight="1">
      <c r="B4950" s="661">
        <v>44499</v>
      </c>
      <c r="C4950" s="662" t="s">
        <v>819</v>
      </c>
      <c r="D4950" s="663" t="s">
        <v>840</v>
      </c>
      <c r="E4950" s="664" t="s">
        <v>831</v>
      </c>
      <c r="F4950" s="665"/>
      <c r="G4950" s="663">
        <v>20</v>
      </c>
      <c r="H4950" s="662" t="s">
        <v>807</v>
      </c>
      <c r="I4950" s="666" t="s">
        <v>857</v>
      </c>
      <c r="J4950" s="667" t="s">
        <v>865</v>
      </c>
      <c r="K4950" s="662">
        <v>7</v>
      </c>
      <c r="L4950" s="685">
        <f t="shared" si="151"/>
        <v>18.8</v>
      </c>
      <c r="M4950" s="686">
        <f t="shared" si="150"/>
        <v>131.6</v>
      </c>
      <c r="O4950" s="693"/>
    </row>
    <row r="4951" spans="2:15" s="645" customFormat="1" ht="21.75" customHeight="1">
      <c r="B4951" s="661">
        <v>44499</v>
      </c>
      <c r="C4951" s="662" t="s">
        <v>819</v>
      </c>
      <c r="D4951" s="663" t="s">
        <v>840</v>
      </c>
      <c r="E4951" s="664" t="s">
        <v>831</v>
      </c>
      <c r="F4951" s="665"/>
      <c r="G4951" s="663">
        <v>20</v>
      </c>
      <c r="H4951" s="662" t="s">
        <v>807</v>
      </c>
      <c r="I4951" s="666" t="s">
        <v>805</v>
      </c>
      <c r="J4951" s="667" t="s">
        <v>865</v>
      </c>
      <c r="K4951" s="662">
        <v>4</v>
      </c>
      <c r="L4951" s="685">
        <f t="shared" si="151"/>
        <v>18.8</v>
      </c>
      <c r="M4951" s="686">
        <f t="shared" si="150"/>
        <v>75.2</v>
      </c>
      <c r="O4951" s="693"/>
    </row>
    <row r="4952" spans="2:15" s="645" customFormat="1" ht="21.75" customHeight="1">
      <c r="B4952" s="661">
        <v>44499</v>
      </c>
      <c r="C4952" s="662" t="s">
        <v>819</v>
      </c>
      <c r="D4952" s="663" t="s">
        <v>835</v>
      </c>
      <c r="E4952" s="664" t="s">
        <v>831</v>
      </c>
      <c r="F4952" s="665"/>
      <c r="G4952" s="663">
        <v>20</v>
      </c>
      <c r="H4952" s="662" t="s">
        <v>807</v>
      </c>
      <c r="I4952" s="666" t="s">
        <v>857</v>
      </c>
      <c r="J4952" s="667" t="s">
        <v>865</v>
      </c>
      <c r="K4952" s="662">
        <v>4</v>
      </c>
      <c r="L4952" s="685">
        <f t="shared" si="151"/>
        <v>18.8</v>
      </c>
      <c r="M4952" s="686">
        <f t="shared" si="150"/>
        <v>75.2</v>
      </c>
      <c r="O4952" s="693"/>
    </row>
    <row r="4953" spans="2:15" s="645" customFormat="1" ht="21.75" customHeight="1">
      <c r="B4953" s="661">
        <v>44499</v>
      </c>
      <c r="C4953" s="662" t="s">
        <v>819</v>
      </c>
      <c r="D4953" s="663" t="s">
        <v>841</v>
      </c>
      <c r="E4953" s="664" t="s">
        <v>831</v>
      </c>
      <c r="F4953" s="665"/>
      <c r="G4953" s="663">
        <v>20</v>
      </c>
      <c r="H4953" s="662" t="s">
        <v>807</v>
      </c>
      <c r="I4953" s="666" t="s">
        <v>857</v>
      </c>
      <c r="J4953" s="667" t="s">
        <v>865</v>
      </c>
      <c r="K4953" s="662">
        <v>6</v>
      </c>
      <c r="L4953" s="685">
        <f t="shared" si="151"/>
        <v>18.8</v>
      </c>
      <c r="M4953" s="686">
        <f t="shared" si="150"/>
        <v>112.80000000000001</v>
      </c>
      <c r="O4953" s="693"/>
    </row>
    <row r="4954" spans="2:15" s="645" customFormat="1" ht="21.75" customHeight="1">
      <c r="B4954" s="661">
        <v>44499</v>
      </c>
      <c r="C4954" s="662" t="s">
        <v>819</v>
      </c>
      <c r="D4954" s="663" t="s">
        <v>848</v>
      </c>
      <c r="E4954" s="664" t="s">
        <v>831</v>
      </c>
      <c r="F4954" s="665"/>
      <c r="G4954" s="663">
        <v>20</v>
      </c>
      <c r="H4954" s="662" t="s">
        <v>807</v>
      </c>
      <c r="I4954" s="666" t="s">
        <v>857</v>
      </c>
      <c r="J4954" s="667" t="s">
        <v>865</v>
      </c>
      <c r="K4954" s="662">
        <v>3</v>
      </c>
      <c r="L4954" s="685">
        <f t="shared" si="151"/>
        <v>18.8</v>
      </c>
      <c r="M4954" s="686">
        <f t="shared" si="150"/>
        <v>56.400000000000006</v>
      </c>
      <c r="O4954" s="693"/>
    </row>
    <row r="4955" spans="2:15" s="645" customFormat="1" ht="21.75" customHeight="1">
      <c r="B4955" s="661">
        <v>44499</v>
      </c>
      <c r="C4955" s="662" t="s">
        <v>819</v>
      </c>
      <c r="D4955" s="663" t="s">
        <v>833</v>
      </c>
      <c r="E4955" s="664" t="s">
        <v>831</v>
      </c>
      <c r="F4955" s="665"/>
      <c r="G4955" s="663">
        <v>15</v>
      </c>
      <c r="H4955" s="662" t="s">
        <v>807</v>
      </c>
      <c r="I4955" s="666" t="s">
        <v>805</v>
      </c>
      <c r="J4955" s="667" t="s">
        <v>865</v>
      </c>
      <c r="K4955" s="662">
        <v>1</v>
      </c>
      <c r="L4955" s="685">
        <f t="shared" si="151"/>
        <v>14.1</v>
      </c>
      <c r="M4955" s="686">
        <f t="shared" si="150"/>
        <v>14.1</v>
      </c>
      <c r="O4955" s="693"/>
    </row>
    <row r="4956" spans="2:15" s="645" customFormat="1" ht="21.75" customHeight="1">
      <c r="B4956" s="661">
        <v>44499</v>
      </c>
      <c r="C4956" s="662" t="s">
        <v>819</v>
      </c>
      <c r="D4956" s="663" t="s">
        <v>833</v>
      </c>
      <c r="E4956" s="664" t="s">
        <v>831</v>
      </c>
      <c r="F4956" s="665"/>
      <c r="G4956" s="663">
        <v>15</v>
      </c>
      <c r="H4956" s="662" t="s">
        <v>807</v>
      </c>
      <c r="I4956" s="666" t="s">
        <v>857</v>
      </c>
      <c r="J4956" s="667" t="s">
        <v>865</v>
      </c>
      <c r="K4956" s="662">
        <v>5</v>
      </c>
      <c r="L4956" s="685">
        <f t="shared" si="151"/>
        <v>14.1</v>
      </c>
      <c r="M4956" s="686">
        <f t="shared" si="150"/>
        <v>70.5</v>
      </c>
      <c r="O4956" s="693"/>
    </row>
    <row r="4957" spans="2:15" s="645" customFormat="1" ht="21.75" customHeight="1">
      <c r="B4957" s="661">
        <v>44499</v>
      </c>
      <c r="C4957" s="662" t="s">
        <v>819</v>
      </c>
      <c r="D4957" s="663" t="s">
        <v>845</v>
      </c>
      <c r="E4957" s="664" t="s">
        <v>831</v>
      </c>
      <c r="F4957" s="665"/>
      <c r="G4957" s="663">
        <v>17</v>
      </c>
      <c r="H4957" s="662" t="s">
        <v>807</v>
      </c>
      <c r="I4957" s="666" t="s">
        <v>857</v>
      </c>
      <c r="J4957" s="667" t="s">
        <v>865</v>
      </c>
      <c r="K4957" s="662">
        <v>5</v>
      </c>
      <c r="L4957" s="685">
        <f t="shared" si="151"/>
        <v>15.98</v>
      </c>
      <c r="M4957" s="686">
        <f t="shared" si="150"/>
        <v>79.900000000000006</v>
      </c>
      <c r="O4957" s="693"/>
    </row>
    <row r="4958" spans="2:15" s="645" customFormat="1" ht="21.75" customHeight="1">
      <c r="B4958" s="661">
        <v>44499</v>
      </c>
      <c r="C4958" s="662" t="s">
        <v>819</v>
      </c>
      <c r="D4958" s="663" t="s">
        <v>845</v>
      </c>
      <c r="E4958" s="664" t="s">
        <v>831</v>
      </c>
      <c r="F4958" s="665"/>
      <c r="G4958" s="663">
        <v>17</v>
      </c>
      <c r="H4958" s="662" t="s">
        <v>807</v>
      </c>
      <c r="I4958" s="666" t="s">
        <v>805</v>
      </c>
      <c r="J4958" s="667" t="s">
        <v>865</v>
      </c>
      <c r="K4958" s="662">
        <v>1</v>
      </c>
      <c r="L4958" s="685">
        <f t="shared" si="151"/>
        <v>15.98</v>
      </c>
      <c r="M4958" s="686">
        <f t="shared" si="150"/>
        <v>15.98</v>
      </c>
      <c r="O4958" s="693"/>
    </row>
    <row r="4959" spans="2:15" s="645" customFormat="1" ht="21.75" customHeight="1">
      <c r="B4959" s="661">
        <v>44499</v>
      </c>
      <c r="C4959" s="662" t="s">
        <v>819</v>
      </c>
      <c r="D4959" s="663" t="s">
        <v>847</v>
      </c>
      <c r="E4959" s="664" t="s">
        <v>831</v>
      </c>
      <c r="F4959" s="665"/>
      <c r="G4959" s="663">
        <v>17</v>
      </c>
      <c r="H4959" s="662" t="s">
        <v>807</v>
      </c>
      <c r="I4959" s="666" t="s">
        <v>805</v>
      </c>
      <c r="J4959" s="667" t="s">
        <v>865</v>
      </c>
      <c r="K4959" s="662">
        <v>4</v>
      </c>
      <c r="L4959" s="685">
        <f t="shared" si="151"/>
        <v>15.98</v>
      </c>
      <c r="M4959" s="686">
        <f t="shared" si="150"/>
        <v>63.92</v>
      </c>
      <c r="O4959" s="693"/>
    </row>
    <row r="4960" spans="2:15" s="645" customFormat="1" ht="21.75" customHeight="1">
      <c r="B4960" s="661">
        <v>44499</v>
      </c>
      <c r="C4960" s="662" t="s">
        <v>819</v>
      </c>
      <c r="D4960" s="663" t="s">
        <v>856</v>
      </c>
      <c r="E4960" s="664" t="s">
        <v>831</v>
      </c>
      <c r="F4960" s="665"/>
      <c r="G4960" s="663">
        <v>20</v>
      </c>
      <c r="H4960" s="662" t="s">
        <v>807</v>
      </c>
      <c r="I4960" s="666" t="s">
        <v>857</v>
      </c>
      <c r="J4960" s="667" t="s">
        <v>865</v>
      </c>
      <c r="K4960" s="662">
        <v>4</v>
      </c>
      <c r="L4960" s="685">
        <f t="shared" si="151"/>
        <v>18.8</v>
      </c>
      <c r="M4960" s="686">
        <f t="shared" si="150"/>
        <v>75.2</v>
      </c>
      <c r="O4960" s="693"/>
    </row>
    <row r="4961" spans="2:15" s="645" customFormat="1" ht="21.75" customHeight="1">
      <c r="B4961" s="661">
        <v>44499</v>
      </c>
      <c r="C4961" s="662" t="s">
        <v>819</v>
      </c>
      <c r="D4961" s="663" t="s">
        <v>856</v>
      </c>
      <c r="E4961" s="664" t="s">
        <v>831</v>
      </c>
      <c r="F4961" s="665"/>
      <c r="G4961" s="663">
        <v>20</v>
      </c>
      <c r="H4961" s="662" t="s">
        <v>807</v>
      </c>
      <c r="I4961" s="666" t="s">
        <v>805</v>
      </c>
      <c r="J4961" s="667" t="s">
        <v>865</v>
      </c>
      <c r="K4961" s="662">
        <v>3</v>
      </c>
      <c r="L4961" s="685">
        <f t="shared" si="151"/>
        <v>18.8</v>
      </c>
      <c r="M4961" s="686">
        <f t="shared" si="150"/>
        <v>56.400000000000006</v>
      </c>
      <c r="O4961" s="693"/>
    </row>
    <row r="4962" spans="2:15" s="645" customFormat="1" ht="21.75" customHeight="1">
      <c r="B4962" s="661">
        <v>44499</v>
      </c>
      <c r="C4962" s="662" t="s">
        <v>819</v>
      </c>
      <c r="D4962" s="663" t="s">
        <v>878</v>
      </c>
      <c r="E4962" s="664" t="s">
        <v>831</v>
      </c>
      <c r="F4962" s="665"/>
      <c r="G4962" s="663">
        <v>15</v>
      </c>
      <c r="H4962" s="662" t="s">
        <v>807</v>
      </c>
      <c r="I4962" s="666" t="s">
        <v>857</v>
      </c>
      <c r="J4962" s="667" t="s">
        <v>865</v>
      </c>
      <c r="K4962" s="662">
        <v>5</v>
      </c>
      <c r="L4962" s="685">
        <f t="shared" si="151"/>
        <v>14.1</v>
      </c>
      <c r="M4962" s="686">
        <f t="shared" si="150"/>
        <v>70.5</v>
      </c>
      <c r="O4962" s="693"/>
    </row>
    <row r="4963" spans="2:15" s="645" customFormat="1" ht="21.75" customHeight="1">
      <c r="B4963" s="661">
        <v>44499</v>
      </c>
      <c r="C4963" s="662" t="s">
        <v>819</v>
      </c>
      <c r="D4963" s="663" t="s">
        <v>855</v>
      </c>
      <c r="E4963" s="664" t="s">
        <v>831</v>
      </c>
      <c r="F4963" s="665"/>
      <c r="G4963" s="663">
        <v>20</v>
      </c>
      <c r="H4963" s="662" t="s">
        <v>807</v>
      </c>
      <c r="I4963" s="666" t="s">
        <v>857</v>
      </c>
      <c r="J4963" s="667" t="s">
        <v>865</v>
      </c>
      <c r="K4963" s="662">
        <v>8</v>
      </c>
      <c r="L4963" s="685">
        <f t="shared" si="151"/>
        <v>18.8</v>
      </c>
      <c r="M4963" s="686">
        <f t="shared" si="150"/>
        <v>150.4</v>
      </c>
      <c r="O4963" s="693"/>
    </row>
    <row r="4964" spans="2:15" s="645" customFormat="1" ht="21.75" customHeight="1">
      <c r="B4964" s="661">
        <v>44499</v>
      </c>
      <c r="C4964" s="662" t="s">
        <v>819</v>
      </c>
      <c r="D4964" s="663" t="s">
        <v>875</v>
      </c>
      <c r="E4964" s="664" t="s">
        <v>831</v>
      </c>
      <c r="F4964" s="665"/>
      <c r="G4964" s="663">
        <v>20</v>
      </c>
      <c r="H4964" s="662" t="s">
        <v>807</v>
      </c>
      <c r="I4964" s="666" t="s">
        <v>805</v>
      </c>
      <c r="J4964" s="667" t="s">
        <v>865</v>
      </c>
      <c r="K4964" s="662">
        <v>2</v>
      </c>
      <c r="L4964" s="685">
        <f t="shared" si="151"/>
        <v>18.8</v>
      </c>
      <c r="M4964" s="686">
        <f t="shared" si="150"/>
        <v>37.6</v>
      </c>
      <c r="O4964" s="693"/>
    </row>
    <row r="4965" spans="2:15" s="645" customFormat="1" ht="21.75" customHeight="1">
      <c r="B4965" s="661">
        <v>44499</v>
      </c>
      <c r="C4965" s="662" t="s">
        <v>819</v>
      </c>
      <c r="D4965" s="663" t="s">
        <v>875</v>
      </c>
      <c r="E4965" s="664" t="s">
        <v>831</v>
      </c>
      <c r="F4965" s="665"/>
      <c r="G4965" s="663">
        <v>20</v>
      </c>
      <c r="H4965" s="662" t="s">
        <v>807</v>
      </c>
      <c r="I4965" s="666" t="s">
        <v>857</v>
      </c>
      <c r="J4965" s="667" t="s">
        <v>865</v>
      </c>
      <c r="K4965" s="662">
        <v>4</v>
      </c>
      <c r="L4965" s="685">
        <f t="shared" si="151"/>
        <v>18.8</v>
      </c>
      <c r="M4965" s="686">
        <f t="shared" si="150"/>
        <v>75.2</v>
      </c>
      <c r="O4965" s="693"/>
    </row>
    <row r="4966" spans="2:15" s="645" customFormat="1" ht="21.75" customHeight="1">
      <c r="B4966" s="661">
        <v>44499</v>
      </c>
      <c r="C4966" s="662" t="s">
        <v>819</v>
      </c>
      <c r="D4966" s="663" t="s">
        <v>876</v>
      </c>
      <c r="E4966" s="664" t="s">
        <v>831</v>
      </c>
      <c r="F4966" s="665"/>
      <c r="G4966" s="663">
        <v>20</v>
      </c>
      <c r="H4966" s="662" t="s">
        <v>807</v>
      </c>
      <c r="I4966" s="666" t="s">
        <v>857</v>
      </c>
      <c r="J4966" s="667" t="s">
        <v>865</v>
      </c>
      <c r="K4966" s="662">
        <v>3</v>
      </c>
      <c r="L4966" s="685">
        <f t="shared" si="151"/>
        <v>18.8</v>
      </c>
      <c r="M4966" s="686">
        <f t="shared" si="150"/>
        <v>56.400000000000006</v>
      </c>
      <c r="O4966" s="693"/>
    </row>
    <row r="4967" spans="2:15" s="645" customFormat="1" ht="21.75" customHeight="1">
      <c r="B4967" s="661">
        <v>44499</v>
      </c>
      <c r="C4967" s="662" t="s">
        <v>819</v>
      </c>
      <c r="D4967" s="663" t="s">
        <v>877</v>
      </c>
      <c r="E4967" s="664" t="s">
        <v>831</v>
      </c>
      <c r="F4967" s="665"/>
      <c r="G4967" s="663">
        <v>20</v>
      </c>
      <c r="H4967" s="662" t="s">
        <v>807</v>
      </c>
      <c r="I4967" s="666" t="s">
        <v>857</v>
      </c>
      <c r="J4967" s="667" t="s">
        <v>865</v>
      </c>
      <c r="K4967" s="662">
        <v>8</v>
      </c>
      <c r="L4967" s="685">
        <f t="shared" si="151"/>
        <v>18.8</v>
      </c>
      <c r="M4967" s="686">
        <f t="shared" ref="M4967:M5030" si="152">L4967*K4967</f>
        <v>150.4</v>
      </c>
      <c r="O4967" s="693"/>
    </row>
    <row r="4968" spans="2:15" s="645" customFormat="1" ht="21.75" customHeight="1">
      <c r="B4968" s="699">
        <v>44499</v>
      </c>
      <c r="C4968" s="700" t="s">
        <v>819</v>
      </c>
      <c r="D4968" s="701" t="s">
        <v>835</v>
      </c>
      <c r="E4968" s="702" t="s">
        <v>831</v>
      </c>
      <c r="F4968" s="703"/>
      <c r="G4968" s="701">
        <v>20</v>
      </c>
      <c r="H4968" s="700" t="s">
        <v>807</v>
      </c>
      <c r="I4968" s="704" t="s">
        <v>857</v>
      </c>
      <c r="J4968" s="705" t="s">
        <v>805</v>
      </c>
      <c r="K4968" s="700">
        <v>5</v>
      </c>
      <c r="L4968" s="706">
        <f t="shared" si="151"/>
        <v>18.8</v>
      </c>
      <c r="M4968" s="707">
        <f t="shared" si="152"/>
        <v>94</v>
      </c>
      <c r="O4968" s="693"/>
    </row>
    <row r="4969" spans="2:15" s="645" customFormat="1" ht="21.75" customHeight="1">
      <c r="B4969" s="699">
        <v>44499</v>
      </c>
      <c r="C4969" s="700" t="s">
        <v>819</v>
      </c>
      <c r="D4969" s="701" t="s">
        <v>841</v>
      </c>
      <c r="E4969" s="702" t="s">
        <v>831</v>
      </c>
      <c r="F4969" s="703"/>
      <c r="G4969" s="701">
        <v>20</v>
      </c>
      <c r="H4969" s="700" t="s">
        <v>807</v>
      </c>
      <c r="I4969" s="704" t="s">
        <v>857</v>
      </c>
      <c r="J4969" s="705" t="s">
        <v>805</v>
      </c>
      <c r="K4969" s="700">
        <v>3</v>
      </c>
      <c r="L4969" s="706">
        <f t="shared" si="151"/>
        <v>18.8</v>
      </c>
      <c r="M4969" s="707">
        <f t="shared" si="152"/>
        <v>56.400000000000006</v>
      </c>
      <c r="O4969" s="693"/>
    </row>
    <row r="4970" spans="2:15" s="645" customFormat="1" ht="21.75" customHeight="1">
      <c r="B4970" s="699">
        <v>44499</v>
      </c>
      <c r="C4970" s="700" t="s">
        <v>819</v>
      </c>
      <c r="D4970" s="701" t="s">
        <v>848</v>
      </c>
      <c r="E4970" s="702" t="s">
        <v>831</v>
      </c>
      <c r="F4970" s="703"/>
      <c r="G4970" s="701">
        <v>20</v>
      </c>
      <c r="H4970" s="700" t="s">
        <v>807</v>
      </c>
      <c r="I4970" s="704" t="s">
        <v>857</v>
      </c>
      <c r="J4970" s="705" t="s">
        <v>805</v>
      </c>
      <c r="K4970" s="700">
        <v>6</v>
      </c>
      <c r="L4970" s="706">
        <f t="shared" si="151"/>
        <v>18.8</v>
      </c>
      <c r="M4970" s="707">
        <f t="shared" si="152"/>
        <v>112.80000000000001</v>
      </c>
      <c r="O4970" s="693"/>
    </row>
    <row r="4971" spans="2:15" s="645" customFormat="1" ht="21.75" customHeight="1">
      <c r="B4971" s="699">
        <v>44499</v>
      </c>
      <c r="C4971" s="700" t="s">
        <v>819</v>
      </c>
      <c r="D4971" s="701" t="s">
        <v>848</v>
      </c>
      <c r="E4971" s="702" t="s">
        <v>831</v>
      </c>
      <c r="F4971" s="703"/>
      <c r="G4971" s="701">
        <v>20</v>
      </c>
      <c r="H4971" s="700" t="s">
        <v>807</v>
      </c>
      <c r="I4971" s="704" t="s">
        <v>805</v>
      </c>
      <c r="J4971" s="705" t="s">
        <v>805</v>
      </c>
      <c r="K4971" s="700">
        <v>3</v>
      </c>
      <c r="L4971" s="706">
        <f t="shared" si="151"/>
        <v>18.8</v>
      </c>
      <c r="M4971" s="707">
        <f t="shared" si="152"/>
        <v>56.400000000000006</v>
      </c>
      <c r="O4971" s="693"/>
    </row>
    <row r="4972" spans="2:15" s="645" customFormat="1" ht="21.75" customHeight="1">
      <c r="B4972" s="699">
        <v>44499</v>
      </c>
      <c r="C4972" s="700" t="s">
        <v>819</v>
      </c>
      <c r="D4972" s="701" t="s">
        <v>833</v>
      </c>
      <c r="E4972" s="702" t="s">
        <v>831</v>
      </c>
      <c r="F4972" s="703"/>
      <c r="G4972" s="701">
        <v>15</v>
      </c>
      <c r="H4972" s="700" t="s">
        <v>807</v>
      </c>
      <c r="I4972" s="704" t="s">
        <v>805</v>
      </c>
      <c r="J4972" s="705" t="s">
        <v>805</v>
      </c>
      <c r="K4972" s="700">
        <v>3</v>
      </c>
      <c r="L4972" s="706">
        <f t="shared" si="151"/>
        <v>14.1</v>
      </c>
      <c r="M4972" s="707">
        <f t="shared" si="152"/>
        <v>42.3</v>
      </c>
      <c r="O4972" s="693"/>
    </row>
    <row r="4973" spans="2:15" s="645" customFormat="1" ht="21.75" customHeight="1">
      <c r="B4973" s="699">
        <v>44499</v>
      </c>
      <c r="C4973" s="700" t="s">
        <v>819</v>
      </c>
      <c r="D4973" s="701" t="s">
        <v>845</v>
      </c>
      <c r="E4973" s="702" t="s">
        <v>831</v>
      </c>
      <c r="F4973" s="703"/>
      <c r="G4973" s="701">
        <v>17</v>
      </c>
      <c r="H4973" s="700" t="s">
        <v>807</v>
      </c>
      <c r="I4973" s="704" t="s">
        <v>857</v>
      </c>
      <c r="J4973" s="705" t="s">
        <v>805</v>
      </c>
      <c r="K4973" s="700">
        <v>3</v>
      </c>
      <c r="L4973" s="706">
        <f t="shared" si="151"/>
        <v>15.98</v>
      </c>
      <c r="M4973" s="707">
        <f t="shared" si="152"/>
        <v>47.94</v>
      </c>
      <c r="O4973" s="693"/>
    </row>
    <row r="4974" spans="2:15" s="645" customFormat="1" ht="21.75" customHeight="1">
      <c r="B4974" s="699">
        <v>44499</v>
      </c>
      <c r="C4974" s="700" t="s">
        <v>819</v>
      </c>
      <c r="D4974" s="701" t="s">
        <v>847</v>
      </c>
      <c r="E4974" s="702" t="s">
        <v>831</v>
      </c>
      <c r="F4974" s="703"/>
      <c r="G4974" s="701">
        <v>17</v>
      </c>
      <c r="H4974" s="700" t="s">
        <v>807</v>
      </c>
      <c r="I4974" s="704" t="s">
        <v>857</v>
      </c>
      <c r="J4974" s="705" t="s">
        <v>805</v>
      </c>
      <c r="K4974" s="700">
        <v>5</v>
      </c>
      <c r="L4974" s="706">
        <f t="shared" si="151"/>
        <v>15.98</v>
      </c>
      <c r="M4974" s="707">
        <f t="shared" si="152"/>
        <v>79.900000000000006</v>
      </c>
      <c r="O4974" s="693"/>
    </row>
    <row r="4975" spans="2:15" s="645" customFormat="1" ht="21.75" customHeight="1">
      <c r="B4975" s="699">
        <v>44499</v>
      </c>
      <c r="C4975" s="700" t="s">
        <v>819</v>
      </c>
      <c r="D4975" s="701" t="s">
        <v>856</v>
      </c>
      <c r="E4975" s="702" t="s">
        <v>831</v>
      </c>
      <c r="F4975" s="703"/>
      <c r="G4975" s="701">
        <v>20</v>
      </c>
      <c r="H4975" s="700" t="s">
        <v>807</v>
      </c>
      <c r="I4975" s="704" t="s">
        <v>857</v>
      </c>
      <c r="J4975" s="705" t="s">
        <v>805</v>
      </c>
      <c r="K4975" s="700">
        <v>3</v>
      </c>
      <c r="L4975" s="706">
        <f t="shared" si="151"/>
        <v>18.8</v>
      </c>
      <c r="M4975" s="707">
        <f t="shared" si="152"/>
        <v>56.400000000000006</v>
      </c>
      <c r="O4975" s="693"/>
    </row>
    <row r="4976" spans="2:15" s="645" customFormat="1" ht="21.75" customHeight="1">
      <c r="B4976" s="699">
        <v>44499</v>
      </c>
      <c r="C4976" s="700" t="s">
        <v>819</v>
      </c>
      <c r="D4976" s="701" t="s">
        <v>856</v>
      </c>
      <c r="E4976" s="702" t="s">
        <v>831</v>
      </c>
      <c r="F4976" s="703"/>
      <c r="G4976" s="701">
        <v>20</v>
      </c>
      <c r="H4976" s="700" t="s">
        <v>807</v>
      </c>
      <c r="I4976" s="704" t="s">
        <v>805</v>
      </c>
      <c r="J4976" s="705" t="s">
        <v>805</v>
      </c>
      <c r="K4976" s="700">
        <v>1</v>
      </c>
      <c r="L4976" s="706">
        <f t="shared" si="151"/>
        <v>18.8</v>
      </c>
      <c r="M4976" s="707">
        <f t="shared" si="152"/>
        <v>18.8</v>
      </c>
      <c r="O4976" s="693"/>
    </row>
    <row r="4977" spans="2:15" s="645" customFormat="1" ht="21.75" customHeight="1">
      <c r="B4977" s="699">
        <v>44499</v>
      </c>
      <c r="C4977" s="700" t="s">
        <v>819</v>
      </c>
      <c r="D4977" s="701" t="s">
        <v>878</v>
      </c>
      <c r="E4977" s="702" t="s">
        <v>831</v>
      </c>
      <c r="F4977" s="703"/>
      <c r="G4977" s="701">
        <v>15</v>
      </c>
      <c r="H4977" s="700" t="s">
        <v>807</v>
      </c>
      <c r="I4977" s="704" t="s">
        <v>857</v>
      </c>
      <c r="J4977" s="705" t="s">
        <v>805</v>
      </c>
      <c r="K4977" s="700">
        <v>2</v>
      </c>
      <c r="L4977" s="706">
        <f t="shared" si="151"/>
        <v>14.1</v>
      </c>
      <c r="M4977" s="707">
        <f t="shared" si="152"/>
        <v>28.2</v>
      </c>
      <c r="O4977" s="693"/>
    </row>
    <row r="4978" spans="2:15" s="645" customFormat="1" ht="21.75" customHeight="1">
      <c r="B4978" s="699">
        <v>44499</v>
      </c>
      <c r="C4978" s="700" t="s">
        <v>819</v>
      </c>
      <c r="D4978" s="701" t="s">
        <v>855</v>
      </c>
      <c r="E4978" s="702" t="s">
        <v>831</v>
      </c>
      <c r="F4978" s="703"/>
      <c r="G4978" s="701">
        <v>20</v>
      </c>
      <c r="H4978" s="700" t="s">
        <v>807</v>
      </c>
      <c r="I4978" s="704" t="s">
        <v>857</v>
      </c>
      <c r="J4978" s="705" t="s">
        <v>805</v>
      </c>
      <c r="K4978" s="700">
        <v>1</v>
      </c>
      <c r="L4978" s="706">
        <f t="shared" si="151"/>
        <v>18.8</v>
      </c>
      <c r="M4978" s="707">
        <f t="shared" si="152"/>
        <v>18.8</v>
      </c>
      <c r="O4978" s="693"/>
    </row>
    <row r="4979" spans="2:15" s="645" customFormat="1" ht="21.75" customHeight="1">
      <c r="B4979" s="699">
        <v>44499</v>
      </c>
      <c r="C4979" s="700" t="s">
        <v>819</v>
      </c>
      <c r="D4979" s="701" t="s">
        <v>875</v>
      </c>
      <c r="E4979" s="702" t="s">
        <v>831</v>
      </c>
      <c r="F4979" s="703"/>
      <c r="G4979" s="701">
        <v>20</v>
      </c>
      <c r="H4979" s="700" t="s">
        <v>807</v>
      </c>
      <c r="I4979" s="704" t="s">
        <v>805</v>
      </c>
      <c r="J4979" s="705" t="s">
        <v>805</v>
      </c>
      <c r="K4979" s="700">
        <v>3</v>
      </c>
      <c r="L4979" s="706">
        <f t="shared" si="151"/>
        <v>18.8</v>
      </c>
      <c r="M4979" s="707">
        <f t="shared" si="152"/>
        <v>56.400000000000006</v>
      </c>
      <c r="O4979" s="693"/>
    </row>
    <row r="4980" spans="2:15" s="645" customFormat="1" ht="21.75" customHeight="1">
      <c r="B4980" s="699">
        <v>44499</v>
      </c>
      <c r="C4980" s="700" t="s">
        <v>819</v>
      </c>
      <c r="D4980" s="701" t="s">
        <v>875</v>
      </c>
      <c r="E4980" s="702" t="s">
        <v>831</v>
      </c>
      <c r="F4980" s="703"/>
      <c r="G4980" s="701">
        <v>20</v>
      </c>
      <c r="H4980" s="700" t="s">
        <v>807</v>
      </c>
      <c r="I4980" s="704" t="s">
        <v>857</v>
      </c>
      <c r="J4980" s="705" t="s">
        <v>805</v>
      </c>
      <c r="K4980" s="700">
        <v>3</v>
      </c>
      <c r="L4980" s="706">
        <f t="shared" si="151"/>
        <v>18.8</v>
      </c>
      <c r="M4980" s="707">
        <f t="shared" si="152"/>
        <v>56.400000000000006</v>
      </c>
      <c r="O4980" s="693"/>
    </row>
    <row r="4981" spans="2:15" s="645" customFormat="1" ht="21.75" customHeight="1">
      <c r="B4981" s="699">
        <v>44499</v>
      </c>
      <c r="C4981" s="700" t="s">
        <v>819</v>
      </c>
      <c r="D4981" s="701" t="s">
        <v>876</v>
      </c>
      <c r="E4981" s="702" t="s">
        <v>831</v>
      </c>
      <c r="F4981" s="703"/>
      <c r="G4981" s="701">
        <v>20</v>
      </c>
      <c r="H4981" s="700" t="s">
        <v>807</v>
      </c>
      <c r="I4981" s="704" t="s">
        <v>857</v>
      </c>
      <c r="J4981" s="705" t="s">
        <v>805</v>
      </c>
      <c r="K4981" s="700">
        <v>4</v>
      </c>
      <c r="L4981" s="706">
        <f t="shared" si="151"/>
        <v>18.8</v>
      </c>
      <c r="M4981" s="707">
        <f t="shared" si="152"/>
        <v>75.2</v>
      </c>
      <c r="O4981" s="693"/>
    </row>
    <row r="4982" spans="2:15" s="645" customFormat="1" ht="21.75" customHeight="1">
      <c r="B4982" s="699">
        <v>44499</v>
      </c>
      <c r="C4982" s="700" t="s">
        <v>819</v>
      </c>
      <c r="D4982" s="701" t="s">
        <v>876</v>
      </c>
      <c r="E4982" s="702" t="s">
        <v>831</v>
      </c>
      <c r="F4982" s="703"/>
      <c r="G4982" s="701">
        <v>20</v>
      </c>
      <c r="H4982" s="700" t="s">
        <v>807</v>
      </c>
      <c r="I4982" s="704" t="s">
        <v>805</v>
      </c>
      <c r="J4982" s="705" t="s">
        <v>805</v>
      </c>
      <c r="K4982" s="700">
        <v>1</v>
      </c>
      <c r="L4982" s="706">
        <f t="shared" si="151"/>
        <v>18.8</v>
      </c>
      <c r="M4982" s="707">
        <f t="shared" si="152"/>
        <v>18.8</v>
      </c>
      <c r="O4982" s="693"/>
    </row>
    <row r="4983" spans="2:15" s="645" customFormat="1" ht="21.75" customHeight="1">
      <c r="B4983" s="661">
        <v>44500</v>
      </c>
      <c r="C4983" s="662" t="s">
        <v>819</v>
      </c>
      <c r="D4983" s="663" t="s">
        <v>840</v>
      </c>
      <c r="E4983" s="664" t="s">
        <v>831</v>
      </c>
      <c r="F4983" s="665"/>
      <c r="G4983" s="663">
        <v>20</v>
      </c>
      <c r="H4983" s="662" t="s">
        <v>807</v>
      </c>
      <c r="I4983" s="666" t="s">
        <v>859</v>
      </c>
      <c r="J4983" s="667" t="s">
        <v>865</v>
      </c>
      <c r="K4983" s="662">
        <v>8</v>
      </c>
      <c r="L4983" s="685">
        <f t="shared" si="151"/>
        <v>18.8</v>
      </c>
      <c r="M4983" s="686">
        <f t="shared" si="152"/>
        <v>150.4</v>
      </c>
      <c r="O4983" s="693"/>
    </row>
    <row r="4984" spans="2:15" s="645" customFormat="1" ht="21.75" customHeight="1">
      <c r="B4984" s="661">
        <v>44500</v>
      </c>
      <c r="C4984" s="662" t="s">
        <v>819</v>
      </c>
      <c r="D4984" s="663" t="s">
        <v>835</v>
      </c>
      <c r="E4984" s="664" t="s">
        <v>831</v>
      </c>
      <c r="F4984" s="665"/>
      <c r="G4984" s="663">
        <v>20</v>
      </c>
      <c r="H4984" s="662" t="s">
        <v>807</v>
      </c>
      <c r="I4984" s="666" t="s">
        <v>859</v>
      </c>
      <c r="J4984" s="667" t="s">
        <v>865</v>
      </c>
      <c r="K4984" s="662">
        <v>3</v>
      </c>
      <c r="L4984" s="685">
        <f t="shared" si="151"/>
        <v>18.8</v>
      </c>
      <c r="M4984" s="686">
        <f t="shared" si="152"/>
        <v>56.400000000000006</v>
      </c>
      <c r="O4984" s="693"/>
    </row>
    <row r="4985" spans="2:15" s="645" customFormat="1" ht="21.75" customHeight="1">
      <c r="B4985" s="661">
        <v>44500</v>
      </c>
      <c r="C4985" s="662" t="s">
        <v>819</v>
      </c>
      <c r="D4985" s="663" t="s">
        <v>841</v>
      </c>
      <c r="E4985" s="664" t="s">
        <v>831</v>
      </c>
      <c r="F4985" s="665"/>
      <c r="G4985" s="663">
        <v>20</v>
      </c>
      <c r="H4985" s="662" t="s">
        <v>807</v>
      </c>
      <c r="I4985" s="666" t="s">
        <v>859</v>
      </c>
      <c r="J4985" s="667" t="s">
        <v>865</v>
      </c>
      <c r="K4985" s="662">
        <v>2</v>
      </c>
      <c r="L4985" s="685">
        <f t="shared" si="151"/>
        <v>18.8</v>
      </c>
      <c r="M4985" s="686">
        <f t="shared" si="152"/>
        <v>37.6</v>
      </c>
      <c r="O4985" s="693"/>
    </row>
    <row r="4986" spans="2:15" s="645" customFormat="1" ht="21.75" customHeight="1">
      <c r="B4986" s="661">
        <v>44500</v>
      </c>
      <c r="C4986" s="662" t="s">
        <v>819</v>
      </c>
      <c r="D4986" s="663" t="s">
        <v>834</v>
      </c>
      <c r="E4986" s="664" t="s">
        <v>831</v>
      </c>
      <c r="F4986" s="665"/>
      <c r="G4986" s="663">
        <v>20</v>
      </c>
      <c r="H4986" s="662" t="s">
        <v>807</v>
      </c>
      <c r="I4986" s="666" t="s">
        <v>859</v>
      </c>
      <c r="J4986" s="667" t="s">
        <v>865</v>
      </c>
      <c r="K4986" s="662">
        <v>2</v>
      </c>
      <c r="L4986" s="685">
        <f t="shared" si="151"/>
        <v>18.8</v>
      </c>
      <c r="M4986" s="686">
        <f t="shared" si="152"/>
        <v>37.6</v>
      </c>
      <c r="O4986" s="693"/>
    </row>
    <row r="4987" spans="2:15" s="645" customFormat="1" ht="21.75" customHeight="1">
      <c r="B4987" s="661">
        <v>44500</v>
      </c>
      <c r="C4987" s="662" t="s">
        <v>819</v>
      </c>
      <c r="D4987" s="663" t="s">
        <v>834</v>
      </c>
      <c r="E4987" s="664" t="s">
        <v>831</v>
      </c>
      <c r="F4987" s="665"/>
      <c r="G4987" s="663">
        <v>20</v>
      </c>
      <c r="H4987" s="662" t="s">
        <v>807</v>
      </c>
      <c r="I4987" s="666" t="s">
        <v>857</v>
      </c>
      <c r="J4987" s="667" t="s">
        <v>865</v>
      </c>
      <c r="K4987" s="662">
        <v>2</v>
      </c>
      <c r="L4987" s="685">
        <f t="shared" si="151"/>
        <v>18.8</v>
      </c>
      <c r="M4987" s="686">
        <f t="shared" si="152"/>
        <v>37.6</v>
      </c>
      <c r="O4987" s="693"/>
    </row>
    <row r="4988" spans="2:15" s="645" customFormat="1" ht="21.75" customHeight="1">
      <c r="B4988" s="661">
        <v>44500</v>
      </c>
      <c r="C4988" s="662" t="s">
        <v>819</v>
      </c>
      <c r="D4988" s="663" t="s">
        <v>848</v>
      </c>
      <c r="E4988" s="664" t="s">
        <v>831</v>
      </c>
      <c r="F4988" s="665"/>
      <c r="G4988" s="663">
        <v>20</v>
      </c>
      <c r="H4988" s="662" t="s">
        <v>807</v>
      </c>
      <c r="I4988" s="666" t="s">
        <v>857</v>
      </c>
      <c r="J4988" s="667" t="s">
        <v>865</v>
      </c>
      <c r="K4988" s="662">
        <v>1</v>
      </c>
      <c r="L4988" s="685">
        <f t="shared" si="151"/>
        <v>18.8</v>
      </c>
      <c r="M4988" s="686">
        <f t="shared" si="152"/>
        <v>18.8</v>
      </c>
      <c r="O4988" s="693"/>
    </row>
    <row r="4989" spans="2:15" s="645" customFormat="1" ht="21.75" customHeight="1">
      <c r="B4989" s="661">
        <v>44500</v>
      </c>
      <c r="C4989" s="662" t="s">
        <v>819</v>
      </c>
      <c r="D4989" s="663" t="s">
        <v>848</v>
      </c>
      <c r="E4989" s="664" t="s">
        <v>831</v>
      </c>
      <c r="F4989" s="665"/>
      <c r="G4989" s="663">
        <v>20</v>
      </c>
      <c r="H4989" s="662" t="s">
        <v>807</v>
      </c>
      <c r="I4989" s="666" t="s">
        <v>857</v>
      </c>
      <c r="J4989" s="667" t="s">
        <v>865</v>
      </c>
      <c r="K4989" s="662">
        <v>1</v>
      </c>
      <c r="L4989" s="685">
        <f t="shared" si="151"/>
        <v>18.8</v>
      </c>
      <c r="M4989" s="686">
        <f t="shared" si="152"/>
        <v>18.8</v>
      </c>
      <c r="O4989" s="693"/>
    </row>
    <row r="4990" spans="2:15" s="645" customFormat="1" ht="21.75" customHeight="1">
      <c r="B4990" s="661">
        <v>44500</v>
      </c>
      <c r="C4990" s="662" t="s">
        <v>819</v>
      </c>
      <c r="D4990" s="663" t="s">
        <v>845</v>
      </c>
      <c r="E4990" s="664" t="s">
        <v>831</v>
      </c>
      <c r="F4990" s="665"/>
      <c r="G4990" s="663">
        <v>17</v>
      </c>
      <c r="H4990" s="662" t="s">
        <v>807</v>
      </c>
      <c r="I4990" s="666" t="s">
        <v>859</v>
      </c>
      <c r="J4990" s="667" t="s">
        <v>865</v>
      </c>
      <c r="K4990" s="662">
        <v>2</v>
      </c>
      <c r="L4990" s="685">
        <f t="shared" si="151"/>
        <v>15.98</v>
      </c>
      <c r="M4990" s="686">
        <f t="shared" si="152"/>
        <v>31.96</v>
      </c>
      <c r="O4990" s="693"/>
    </row>
    <row r="4991" spans="2:15" s="645" customFormat="1" ht="21.75" customHeight="1">
      <c r="B4991" s="661">
        <v>44500</v>
      </c>
      <c r="C4991" s="662" t="s">
        <v>819</v>
      </c>
      <c r="D4991" s="663" t="s">
        <v>845</v>
      </c>
      <c r="E4991" s="664" t="s">
        <v>831</v>
      </c>
      <c r="F4991" s="665"/>
      <c r="G4991" s="663">
        <v>17</v>
      </c>
      <c r="H4991" s="662" t="s">
        <v>807</v>
      </c>
      <c r="I4991" s="666" t="s">
        <v>857</v>
      </c>
      <c r="J4991" s="667" t="s">
        <v>865</v>
      </c>
      <c r="K4991" s="662">
        <v>1</v>
      </c>
      <c r="L4991" s="685">
        <f t="shared" si="151"/>
        <v>15.98</v>
      </c>
      <c r="M4991" s="686">
        <f t="shared" si="152"/>
        <v>15.98</v>
      </c>
      <c r="O4991" s="693"/>
    </row>
    <row r="4992" spans="2:15" s="645" customFormat="1" ht="21.75" customHeight="1">
      <c r="B4992" s="661">
        <v>44500</v>
      </c>
      <c r="C4992" s="662" t="s">
        <v>819</v>
      </c>
      <c r="D4992" s="663" t="s">
        <v>847</v>
      </c>
      <c r="E4992" s="664" t="s">
        <v>831</v>
      </c>
      <c r="F4992" s="665"/>
      <c r="G4992" s="663">
        <v>17</v>
      </c>
      <c r="H4992" s="662" t="s">
        <v>807</v>
      </c>
      <c r="I4992" s="666" t="s">
        <v>805</v>
      </c>
      <c r="J4992" s="667" t="s">
        <v>865</v>
      </c>
      <c r="K4992" s="662">
        <v>8</v>
      </c>
      <c r="L4992" s="685">
        <f t="shared" si="151"/>
        <v>15.98</v>
      </c>
      <c r="M4992" s="686">
        <f t="shared" si="152"/>
        <v>127.84</v>
      </c>
      <c r="O4992" s="693"/>
    </row>
    <row r="4993" spans="2:15" s="645" customFormat="1" ht="21.75" customHeight="1">
      <c r="B4993" s="661">
        <v>44500</v>
      </c>
      <c r="C4993" s="662" t="s">
        <v>819</v>
      </c>
      <c r="D4993" s="663" t="s">
        <v>847</v>
      </c>
      <c r="E4993" s="664" t="s">
        <v>831</v>
      </c>
      <c r="F4993" s="665"/>
      <c r="G4993" s="663">
        <v>17</v>
      </c>
      <c r="H4993" s="662" t="s">
        <v>807</v>
      </c>
      <c r="I4993" s="666" t="s">
        <v>859</v>
      </c>
      <c r="J4993" s="667" t="s">
        <v>865</v>
      </c>
      <c r="K4993" s="662">
        <v>1</v>
      </c>
      <c r="L4993" s="685">
        <f t="shared" si="151"/>
        <v>15.98</v>
      </c>
      <c r="M4993" s="686">
        <f t="shared" si="152"/>
        <v>15.98</v>
      </c>
      <c r="O4993" s="693"/>
    </row>
    <row r="4994" spans="2:15" s="645" customFormat="1" ht="21.75" customHeight="1">
      <c r="B4994" s="661">
        <v>44500</v>
      </c>
      <c r="C4994" s="662" t="s">
        <v>819</v>
      </c>
      <c r="D4994" s="663" t="s">
        <v>856</v>
      </c>
      <c r="E4994" s="664" t="s">
        <v>831</v>
      </c>
      <c r="F4994" s="665"/>
      <c r="G4994" s="663">
        <v>20</v>
      </c>
      <c r="H4994" s="662" t="s">
        <v>807</v>
      </c>
      <c r="I4994" s="666" t="s">
        <v>859</v>
      </c>
      <c r="J4994" s="667" t="s">
        <v>865</v>
      </c>
      <c r="K4994" s="662">
        <v>1</v>
      </c>
      <c r="L4994" s="685">
        <f t="shared" si="151"/>
        <v>18.8</v>
      </c>
      <c r="M4994" s="686">
        <f t="shared" si="152"/>
        <v>18.8</v>
      </c>
      <c r="O4994" s="693"/>
    </row>
    <row r="4995" spans="2:15" s="645" customFormat="1" ht="21.75" customHeight="1">
      <c r="B4995" s="661">
        <v>44500</v>
      </c>
      <c r="C4995" s="662" t="s">
        <v>819</v>
      </c>
      <c r="D4995" s="663" t="s">
        <v>856</v>
      </c>
      <c r="E4995" s="664" t="s">
        <v>831</v>
      </c>
      <c r="F4995" s="665"/>
      <c r="G4995" s="663">
        <v>20</v>
      </c>
      <c r="H4995" s="662" t="s">
        <v>807</v>
      </c>
      <c r="I4995" s="666" t="s">
        <v>805</v>
      </c>
      <c r="J4995" s="667" t="s">
        <v>865</v>
      </c>
      <c r="K4995" s="662">
        <v>1</v>
      </c>
      <c r="L4995" s="685">
        <f t="shared" si="151"/>
        <v>18.8</v>
      </c>
      <c r="M4995" s="686">
        <f t="shared" si="152"/>
        <v>18.8</v>
      </c>
      <c r="O4995" s="693"/>
    </row>
    <row r="4996" spans="2:15" s="645" customFormat="1" ht="21.75" customHeight="1">
      <c r="B4996" s="661">
        <v>44500</v>
      </c>
      <c r="C4996" s="662" t="s">
        <v>819</v>
      </c>
      <c r="D4996" s="663" t="s">
        <v>878</v>
      </c>
      <c r="E4996" s="664" t="s">
        <v>831</v>
      </c>
      <c r="F4996" s="665"/>
      <c r="G4996" s="663">
        <v>15</v>
      </c>
      <c r="H4996" s="662" t="s">
        <v>807</v>
      </c>
      <c r="I4996" s="666" t="s">
        <v>805</v>
      </c>
      <c r="J4996" s="667" t="s">
        <v>865</v>
      </c>
      <c r="K4996" s="662">
        <v>2</v>
      </c>
      <c r="L4996" s="685">
        <f t="shared" si="151"/>
        <v>14.1</v>
      </c>
      <c r="M4996" s="686">
        <f t="shared" si="152"/>
        <v>28.2</v>
      </c>
      <c r="O4996" s="693"/>
    </row>
    <row r="4997" spans="2:15" s="645" customFormat="1" ht="21.75" customHeight="1">
      <c r="B4997" s="661">
        <v>44500</v>
      </c>
      <c r="C4997" s="662" t="s">
        <v>819</v>
      </c>
      <c r="D4997" s="663" t="s">
        <v>878</v>
      </c>
      <c r="E4997" s="664" t="s">
        <v>831</v>
      </c>
      <c r="F4997" s="665"/>
      <c r="G4997" s="663">
        <v>15</v>
      </c>
      <c r="H4997" s="662" t="s">
        <v>807</v>
      </c>
      <c r="I4997" s="666" t="s">
        <v>857</v>
      </c>
      <c r="J4997" s="667" t="s">
        <v>865</v>
      </c>
      <c r="K4997" s="662">
        <v>1</v>
      </c>
      <c r="L4997" s="685">
        <f t="shared" si="151"/>
        <v>14.1</v>
      </c>
      <c r="M4997" s="686">
        <f t="shared" si="152"/>
        <v>14.1</v>
      </c>
      <c r="O4997" s="693"/>
    </row>
    <row r="4998" spans="2:15" s="645" customFormat="1" ht="21.75" customHeight="1">
      <c r="B4998" s="661">
        <v>44500</v>
      </c>
      <c r="C4998" s="662" t="s">
        <v>819</v>
      </c>
      <c r="D4998" s="663" t="s">
        <v>878</v>
      </c>
      <c r="E4998" s="664" t="s">
        <v>831</v>
      </c>
      <c r="F4998" s="665"/>
      <c r="G4998" s="663">
        <v>15</v>
      </c>
      <c r="H4998" s="662" t="s">
        <v>807</v>
      </c>
      <c r="I4998" s="666" t="s">
        <v>859</v>
      </c>
      <c r="J4998" s="667" t="s">
        <v>865</v>
      </c>
      <c r="K4998" s="662">
        <v>1</v>
      </c>
      <c r="L4998" s="685">
        <f t="shared" si="151"/>
        <v>14.1</v>
      </c>
      <c r="M4998" s="686">
        <f t="shared" si="152"/>
        <v>14.1</v>
      </c>
      <c r="O4998" s="693"/>
    </row>
    <row r="4999" spans="2:15" s="645" customFormat="1" ht="21.75" customHeight="1">
      <c r="B4999" s="661">
        <v>44500</v>
      </c>
      <c r="C4999" s="662" t="s">
        <v>819</v>
      </c>
      <c r="D4999" s="663" t="s">
        <v>855</v>
      </c>
      <c r="E4999" s="664" t="s">
        <v>831</v>
      </c>
      <c r="F4999" s="665"/>
      <c r="G4999" s="663">
        <v>20</v>
      </c>
      <c r="H4999" s="662" t="s">
        <v>807</v>
      </c>
      <c r="I4999" s="666" t="s">
        <v>857</v>
      </c>
      <c r="J4999" s="667" t="s">
        <v>865</v>
      </c>
      <c r="K4999" s="662">
        <v>2</v>
      </c>
      <c r="L4999" s="685">
        <f t="shared" si="151"/>
        <v>18.8</v>
      </c>
      <c r="M4999" s="686">
        <f t="shared" si="152"/>
        <v>37.6</v>
      </c>
      <c r="O4999" s="693"/>
    </row>
    <row r="5000" spans="2:15" s="645" customFormat="1" ht="21.75" customHeight="1">
      <c r="B5000" s="661">
        <v>44500</v>
      </c>
      <c r="C5000" s="662" t="s">
        <v>819</v>
      </c>
      <c r="D5000" s="663" t="s">
        <v>875</v>
      </c>
      <c r="E5000" s="664" t="s">
        <v>831</v>
      </c>
      <c r="F5000" s="665"/>
      <c r="G5000" s="663">
        <v>20</v>
      </c>
      <c r="H5000" s="662" t="s">
        <v>807</v>
      </c>
      <c r="I5000" s="666" t="s">
        <v>859</v>
      </c>
      <c r="J5000" s="667" t="s">
        <v>865</v>
      </c>
      <c r="K5000" s="662">
        <v>1</v>
      </c>
      <c r="L5000" s="685">
        <f t="shared" si="151"/>
        <v>18.8</v>
      </c>
      <c r="M5000" s="686">
        <f t="shared" si="152"/>
        <v>18.8</v>
      </c>
      <c r="O5000" s="693"/>
    </row>
    <row r="5001" spans="2:15" s="645" customFormat="1" ht="21.75" customHeight="1">
      <c r="B5001" s="661">
        <v>44500</v>
      </c>
      <c r="C5001" s="662" t="s">
        <v>819</v>
      </c>
      <c r="D5001" s="663" t="s">
        <v>876</v>
      </c>
      <c r="E5001" s="664" t="s">
        <v>831</v>
      </c>
      <c r="F5001" s="665"/>
      <c r="G5001" s="663">
        <v>20</v>
      </c>
      <c r="H5001" s="662" t="s">
        <v>807</v>
      </c>
      <c r="I5001" s="666" t="s">
        <v>859</v>
      </c>
      <c r="J5001" s="667" t="s">
        <v>865</v>
      </c>
      <c r="K5001" s="662">
        <v>1</v>
      </c>
      <c r="L5001" s="685">
        <f t="shared" ref="L5001:L5064" si="153">VLOOKUP(G5001,$Q$4:$V$7,6,FALSE)</f>
        <v>18.8</v>
      </c>
      <c r="M5001" s="686">
        <f t="shared" si="152"/>
        <v>18.8</v>
      </c>
      <c r="O5001" s="693"/>
    </row>
    <row r="5002" spans="2:15" s="645" customFormat="1" ht="21.75" customHeight="1">
      <c r="B5002" s="661">
        <v>44500</v>
      </c>
      <c r="C5002" s="662" t="s">
        <v>819</v>
      </c>
      <c r="D5002" s="663" t="s">
        <v>877</v>
      </c>
      <c r="E5002" s="664" t="s">
        <v>831</v>
      </c>
      <c r="F5002" s="665"/>
      <c r="G5002" s="663">
        <v>20</v>
      </c>
      <c r="H5002" s="662" t="s">
        <v>807</v>
      </c>
      <c r="I5002" s="666" t="s">
        <v>859</v>
      </c>
      <c r="J5002" s="667" t="s">
        <v>865</v>
      </c>
      <c r="K5002" s="662">
        <v>6</v>
      </c>
      <c r="L5002" s="685">
        <f t="shared" si="153"/>
        <v>18.8</v>
      </c>
      <c r="M5002" s="686">
        <f t="shared" si="152"/>
        <v>112.80000000000001</v>
      </c>
      <c r="O5002" s="693"/>
    </row>
    <row r="5003" spans="2:15" s="645" customFormat="1" ht="21.75" customHeight="1">
      <c r="B5003" s="699">
        <v>44500</v>
      </c>
      <c r="C5003" s="700" t="s">
        <v>819</v>
      </c>
      <c r="D5003" s="701" t="s">
        <v>835</v>
      </c>
      <c r="E5003" s="702" t="s">
        <v>831</v>
      </c>
      <c r="F5003" s="703"/>
      <c r="G5003" s="701">
        <v>20</v>
      </c>
      <c r="H5003" s="700" t="s">
        <v>807</v>
      </c>
      <c r="I5003" s="704" t="s">
        <v>859</v>
      </c>
      <c r="J5003" s="705" t="s">
        <v>805</v>
      </c>
      <c r="K5003" s="700">
        <v>1</v>
      </c>
      <c r="L5003" s="706">
        <f t="shared" si="153"/>
        <v>18.8</v>
      </c>
      <c r="M5003" s="707">
        <f t="shared" si="152"/>
        <v>18.8</v>
      </c>
      <c r="O5003" s="693"/>
    </row>
    <row r="5004" spans="2:15" s="645" customFormat="1" ht="21.75" customHeight="1">
      <c r="B5004" s="699">
        <v>44500</v>
      </c>
      <c r="C5004" s="700" t="s">
        <v>819</v>
      </c>
      <c r="D5004" s="701" t="s">
        <v>835</v>
      </c>
      <c r="E5004" s="702" t="s">
        <v>831</v>
      </c>
      <c r="F5004" s="703"/>
      <c r="G5004" s="701">
        <v>20</v>
      </c>
      <c r="H5004" s="700" t="s">
        <v>807</v>
      </c>
      <c r="I5004" s="704" t="s">
        <v>859</v>
      </c>
      <c r="J5004" s="705" t="s">
        <v>805</v>
      </c>
      <c r="K5004" s="700">
        <v>4</v>
      </c>
      <c r="L5004" s="706">
        <f t="shared" si="153"/>
        <v>18.8</v>
      </c>
      <c r="M5004" s="707">
        <f t="shared" si="152"/>
        <v>75.2</v>
      </c>
      <c r="O5004" s="693"/>
    </row>
    <row r="5005" spans="2:15" s="645" customFormat="1" ht="21.75" customHeight="1">
      <c r="B5005" s="699">
        <v>44500</v>
      </c>
      <c r="C5005" s="700" t="s">
        <v>819</v>
      </c>
      <c r="D5005" s="701" t="s">
        <v>835</v>
      </c>
      <c r="E5005" s="702" t="s">
        <v>831</v>
      </c>
      <c r="F5005" s="703"/>
      <c r="G5005" s="701">
        <v>20</v>
      </c>
      <c r="H5005" s="700" t="s">
        <v>807</v>
      </c>
      <c r="I5005" s="704" t="s">
        <v>857</v>
      </c>
      <c r="J5005" s="705" t="s">
        <v>805</v>
      </c>
      <c r="K5005" s="700">
        <v>1</v>
      </c>
      <c r="L5005" s="706">
        <f t="shared" si="153"/>
        <v>18.8</v>
      </c>
      <c r="M5005" s="707">
        <f t="shared" si="152"/>
        <v>18.8</v>
      </c>
      <c r="O5005" s="693"/>
    </row>
    <row r="5006" spans="2:15" s="645" customFormat="1" ht="21.75" customHeight="1">
      <c r="B5006" s="699">
        <v>44500</v>
      </c>
      <c r="C5006" s="700" t="s">
        <v>819</v>
      </c>
      <c r="D5006" s="701" t="s">
        <v>835</v>
      </c>
      <c r="E5006" s="702" t="s">
        <v>831</v>
      </c>
      <c r="F5006" s="703"/>
      <c r="G5006" s="701">
        <v>20</v>
      </c>
      <c r="H5006" s="700" t="s">
        <v>807</v>
      </c>
      <c r="I5006" s="704" t="s">
        <v>805</v>
      </c>
      <c r="J5006" s="705" t="s">
        <v>805</v>
      </c>
      <c r="K5006" s="700">
        <v>2</v>
      </c>
      <c r="L5006" s="706">
        <f t="shared" si="153"/>
        <v>18.8</v>
      </c>
      <c r="M5006" s="707">
        <f t="shared" si="152"/>
        <v>37.6</v>
      </c>
      <c r="O5006" s="693"/>
    </row>
    <row r="5007" spans="2:15" s="645" customFormat="1" ht="21.75" customHeight="1">
      <c r="B5007" s="699">
        <v>44500</v>
      </c>
      <c r="C5007" s="700" t="s">
        <v>819</v>
      </c>
      <c r="D5007" s="701" t="s">
        <v>841</v>
      </c>
      <c r="E5007" s="702" t="s">
        <v>831</v>
      </c>
      <c r="F5007" s="703"/>
      <c r="G5007" s="701">
        <v>20</v>
      </c>
      <c r="H5007" s="700" t="s">
        <v>807</v>
      </c>
      <c r="I5007" s="704" t="s">
        <v>859</v>
      </c>
      <c r="J5007" s="705" t="s">
        <v>805</v>
      </c>
      <c r="K5007" s="700">
        <v>4</v>
      </c>
      <c r="L5007" s="706">
        <f t="shared" si="153"/>
        <v>18.8</v>
      </c>
      <c r="M5007" s="707">
        <f t="shared" si="152"/>
        <v>75.2</v>
      </c>
      <c r="O5007" s="693"/>
    </row>
    <row r="5008" spans="2:15" s="645" customFormat="1" ht="21.75" customHeight="1">
      <c r="B5008" s="699">
        <v>44500</v>
      </c>
      <c r="C5008" s="700" t="s">
        <v>819</v>
      </c>
      <c r="D5008" s="701" t="s">
        <v>841</v>
      </c>
      <c r="E5008" s="702" t="s">
        <v>831</v>
      </c>
      <c r="F5008" s="703"/>
      <c r="G5008" s="701">
        <v>20</v>
      </c>
      <c r="H5008" s="700" t="s">
        <v>807</v>
      </c>
      <c r="I5008" s="704" t="s">
        <v>857</v>
      </c>
      <c r="J5008" s="705" t="s">
        <v>805</v>
      </c>
      <c r="K5008" s="700">
        <v>3</v>
      </c>
      <c r="L5008" s="706">
        <f t="shared" si="153"/>
        <v>18.8</v>
      </c>
      <c r="M5008" s="707">
        <f t="shared" si="152"/>
        <v>56.400000000000006</v>
      </c>
      <c r="O5008" s="693"/>
    </row>
    <row r="5009" spans="2:15" s="645" customFormat="1" ht="21.75" customHeight="1">
      <c r="B5009" s="699">
        <v>44500</v>
      </c>
      <c r="C5009" s="700" t="s">
        <v>819</v>
      </c>
      <c r="D5009" s="701" t="s">
        <v>834</v>
      </c>
      <c r="E5009" s="702" t="s">
        <v>831</v>
      </c>
      <c r="F5009" s="703"/>
      <c r="G5009" s="701">
        <v>20</v>
      </c>
      <c r="H5009" s="700" t="s">
        <v>807</v>
      </c>
      <c r="I5009" s="704" t="s">
        <v>859</v>
      </c>
      <c r="J5009" s="705" t="s">
        <v>805</v>
      </c>
      <c r="K5009" s="700">
        <v>4</v>
      </c>
      <c r="L5009" s="706">
        <f t="shared" si="153"/>
        <v>18.8</v>
      </c>
      <c r="M5009" s="707">
        <f t="shared" si="152"/>
        <v>75.2</v>
      </c>
      <c r="O5009" s="693"/>
    </row>
    <row r="5010" spans="2:15" s="645" customFormat="1" ht="21.75" customHeight="1">
      <c r="B5010" s="699">
        <v>44500</v>
      </c>
      <c r="C5010" s="700" t="s">
        <v>819</v>
      </c>
      <c r="D5010" s="701" t="s">
        <v>848</v>
      </c>
      <c r="E5010" s="702" t="s">
        <v>831</v>
      </c>
      <c r="F5010" s="703"/>
      <c r="G5010" s="701">
        <v>20</v>
      </c>
      <c r="H5010" s="700" t="s">
        <v>807</v>
      </c>
      <c r="I5010" s="704" t="s">
        <v>857</v>
      </c>
      <c r="J5010" s="705" t="s">
        <v>805</v>
      </c>
      <c r="K5010" s="700">
        <v>1</v>
      </c>
      <c r="L5010" s="706">
        <f t="shared" si="153"/>
        <v>18.8</v>
      </c>
      <c r="M5010" s="707">
        <f t="shared" si="152"/>
        <v>18.8</v>
      </c>
      <c r="O5010" s="693"/>
    </row>
    <row r="5011" spans="2:15" s="645" customFormat="1" ht="21.75" customHeight="1">
      <c r="B5011" s="699">
        <v>44500</v>
      </c>
      <c r="C5011" s="700" t="s">
        <v>819</v>
      </c>
      <c r="D5011" s="701" t="s">
        <v>848</v>
      </c>
      <c r="E5011" s="702" t="s">
        <v>831</v>
      </c>
      <c r="F5011" s="703"/>
      <c r="G5011" s="701">
        <v>20</v>
      </c>
      <c r="H5011" s="700" t="s">
        <v>807</v>
      </c>
      <c r="I5011" s="704" t="s">
        <v>859</v>
      </c>
      <c r="J5011" s="705" t="s">
        <v>805</v>
      </c>
      <c r="K5011" s="700">
        <v>6</v>
      </c>
      <c r="L5011" s="706">
        <f t="shared" si="153"/>
        <v>18.8</v>
      </c>
      <c r="M5011" s="707">
        <f t="shared" si="152"/>
        <v>112.80000000000001</v>
      </c>
      <c r="O5011" s="693"/>
    </row>
    <row r="5012" spans="2:15" s="645" customFormat="1" ht="21.75" customHeight="1">
      <c r="B5012" s="699">
        <v>44500</v>
      </c>
      <c r="C5012" s="700" t="s">
        <v>819</v>
      </c>
      <c r="D5012" s="701" t="s">
        <v>833</v>
      </c>
      <c r="E5012" s="702" t="s">
        <v>831</v>
      </c>
      <c r="F5012" s="703"/>
      <c r="G5012" s="701">
        <v>15</v>
      </c>
      <c r="H5012" s="700" t="s">
        <v>807</v>
      </c>
      <c r="I5012" s="704" t="s">
        <v>857</v>
      </c>
      <c r="J5012" s="705" t="s">
        <v>805</v>
      </c>
      <c r="K5012" s="700">
        <v>2</v>
      </c>
      <c r="L5012" s="706">
        <f t="shared" si="153"/>
        <v>14.1</v>
      </c>
      <c r="M5012" s="707">
        <f t="shared" si="152"/>
        <v>28.2</v>
      </c>
      <c r="O5012" s="693"/>
    </row>
    <row r="5013" spans="2:15" s="645" customFormat="1" ht="21.75" customHeight="1">
      <c r="B5013" s="699">
        <v>44500</v>
      </c>
      <c r="C5013" s="700" t="s">
        <v>819</v>
      </c>
      <c r="D5013" s="701" t="s">
        <v>833</v>
      </c>
      <c r="E5013" s="702" t="s">
        <v>831</v>
      </c>
      <c r="F5013" s="703"/>
      <c r="G5013" s="701">
        <v>15</v>
      </c>
      <c r="H5013" s="700" t="s">
        <v>807</v>
      </c>
      <c r="I5013" s="704" t="s">
        <v>859</v>
      </c>
      <c r="J5013" s="705" t="s">
        <v>805</v>
      </c>
      <c r="K5013" s="700">
        <v>3</v>
      </c>
      <c r="L5013" s="706">
        <f t="shared" si="153"/>
        <v>14.1</v>
      </c>
      <c r="M5013" s="707">
        <f t="shared" si="152"/>
        <v>42.3</v>
      </c>
      <c r="O5013" s="693"/>
    </row>
    <row r="5014" spans="2:15" s="645" customFormat="1" ht="21.75" customHeight="1">
      <c r="B5014" s="699">
        <v>44500</v>
      </c>
      <c r="C5014" s="700" t="s">
        <v>819</v>
      </c>
      <c r="D5014" s="701" t="s">
        <v>845</v>
      </c>
      <c r="E5014" s="702" t="s">
        <v>831</v>
      </c>
      <c r="F5014" s="703"/>
      <c r="G5014" s="701">
        <v>17</v>
      </c>
      <c r="H5014" s="700" t="s">
        <v>807</v>
      </c>
      <c r="I5014" s="704" t="s">
        <v>859</v>
      </c>
      <c r="J5014" s="705" t="s">
        <v>805</v>
      </c>
      <c r="K5014" s="700">
        <v>4</v>
      </c>
      <c r="L5014" s="706">
        <f t="shared" si="153"/>
        <v>15.98</v>
      </c>
      <c r="M5014" s="707">
        <f t="shared" si="152"/>
        <v>63.92</v>
      </c>
      <c r="O5014" s="693"/>
    </row>
    <row r="5015" spans="2:15" s="645" customFormat="1" ht="21.75" customHeight="1">
      <c r="B5015" s="699">
        <v>44500</v>
      </c>
      <c r="C5015" s="700" t="s">
        <v>819</v>
      </c>
      <c r="D5015" s="701" t="s">
        <v>845</v>
      </c>
      <c r="E5015" s="702" t="s">
        <v>831</v>
      </c>
      <c r="F5015" s="703"/>
      <c r="G5015" s="701">
        <v>17</v>
      </c>
      <c r="H5015" s="700" t="s">
        <v>807</v>
      </c>
      <c r="I5015" s="704" t="s">
        <v>857</v>
      </c>
      <c r="J5015" s="705" t="s">
        <v>805</v>
      </c>
      <c r="K5015" s="700">
        <v>1</v>
      </c>
      <c r="L5015" s="706">
        <f t="shared" si="153"/>
        <v>15.98</v>
      </c>
      <c r="M5015" s="707">
        <f t="shared" si="152"/>
        <v>15.98</v>
      </c>
      <c r="O5015" s="693"/>
    </row>
    <row r="5016" spans="2:15" s="645" customFormat="1" ht="21.75" customHeight="1">
      <c r="B5016" s="699">
        <v>44500</v>
      </c>
      <c r="C5016" s="700" t="s">
        <v>819</v>
      </c>
      <c r="D5016" s="701" t="s">
        <v>847</v>
      </c>
      <c r="E5016" s="702" t="s">
        <v>831</v>
      </c>
      <c r="F5016" s="703"/>
      <c r="G5016" s="701">
        <v>17</v>
      </c>
      <c r="H5016" s="700" t="s">
        <v>807</v>
      </c>
      <c r="I5016" s="704" t="s">
        <v>859</v>
      </c>
      <c r="J5016" s="705" t="s">
        <v>805</v>
      </c>
      <c r="K5016" s="700">
        <v>5</v>
      </c>
      <c r="L5016" s="706">
        <f t="shared" si="153"/>
        <v>15.98</v>
      </c>
      <c r="M5016" s="707">
        <f t="shared" si="152"/>
        <v>79.900000000000006</v>
      </c>
      <c r="O5016" s="693"/>
    </row>
    <row r="5017" spans="2:15" s="645" customFormat="1" ht="21.75" customHeight="1">
      <c r="B5017" s="699">
        <v>44500</v>
      </c>
      <c r="C5017" s="700" t="s">
        <v>819</v>
      </c>
      <c r="D5017" s="701" t="s">
        <v>856</v>
      </c>
      <c r="E5017" s="702" t="s">
        <v>831</v>
      </c>
      <c r="F5017" s="703"/>
      <c r="G5017" s="701">
        <v>20</v>
      </c>
      <c r="H5017" s="700" t="s">
        <v>807</v>
      </c>
      <c r="I5017" s="704" t="s">
        <v>859</v>
      </c>
      <c r="J5017" s="705" t="s">
        <v>805</v>
      </c>
      <c r="K5017" s="700">
        <v>4</v>
      </c>
      <c r="L5017" s="706">
        <f t="shared" si="153"/>
        <v>18.8</v>
      </c>
      <c r="M5017" s="707">
        <f t="shared" si="152"/>
        <v>75.2</v>
      </c>
      <c r="O5017" s="693"/>
    </row>
    <row r="5018" spans="2:15" s="645" customFormat="1" ht="21.75" customHeight="1">
      <c r="B5018" s="699">
        <v>44500</v>
      </c>
      <c r="C5018" s="700" t="s">
        <v>819</v>
      </c>
      <c r="D5018" s="701" t="s">
        <v>856</v>
      </c>
      <c r="E5018" s="702" t="s">
        <v>831</v>
      </c>
      <c r="F5018" s="703"/>
      <c r="G5018" s="701">
        <v>20</v>
      </c>
      <c r="H5018" s="700" t="s">
        <v>807</v>
      </c>
      <c r="I5018" s="704" t="s">
        <v>857</v>
      </c>
      <c r="J5018" s="705" t="s">
        <v>805</v>
      </c>
      <c r="K5018" s="700">
        <v>3</v>
      </c>
      <c r="L5018" s="706">
        <f t="shared" si="153"/>
        <v>18.8</v>
      </c>
      <c r="M5018" s="707">
        <f t="shared" si="152"/>
        <v>56.400000000000006</v>
      </c>
      <c r="O5018" s="693"/>
    </row>
    <row r="5019" spans="2:15" s="645" customFormat="1" ht="21.75" customHeight="1">
      <c r="B5019" s="699">
        <v>44500</v>
      </c>
      <c r="C5019" s="700" t="s">
        <v>819</v>
      </c>
      <c r="D5019" s="701" t="s">
        <v>878</v>
      </c>
      <c r="E5019" s="702" t="s">
        <v>831</v>
      </c>
      <c r="F5019" s="703"/>
      <c r="G5019" s="701">
        <v>15</v>
      </c>
      <c r="H5019" s="700" t="s">
        <v>807</v>
      </c>
      <c r="I5019" s="704" t="s">
        <v>859</v>
      </c>
      <c r="J5019" s="705" t="s">
        <v>805</v>
      </c>
      <c r="K5019" s="700">
        <v>2</v>
      </c>
      <c r="L5019" s="706">
        <f t="shared" si="153"/>
        <v>14.1</v>
      </c>
      <c r="M5019" s="707">
        <f t="shared" si="152"/>
        <v>28.2</v>
      </c>
      <c r="O5019" s="693"/>
    </row>
    <row r="5020" spans="2:15" s="645" customFormat="1" ht="21.75" customHeight="1">
      <c r="B5020" s="699">
        <v>44500</v>
      </c>
      <c r="C5020" s="700" t="s">
        <v>819</v>
      </c>
      <c r="D5020" s="701" t="s">
        <v>878</v>
      </c>
      <c r="E5020" s="702" t="s">
        <v>831</v>
      </c>
      <c r="F5020" s="703"/>
      <c r="G5020" s="701">
        <v>15</v>
      </c>
      <c r="H5020" s="700" t="s">
        <v>807</v>
      </c>
      <c r="I5020" s="704" t="s">
        <v>805</v>
      </c>
      <c r="J5020" s="705" t="s">
        <v>805</v>
      </c>
      <c r="K5020" s="700">
        <v>1</v>
      </c>
      <c r="L5020" s="706">
        <f t="shared" si="153"/>
        <v>14.1</v>
      </c>
      <c r="M5020" s="707">
        <f t="shared" si="152"/>
        <v>14.1</v>
      </c>
      <c r="O5020" s="693"/>
    </row>
    <row r="5021" spans="2:15" s="645" customFormat="1" ht="21.75" customHeight="1">
      <c r="B5021" s="699">
        <v>44500</v>
      </c>
      <c r="C5021" s="700" t="s">
        <v>819</v>
      </c>
      <c r="D5021" s="701" t="s">
        <v>855</v>
      </c>
      <c r="E5021" s="702" t="s">
        <v>831</v>
      </c>
      <c r="F5021" s="703"/>
      <c r="G5021" s="701">
        <v>20</v>
      </c>
      <c r="H5021" s="700" t="s">
        <v>807</v>
      </c>
      <c r="I5021" s="704" t="s">
        <v>857</v>
      </c>
      <c r="J5021" s="705" t="s">
        <v>805</v>
      </c>
      <c r="K5021" s="700">
        <v>5</v>
      </c>
      <c r="L5021" s="706">
        <f t="shared" si="153"/>
        <v>18.8</v>
      </c>
      <c r="M5021" s="707">
        <f t="shared" si="152"/>
        <v>94</v>
      </c>
      <c r="O5021" s="693"/>
    </row>
    <row r="5022" spans="2:15" s="645" customFormat="1" ht="21.75" customHeight="1">
      <c r="B5022" s="699">
        <v>44500</v>
      </c>
      <c r="C5022" s="700" t="s">
        <v>819</v>
      </c>
      <c r="D5022" s="701" t="s">
        <v>875</v>
      </c>
      <c r="E5022" s="702" t="s">
        <v>831</v>
      </c>
      <c r="F5022" s="703"/>
      <c r="G5022" s="701">
        <v>20</v>
      </c>
      <c r="H5022" s="700" t="s">
        <v>807</v>
      </c>
      <c r="I5022" s="704" t="s">
        <v>859</v>
      </c>
      <c r="J5022" s="705" t="s">
        <v>805</v>
      </c>
      <c r="K5022" s="700">
        <v>4</v>
      </c>
      <c r="L5022" s="706">
        <f t="shared" si="153"/>
        <v>18.8</v>
      </c>
      <c r="M5022" s="707">
        <f t="shared" si="152"/>
        <v>75.2</v>
      </c>
      <c r="O5022" s="693"/>
    </row>
    <row r="5023" spans="2:15" s="645" customFormat="1" ht="21.75" customHeight="1">
      <c r="B5023" s="699">
        <v>44500</v>
      </c>
      <c r="C5023" s="700" t="s">
        <v>819</v>
      </c>
      <c r="D5023" s="701" t="s">
        <v>875</v>
      </c>
      <c r="E5023" s="702" t="s">
        <v>831</v>
      </c>
      <c r="F5023" s="703"/>
      <c r="G5023" s="701">
        <v>20</v>
      </c>
      <c r="H5023" s="700" t="s">
        <v>807</v>
      </c>
      <c r="I5023" s="704" t="s">
        <v>857</v>
      </c>
      <c r="J5023" s="705" t="s">
        <v>805</v>
      </c>
      <c r="K5023" s="700">
        <v>2</v>
      </c>
      <c r="L5023" s="706">
        <f t="shared" si="153"/>
        <v>18.8</v>
      </c>
      <c r="M5023" s="707">
        <f t="shared" si="152"/>
        <v>37.6</v>
      </c>
      <c r="O5023" s="693"/>
    </row>
    <row r="5024" spans="2:15" s="645" customFormat="1" ht="21.75" customHeight="1">
      <c r="B5024" s="699">
        <v>44500</v>
      </c>
      <c r="C5024" s="700" t="s">
        <v>819</v>
      </c>
      <c r="D5024" s="701" t="s">
        <v>876</v>
      </c>
      <c r="E5024" s="702" t="s">
        <v>831</v>
      </c>
      <c r="F5024" s="703"/>
      <c r="G5024" s="701">
        <v>20</v>
      </c>
      <c r="H5024" s="700" t="s">
        <v>807</v>
      </c>
      <c r="I5024" s="704" t="s">
        <v>859</v>
      </c>
      <c r="J5024" s="705" t="s">
        <v>805</v>
      </c>
      <c r="K5024" s="700">
        <v>6</v>
      </c>
      <c r="L5024" s="706">
        <f t="shared" si="153"/>
        <v>18.8</v>
      </c>
      <c r="M5024" s="707">
        <f t="shared" si="152"/>
        <v>112.80000000000001</v>
      </c>
      <c r="O5024" s="693"/>
    </row>
    <row r="5025" spans="2:15" s="645" customFormat="1" ht="21.75" customHeight="1">
      <c r="B5025" s="699">
        <v>44500</v>
      </c>
      <c r="C5025" s="700" t="s">
        <v>819</v>
      </c>
      <c r="D5025" s="701" t="s">
        <v>877</v>
      </c>
      <c r="E5025" s="702" t="s">
        <v>831</v>
      </c>
      <c r="F5025" s="703"/>
      <c r="G5025" s="701">
        <v>20</v>
      </c>
      <c r="H5025" s="700" t="s">
        <v>807</v>
      </c>
      <c r="I5025" s="704" t="s">
        <v>859</v>
      </c>
      <c r="J5025" s="705" t="s">
        <v>805</v>
      </c>
      <c r="K5025" s="700">
        <v>4</v>
      </c>
      <c r="L5025" s="706">
        <f t="shared" si="153"/>
        <v>18.8</v>
      </c>
      <c r="M5025" s="707">
        <f t="shared" si="152"/>
        <v>75.2</v>
      </c>
      <c r="O5025" s="693"/>
    </row>
    <row r="5026" spans="2:15" s="645" customFormat="1" ht="21.75" customHeight="1">
      <c r="B5026" s="717">
        <v>44500</v>
      </c>
      <c r="C5026" s="718" t="s">
        <v>819</v>
      </c>
      <c r="D5026" s="719" t="s">
        <v>847</v>
      </c>
      <c r="E5026" s="720" t="s">
        <v>831</v>
      </c>
      <c r="F5026" s="721"/>
      <c r="G5026" s="719">
        <v>17</v>
      </c>
      <c r="H5026" s="718" t="s">
        <v>806</v>
      </c>
      <c r="I5026" s="722" t="s">
        <v>882</v>
      </c>
      <c r="J5026" s="723" t="s">
        <v>892</v>
      </c>
      <c r="K5026" s="718">
        <v>1</v>
      </c>
      <c r="L5026" s="724">
        <f t="shared" si="153"/>
        <v>15.98</v>
      </c>
      <c r="M5026" s="725">
        <f t="shared" si="152"/>
        <v>15.98</v>
      </c>
      <c r="O5026" s="693"/>
    </row>
    <row r="5027" spans="2:15" s="645" customFormat="1" ht="21.75" customHeight="1">
      <c r="B5027" s="717">
        <v>44500</v>
      </c>
      <c r="C5027" s="718" t="s">
        <v>819</v>
      </c>
      <c r="D5027" s="719" t="s">
        <v>855</v>
      </c>
      <c r="E5027" s="720" t="s">
        <v>831</v>
      </c>
      <c r="F5027" s="721"/>
      <c r="G5027" s="719">
        <v>20</v>
      </c>
      <c r="H5027" s="718" t="s">
        <v>806</v>
      </c>
      <c r="I5027" s="722" t="s">
        <v>882</v>
      </c>
      <c r="J5027" s="723" t="s">
        <v>892</v>
      </c>
      <c r="K5027" s="718">
        <v>4</v>
      </c>
      <c r="L5027" s="724">
        <f t="shared" si="153"/>
        <v>18.8</v>
      </c>
      <c r="M5027" s="725">
        <f t="shared" si="152"/>
        <v>75.2</v>
      </c>
      <c r="O5027" s="693"/>
    </row>
    <row r="5028" spans="2:15" s="645" customFormat="1" ht="21.75" customHeight="1">
      <c r="B5028" s="717">
        <v>44500</v>
      </c>
      <c r="C5028" s="718" t="s">
        <v>819</v>
      </c>
      <c r="D5028" s="719" t="s">
        <v>875</v>
      </c>
      <c r="E5028" s="720" t="s">
        <v>831</v>
      </c>
      <c r="F5028" s="721"/>
      <c r="G5028" s="719">
        <v>20</v>
      </c>
      <c r="H5028" s="718" t="s">
        <v>806</v>
      </c>
      <c r="I5028" s="722" t="s">
        <v>882</v>
      </c>
      <c r="J5028" s="723" t="s">
        <v>892</v>
      </c>
      <c r="K5028" s="718">
        <v>3</v>
      </c>
      <c r="L5028" s="724">
        <f t="shared" si="153"/>
        <v>18.8</v>
      </c>
      <c r="M5028" s="725">
        <f t="shared" si="152"/>
        <v>56.400000000000006</v>
      </c>
      <c r="O5028" s="693"/>
    </row>
    <row r="5029" spans="2:15" s="645" customFormat="1" ht="21.75" customHeight="1">
      <c r="B5029" s="661">
        <v>44501</v>
      </c>
      <c r="C5029" s="662" t="s">
        <v>819</v>
      </c>
      <c r="D5029" s="663" t="s">
        <v>840</v>
      </c>
      <c r="E5029" s="664" t="s">
        <v>831</v>
      </c>
      <c r="F5029" s="665"/>
      <c r="G5029" s="663">
        <v>20</v>
      </c>
      <c r="H5029" s="662" t="s">
        <v>807</v>
      </c>
      <c r="I5029" s="666" t="s">
        <v>857</v>
      </c>
      <c r="J5029" s="667" t="s">
        <v>865</v>
      </c>
      <c r="K5029" s="662">
        <v>2</v>
      </c>
      <c r="L5029" s="685">
        <f t="shared" si="153"/>
        <v>18.8</v>
      </c>
      <c r="M5029" s="686">
        <f t="shared" si="152"/>
        <v>37.6</v>
      </c>
      <c r="O5029" s="693"/>
    </row>
    <row r="5030" spans="2:15" s="645" customFormat="1" ht="21.75" customHeight="1">
      <c r="B5030" s="708">
        <v>44501</v>
      </c>
      <c r="C5030" s="709" t="s">
        <v>819</v>
      </c>
      <c r="D5030" s="710" t="s">
        <v>840</v>
      </c>
      <c r="E5030" s="711" t="s">
        <v>831</v>
      </c>
      <c r="F5030" s="712"/>
      <c r="G5030" s="710">
        <v>20</v>
      </c>
      <c r="H5030" s="709" t="s">
        <v>807</v>
      </c>
      <c r="I5030" s="713" t="s">
        <v>857</v>
      </c>
      <c r="J5030" s="714" t="s">
        <v>802</v>
      </c>
      <c r="K5030" s="709">
        <v>4</v>
      </c>
      <c r="L5030" s="715">
        <f t="shared" si="153"/>
        <v>18.8</v>
      </c>
      <c r="M5030" s="716">
        <f t="shared" si="152"/>
        <v>75.2</v>
      </c>
      <c r="O5030" s="693"/>
    </row>
    <row r="5031" spans="2:15" s="645" customFormat="1" ht="21.75" customHeight="1">
      <c r="B5031" s="661">
        <v>44501</v>
      </c>
      <c r="C5031" s="662" t="s">
        <v>819</v>
      </c>
      <c r="D5031" s="663" t="s">
        <v>835</v>
      </c>
      <c r="E5031" s="664" t="s">
        <v>831</v>
      </c>
      <c r="F5031" s="665"/>
      <c r="G5031" s="663">
        <v>20</v>
      </c>
      <c r="H5031" s="662" t="s">
        <v>807</v>
      </c>
      <c r="I5031" s="666" t="s">
        <v>857</v>
      </c>
      <c r="J5031" s="667" t="s">
        <v>865</v>
      </c>
      <c r="K5031" s="662">
        <v>1</v>
      </c>
      <c r="L5031" s="685">
        <f t="shared" si="153"/>
        <v>18.8</v>
      </c>
      <c r="M5031" s="686">
        <f t="shared" ref="M5031:M5072" si="154">L5031*K5031</f>
        <v>18.8</v>
      </c>
      <c r="O5031" s="693"/>
    </row>
    <row r="5032" spans="2:15" s="645" customFormat="1" ht="21.75" customHeight="1">
      <c r="B5032" s="708">
        <v>44501</v>
      </c>
      <c r="C5032" s="709" t="s">
        <v>819</v>
      </c>
      <c r="D5032" s="710" t="s">
        <v>835</v>
      </c>
      <c r="E5032" s="711" t="s">
        <v>831</v>
      </c>
      <c r="F5032" s="712"/>
      <c r="G5032" s="710">
        <v>20</v>
      </c>
      <c r="H5032" s="709" t="s">
        <v>807</v>
      </c>
      <c r="I5032" s="713" t="s">
        <v>857</v>
      </c>
      <c r="J5032" s="714" t="s">
        <v>802</v>
      </c>
      <c r="K5032" s="709">
        <v>1</v>
      </c>
      <c r="L5032" s="715">
        <f t="shared" si="153"/>
        <v>18.8</v>
      </c>
      <c r="M5032" s="716">
        <f t="shared" si="154"/>
        <v>18.8</v>
      </c>
      <c r="O5032" s="693"/>
    </row>
    <row r="5033" spans="2:15" s="645" customFormat="1" ht="21.75" customHeight="1">
      <c r="B5033" s="661">
        <v>44501</v>
      </c>
      <c r="C5033" s="662" t="s">
        <v>819</v>
      </c>
      <c r="D5033" s="663" t="s">
        <v>835</v>
      </c>
      <c r="E5033" s="664" t="s">
        <v>831</v>
      </c>
      <c r="F5033" s="665"/>
      <c r="G5033" s="663">
        <v>20</v>
      </c>
      <c r="H5033" s="662" t="s">
        <v>806</v>
      </c>
      <c r="I5033" s="666" t="s">
        <v>882</v>
      </c>
      <c r="J5033" s="667" t="s">
        <v>805</v>
      </c>
      <c r="K5033" s="662">
        <v>13</v>
      </c>
      <c r="L5033" s="685">
        <f t="shared" si="153"/>
        <v>18.8</v>
      </c>
      <c r="M5033" s="686">
        <f t="shared" si="154"/>
        <v>244.4</v>
      </c>
      <c r="O5033" s="693"/>
    </row>
    <row r="5034" spans="2:15" s="645" customFormat="1" ht="21.75" customHeight="1">
      <c r="B5034" s="661">
        <v>44501</v>
      </c>
      <c r="C5034" s="662" t="s">
        <v>819</v>
      </c>
      <c r="D5034" s="663" t="s">
        <v>841</v>
      </c>
      <c r="E5034" s="664" t="s">
        <v>831</v>
      </c>
      <c r="F5034" s="665"/>
      <c r="G5034" s="663">
        <v>20</v>
      </c>
      <c r="H5034" s="662" t="s">
        <v>807</v>
      </c>
      <c r="I5034" s="666" t="s">
        <v>857</v>
      </c>
      <c r="J5034" s="667" t="s">
        <v>865</v>
      </c>
      <c r="K5034" s="662">
        <v>3</v>
      </c>
      <c r="L5034" s="685">
        <f t="shared" si="153"/>
        <v>18.8</v>
      </c>
      <c r="M5034" s="686">
        <f t="shared" si="154"/>
        <v>56.400000000000006</v>
      </c>
      <c r="O5034" s="693"/>
    </row>
    <row r="5035" spans="2:15" s="645" customFormat="1" ht="21.75" customHeight="1">
      <c r="B5035" s="708">
        <v>44501</v>
      </c>
      <c r="C5035" s="709" t="s">
        <v>819</v>
      </c>
      <c r="D5035" s="710" t="s">
        <v>841</v>
      </c>
      <c r="E5035" s="711" t="s">
        <v>831</v>
      </c>
      <c r="F5035" s="712"/>
      <c r="G5035" s="710">
        <v>20</v>
      </c>
      <c r="H5035" s="709" t="s">
        <v>807</v>
      </c>
      <c r="I5035" s="713" t="s">
        <v>857</v>
      </c>
      <c r="J5035" s="714" t="s">
        <v>802</v>
      </c>
      <c r="K5035" s="709">
        <v>2</v>
      </c>
      <c r="L5035" s="715">
        <f t="shared" si="153"/>
        <v>18.8</v>
      </c>
      <c r="M5035" s="716">
        <f t="shared" si="154"/>
        <v>37.6</v>
      </c>
      <c r="O5035" s="693"/>
    </row>
    <row r="5036" spans="2:15" s="645" customFormat="1" ht="21.75" customHeight="1">
      <c r="B5036" s="661">
        <v>44501</v>
      </c>
      <c r="C5036" s="662" t="s">
        <v>819</v>
      </c>
      <c r="D5036" s="663" t="s">
        <v>834</v>
      </c>
      <c r="E5036" s="664" t="s">
        <v>831</v>
      </c>
      <c r="F5036" s="665"/>
      <c r="G5036" s="663">
        <v>20</v>
      </c>
      <c r="H5036" s="662" t="s">
        <v>807</v>
      </c>
      <c r="I5036" s="666" t="s">
        <v>857</v>
      </c>
      <c r="J5036" s="667" t="s">
        <v>865</v>
      </c>
      <c r="K5036" s="662">
        <v>2</v>
      </c>
      <c r="L5036" s="685">
        <f t="shared" si="153"/>
        <v>18.8</v>
      </c>
      <c r="M5036" s="686">
        <f t="shared" si="154"/>
        <v>37.6</v>
      </c>
      <c r="O5036" s="693"/>
    </row>
    <row r="5037" spans="2:15" s="645" customFormat="1" ht="21.75" customHeight="1">
      <c r="B5037" s="661">
        <v>44501</v>
      </c>
      <c r="C5037" s="662" t="s">
        <v>819</v>
      </c>
      <c r="D5037" s="663" t="s">
        <v>834</v>
      </c>
      <c r="E5037" s="664" t="s">
        <v>831</v>
      </c>
      <c r="F5037" s="665"/>
      <c r="G5037" s="663">
        <v>20</v>
      </c>
      <c r="H5037" s="662" t="s">
        <v>806</v>
      </c>
      <c r="I5037" s="666" t="s">
        <v>882</v>
      </c>
      <c r="J5037" s="667" t="s">
        <v>805</v>
      </c>
      <c r="K5037" s="662">
        <v>2</v>
      </c>
      <c r="L5037" s="685">
        <f t="shared" si="153"/>
        <v>18.8</v>
      </c>
      <c r="M5037" s="686">
        <f t="shared" si="154"/>
        <v>37.6</v>
      </c>
      <c r="O5037" s="693"/>
    </row>
    <row r="5038" spans="2:15" s="645" customFormat="1" ht="21.75" customHeight="1">
      <c r="B5038" s="708">
        <v>44501</v>
      </c>
      <c r="C5038" s="709" t="s">
        <v>819</v>
      </c>
      <c r="D5038" s="710" t="s">
        <v>834</v>
      </c>
      <c r="E5038" s="711" t="s">
        <v>831</v>
      </c>
      <c r="F5038" s="712"/>
      <c r="G5038" s="710">
        <v>20</v>
      </c>
      <c r="H5038" s="709" t="s">
        <v>807</v>
      </c>
      <c r="I5038" s="713" t="s">
        <v>857</v>
      </c>
      <c r="J5038" s="714" t="s">
        <v>802</v>
      </c>
      <c r="K5038" s="709">
        <v>2</v>
      </c>
      <c r="L5038" s="715">
        <f t="shared" si="153"/>
        <v>18.8</v>
      </c>
      <c r="M5038" s="716">
        <f t="shared" si="154"/>
        <v>37.6</v>
      </c>
      <c r="O5038" s="693"/>
    </row>
    <row r="5039" spans="2:15" s="645" customFormat="1" ht="21.75" customHeight="1">
      <c r="B5039" s="708">
        <v>44501</v>
      </c>
      <c r="C5039" s="709" t="s">
        <v>819</v>
      </c>
      <c r="D5039" s="710" t="s">
        <v>848</v>
      </c>
      <c r="E5039" s="711" t="s">
        <v>831</v>
      </c>
      <c r="F5039" s="712"/>
      <c r="G5039" s="710">
        <v>20</v>
      </c>
      <c r="H5039" s="709" t="s">
        <v>807</v>
      </c>
      <c r="I5039" s="713" t="s">
        <v>805</v>
      </c>
      <c r="J5039" s="714" t="s">
        <v>802</v>
      </c>
      <c r="K5039" s="709">
        <v>1</v>
      </c>
      <c r="L5039" s="715">
        <f t="shared" si="153"/>
        <v>18.8</v>
      </c>
      <c r="M5039" s="716">
        <f t="shared" si="154"/>
        <v>18.8</v>
      </c>
      <c r="O5039" s="693"/>
    </row>
    <row r="5040" spans="2:15" s="645" customFormat="1" ht="21.75" customHeight="1">
      <c r="B5040" s="661">
        <v>44501</v>
      </c>
      <c r="C5040" s="662" t="s">
        <v>819</v>
      </c>
      <c r="D5040" s="663" t="s">
        <v>848</v>
      </c>
      <c r="E5040" s="664" t="s">
        <v>831</v>
      </c>
      <c r="F5040" s="665"/>
      <c r="G5040" s="663">
        <v>20</v>
      </c>
      <c r="H5040" s="662" t="s">
        <v>807</v>
      </c>
      <c r="I5040" s="666" t="s">
        <v>859</v>
      </c>
      <c r="J5040" s="667" t="s">
        <v>865</v>
      </c>
      <c r="K5040" s="662">
        <v>1</v>
      </c>
      <c r="L5040" s="685">
        <f t="shared" si="153"/>
        <v>18.8</v>
      </c>
      <c r="M5040" s="686">
        <f t="shared" si="154"/>
        <v>18.8</v>
      </c>
      <c r="O5040" s="693"/>
    </row>
    <row r="5041" spans="2:15" s="645" customFormat="1" ht="21.75" customHeight="1">
      <c r="B5041" s="661">
        <v>44501</v>
      </c>
      <c r="C5041" s="662" t="s">
        <v>819</v>
      </c>
      <c r="D5041" s="663" t="s">
        <v>848</v>
      </c>
      <c r="E5041" s="664" t="s">
        <v>831</v>
      </c>
      <c r="F5041" s="665"/>
      <c r="G5041" s="663">
        <v>20</v>
      </c>
      <c r="H5041" s="662" t="s">
        <v>806</v>
      </c>
      <c r="I5041" s="666" t="s">
        <v>882</v>
      </c>
      <c r="J5041" s="667" t="s">
        <v>805</v>
      </c>
      <c r="K5041" s="662">
        <v>12</v>
      </c>
      <c r="L5041" s="685">
        <f t="shared" si="153"/>
        <v>18.8</v>
      </c>
      <c r="M5041" s="686">
        <f t="shared" si="154"/>
        <v>225.60000000000002</v>
      </c>
      <c r="O5041" s="693"/>
    </row>
    <row r="5042" spans="2:15" s="645" customFormat="1" ht="21.75" customHeight="1">
      <c r="B5042" s="661">
        <v>44501</v>
      </c>
      <c r="C5042" s="662" t="s">
        <v>819</v>
      </c>
      <c r="D5042" s="663" t="s">
        <v>833</v>
      </c>
      <c r="E5042" s="664" t="s">
        <v>831</v>
      </c>
      <c r="F5042" s="665"/>
      <c r="G5042" s="663">
        <v>15</v>
      </c>
      <c r="H5042" s="662" t="s">
        <v>807</v>
      </c>
      <c r="I5042" s="666" t="s">
        <v>857</v>
      </c>
      <c r="J5042" s="667" t="s">
        <v>865</v>
      </c>
      <c r="K5042" s="662">
        <v>2</v>
      </c>
      <c r="L5042" s="685">
        <f t="shared" si="153"/>
        <v>14.1</v>
      </c>
      <c r="M5042" s="686">
        <f t="shared" si="154"/>
        <v>28.2</v>
      </c>
      <c r="O5042" s="693"/>
    </row>
    <row r="5043" spans="2:15" s="645" customFormat="1" ht="21.75" customHeight="1">
      <c r="B5043" s="661">
        <v>44501</v>
      </c>
      <c r="C5043" s="662" t="s">
        <v>819</v>
      </c>
      <c r="D5043" s="663" t="s">
        <v>833</v>
      </c>
      <c r="E5043" s="664" t="s">
        <v>831</v>
      </c>
      <c r="F5043" s="665"/>
      <c r="G5043" s="663">
        <v>15</v>
      </c>
      <c r="H5043" s="662" t="s">
        <v>807</v>
      </c>
      <c r="I5043" s="666" t="s">
        <v>880</v>
      </c>
      <c r="J5043" s="667" t="s">
        <v>865</v>
      </c>
      <c r="K5043" s="662">
        <v>1</v>
      </c>
      <c r="L5043" s="685">
        <f t="shared" si="153"/>
        <v>14.1</v>
      </c>
      <c r="M5043" s="686">
        <f t="shared" si="154"/>
        <v>14.1</v>
      </c>
      <c r="O5043" s="693"/>
    </row>
    <row r="5044" spans="2:15" s="645" customFormat="1" ht="21.75" customHeight="1">
      <c r="B5044" s="661">
        <v>44501</v>
      </c>
      <c r="C5044" s="662" t="s">
        <v>819</v>
      </c>
      <c r="D5044" s="663" t="s">
        <v>833</v>
      </c>
      <c r="E5044" s="664" t="s">
        <v>831</v>
      </c>
      <c r="F5044" s="665"/>
      <c r="G5044" s="663">
        <v>15</v>
      </c>
      <c r="H5044" s="662" t="s">
        <v>806</v>
      </c>
      <c r="I5044" s="666" t="s">
        <v>882</v>
      </c>
      <c r="J5044" s="667" t="s">
        <v>805</v>
      </c>
      <c r="K5044" s="662">
        <v>10</v>
      </c>
      <c r="L5044" s="685">
        <f t="shared" si="153"/>
        <v>14.1</v>
      </c>
      <c r="M5044" s="686">
        <f t="shared" si="154"/>
        <v>141</v>
      </c>
      <c r="O5044" s="693"/>
    </row>
    <row r="5045" spans="2:15" s="645" customFormat="1" ht="21.75" customHeight="1">
      <c r="B5045" s="708">
        <v>44501</v>
      </c>
      <c r="C5045" s="709" t="s">
        <v>819</v>
      </c>
      <c r="D5045" s="710" t="s">
        <v>833</v>
      </c>
      <c r="E5045" s="711" t="s">
        <v>831</v>
      </c>
      <c r="F5045" s="712"/>
      <c r="G5045" s="710">
        <v>15</v>
      </c>
      <c r="H5045" s="709" t="s">
        <v>807</v>
      </c>
      <c r="I5045" s="713" t="s">
        <v>805</v>
      </c>
      <c r="J5045" s="714" t="s">
        <v>802</v>
      </c>
      <c r="K5045" s="709">
        <v>2</v>
      </c>
      <c r="L5045" s="715">
        <f t="shared" si="153"/>
        <v>14.1</v>
      </c>
      <c r="M5045" s="716">
        <f t="shared" si="154"/>
        <v>28.2</v>
      </c>
      <c r="O5045" s="693"/>
    </row>
    <row r="5046" spans="2:15" s="645" customFormat="1" ht="21.75" customHeight="1">
      <c r="B5046" s="661">
        <v>44501</v>
      </c>
      <c r="C5046" s="662" t="s">
        <v>819</v>
      </c>
      <c r="D5046" s="663" t="s">
        <v>845</v>
      </c>
      <c r="E5046" s="664" t="s">
        <v>831</v>
      </c>
      <c r="F5046" s="665"/>
      <c r="G5046" s="663">
        <v>17</v>
      </c>
      <c r="H5046" s="662" t="s">
        <v>807</v>
      </c>
      <c r="I5046" s="666" t="s">
        <v>857</v>
      </c>
      <c r="J5046" s="667" t="s">
        <v>865</v>
      </c>
      <c r="K5046" s="662">
        <v>2</v>
      </c>
      <c r="L5046" s="685">
        <f t="shared" si="153"/>
        <v>15.98</v>
      </c>
      <c r="M5046" s="686">
        <f t="shared" si="154"/>
        <v>31.96</v>
      </c>
      <c r="O5046" s="693"/>
    </row>
    <row r="5047" spans="2:15" s="645" customFormat="1" ht="21.75" customHeight="1">
      <c r="B5047" s="661">
        <v>44501</v>
      </c>
      <c r="C5047" s="662" t="s">
        <v>819</v>
      </c>
      <c r="D5047" s="663" t="s">
        <v>845</v>
      </c>
      <c r="E5047" s="664" t="s">
        <v>831</v>
      </c>
      <c r="F5047" s="665"/>
      <c r="G5047" s="663">
        <v>17</v>
      </c>
      <c r="H5047" s="662" t="s">
        <v>807</v>
      </c>
      <c r="I5047" s="666" t="s">
        <v>880</v>
      </c>
      <c r="J5047" s="667" t="s">
        <v>865</v>
      </c>
      <c r="K5047" s="662">
        <v>2</v>
      </c>
      <c r="L5047" s="685">
        <f t="shared" si="153"/>
        <v>15.98</v>
      </c>
      <c r="M5047" s="686">
        <f t="shared" si="154"/>
        <v>31.96</v>
      </c>
      <c r="O5047" s="693"/>
    </row>
    <row r="5048" spans="2:15" s="645" customFormat="1" ht="21.75" customHeight="1">
      <c r="B5048" s="708">
        <v>44501</v>
      </c>
      <c r="C5048" s="709" t="s">
        <v>819</v>
      </c>
      <c r="D5048" s="710" t="s">
        <v>845</v>
      </c>
      <c r="E5048" s="711" t="s">
        <v>831</v>
      </c>
      <c r="F5048" s="712"/>
      <c r="G5048" s="710">
        <v>17</v>
      </c>
      <c r="H5048" s="709" t="s">
        <v>807</v>
      </c>
      <c r="I5048" s="713" t="s">
        <v>857</v>
      </c>
      <c r="J5048" s="714" t="s">
        <v>802</v>
      </c>
      <c r="K5048" s="709">
        <v>3</v>
      </c>
      <c r="L5048" s="715">
        <f t="shared" si="153"/>
        <v>15.98</v>
      </c>
      <c r="M5048" s="716">
        <f t="shared" si="154"/>
        <v>47.94</v>
      </c>
      <c r="O5048" s="693"/>
    </row>
    <row r="5049" spans="2:15" s="645" customFormat="1" ht="21.75" customHeight="1">
      <c r="B5049" s="708">
        <v>44501</v>
      </c>
      <c r="C5049" s="709" t="s">
        <v>819</v>
      </c>
      <c r="D5049" s="710" t="s">
        <v>845</v>
      </c>
      <c r="E5049" s="711" t="s">
        <v>831</v>
      </c>
      <c r="F5049" s="712"/>
      <c r="G5049" s="710">
        <v>17</v>
      </c>
      <c r="H5049" s="709" t="s">
        <v>807</v>
      </c>
      <c r="I5049" s="713" t="s">
        <v>857</v>
      </c>
      <c r="J5049" s="714" t="s">
        <v>802</v>
      </c>
      <c r="K5049" s="709">
        <v>1</v>
      </c>
      <c r="L5049" s="715">
        <f t="shared" si="153"/>
        <v>15.98</v>
      </c>
      <c r="M5049" s="716">
        <f t="shared" si="154"/>
        <v>15.98</v>
      </c>
      <c r="O5049" s="693"/>
    </row>
    <row r="5050" spans="2:15" s="645" customFormat="1" ht="21.75" customHeight="1">
      <c r="B5050" s="661">
        <v>44501</v>
      </c>
      <c r="C5050" s="662" t="s">
        <v>819</v>
      </c>
      <c r="D5050" s="663" t="s">
        <v>847</v>
      </c>
      <c r="E5050" s="664" t="s">
        <v>831</v>
      </c>
      <c r="F5050" s="665"/>
      <c r="G5050" s="663">
        <v>17</v>
      </c>
      <c r="H5050" s="662" t="s">
        <v>807</v>
      </c>
      <c r="I5050" s="666" t="s">
        <v>857</v>
      </c>
      <c r="J5050" s="667" t="s">
        <v>865</v>
      </c>
      <c r="K5050" s="662">
        <v>2</v>
      </c>
      <c r="L5050" s="685">
        <f t="shared" si="153"/>
        <v>15.98</v>
      </c>
      <c r="M5050" s="686">
        <f t="shared" si="154"/>
        <v>31.96</v>
      </c>
      <c r="O5050" s="693"/>
    </row>
    <row r="5051" spans="2:15" s="645" customFormat="1" ht="21.75" customHeight="1">
      <c r="B5051" s="708">
        <v>44501</v>
      </c>
      <c r="C5051" s="709" t="s">
        <v>819</v>
      </c>
      <c r="D5051" s="710" t="s">
        <v>847</v>
      </c>
      <c r="E5051" s="711" t="s">
        <v>831</v>
      </c>
      <c r="F5051" s="712"/>
      <c r="G5051" s="710">
        <v>17</v>
      </c>
      <c r="H5051" s="709" t="s">
        <v>807</v>
      </c>
      <c r="I5051" s="713" t="s">
        <v>857</v>
      </c>
      <c r="J5051" s="714" t="s">
        <v>802</v>
      </c>
      <c r="K5051" s="709">
        <v>3</v>
      </c>
      <c r="L5051" s="715">
        <f t="shared" si="153"/>
        <v>15.98</v>
      </c>
      <c r="M5051" s="716">
        <f t="shared" si="154"/>
        <v>47.94</v>
      </c>
      <c r="O5051" s="693"/>
    </row>
    <row r="5052" spans="2:15" s="645" customFormat="1" ht="21.75" customHeight="1">
      <c r="B5052" s="661">
        <v>44501</v>
      </c>
      <c r="C5052" s="662" t="s">
        <v>819</v>
      </c>
      <c r="D5052" s="663" t="s">
        <v>856</v>
      </c>
      <c r="E5052" s="664" t="s">
        <v>831</v>
      </c>
      <c r="F5052" s="665"/>
      <c r="G5052" s="663">
        <v>20</v>
      </c>
      <c r="H5052" s="662" t="s">
        <v>807</v>
      </c>
      <c r="I5052" s="666" t="s">
        <v>857</v>
      </c>
      <c r="J5052" s="667" t="s">
        <v>865</v>
      </c>
      <c r="K5052" s="662">
        <v>3</v>
      </c>
      <c r="L5052" s="685">
        <f t="shared" si="153"/>
        <v>18.8</v>
      </c>
      <c r="M5052" s="686">
        <f t="shared" si="154"/>
        <v>56.400000000000006</v>
      </c>
      <c r="O5052" s="693"/>
    </row>
    <row r="5053" spans="2:15" s="645" customFormat="1" ht="21.75" customHeight="1">
      <c r="B5053" s="708">
        <v>44501</v>
      </c>
      <c r="C5053" s="709" t="s">
        <v>819</v>
      </c>
      <c r="D5053" s="710" t="s">
        <v>856</v>
      </c>
      <c r="E5053" s="711" t="s">
        <v>831</v>
      </c>
      <c r="F5053" s="712"/>
      <c r="G5053" s="710">
        <v>20</v>
      </c>
      <c r="H5053" s="709" t="s">
        <v>807</v>
      </c>
      <c r="I5053" s="713" t="s">
        <v>857</v>
      </c>
      <c r="J5053" s="714" t="s">
        <v>802</v>
      </c>
      <c r="K5053" s="709">
        <v>3</v>
      </c>
      <c r="L5053" s="715">
        <f t="shared" si="153"/>
        <v>18.8</v>
      </c>
      <c r="M5053" s="716">
        <f t="shared" si="154"/>
        <v>56.400000000000006</v>
      </c>
      <c r="O5053" s="693"/>
    </row>
    <row r="5054" spans="2:15" s="645" customFormat="1" ht="21.75" customHeight="1">
      <c r="B5054" s="661">
        <v>44501</v>
      </c>
      <c r="C5054" s="662" t="s">
        <v>819</v>
      </c>
      <c r="D5054" s="663" t="s">
        <v>878</v>
      </c>
      <c r="E5054" s="664" t="s">
        <v>831</v>
      </c>
      <c r="F5054" s="665"/>
      <c r="G5054" s="663">
        <v>15</v>
      </c>
      <c r="H5054" s="662" t="s">
        <v>807</v>
      </c>
      <c r="I5054" s="666" t="s">
        <v>859</v>
      </c>
      <c r="J5054" s="667" t="s">
        <v>865</v>
      </c>
      <c r="K5054" s="662">
        <v>1</v>
      </c>
      <c r="L5054" s="685">
        <f t="shared" si="153"/>
        <v>14.1</v>
      </c>
      <c r="M5054" s="686">
        <f t="shared" si="154"/>
        <v>14.1</v>
      </c>
      <c r="O5054" s="693"/>
    </row>
    <row r="5055" spans="2:15" s="645" customFormat="1" ht="21.75" customHeight="1">
      <c r="B5055" s="708">
        <v>44501</v>
      </c>
      <c r="C5055" s="709" t="s">
        <v>819</v>
      </c>
      <c r="D5055" s="710" t="s">
        <v>878</v>
      </c>
      <c r="E5055" s="711" t="s">
        <v>831</v>
      </c>
      <c r="F5055" s="712"/>
      <c r="G5055" s="710">
        <v>15</v>
      </c>
      <c r="H5055" s="709" t="s">
        <v>807</v>
      </c>
      <c r="I5055" s="713" t="s">
        <v>857</v>
      </c>
      <c r="J5055" s="714" t="s">
        <v>802</v>
      </c>
      <c r="K5055" s="709">
        <v>1</v>
      </c>
      <c r="L5055" s="715">
        <f t="shared" si="153"/>
        <v>14.1</v>
      </c>
      <c r="M5055" s="716">
        <f t="shared" si="154"/>
        <v>14.1</v>
      </c>
      <c r="O5055" s="693"/>
    </row>
    <row r="5056" spans="2:15" s="645" customFormat="1" ht="21.75" customHeight="1">
      <c r="B5056" s="708">
        <v>44501</v>
      </c>
      <c r="C5056" s="709" t="s">
        <v>819</v>
      </c>
      <c r="D5056" s="710" t="s">
        <v>878</v>
      </c>
      <c r="E5056" s="711" t="s">
        <v>831</v>
      </c>
      <c r="F5056" s="712"/>
      <c r="G5056" s="710">
        <v>15</v>
      </c>
      <c r="H5056" s="709" t="s">
        <v>807</v>
      </c>
      <c r="I5056" s="713" t="s">
        <v>857</v>
      </c>
      <c r="J5056" s="714" t="s">
        <v>802</v>
      </c>
      <c r="K5056" s="709">
        <v>1</v>
      </c>
      <c r="L5056" s="715">
        <f t="shared" si="153"/>
        <v>14.1</v>
      </c>
      <c r="M5056" s="716">
        <f t="shared" si="154"/>
        <v>14.1</v>
      </c>
      <c r="O5056" s="693"/>
    </row>
    <row r="5057" spans="2:15" s="645" customFormat="1" ht="21.75" customHeight="1">
      <c r="B5057" s="661">
        <v>44501</v>
      </c>
      <c r="C5057" s="662" t="s">
        <v>819</v>
      </c>
      <c r="D5057" s="663" t="s">
        <v>878</v>
      </c>
      <c r="E5057" s="664" t="s">
        <v>831</v>
      </c>
      <c r="F5057" s="665"/>
      <c r="G5057" s="663">
        <v>15</v>
      </c>
      <c r="H5057" s="662" t="s">
        <v>807</v>
      </c>
      <c r="I5057" s="666" t="s">
        <v>857</v>
      </c>
      <c r="J5057" s="667" t="s">
        <v>865</v>
      </c>
      <c r="K5057" s="662">
        <v>1</v>
      </c>
      <c r="L5057" s="685">
        <f t="shared" si="153"/>
        <v>14.1</v>
      </c>
      <c r="M5057" s="686">
        <f t="shared" si="154"/>
        <v>14.1</v>
      </c>
      <c r="O5057" s="693"/>
    </row>
    <row r="5058" spans="2:15" s="645" customFormat="1" ht="21.75" customHeight="1">
      <c r="B5058" s="708">
        <v>44501</v>
      </c>
      <c r="C5058" s="709" t="s">
        <v>819</v>
      </c>
      <c r="D5058" s="710" t="s">
        <v>878</v>
      </c>
      <c r="E5058" s="711" t="s">
        <v>831</v>
      </c>
      <c r="F5058" s="712"/>
      <c r="G5058" s="710">
        <v>15</v>
      </c>
      <c r="H5058" s="709" t="s">
        <v>807</v>
      </c>
      <c r="I5058" s="713" t="s">
        <v>805</v>
      </c>
      <c r="J5058" s="714" t="s">
        <v>802</v>
      </c>
      <c r="K5058" s="709">
        <v>4</v>
      </c>
      <c r="L5058" s="715">
        <f t="shared" si="153"/>
        <v>14.1</v>
      </c>
      <c r="M5058" s="716">
        <f t="shared" si="154"/>
        <v>56.4</v>
      </c>
      <c r="O5058" s="693"/>
    </row>
    <row r="5059" spans="2:15" s="645" customFormat="1" ht="21.75" customHeight="1">
      <c r="B5059" s="661">
        <v>44501</v>
      </c>
      <c r="C5059" s="662" t="s">
        <v>819</v>
      </c>
      <c r="D5059" s="663" t="s">
        <v>855</v>
      </c>
      <c r="E5059" s="664" t="s">
        <v>831</v>
      </c>
      <c r="F5059" s="665"/>
      <c r="G5059" s="663">
        <v>20</v>
      </c>
      <c r="H5059" s="662" t="s">
        <v>807</v>
      </c>
      <c r="I5059" s="666" t="s">
        <v>857</v>
      </c>
      <c r="J5059" s="667" t="s">
        <v>865</v>
      </c>
      <c r="K5059" s="662">
        <v>2</v>
      </c>
      <c r="L5059" s="685">
        <f t="shared" si="153"/>
        <v>18.8</v>
      </c>
      <c r="M5059" s="686">
        <f t="shared" si="154"/>
        <v>37.6</v>
      </c>
      <c r="O5059" s="693"/>
    </row>
    <row r="5060" spans="2:15" s="645" customFormat="1" ht="21.75" customHeight="1">
      <c r="B5060" s="708">
        <v>44501</v>
      </c>
      <c r="C5060" s="709" t="s">
        <v>819</v>
      </c>
      <c r="D5060" s="710" t="s">
        <v>855</v>
      </c>
      <c r="E5060" s="711" t="s">
        <v>831</v>
      </c>
      <c r="F5060" s="712"/>
      <c r="G5060" s="710">
        <v>20</v>
      </c>
      <c r="H5060" s="709" t="s">
        <v>807</v>
      </c>
      <c r="I5060" s="713" t="s">
        <v>857</v>
      </c>
      <c r="J5060" s="714" t="s">
        <v>802</v>
      </c>
      <c r="K5060" s="709">
        <v>4</v>
      </c>
      <c r="L5060" s="715">
        <f t="shared" si="153"/>
        <v>18.8</v>
      </c>
      <c r="M5060" s="716">
        <f t="shared" si="154"/>
        <v>75.2</v>
      </c>
      <c r="O5060" s="693"/>
    </row>
    <row r="5061" spans="2:15" s="645" customFormat="1" ht="21.75" customHeight="1">
      <c r="B5061" s="661">
        <v>44501</v>
      </c>
      <c r="C5061" s="662" t="s">
        <v>819</v>
      </c>
      <c r="D5061" s="663" t="s">
        <v>875</v>
      </c>
      <c r="E5061" s="664" t="s">
        <v>831</v>
      </c>
      <c r="F5061" s="665"/>
      <c r="G5061" s="663">
        <v>20</v>
      </c>
      <c r="H5061" s="662" t="s">
        <v>807</v>
      </c>
      <c r="I5061" s="666" t="s">
        <v>857</v>
      </c>
      <c r="J5061" s="667" t="s">
        <v>865</v>
      </c>
      <c r="K5061" s="662">
        <v>1</v>
      </c>
      <c r="L5061" s="685">
        <f t="shared" si="153"/>
        <v>18.8</v>
      </c>
      <c r="M5061" s="686">
        <f t="shared" si="154"/>
        <v>18.8</v>
      </c>
      <c r="O5061" s="693"/>
    </row>
    <row r="5062" spans="2:15" s="645" customFormat="1" ht="21.75" customHeight="1">
      <c r="B5062" s="708">
        <v>44501</v>
      </c>
      <c r="C5062" s="709" t="s">
        <v>819</v>
      </c>
      <c r="D5062" s="710" t="s">
        <v>875</v>
      </c>
      <c r="E5062" s="711" t="s">
        <v>831</v>
      </c>
      <c r="F5062" s="712"/>
      <c r="G5062" s="710">
        <v>20</v>
      </c>
      <c r="H5062" s="709" t="s">
        <v>807</v>
      </c>
      <c r="I5062" s="713" t="s">
        <v>857</v>
      </c>
      <c r="J5062" s="714" t="s">
        <v>802</v>
      </c>
      <c r="K5062" s="709">
        <v>5</v>
      </c>
      <c r="L5062" s="715">
        <f t="shared" si="153"/>
        <v>18.8</v>
      </c>
      <c r="M5062" s="716">
        <f t="shared" si="154"/>
        <v>94</v>
      </c>
      <c r="O5062" s="693"/>
    </row>
    <row r="5063" spans="2:15" s="645" customFormat="1" ht="21.75" customHeight="1">
      <c r="B5063" s="661">
        <v>44501</v>
      </c>
      <c r="C5063" s="662" t="s">
        <v>819</v>
      </c>
      <c r="D5063" s="663" t="s">
        <v>876</v>
      </c>
      <c r="E5063" s="664" t="s">
        <v>831</v>
      </c>
      <c r="F5063" s="665"/>
      <c r="G5063" s="663">
        <v>20</v>
      </c>
      <c r="H5063" s="662" t="s">
        <v>807</v>
      </c>
      <c r="I5063" s="666" t="s">
        <v>857</v>
      </c>
      <c r="J5063" s="667" t="s">
        <v>865</v>
      </c>
      <c r="K5063" s="662">
        <v>1</v>
      </c>
      <c r="L5063" s="685">
        <f t="shared" si="153"/>
        <v>18.8</v>
      </c>
      <c r="M5063" s="686">
        <f t="shared" si="154"/>
        <v>18.8</v>
      </c>
      <c r="O5063" s="693"/>
    </row>
    <row r="5064" spans="2:15" s="645" customFormat="1" ht="21.75" customHeight="1">
      <c r="B5064" s="708">
        <v>44501</v>
      </c>
      <c r="C5064" s="709" t="s">
        <v>819</v>
      </c>
      <c r="D5064" s="710" t="s">
        <v>876</v>
      </c>
      <c r="E5064" s="711" t="s">
        <v>831</v>
      </c>
      <c r="F5064" s="712"/>
      <c r="G5064" s="710">
        <v>20</v>
      </c>
      <c r="H5064" s="709" t="s">
        <v>807</v>
      </c>
      <c r="I5064" s="713" t="s">
        <v>857</v>
      </c>
      <c r="J5064" s="714" t="s">
        <v>802</v>
      </c>
      <c r="K5064" s="709">
        <v>1</v>
      </c>
      <c r="L5064" s="715">
        <f t="shared" si="153"/>
        <v>18.8</v>
      </c>
      <c r="M5064" s="716">
        <f t="shared" si="154"/>
        <v>18.8</v>
      </c>
      <c r="O5064" s="693"/>
    </row>
    <row r="5065" spans="2:15" s="645" customFormat="1" ht="21.75" customHeight="1">
      <c r="B5065" s="708">
        <v>44501</v>
      </c>
      <c r="C5065" s="709" t="s">
        <v>819</v>
      </c>
      <c r="D5065" s="710" t="s">
        <v>876</v>
      </c>
      <c r="E5065" s="711" t="s">
        <v>831</v>
      </c>
      <c r="F5065" s="712"/>
      <c r="G5065" s="710">
        <v>20</v>
      </c>
      <c r="H5065" s="709" t="s">
        <v>807</v>
      </c>
      <c r="I5065" s="713" t="s">
        <v>857</v>
      </c>
      <c r="J5065" s="714" t="s">
        <v>802</v>
      </c>
      <c r="K5065" s="709">
        <v>1</v>
      </c>
      <c r="L5065" s="715">
        <f t="shared" ref="L5065:L5072" si="155">VLOOKUP(G5065,$Q$4:$V$7,6,FALSE)</f>
        <v>18.8</v>
      </c>
      <c r="M5065" s="716">
        <f t="shared" si="154"/>
        <v>18.8</v>
      </c>
      <c r="O5065" s="693"/>
    </row>
    <row r="5066" spans="2:15" s="645" customFormat="1" ht="21.75" customHeight="1">
      <c r="B5066" s="708">
        <v>44501</v>
      </c>
      <c r="C5066" s="709" t="s">
        <v>819</v>
      </c>
      <c r="D5066" s="710" t="s">
        <v>876</v>
      </c>
      <c r="E5066" s="711" t="s">
        <v>831</v>
      </c>
      <c r="F5066" s="712"/>
      <c r="G5066" s="710">
        <v>20</v>
      </c>
      <c r="H5066" s="709" t="s">
        <v>807</v>
      </c>
      <c r="I5066" s="713" t="s">
        <v>805</v>
      </c>
      <c r="J5066" s="714" t="s">
        <v>802</v>
      </c>
      <c r="K5066" s="709">
        <v>3</v>
      </c>
      <c r="L5066" s="715">
        <f t="shared" si="155"/>
        <v>18.8</v>
      </c>
      <c r="M5066" s="716">
        <f t="shared" si="154"/>
        <v>56.400000000000006</v>
      </c>
      <c r="O5066" s="693"/>
    </row>
    <row r="5067" spans="2:15" s="645" customFormat="1" ht="21.75" customHeight="1">
      <c r="B5067" s="661">
        <v>44501</v>
      </c>
      <c r="C5067" s="662" t="s">
        <v>819</v>
      </c>
      <c r="D5067" s="663" t="s">
        <v>877</v>
      </c>
      <c r="E5067" s="664" t="s">
        <v>831</v>
      </c>
      <c r="F5067" s="665"/>
      <c r="G5067" s="663">
        <v>20</v>
      </c>
      <c r="H5067" s="662" t="s">
        <v>807</v>
      </c>
      <c r="I5067" s="666" t="s">
        <v>857</v>
      </c>
      <c r="J5067" s="667" t="s">
        <v>865</v>
      </c>
      <c r="K5067" s="662">
        <v>2</v>
      </c>
      <c r="L5067" s="685">
        <f t="shared" si="155"/>
        <v>18.8</v>
      </c>
      <c r="M5067" s="686">
        <f t="shared" si="154"/>
        <v>37.6</v>
      </c>
      <c r="O5067" s="693"/>
    </row>
    <row r="5068" spans="2:15" s="645" customFormat="1" ht="21.75" customHeight="1">
      <c r="B5068" s="708">
        <v>44501</v>
      </c>
      <c r="C5068" s="709" t="s">
        <v>819</v>
      </c>
      <c r="D5068" s="710" t="s">
        <v>877</v>
      </c>
      <c r="E5068" s="711" t="s">
        <v>831</v>
      </c>
      <c r="F5068" s="712"/>
      <c r="G5068" s="710">
        <v>20</v>
      </c>
      <c r="H5068" s="709" t="s">
        <v>807</v>
      </c>
      <c r="I5068" s="713" t="s">
        <v>857</v>
      </c>
      <c r="J5068" s="714" t="s">
        <v>802</v>
      </c>
      <c r="K5068" s="709">
        <v>5</v>
      </c>
      <c r="L5068" s="715">
        <f t="shared" si="155"/>
        <v>18.8</v>
      </c>
      <c r="M5068" s="716">
        <f t="shared" si="154"/>
        <v>94</v>
      </c>
      <c r="O5068" s="693"/>
    </row>
    <row r="5069" spans="2:15" s="645" customFormat="1" ht="21.75" customHeight="1">
      <c r="B5069" s="717">
        <v>44501</v>
      </c>
      <c r="C5069" s="718" t="s">
        <v>819</v>
      </c>
      <c r="D5069" s="719" t="s">
        <v>835</v>
      </c>
      <c r="E5069" s="720" t="s">
        <v>831</v>
      </c>
      <c r="F5069" s="721"/>
      <c r="G5069" s="719">
        <v>20</v>
      </c>
      <c r="H5069" s="718" t="s">
        <v>806</v>
      </c>
      <c r="I5069" s="722" t="s">
        <v>882</v>
      </c>
      <c r="J5069" s="723" t="s">
        <v>892</v>
      </c>
      <c r="K5069" s="718">
        <v>13</v>
      </c>
      <c r="L5069" s="724">
        <f t="shared" si="155"/>
        <v>18.8</v>
      </c>
      <c r="M5069" s="725">
        <f t="shared" si="154"/>
        <v>244.4</v>
      </c>
      <c r="O5069" s="693"/>
    </row>
    <row r="5070" spans="2:15" s="645" customFormat="1" ht="21.75" customHeight="1">
      <c r="B5070" s="717">
        <v>44501</v>
      </c>
      <c r="C5070" s="718" t="s">
        <v>819</v>
      </c>
      <c r="D5070" s="719" t="s">
        <v>834</v>
      </c>
      <c r="E5070" s="720" t="s">
        <v>831</v>
      </c>
      <c r="F5070" s="721"/>
      <c r="G5070" s="719">
        <v>20</v>
      </c>
      <c r="H5070" s="718" t="s">
        <v>806</v>
      </c>
      <c r="I5070" s="722" t="s">
        <v>882</v>
      </c>
      <c r="J5070" s="723" t="s">
        <v>892</v>
      </c>
      <c r="K5070" s="718">
        <v>2</v>
      </c>
      <c r="L5070" s="724">
        <f t="shared" si="155"/>
        <v>18.8</v>
      </c>
      <c r="M5070" s="725">
        <f t="shared" si="154"/>
        <v>37.6</v>
      </c>
      <c r="O5070" s="693"/>
    </row>
    <row r="5071" spans="2:15" s="645" customFormat="1" ht="21.75" customHeight="1">
      <c r="B5071" s="717">
        <v>44501</v>
      </c>
      <c r="C5071" s="718" t="s">
        <v>819</v>
      </c>
      <c r="D5071" s="719" t="s">
        <v>848</v>
      </c>
      <c r="E5071" s="720" t="s">
        <v>831</v>
      </c>
      <c r="F5071" s="721"/>
      <c r="G5071" s="719">
        <v>20</v>
      </c>
      <c r="H5071" s="718" t="s">
        <v>806</v>
      </c>
      <c r="I5071" s="722" t="s">
        <v>882</v>
      </c>
      <c r="J5071" s="723" t="s">
        <v>892</v>
      </c>
      <c r="K5071" s="718">
        <v>12</v>
      </c>
      <c r="L5071" s="724">
        <f t="shared" si="155"/>
        <v>18.8</v>
      </c>
      <c r="M5071" s="725">
        <f t="shared" si="154"/>
        <v>225.60000000000002</v>
      </c>
      <c r="O5071" s="693"/>
    </row>
    <row r="5072" spans="2:15" s="645" customFormat="1" ht="21.75" customHeight="1">
      <c r="B5072" s="717">
        <v>44501</v>
      </c>
      <c r="C5072" s="718" t="s">
        <v>819</v>
      </c>
      <c r="D5072" s="719" t="s">
        <v>833</v>
      </c>
      <c r="E5072" s="720" t="s">
        <v>831</v>
      </c>
      <c r="F5072" s="721"/>
      <c r="G5072" s="719">
        <v>15</v>
      </c>
      <c r="H5072" s="718" t="s">
        <v>806</v>
      </c>
      <c r="I5072" s="722" t="s">
        <v>882</v>
      </c>
      <c r="J5072" s="723" t="s">
        <v>892</v>
      </c>
      <c r="K5072" s="718">
        <v>10</v>
      </c>
      <c r="L5072" s="724">
        <f t="shared" si="155"/>
        <v>14.1</v>
      </c>
      <c r="M5072" s="725">
        <f t="shared" si="154"/>
        <v>141</v>
      </c>
      <c r="O5072" s="693"/>
    </row>
    <row r="5073" spans="2:16" s="645" customFormat="1" ht="21.75" customHeight="1">
      <c r="B5073" s="661"/>
      <c r="C5073" s="662"/>
      <c r="D5073" s="663"/>
      <c r="E5073" s="664"/>
      <c r="F5073" s="665"/>
      <c r="G5073" s="663"/>
      <c r="H5073" s="662"/>
      <c r="I5073" s="666"/>
      <c r="J5073" s="667"/>
      <c r="K5073" s="662"/>
      <c r="L5073" s="685"/>
      <c r="M5073" s="686"/>
      <c r="O5073" s="693"/>
    </row>
    <row r="5074" spans="2:16" ht="4.2" customHeight="1"/>
    <row r="5075" spans="2:16" ht="21.75" customHeight="1"/>
    <row r="5076" spans="2:16" ht="21.75" customHeight="1">
      <c r="J5076" s="694" t="s">
        <v>883</v>
      </c>
      <c r="K5076" s="695"/>
      <c r="L5076" s="695"/>
      <c r="M5076" s="696">
        <f>ROUND(SUBTOTAL(9,M8:M5075),2)</f>
        <v>444250.58</v>
      </c>
      <c r="O5076" s="641">
        <v>172984.44</v>
      </c>
      <c r="P5076" s="697"/>
    </row>
    <row r="5077" spans="2:16" ht="21.75" customHeight="1"/>
    <row r="5078" spans="2:16" ht="21.75" customHeight="1"/>
    <row r="5081" spans="2:16" ht="21.75" customHeight="1"/>
    <row r="5082" spans="2:16" ht="21.75" customHeight="1"/>
    <row r="5083" spans="2:16" ht="21.75" customHeight="1"/>
    <row r="5084" spans="2:16" ht="21.75" customHeight="1"/>
    <row r="5085" spans="2:16" ht="21.75" customHeight="1"/>
    <row r="5086" spans="2:16" ht="21.75" customHeight="1"/>
    <row r="5087" spans="2:16" ht="21.75" customHeight="1"/>
    <row r="5088" spans="2:16" ht="21.75" customHeight="1"/>
    <row r="5089" ht="21.75" customHeight="1"/>
    <row r="5090" ht="21.75" customHeight="1"/>
    <row r="5091" ht="21.75" customHeight="1"/>
    <row r="5092" ht="21.75" customHeight="1"/>
    <row r="5093" ht="21.75" customHeight="1"/>
  </sheetData>
  <autoFilter ref="B8:M5073" xr:uid="{00000000-0009-0000-0000-000010000000}">
    <filterColumn colId="3" showButton="0"/>
    <sortState xmlns:xlrd2="http://schemas.microsoft.com/office/spreadsheetml/2017/richdata2" ref="B9:M5073">
      <sortCondition ref="B8:B5073"/>
    </sortState>
  </autoFilter>
  <mergeCells count="10">
    <mergeCell ref="Q3:S3"/>
    <mergeCell ref="E4:K4"/>
    <mergeCell ref="B7:M7"/>
    <mergeCell ref="E8:F8"/>
    <mergeCell ref="A1:D4"/>
    <mergeCell ref="E1:K1"/>
    <mergeCell ref="E2:K2"/>
    <mergeCell ref="M2:N2"/>
    <mergeCell ref="E3:K3"/>
    <mergeCell ref="M3:N3"/>
  </mergeCells>
  <pageMargins left="0.70866141732283472" right="0.70866141732283472" top="0.74803149606299213" bottom="0.74803149606299213" header="0.31496062992125984" footer="0.31496062992125984"/>
  <pageSetup paperSize="9" scale="33" fitToHeight="50" orientation="portrait" r:id="rId1"/>
  <rowBreaks count="1" manualBreakCount="1">
    <brk id="5078" max="1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U66"/>
  <sheetViews>
    <sheetView workbookViewId="0"/>
  </sheetViews>
  <sheetFormatPr baseColWidth="10" defaultColWidth="9.109375" defaultRowHeight="13.2"/>
  <cols>
    <col min="1" max="1" width="7.109375" style="453" customWidth="1"/>
    <col min="2" max="2" width="11.88671875" style="454" bestFit="1" customWidth="1"/>
    <col min="3" max="3" width="82.6640625" style="455" customWidth="1"/>
    <col min="4" max="4" width="8.6640625" style="456" customWidth="1"/>
    <col min="5" max="5" width="11.88671875" style="456" bestFit="1" customWidth="1"/>
    <col min="6" max="6" width="17.88671875" style="456" bestFit="1" customWidth="1"/>
    <col min="7" max="7" width="15.33203125" style="456" bestFit="1" customWidth="1"/>
    <col min="8" max="8" width="11.88671875" style="456" customWidth="1"/>
    <col min="9" max="9" width="16.109375" style="456" bestFit="1" customWidth="1"/>
    <col min="10" max="10" width="12.5546875" style="456" bestFit="1" customWidth="1"/>
    <col min="11" max="11" width="14.5546875" style="456" bestFit="1" customWidth="1"/>
    <col min="12" max="12" width="15.88671875" style="456" customWidth="1"/>
    <col min="13" max="13" width="19.109375" style="456" bestFit="1" customWidth="1"/>
    <col min="14" max="14" width="15.88671875" style="456" hidden="1" customWidth="1"/>
    <col min="15" max="15" width="15.88671875" style="456" customWidth="1"/>
    <col min="16" max="17" width="31.6640625" style="456" customWidth="1"/>
    <col min="18" max="18" width="8.5546875" style="453" customWidth="1"/>
    <col min="19" max="19" width="11.5546875" style="453" bestFit="1" customWidth="1"/>
    <col min="20" max="20" width="12" style="453" bestFit="1" customWidth="1"/>
    <col min="21" max="21" width="10.109375" style="453" bestFit="1" customWidth="1"/>
    <col min="22" max="256" width="9.109375" style="453"/>
    <col min="257" max="257" width="2.109375" style="453" customWidth="1"/>
    <col min="258" max="258" width="11.6640625" style="453" customWidth="1"/>
    <col min="259" max="259" width="78" style="453" customWidth="1"/>
    <col min="260" max="260" width="8.6640625" style="453" customWidth="1"/>
    <col min="261" max="261" width="14" style="453" customWidth="1"/>
    <col min="262" max="265" width="15.6640625" style="453" customWidth="1"/>
    <col min="266" max="266" width="18.44140625" style="453" customWidth="1"/>
    <col min="267" max="267" width="3" style="453" customWidth="1"/>
    <col min="268" max="269" width="9.109375" style="453"/>
    <col min="270" max="270" width="34.6640625" style="453" customWidth="1"/>
    <col min="271" max="271" width="27" style="453" customWidth="1"/>
    <col min="272" max="512" width="9.109375" style="453"/>
    <col min="513" max="513" width="2.109375" style="453" customWidth="1"/>
    <col min="514" max="514" width="11.6640625" style="453" customWidth="1"/>
    <col min="515" max="515" width="78" style="453" customWidth="1"/>
    <col min="516" max="516" width="8.6640625" style="453" customWidth="1"/>
    <col min="517" max="517" width="14" style="453" customWidth="1"/>
    <col min="518" max="521" width="15.6640625" style="453" customWidth="1"/>
    <col min="522" max="522" width="18.44140625" style="453" customWidth="1"/>
    <col min="523" max="523" width="3" style="453" customWidth="1"/>
    <col min="524" max="525" width="9.109375" style="453"/>
    <col min="526" max="526" width="34.6640625" style="453" customWidth="1"/>
    <col min="527" max="527" width="27" style="453" customWidth="1"/>
    <col min="528" max="768" width="9.109375" style="453"/>
    <col min="769" max="769" width="2.109375" style="453" customWidth="1"/>
    <col min="770" max="770" width="11.6640625" style="453" customWidth="1"/>
    <col min="771" max="771" width="78" style="453" customWidth="1"/>
    <col min="772" max="772" width="8.6640625" style="453" customWidth="1"/>
    <col min="773" max="773" width="14" style="453" customWidth="1"/>
    <col min="774" max="777" width="15.6640625" style="453" customWidth="1"/>
    <col min="778" max="778" width="18.44140625" style="453" customWidth="1"/>
    <col min="779" max="779" width="3" style="453" customWidth="1"/>
    <col min="780" max="781" width="9.109375" style="453"/>
    <col min="782" max="782" width="34.6640625" style="453" customWidth="1"/>
    <col min="783" max="783" width="27" style="453" customWidth="1"/>
    <col min="784" max="1024" width="9.109375" style="453"/>
    <col min="1025" max="1025" width="2.109375" style="453" customWidth="1"/>
    <col min="1026" max="1026" width="11.6640625" style="453" customWidth="1"/>
    <col min="1027" max="1027" width="78" style="453" customWidth="1"/>
    <col min="1028" max="1028" width="8.6640625" style="453" customWidth="1"/>
    <col min="1029" max="1029" width="14" style="453" customWidth="1"/>
    <col min="1030" max="1033" width="15.6640625" style="453" customWidth="1"/>
    <col min="1034" max="1034" width="18.44140625" style="453" customWidth="1"/>
    <col min="1035" max="1035" width="3" style="453" customWidth="1"/>
    <col min="1036" max="1037" width="9.109375" style="453"/>
    <col min="1038" max="1038" width="34.6640625" style="453" customWidth="1"/>
    <col min="1039" max="1039" width="27" style="453" customWidth="1"/>
    <col min="1040" max="1280" width="9.109375" style="453"/>
    <col min="1281" max="1281" width="2.109375" style="453" customWidth="1"/>
    <col min="1282" max="1282" width="11.6640625" style="453" customWidth="1"/>
    <col min="1283" max="1283" width="78" style="453" customWidth="1"/>
    <col min="1284" max="1284" width="8.6640625" style="453" customWidth="1"/>
    <col min="1285" max="1285" width="14" style="453" customWidth="1"/>
    <col min="1286" max="1289" width="15.6640625" style="453" customWidth="1"/>
    <col min="1290" max="1290" width="18.44140625" style="453" customWidth="1"/>
    <col min="1291" max="1291" width="3" style="453" customWidth="1"/>
    <col min="1292" max="1293" width="9.109375" style="453"/>
    <col min="1294" max="1294" width="34.6640625" style="453" customWidth="1"/>
    <col min="1295" max="1295" width="27" style="453" customWidth="1"/>
    <col min="1296" max="1536" width="9.109375" style="453"/>
    <col min="1537" max="1537" width="2.109375" style="453" customWidth="1"/>
    <col min="1538" max="1538" width="11.6640625" style="453" customWidth="1"/>
    <col min="1539" max="1539" width="78" style="453" customWidth="1"/>
    <col min="1540" max="1540" width="8.6640625" style="453" customWidth="1"/>
    <col min="1541" max="1541" width="14" style="453" customWidth="1"/>
    <col min="1542" max="1545" width="15.6640625" style="453" customWidth="1"/>
    <col min="1546" max="1546" width="18.44140625" style="453" customWidth="1"/>
    <col min="1547" max="1547" width="3" style="453" customWidth="1"/>
    <col min="1548" max="1549" width="9.109375" style="453"/>
    <col min="1550" max="1550" width="34.6640625" style="453" customWidth="1"/>
    <col min="1551" max="1551" width="27" style="453" customWidth="1"/>
    <col min="1552" max="1792" width="9.109375" style="453"/>
    <col min="1793" max="1793" width="2.109375" style="453" customWidth="1"/>
    <col min="1794" max="1794" width="11.6640625" style="453" customWidth="1"/>
    <col min="1795" max="1795" width="78" style="453" customWidth="1"/>
    <col min="1796" max="1796" width="8.6640625" style="453" customWidth="1"/>
    <col min="1797" max="1797" width="14" style="453" customWidth="1"/>
    <col min="1798" max="1801" width="15.6640625" style="453" customWidth="1"/>
    <col min="1802" max="1802" width="18.44140625" style="453" customWidth="1"/>
    <col min="1803" max="1803" width="3" style="453" customWidth="1"/>
    <col min="1804" max="1805" width="9.109375" style="453"/>
    <col min="1806" max="1806" width="34.6640625" style="453" customWidth="1"/>
    <col min="1807" max="1807" width="27" style="453" customWidth="1"/>
    <col min="1808" max="2048" width="9.109375" style="453"/>
    <col min="2049" max="2049" width="2.109375" style="453" customWidth="1"/>
    <col min="2050" max="2050" width="11.6640625" style="453" customWidth="1"/>
    <col min="2051" max="2051" width="78" style="453" customWidth="1"/>
    <col min="2052" max="2052" width="8.6640625" style="453" customWidth="1"/>
    <col min="2053" max="2053" width="14" style="453" customWidth="1"/>
    <col min="2054" max="2057" width="15.6640625" style="453" customWidth="1"/>
    <col min="2058" max="2058" width="18.44140625" style="453" customWidth="1"/>
    <col min="2059" max="2059" width="3" style="453" customWidth="1"/>
    <col min="2060" max="2061" width="9.109375" style="453"/>
    <col min="2062" max="2062" width="34.6640625" style="453" customWidth="1"/>
    <col min="2063" max="2063" width="27" style="453" customWidth="1"/>
    <col min="2064" max="2304" width="9.109375" style="453"/>
    <col min="2305" max="2305" width="2.109375" style="453" customWidth="1"/>
    <col min="2306" max="2306" width="11.6640625" style="453" customWidth="1"/>
    <col min="2307" max="2307" width="78" style="453" customWidth="1"/>
    <col min="2308" max="2308" width="8.6640625" style="453" customWidth="1"/>
    <col min="2309" max="2309" width="14" style="453" customWidth="1"/>
    <col min="2310" max="2313" width="15.6640625" style="453" customWidth="1"/>
    <col min="2314" max="2314" width="18.44140625" style="453" customWidth="1"/>
    <col min="2315" max="2315" width="3" style="453" customWidth="1"/>
    <col min="2316" max="2317" width="9.109375" style="453"/>
    <col min="2318" max="2318" width="34.6640625" style="453" customWidth="1"/>
    <col min="2319" max="2319" width="27" style="453" customWidth="1"/>
    <col min="2320" max="2560" width="9.109375" style="453"/>
    <col min="2561" max="2561" width="2.109375" style="453" customWidth="1"/>
    <col min="2562" max="2562" width="11.6640625" style="453" customWidth="1"/>
    <col min="2563" max="2563" width="78" style="453" customWidth="1"/>
    <col min="2564" max="2564" width="8.6640625" style="453" customWidth="1"/>
    <col min="2565" max="2565" width="14" style="453" customWidth="1"/>
    <col min="2566" max="2569" width="15.6640625" style="453" customWidth="1"/>
    <col min="2570" max="2570" width="18.44140625" style="453" customWidth="1"/>
    <col min="2571" max="2571" width="3" style="453" customWidth="1"/>
    <col min="2572" max="2573" width="9.109375" style="453"/>
    <col min="2574" max="2574" width="34.6640625" style="453" customWidth="1"/>
    <col min="2575" max="2575" width="27" style="453" customWidth="1"/>
    <col min="2576" max="2816" width="9.109375" style="453"/>
    <col min="2817" max="2817" width="2.109375" style="453" customWidth="1"/>
    <col min="2818" max="2818" width="11.6640625" style="453" customWidth="1"/>
    <col min="2819" max="2819" width="78" style="453" customWidth="1"/>
    <col min="2820" max="2820" width="8.6640625" style="453" customWidth="1"/>
    <col min="2821" max="2821" width="14" style="453" customWidth="1"/>
    <col min="2822" max="2825" width="15.6640625" style="453" customWidth="1"/>
    <col min="2826" max="2826" width="18.44140625" style="453" customWidth="1"/>
    <col min="2827" max="2827" width="3" style="453" customWidth="1"/>
    <col min="2828" max="2829" width="9.109375" style="453"/>
    <col min="2830" max="2830" width="34.6640625" style="453" customWidth="1"/>
    <col min="2831" max="2831" width="27" style="453" customWidth="1"/>
    <col min="2832" max="3072" width="9.109375" style="453"/>
    <col min="3073" max="3073" width="2.109375" style="453" customWidth="1"/>
    <col min="3074" max="3074" width="11.6640625" style="453" customWidth="1"/>
    <col min="3075" max="3075" width="78" style="453" customWidth="1"/>
    <col min="3076" max="3076" width="8.6640625" style="453" customWidth="1"/>
    <col min="3077" max="3077" width="14" style="453" customWidth="1"/>
    <col min="3078" max="3081" width="15.6640625" style="453" customWidth="1"/>
    <col min="3082" max="3082" width="18.44140625" style="453" customWidth="1"/>
    <col min="3083" max="3083" width="3" style="453" customWidth="1"/>
    <col min="3084" max="3085" width="9.109375" style="453"/>
    <col min="3086" max="3086" width="34.6640625" style="453" customWidth="1"/>
    <col min="3087" max="3087" width="27" style="453" customWidth="1"/>
    <col min="3088" max="3328" width="9.109375" style="453"/>
    <col min="3329" max="3329" width="2.109375" style="453" customWidth="1"/>
    <col min="3330" max="3330" width="11.6640625" style="453" customWidth="1"/>
    <col min="3331" max="3331" width="78" style="453" customWidth="1"/>
    <col min="3332" max="3332" width="8.6640625" style="453" customWidth="1"/>
    <col min="3333" max="3333" width="14" style="453" customWidth="1"/>
    <col min="3334" max="3337" width="15.6640625" style="453" customWidth="1"/>
    <col min="3338" max="3338" width="18.44140625" style="453" customWidth="1"/>
    <col min="3339" max="3339" width="3" style="453" customWidth="1"/>
    <col min="3340" max="3341" width="9.109375" style="453"/>
    <col min="3342" max="3342" width="34.6640625" style="453" customWidth="1"/>
    <col min="3343" max="3343" width="27" style="453" customWidth="1"/>
    <col min="3344" max="3584" width="9.109375" style="453"/>
    <col min="3585" max="3585" width="2.109375" style="453" customWidth="1"/>
    <col min="3586" max="3586" width="11.6640625" style="453" customWidth="1"/>
    <col min="3587" max="3587" width="78" style="453" customWidth="1"/>
    <col min="3588" max="3588" width="8.6640625" style="453" customWidth="1"/>
    <col min="3589" max="3589" width="14" style="453" customWidth="1"/>
    <col min="3590" max="3593" width="15.6640625" style="453" customWidth="1"/>
    <col min="3594" max="3594" width="18.44140625" style="453" customWidth="1"/>
    <col min="3595" max="3595" width="3" style="453" customWidth="1"/>
    <col min="3596" max="3597" width="9.109375" style="453"/>
    <col min="3598" max="3598" width="34.6640625" style="453" customWidth="1"/>
    <col min="3599" max="3599" width="27" style="453" customWidth="1"/>
    <col min="3600" max="3840" width="9.109375" style="453"/>
    <col min="3841" max="3841" width="2.109375" style="453" customWidth="1"/>
    <col min="3842" max="3842" width="11.6640625" style="453" customWidth="1"/>
    <col min="3843" max="3843" width="78" style="453" customWidth="1"/>
    <col min="3844" max="3844" width="8.6640625" style="453" customWidth="1"/>
    <col min="3845" max="3845" width="14" style="453" customWidth="1"/>
    <col min="3846" max="3849" width="15.6640625" style="453" customWidth="1"/>
    <col min="3850" max="3850" width="18.44140625" style="453" customWidth="1"/>
    <col min="3851" max="3851" width="3" style="453" customWidth="1"/>
    <col min="3852" max="3853" width="9.109375" style="453"/>
    <col min="3854" max="3854" width="34.6640625" style="453" customWidth="1"/>
    <col min="3855" max="3855" width="27" style="453" customWidth="1"/>
    <col min="3856" max="4096" width="9.109375" style="453"/>
    <col min="4097" max="4097" width="2.109375" style="453" customWidth="1"/>
    <col min="4098" max="4098" width="11.6640625" style="453" customWidth="1"/>
    <col min="4099" max="4099" width="78" style="453" customWidth="1"/>
    <col min="4100" max="4100" width="8.6640625" style="453" customWidth="1"/>
    <col min="4101" max="4101" width="14" style="453" customWidth="1"/>
    <col min="4102" max="4105" width="15.6640625" style="453" customWidth="1"/>
    <col min="4106" max="4106" width="18.44140625" style="453" customWidth="1"/>
    <col min="4107" max="4107" width="3" style="453" customWidth="1"/>
    <col min="4108" max="4109" width="9.109375" style="453"/>
    <col min="4110" max="4110" width="34.6640625" style="453" customWidth="1"/>
    <col min="4111" max="4111" width="27" style="453" customWidth="1"/>
    <col min="4112" max="4352" width="9.109375" style="453"/>
    <col min="4353" max="4353" width="2.109375" style="453" customWidth="1"/>
    <col min="4354" max="4354" width="11.6640625" style="453" customWidth="1"/>
    <col min="4355" max="4355" width="78" style="453" customWidth="1"/>
    <col min="4356" max="4356" width="8.6640625" style="453" customWidth="1"/>
    <col min="4357" max="4357" width="14" style="453" customWidth="1"/>
    <col min="4358" max="4361" width="15.6640625" style="453" customWidth="1"/>
    <col min="4362" max="4362" width="18.44140625" style="453" customWidth="1"/>
    <col min="4363" max="4363" width="3" style="453" customWidth="1"/>
    <col min="4364" max="4365" width="9.109375" style="453"/>
    <col min="4366" max="4366" width="34.6640625" style="453" customWidth="1"/>
    <col min="4367" max="4367" width="27" style="453" customWidth="1"/>
    <col min="4368" max="4608" width="9.109375" style="453"/>
    <col min="4609" max="4609" width="2.109375" style="453" customWidth="1"/>
    <col min="4610" max="4610" width="11.6640625" style="453" customWidth="1"/>
    <col min="4611" max="4611" width="78" style="453" customWidth="1"/>
    <col min="4612" max="4612" width="8.6640625" style="453" customWidth="1"/>
    <col min="4613" max="4613" width="14" style="453" customWidth="1"/>
    <col min="4614" max="4617" width="15.6640625" style="453" customWidth="1"/>
    <col min="4618" max="4618" width="18.44140625" style="453" customWidth="1"/>
    <col min="4619" max="4619" width="3" style="453" customWidth="1"/>
    <col min="4620" max="4621" width="9.109375" style="453"/>
    <col min="4622" max="4622" width="34.6640625" style="453" customWidth="1"/>
    <col min="4623" max="4623" width="27" style="453" customWidth="1"/>
    <col min="4624" max="4864" width="9.109375" style="453"/>
    <col min="4865" max="4865" width="2.109375" style="453" customWidth="1"/>
    <col min="4866" max="4866" width="11.6640625" style="453" customWidth="1"/>
    <col min="4867" max="4867" width="78" style="453" customWidth="1"/>
    <col min="4868" max="4868" width="8.6640625" style="453" customWidth="1"/>
    <col min="4869" max="4869" width="14" style="453" customWidth="1"/>
    <col min="4870" max="4873" width="15.6640625" style="453" customWidth="1"/>
    <col min="4874" max="4874" width="18.44140625" style="453" customWidth="1"/>
    <col min="4875" max="4875" width="3" style="453" customWidth="1"/>
    <col min="4876" max="4877" width="9.109375" style="453"/>
    <col min="4878" max="4878" width="34.6640625" style="453" customWidth="1"/>
    <col min="4879" max="4879" width="27" style="453" customWidth="1"/>
    <col min="4880" max="5120" width="9.109375" style="453"/>
    <col min="5121" max="5121" width="2.109375" style="453" customWidth="1"/>
    <col min="5122" max="5122" width="11.6640625" style="453" customWidth="1"/>
    <col min="5123" max="5123" width="78" style="453" customWidth="1"/>
    <col min="5124" max="5124" width="8.6640625" style="453" customWidth="1"/>
    <col min="5125" max="5125" width="14" style="453" customWidth="1"/>
    <col min="5126" max="5129" width="15.6640625" style="453" customWidth="1"/>
    <col min="5130" max="5130" width="18.44140625" style="453" customWidth="1"/>
    <col min="5131" max="5131" width="3" style="453" customWidth="1"/>
    <col min="5132" max="5133" width="9.109375" style="453"/>
    <col min="5134" max="5134" width="34.6640625" style="453" customWidth="1"/>
    <col min="5135" max="5135" width="27" style="453" customWidth="1"/>
    <col min="5136" max="5376" width="9.109375" style="453"/>
    <col min="5377" max="5377" width="2.109375" style="453" customWidth="1"/>
    <col min="5378" max="5378" width="11.6640625" style="453" customWidth="1"/>
    <col min="5379" max="5379" width="78" style="453" customWidth="1"/>
    <col min="5380" max="5380" width="8.6640625" style="453" customWidth="1"/>
    <col min="5381" max="5381" width="14" style="453" customWidth="1"/>
    <col min="5382" max="5385" width="15.6640625" style="453" customWidth="1"/>
    <col min="5386" max="5386" width="18.44140625" style="453" customWidth="1"/>
    <col min="5387" max="5387" width="3" style="453" customWidth="1"/>
    <col min="5388" max="5389" width="9.109375" style="453"/>
    <col min="5390" max="5390" width="34.6640625" style="453" customWidth="1"/>
    <col min="5391" max="5391" width="27" style="453" customWidth="1"/>
    <col min="5392" max="5632" width="9.109375" style="453"/>
    <col min="5633" max="5633" width="2.109375" style="453" customWidth="1"/>
    <col min="5634" max="5634" width="11.6640625" style="453" customWidth="1"/>
    <col min="5635" max="5635" width="78" style="453" customWidth="1"/>
    <col min="5636" max="5636" width="8.6640625" style="453" customWidth="1"/>
    <col min="5637" max="5637" width="14" style="453" customWidth="1"/>
    <col min="5638" max="5641" width="15.6640625" style="453" customWidth="1"/>
    <col min="5642" max="5642" width="18.44140625" style="453" customWidth="1"/>
    <col min="5643" max="5643" width="3" style="453" customWidth="1"/>
    <col min="5644" max="5645" width="9.109375" style="453"/>
    <col min="5646" max="5646" width="34.6640625" style="453" customWidth="1"/>
    <col min="5647" max="5647" width="27" style="453" customWidth="1"/>
    <col min="5648" max="5888" width="9.109375" style="453"/>
    <col min="5889" max="5889" width="2.109375" style="453" customWidth="1"/>
    <col min="5890" max="5890" width="11.6640625" style="453" customWidth="1"/>
    <col min="5891" max="5891" width="78" style="453" customWidth="1"/>
    <col min="5892" max="5892" width="8.6640625" style="453" customWidth="1"/>
    <col min="5893" max="5893" width="14" style="453" customWidth="1"/>
    <col min="5894" max="5897" width="15.6640625" style="453" customWidth="1"/>
    <col min="5898" max="5898" width="18.44140625" style="453" customWidth="1"/>
    <col min="5899" max="5899" width="3" style="453" customWidth="1"/>
    <col min="5900" max="5901" width="9.109375" style="453"/>
    <col min="5902" max="5902" width="34.6640625" style="453" customWidth="1"/>
    <col min="5903" max="5903" width="27" style="453" customWidth="1"/>
    <col min="5904" max="6144" width="9.109375" style="453"/>
    <col min="6145" max="6145" width="2.109375" style="453" customWidth="1"/>
    <col min="6146" max="6146" width="11.6640625" style="453" customWidth="1"/>
    <col min="6147" max="6147" width="78" style="453" customWidth="1"/>
    <col min="6148" max="6148" width="8.6640625" style="453" customWidth="1"/>
    <col min="6149" max="6149" width="14" style="453" customWidth="1"/>
    <col min="6150" max="6153" width="15.6640625" style="453" customWidth="1"/>
    <col min="6154" max="6154" width="18.44140625" style="453" customWidth="1"/>
    <col min="6155" max="6155" width="3" style="453" customWidth="1"/>
    <col min="6156" max="6157" width="9.109375" style="453"/>
    <col min="6158" max="6158" width="34.6640625" style="453" customWidth="1"/>
    <col min="6159" max="6159" width="27" style="453" customWidth="1"/>
    <col min="6160" max="6400" width="9.109375" style="453"/>
    <col min="6401" max="6401" width="2.109375" style="453" customWidth="1"/>
    <col min="6402" max="6402" width="11.6640625" style="453" customWidth="1"/>
    <col min="6403" max="6403" width="78" style="453" customWidth="1"/>
    <col min="6404" max="6404" width="8.6640625" style="453" customWidth="1"/>
    <col min="6405" max="6405" width="14" style="453" customWidth="1"/>
    <col min="6406" max="6409" width="15.6640625" style="453" customWidth="1"/>
    <col min="6410" max="6410" width="18.44140625" style="453" customWidth="1"/>
    <col min="6411" max="6411" width="3" style="453" customWidth="1"/>
    <col min="6412" max="6413" width="9.109375" style="453"/>
    <col min="6414" max="6414" width="34.6640625" style="453" customWidth="1"/>
    <col min="6415" max="6415" width="27" style="453" customWidth="1"/>
    <col min="6416" max="6656" width="9.109375" style="453"/>
    <col min="6657" max="6657" width="2.109375" style="453" customWidth="1"/>
    <col min="6658" max="6658" width="11.6640625" style="453" customWidth="1"/>
    <col min="6659" max="6659" width="78" style="453" customWidth="1"/>
    <col min="6660" max="6660" width="8.6640625" style="453" customWidth="1"/>
    <col min="6661" max="6661" width="14" style="453" customWidth="1"/>
    <col min="6662" max="6665" width="15.6640625" style="453" customWidth="1"/>
    <col min="6666" max="6666" width="18.44140625" style="453" customWidth="1"/>
    <col min="6667" max="6667" width="3" style="453" customWidth="1"/>
    <col min="6668" max="6669" width="9.109375" style="453"/>
    <col min="6670" max="6670" width="34.6640625" style="453" customWidth="1"/>
    <col min="6671" max="6671" width="27" style="453" customWidth="1"/>
    <col min="6672" max="6912" width="9.109375" style="453"/>
    <col min="6913" max="6913" width="2.109375" style="453" customWidth="1"/>
    <col min="6914" max="6914" width="11.6640625" style="453" customWidth="1"/>
    <col min="6915" max="6915" width="78" style="453" customWidth="1"/>
    <col min="6916" max="6916" width="8.6640625" style="453" customWidth="1"/>
    <col min="6917" max="6917" width="14" style="453" customWidth="1"/>
    <col min="6918" max="6921" width="15.6640625" style="453" customWidth="1"/>
    <col min="6922" max="6922" width="18.44140625" style="453" customWidth="1"/>
    <col min="6923" max="6923" width="3" style="453" customWidth="1"/>
    <col min="6924" max="6925" width="9.109375" style="453"/>
    <col min="6926" max="6926" width="34.6640625" style="453" customWidth="1"/>
    <col min="6927" max="6927" width="27" style="453" customWidth="1"/>
    <col min="6928" max="7168" width="9.109375" style="453"/>
    <col min="7169" max="7169" width="2.109375" style="453" customWidth="1"/>
    <col min="7170" max="7170" width="11.6640625" style="453" customWidth="1"/>
    <col min="7171" max="7171" width="78" style="453" customWidth="1"/>
    <col min="7172" max="7172" width="8.6640625" style="453" customWidth="1"/>
    <col min="7173" max="7173" width="14" style="453" customWidth="1"/>
    <col min="7174" max="7177" width="15.6640625" style="453" customWidth="1"/>
    <col min="7178" max="7178" width="18.44140625" style="453" customWidth="1"/>
    <col min="7179" max="7179" width="3" style="453" customWidth="1"/>
    <col min="7180" max="7181" width="9.109375" style="453"/>
    <col min="7182" max="7182" width="34.6640625" style="453" customWidth="1"/>
    <col min="7183" max="7183" width="27" style="453" customWidth="1"/>
    <col min="7184" max="7424" width="9.109375" style="453"/>
    <col min="7425" max="7425" width="2.109375" style="453" customWidth="1"/>
    <col min="7426" max="7426" width="11.6640625" style="453" customWidth="1"/>
    <col min="7427" max="7427" width="78" style="453" customWidth="1"/>
    <col min="7428" max="7428" width="8.6640625" style="453" customWidth="1"/>
    <col min="7429" max="7429" width="14" style="453" customWidth="1"/>
    <col min="7430" max="7433" width="15.6640625" style="453" customWidth="1"/>
    <col min="7434" max="7434" width="18.44140625" style="453" customWidth="1"/>
    <col min="7435" max="7435" width="3" style="453" customWidth="1"/>
    <col min="7436" max="7437" width="9.109375" style="453"/>
    <col min="7438" max="7438" width="34.6640625" style="453" customWidth="1"/>
    <col min="7439" max="7439" width="27" style="453" customWidth="1"/>
    <col min="7440" max="7680" width="9.109375" style="453"/>
    <col min="7681" max="7681" width="2.109375" style="453" customWidth="1"/>
    <col min="7682" max="7682" width="11.6640625" style="453" customWidth="1"/>
    <col min="7683" max="7683" width="78" style="453" customWidth="1"/>
    <col min="7684" max="7684" width="8.6640625" style="453" customWidth="1"/>
    <col min="7685" max="7685" width="14" style="453" customWidth="1"/>
    <col min="7686" max="7689" width="15.6640625" style="453" customWidth="1"/>
    <col min="7690" max="7690" width="18.44140625" style="453" customWidth="1"/>
    <col min="7691" max="7691" width="3" style="453" customWidth="1"/>
    <col min="7692" max="7693" width="9.109375" style="453"/>
    <col min="7694" max="7694" width="34.6640625" style="453" customWidth="1"/>
    <col min="7695" max="7695" width="27" style="453" customWidth="1"/>
    <col min="7696" max="7936" width="9.109375" style="453"/>
    <col min="7937" max="7937" width="2.109375" style="453" customWidth="1"/>
    <col min="7938" max="7938" width="11.6640625" style="453" customWidth="1"/>
    <col min="7939" max="7939" width="78" style="453" customWidth="1"/>
    <col min="7940" max="7940" width="8.6640625" style="453" customWidth="1"/>
    <col min="7941" max="7941" width="14" style="453" customWidth="1"/>
    <col min="7942" max="7945" width="15.6640625" style="453" customWidth="1"/>
    <col min="7946" max="7946" width="18.44140625" style="453" customWidth="1"/>
    <col min="7947" max="7947" width="3" style="453" customWidth="1"/>
    <col min="7948" max="7949" width="9.109375" style="453"/>
    <col min="7950" max="7950" width="34.6640625" style="453" customWidth="1"/>
    <col min="7951" max="7951" width="27" style="453" customWidth="1"/>
    <col min="7952" max="8192" width="9.109375" style="453"/>
    <col min="8193" max="8193" width="2.109375" style="453" customWidth="1"/>
    <col min="8194" max="8194" width="11.6640625" style="453" customWidth="1"/>
    <col min="8195" max="8195" width="78" style="453" customWidth="1"/>
    <col min="8196" max="8196" width="8.6640625" style="453" customWidth="1"/>
    <col min="8197" max="8197" width="14" style="453" customWidth="1"/>
    <col min="8198" max="8201" width="15.6640625" style="453" customWidth="1"/>
    <col min="8202" max="8202" width="18.44140625" style="453" customWidth="1"/>
    <col min="8203" max="8203" width="3" style="453" customWidth="1"/>
    <col min="8204" max="8205" width="9.109375" style="453"/>
    <col min="8206" max="8206" width="34.6640625" style="453" customWidth="1"/>
    <col min="8207" max="8207" width="27" style="453" customWidth="1"/>
    <col min="8208" max="8448" width="9.109375" style="453"/>
    <col min="8449" max="8449" width="2.109375" style="453" customWidth="1"/>
    <col min="8450" max="8450" width="11.6640625" style="453" customWidth="1"/>
    <col min="8451" max="8451" width="78" style="453" customWidth="1"/>
    <col min="8452" max="8452" width="8.6640625" style="453" customWidth="1"/>
    <col min="8453" max="8453" width="14" style="453" customWidth="1"/>
    <col min="8454" max="8457" width="15.6640625" style="453" customWidth="1"/>
    <col min="8458" max="8458" width="18.44140625" style="453" customWidth="1"/>
    <col min="8459" max="8459" width="3" style="453" customWidth="1"/>
    <col min="8460" max="8461" width="9.109375" style="453"/>
    <col min="8462" max="8462" width="34.6640625" style="453" customWidth="1"/>
    <col min="8463" max="8463" width="27" style="453" customWidth="1"/>
    <col min="8464" max="8704" width="9.109375" style="453"/>
    <col min="8705" max="8705" width="2.109375" style="453" customWidth="1"/>
    <col min="8706" max="8706" width="11.6640625" style="453" customWidth="1"/>
    <col min="8707" max="8707" width="78" style="453" customWidth="1"/>
    <col min="8708" max="8708" width="8.6640625" style="453" customWidth="1"/>
    <col min="8709" max="8709" width="14" style="453" customWidth="1"/>
    <col min="8710" max="8713" width="15.6640625" style="453" customWidth="1"/>
    <col min="8714" max="8714" width="18.44140625" style="453" customWidth="1"/>
    <col min="8715" max="8715" width="3" style="453" customWidth="1"/>
    <col min="8716" max="8717" width="9.109375" style="453"/>
    <col min="8718" max="8718" width="34.6640625" style="453" customWidth="1"/>
    <col min="8719" max="8719" width="27" style="453" customWidth="1"/>
    <col min="8720" max="8960" width="9.109375" style="453"/>
    <col min="8961" max="8961" width="2.109375" style="453" customWidth="1"/>
    <col min="8962" max="8962" width="11.6640625" style="453" customWidth="1"/>
    <col min="8963" max="8963" width="78" style="453" customWidth="1"/>
    <col min="8964" max="8964" width="8.6640625" style="453" customWidth="1"/>
    <col min="8965" max="8965" width="14" style="453" customWidth="1"/>
    <col min="8966" max="8969" width="15.6640625" style="453" customWidth="1"/>
    <col min="8970" max="8970" width="18.44140625" style="453" customWidth="1"/>
    <col min="8971" max="8971" width="3" style="453" customWidth="1"/>
    <col min="8972" max="8973" width="9.109375" style="453"/>
    <col min="8974" max="8974" width="34.6640625" style="453" customWidth="1"/>
    <col min="8975" max="8975" width="27" style="453" customWidth="1"/>
    <col min="8976" max="9216" width="9.109375" style="453"/>
    <col min="9217" max="9217" width="2.109375" style="453" customWidth="1"/>
    <col min="9218" max="9218" width="11.6640625" style="453" customWidth="1"/>
    <col min="9219" max="9219" width="78" style="453" customWidth="1"/>
    <col min="9220" max="9220" width="8.6640625" style="453" customWidth="1"/>
    <col min="9221" max="9221" width="14" style="453" customWidth="1"/>
    <col min="9222" max="9225" width="15.6640625" style="453" customWidth="1"/>
    <col min="9226" max="9226" width="18.44140625" style="453" customWidth="1"/>
    <col min="9227" max="9227" width="3" style="453" customWidth="1"/>
    <col min="9228" max="9229" width="9.109375" style="453"/>
    <col min="9230" max="9230" width="34.6640625" style="453" customWidth="1"/>
    <col min="9231" max="9231" width="27" style="453" customWidth="1"/>
    <col min="9232" max="9472" width="9.109375" style="453"/>
    <col min="9473" max="9473" width="2.109375" style="453" customWidth="1"/>
    <col min="9474" max="9474" width="11.6640625" style="453" customWidth="1"/>
    <col min="9475" max="9475" width="78" style="453" customWidth="1"/>
    <col min="9476" max="9476" width="8.6640625" style="453" customWidth="1"/>
    <col min="9477" max="9477" width="14" style="453" customWidth="1"/>
    <col min="9478" max="9481" width="15.6640625" style="453" customWidth="1"/>
    <col min="9482" max="9482" width="18.44140625" style="453" customWidth="1"/>
    <col min="9483" max="9483" width="3" style="453" customWidth="1"/>
    <col min="9484" max="9485" width="9.109375" style="453"/>
    <col min="9486" max="9486" width="34.6640625" style="453" customWidth="1"/>
    <col min="9487" max="9487" width="27" style="453" customWidth="1"/>
    <col min="9488" max="9728" width="9.109375" style="453"/>
    <col min="9729" max="9729" width="2.109375" style="453" customWidth="1"/>
    <col min="9730" max="9730" width="11.6640625" style="453" customWidth="1"/>
    <col min="9731" max="9731" width="78" style="453" customWidth="1"/>
    <col min="9732" max="9732" width="8.6640625" style="453" customWidth="1"/>
    <col min="9733" max="9733" width="14" style="453" customWidth="1"/>
    <col min="9734" max="9737" width="15.6640625" style="453" customWidth="1"/>
    <col min="9738" max="9738" width="18.44140625" style="453" customWidth="1"/>
    <col min="9739" max="9739" width="3" style="453" customWidth="1"/>
    <col min="9740" max="9741" width="9.109375" style="453"/>
    <col min="9742" max="9742" width="34.6640625" style="453" customWidth="1"/>
    <col min="9743" max="9743" width="27" style="453" customWidth="1"/>
    <col min="9744" max="9984" width="9.109375" style="453"/>
    <col min="9985" max="9985" width="2.109375" style="453" customWidth="1"/>
    <col min="9986" max="9986" width="11.6640625" style="453" customWidth="1"/>
    <col min="9987" max="9987" width="78" style="453" customWidth="1"/>
    <col min="9988" max="9988" width="8.6640625" style="453" customWidth="1"/>
    <col min="9989" max="9989" width="14" style="453" customWidth="1"/>
    <col min="9990" max="9993" width="15.6640625" style="453" customWidth="1"/>
    <col min="9994" max="9994" width="18.44140625" style="453" customWidth="1"/>
    <col min="9995" max="9995" width="3" style="453" customWidth="1"/>
    <col min="9996" max="9997" width="9.109375" style="453"/>
    <col min="9998" max="9998" width="34.6640625" style="453" customWidth="1"/>
    <col min="9999" max="9999" width="27" style="453" customWidth="1"/>
    <col min="10000" max="10240" width="9.109375" style="453"/>
    <col min="10241" max="10241" width="2.109375" style="453" customWidth="1"/>
    <col min="10242" max="10242" width="11.6640625" style="453" customWidth="1"/>
    <col min="10243" max="10243" width="78" style="453" customWidth="1"/>
    <col min="10244" max="10244" width="8.6640625" style="453" customWidth="1"/>
    <col min="10245" max="10245" width="14" style="453" customWidth="1"/>
    <col min="10246" max="10249" width="15.6640625" style="453" customWidth="1"/>
    <col min="10250" max="10250" width="18.44140625" style="453" customWidth="1"/>
    <col min="10251" max="10251" width="3" style="453" customWidth="1"/>
    <col min="10252" max="10253" width="9.109375" style="453"/>
    <col min="10254" max="10254" width="34.6640625" style="453" customWidth="1"/>
    <col min="10255" max="10255" width="27" style="453" customWidth="1"/>
    <col min="10256" max="10496" width="9.109375" style="453"/>
    <col min="10497" max="10497" width="2.109375" style="453" customWidth="1"/>
    <col min="10498" max="10498" width="11.6640625" style="453" customWidth="1"/>
    <col min="10499" max="10499" width="78" style="453" customWidth="1"/>
    <col min="10500" max="10500" width="8.6640625" style="453" customWidth="1"/>
    <col min="10501" max="10501" width="14" style="453" customWidth="1"/>
    <col min="10502" max="10505" width="15.6640625" style="453" customWidth="1"/>
    <col min="10506" max="10506" width="18.44140625" style="453" customWidth="1"/>
    <col min="10507" max="10507" width="3" style="453" customWidth="1"/>
    <col min="10508" max="10509" width="9.109375" style="453"/>
    <col min="10510" max="10510" width="34.6640625" style="453" customWidth="1"/>
    <col min="10511" max="10511" width="27" style="453" customWidth="1"/>
    <col min="10512" max="10752" width="9.109375" style="453"/>
    <col min="10753" max="10753" width="2.109375" style="453" customWidth="1"/>
    <col min="10754" max="10754" width="11.6640625" style="453" customWidth="1"/>
    <col min="10755" max="10755" width="78" style="453" customWidth="1"/>
    <col min="10756" max="10756" width="8.6640625" style="453" customWidth="1"/>
    <col min="10757" max="10757" width="14" style="453" customWidth="1"/>
    <col min="10758" max="10761" width="15.6640625" style="453" customWidth="1"/>
    <col min="10762" max="10762" width="18.44140625" style="453" customWidth="1"/>
    <col min="10763" max="10763" width="3" style="453" customWidth="1"/>
    <col min="10764" max="10765" width="9.109375" style="453"/>
    <col min="10766" max="10766" width="34.6640625" style="453" customWidth="1"/>
    <col min="10767" max="10767" width="27" style="453" customWidth="1"/>
    <col min="10768" max="11008" width="9.109375" style="453"/>
    <col min="11009" max="11009" width="2.109375" style="453" customWidth="1"/>
    <col min="11010" max="11010" width="11.6640625" style="453" customWidth="1"/>
    <col min="11011" max="11011" width="78" style="453" customWidth="1"/>
    <col min="11012" max="11012" width="8.6640625" style="453" customWidth="1"/>
    <col min="11013" max="11013" width="14" style="453" customWidth="1"/>
    <col min="11014" max="11017" width="15.6640625" style="453" customWidth="1"/>
    <col min="11018" max="11018" width="18.44140625" style="453" customWidth="1"/>
    <col min="11019" max="11019" width="3" style="453" customWidth="1"/>
    <col min="11020" max="11021" width="9.109375" style="453"/>
    <col min="11022" max="11022" width="34.6640625" style="453" customWidth="1"/>
    <col min="11023" max="11023" width="27" style="453" customWidth="1"/>
    <col min="11024" max="11264" width="9.109375" style="453"/>
    <col min="11265" max="11265" width="2.109375" style="453" customWidth="1"/>
    <col min="11266" max="11266" width="11.6640625" style="453" customWidth="1"/>
    <col min="11267" max="11267" width="78" style="453" customWidth="1"/>
    <col min="11268" max="11268" width="8.6640625" style="453" customWidth="1"/>
    <col min="11269" max="11269" width="14" style="453" customWidth="1"/>
    <col min="11270" max="11273" width="15.6640625" style="453" customWidth="1"/>
    <col min="11274" max="11274" width="18.44140625" style="453" customWidth="1"/>
    <col min="11275" max="11275" width="3" style="453" customWidth="1"/>
    <col min="11276" max="11277" width="9.109375" style="453"/>
    <col min="11278" max="11278" width="34.6640625" style="453" customWidth="1"/>
    <col min="11279" max="11279" width="27" style="453" customWidth="1"/>
    <col min="11280" max="11520" width="9.109375" style="453"/>
    <col min="11521" max="11521" width="2.109375" style="453" customWidth="1"/>
    <col min="11522" max="11522" width="11.6640625" style="453" customWidth="1"/>
    <col min="11523" max="11523" width="78" style="453" customWidth="1"/>
    <col min="11524" max="11524" width="8.6640625" style="453" customWidth="1"/>
    <col min="11525" max="11525" width="14" style="453" customWidth="1"/>
    <col min="11526" max="11529" width="15.6640625" style="453" customWidth="1"/>
    <col min="11530" max="11530" width="18.44140625" style="453" customWidth="1"/>
    <col min="11531" max="11531" width="3" style="453" customWidth="1"/>
    <col min="11532" max="11533" width="9.109375" style="453"/>
    <col min="11534" max="11534" width="34.6640625" style="453" customWidth="1"/>
    <col min="11535" max="11535" width="27" style="453" customWidth="1"/>
    <col min="11536" max="11776" width="9.109375" style="453"/>
    <col min="11777" max="11777" width="2.109375" style="453" customWidth="1"/>
    <col min="11778" max="11778" width="11.6640625" style="453" customWidth="1"/>
    <col min="11779" max="11779" width="78" style="453" customWidth="1"/>
    <col min="11780" max="11780" width="8.6640625" style="453" customWidth="1"/>
    <col min="11781" max="11781" width="14" style="453" customWidth="1"/>
    <col min="11782" max="11785" width="15.6640625" style="453" customWidth="1"/>
    <col min="11786" max="11786" width="18.44140625" style="453" customWidth="1"/>
    <col min="11787" max="11787" width="3" style="453" customWidth="1"/>
    <col min="11788" max="11789" width="9.109375" style="453"/>
    <col min="11790" max="11790" width="34.6640625" style="453" customWidth="1"/>
    <col min="11791" max="11791" width="27" style="453" customWidth="1"/>
    <col min="11792" max="12032" width="9.109375" style="453"/>
    <col min="12033" max="12033" width="2.109375" style="453" customWidth="1"/>
    <col min="12034" max="12034" width="11.6640625" style="453" customWidth="1"/>
    <col min="12035" max="12035" width="78" style="453" customWidth="1"/>
    <col min="12036" max="12036" width="8.6640625" style="453" customWidth="1"/>
    <col min="12037" max="12037" width="14" style="453" customWidth="1"/>
    <col min="12038" max="12041" width="15.6640625" style="453" customWidth="1"/>
    <col min="12042" max="12042" width="18.44140625" style="453" customWidth="1"/>
    <col min="12043" max="12043" width="3" style="453" customWidth="1"/>
    <col min="12044" max="12045" width="9.109375" style="453"/>
    <col min="12046" max="12046" width="34.6640625" style="453" customWidth="1"/>
    <col min="12047" max="12047" width="27" style="453" customWidth="1"/>
    <col min="12048" max="12288" width="9.109375" style="453"/>
    <col min="12289" max="12289" width="2.109375" style="453" customWidth="1"/>
    <col min="12290" max="12290" width="11.6640625" style="453" customWidth="1"/>
    <col min="12291" max="12291" width="78" style="453" customWidth="1"/>
    <col min="12292" max="12292" width="8.6640625" style="453" customWidth="1"/>
    <col min="12293" max="12293" width="14" style="453" customWidth="1"/>
    <col min="12294" max="12297" width="15.6640625" style="453" customWidth="1"/>
    <col min="12298" max="12298" width="18.44140625" style="453" customWidth="1"/>
    <col min="12299" max="12299" width="3" style="453" customWidth="1"/>
    <col min="12300" max="12301" width="9.109375" style="453"/>
    <col min="12302" max="12302" width="34.6640625" style="453" customWidth="1"/>
    <col min="12303" max="12303" width="27" style="453" customWidth="1"/>
    <col min="12304" max="12544" width="9.109375" style="453"/>
    <col min="12545" max="12545" width="2.109375" style="453" customWidth="1"/>
    <col min="12546" max="12546" width="11.6640625" style="453" customWidth="1"/>
    <col min="12547" max="12547" width="78" style="453" customWidth="1"/>
    <col min="12548" max="12548" width="8.6640625" style="453" customWidth="1"/>
    <col min="12549" max="12549" width="14" style="453" customWidth="1"/>
    <col min="12550" max="12553" width="15.6640625" style="453" customWidth="1"/>
    <col min="12554" max="12554" width="18.44140625" style="453" customWidth="1"/>
    <col min="12555" max="12555" width="3" style="453" customWidth="1"/>
    <col min="12556" max="12557" width="9.109375" style="453"/>
    <col min="12558" max="12558" width="34.6640625" style="453" customWidth="1"/>
    <col min="12559" max="12559" width="27" style="453" customWidth="1"/>
    <col min="12560" max="12800" width="9.109375" style="453"/>
    <col min="12801" max="12801" width="2.109375" style="453" customWidth="1"/>
    <col min="12802" max="12802" width="11.6640625" style="453" customWidth="1"/>
    <col min="12803" max="12803" width="78" style="453" customWidth="1"/>
    <col min="12804" max="12804" width="8.6640625" style="453" customWidth="1"/>
    <col min="12805" max="12805" width="14" style="453" customWidth="1"/>
    <col min="12806" max="12809" width="15.6640625" style="453" customWidth="1"/>
    <col min="12810" max="12810" width="18.44140625" style="453" customWidth="1"/>
    <col min="12811" max="12811" width="3" style="453" customWidth="1"/>
    <col min="12812" max="12813" width="9.109375" style="453"/>
    <col min="12814" max="12814" width="34.6640625" style="453" customWidth="1"/>
    <col min="12815" max="12815" width="27" style="453" customWidth="1"/>
    <col min="12816" max="13056" width="9.109375" style="453"/>
    <col min="13057" max="13057" width="2.109375" style="453" customWidth="1"/>
    <col min="13058" max="13058" width="11.6640625" style="453" customWidth="1"/>
    <col min="13059" max="13059" width="78" style="453" customWidth="1"/>
    <col min="13060" max="13060" width="8.6640625" style="453" customWidth="1"/>
    <col min="13061" max="13061" width="14" style="453" customWidth="1"/>
    <col min="13062" max="13065" width="15.6640625" style="453" customWidth="1"/>
    <col min="13066" max="13066" width="18.44140625" style="453" customWidth="1"/>
    <col min="13067" max="13067" width="3" style="453" customWidth="1"/>
    <col min="13068" max="13069" width="9.109375" style="453"/>
    <col min="13070" max="13070" width="34.6640625" style="453" customWidth="1"/>
    <col min="13071" max="13071" width="27" style="453" customWidth="1"/>
    <col min="13072" max="13312" width="9.109375" style="453"/>
    <col min="13313" max="13313" width="2.109375" style="453" customWidth="1"/>
    <col min="13314" max="13314" width="11.6640625" style="453" customWidth="1"/>
    <col min="13315" max="13315" width="78" style="453" customWidth="1"/>
    <col min="13316" max="13316" width="8.6640625" style="453" customWidth="1"/>
    <col min="13317" max="13317" width="14" style="453" customWidth="1"/>
    <col min="13318" max="13321" width="15.6640625" style="453" customWidth="1"/>
    <col min="13322" max="13322" width="18.44140625" style="453" customWidth="1"/>
    <col min="13323" max="13323" width="3" style="453" customWidth="1"/>
    <col min="13324" max="13325" width="9.109375" style="453"/>
    <col min="13326" max="13326" width="34.6640625" style="453" customWidth="1"/>
    <col min="13327" max="13327" width="27" style="453" customWidth="1"/>
    <col min="13328" max="13568" width="9.109375" style="453"/>
    <col min="13569" max="13569" width="2.109375" style="453" customWidth="1"/>
    <col min="13570" max="13570" width="11.6640625" style="453" customWidth="1"/>
    <col min="13571" max="13571" width="78" style="453" customWidth="1"/>
    <col min="13572" max="13572" width="8.6640625" style="453" customWidth="1"/>
    <col min="13573" max="13573" width="14" style="453" customWidth="1"/>
    <col min="13574" max="13577" width="15.6640625" style="453" customWidth="1"/>
    <col min="13578" max="13578" width="18.44140625" style="453" customWidth="1"/>
    <col min="13579" max="13579" width="3" style="453" customWidth="1"/>
    <col min="13580" max="13581" width="9.109375" style="453"/>
    <col min="13582" max="13582" width="34.6640625" style="453" customWidth="1"/>
    <col min="13583" max="13583" width="27" style="453" customWidth="1"/>
    <col min="13584" max="13824" width="9.109375" style="453"/>
    <col min="13825" max="13825" width="2.109375" style="453" customWidth="1"/>
    <col min="13826" max="13826" width="11.6640625" style="453" customWidth="1"/>
    <col min="13827" max="13827" width="78" style="453" customWidth="1"/>
    <col min="13828" max="13828" width="8.6640625" style="453" customWidth="1"/>
    <col min="13829" max="13829" width="14" style="453" customWidth="1"/>
    <col min="13830" max="13833" width="15.6640625" style="453" customWidth="1"/>
    <col min="13834" max="13834" width="18.44140625" style="453" customWidth="1"/>
    <col min="13835" max="13835" width="3" style="453" customWidth="1"/>
    <col min="13836" max="13837" width="9.109375" style="453"/>
    <col min="13838" max="13838" width="34.6640625" style="453" customWidth="1"/>
    <col min="13839" max="13839" width="27" style="453" customWidth="1"/>
    <col min="13840" max="14080" width="9.109375" style="453"/>
    <col min="14081" max="14081" width="2.109375" style="453" customWidth="1"/>
    <col min="14082" max="14082" width="11.6640625" style="453" customWidth="1"/>
    <col min="14083" max="14083" width="78" style="453" customWidth="1"/>
    <col min="14084" max="14084" width="8.6640625" style="453" customWidth="1"/>
    <col min="14085" max="14085" width="14" style="453" customWidth="1"/>
    <col min="14086" max="14089" width="15.6640625" style="453" customWidth="1"/>
    <col min="14090" max="14090" width="18.44140625" style="453" customWidth="1"/>
    <col min="14091" max="14091" width="3" style="453" customWidth="1"/>
    <col min="14092" max="14093" width="9.109375" style="453"/>
    <col min="14094" max="14094" width="34.6640625" style="453" customWidth="1"/>
    <col min="14095" max="14095" width="27" style="453" customWidth="1"/>
    <col min="14096" max="14336" width="9.109375" style="453"/>
    <col min="14337" max="14337" width="2.109375" style="453" customWidth="1"/>
    <col min="14338" max="14338" width="11.6640625" style="453" customWidth="1"/>
    <col min="14339" max="14339" width="78" style="453" customWidth="1"/>
    <col min="14340" max="14340" width="8.6640625" style="453" customWidth="1"/>
    <col min="14341" max="14341" width="14" style="453" customWidth="1"/>
    <col min="14342" max="14345" width="15.6640625" style="453" customWidth="1"/>
    <col min="14346" max="14346" width="18.44140625" style="453" customWidth="1"/>
    <col min="14347" max="14347" width="3" style="453" customWidth="1"/>
    <col min="14348" max="14349" width="9.109375" style="453"/>
    <col min="14350" max="14350" width="34.6640625" style="453" customWidth="1"/>
    <col min="14351" max="14351" width="27" style="453" customWidth="1"/>
    <col min="14352" max="14592" width="9.109375" style="453"/>
    <col min="14593" max="14593" width="2.109375" style="453" customWidth="1"/>
    <col min="14594" max="14594" width="11.6640625" style="453" customWidth="1"/>
    <col min="14595" max="14595" width="78" style="453" customWidth="1"/>
    <col min="14596" max="14596" width="8.6640625" style="453" customWidth="1"/>
    <col min="14597" max="14597" width="14" style="453" customWidth="1"/>
    <col min="14598" max="14601" width="15.6640625" style="453" customWidth="1"/>
    <col min="14602" max="14602" width="18.44140625" style="453" customWidth="1"/>
    <col min="14603" max="14603" width="3" style="453" customWidth="1"/>
    <col min="14604" max="14605" width="9.109375" style="453"/>
    <col min="14606" max="14606" width="34.6640625" style="453" customWidth="1"/>
    <col min="14607" max="14607" width="27" style="453" customWidth="1"/>
    <col min="14608" max="14848" width="9.109375" style="453"/>
    <col min="14849" max="14849" width="2.109375" style="453" customWidth="1"/>
    <col min="14850" max="14850" width="11.6640625" style="453" customWidth="1"/>
    <col min="14851" max="14851" width="78" style="453" customWidth="1"/>
    <col min="14852" max="14852" width="8.6640625" style="453" customWidth="1"/>
    <col min="14853" max="14853" width="14" style="453" customWidth="1"/>
    <col min="14854" max="14857" width="15.6640625" style="453" customWidth="1"/>
    <col min="14858" max="14858" width="18.44140625" style="453" customWidth="1"/>
    <col min="14859" max="14859" width="3" style="453" customWidth="1"/>
    <col min="14860" max="14861" width="9.109375" style="453"/>
    <col min="14862" max="14862" width="34.6640625" style="453" customWidth="1"/>
    <col min="14863" max="14863" width="27" style="453" customWidth="1"/>
    <col min="14864" max="15104" width="9.109375" style="453"/>
    <col min="15105" max="15105" width="2.109375" style="453" customWidth="1"/>
    <col min="15106" max="15106" width="11.6640625" style="453" customWidth="1"/>
    <col min="15107" max="15107" width="78" style="453" customWidth="1"/>
    <col min="15108" max="15108" width="8.6640625" style="453" customWidth="1"/>
    <col min="15109" max="15109" width="14" style="453" customWidth="1"/>
    <col min="15110" max="15113" width="15.6640625" style="453" customWidth="1"/>
    <col min="15114" max="15114" width="18.44140625" style="453" customWidth="1"/>
    <col min="15115" max="15115" width="3" style="453" customWidth="1"/>
    <col min="15116" max="15117" width="9.109375" style="453"/>
    <col min="15118" max="15118" width="34.6640625" style="453" customWidth="1"/>
    <col min="15119" max="15119" width="27" style="453" customWidth="1"/>
    <col min="15120" max="15360" width="9.109375" style="453"/>
    <col min="15361" max="15361" width="2.109375" style="453" customWidth="1"/>
    <col min="15362" max="15362" width="11.6640625" style="453" customWidth="1"/>
    <col min="15363" max="15363" width="78" style="453" customWidth="1"/>
    <col min="15364" max="15364" width="8.6640625" style="453" customWidth="1"/>
    <col min="15365" max="15365" width="14" style="453" customWidth="1"/>
    <col min="15366" max="15369" width="15.6640625" style="453" customWidth="1"/>
    <col min="15370" max="15370" width="18.44140625" style="453" customWidth="1"/>
    <col min="15371" max="15371" width="3" style="453" customWidth="1"/>
    <col min="15372" max="15373" width="9.109375" style="453"/>
    <col min="15374" max="15374" width="34.6640625" style="453" customWidth="1"/>
    <col min="15375" max="15375" width="27" style="453" customWidth="1"/>
    <col min="15376" max="15616" width="9.109375" style="453"/>
    <col min="15617" max="15617" width="2.109375" style="453" customWidth="1"/>
    <col min="15618" max="15618" width="11.6640625" style="453" customWidth="1"/>
    <col min="15619" max="15619" width="78" style="453" customWidth="1"/>
    <col min="15620" max="15620" width="8.6640625" style="453" customWidth="1"/>
    <col min="15621" max="15621" width="14" style="453" customWidth="1"/>
    <col min="15622" max="15625" width="15.6640625" style="453" customWidth="1"/>
    <col min="15626" max="15626" width="18.44140625" style="453" customWidth="1"/>
    <col min="15627" max="15627" width="3" style="453" customWidth="1"/>
    <col min="15628" max="15629" width="9.109375" style="453"/>
    <col min="15630" max="15630" width="34.6640625" style="453" customWidth="1"/>
    <col min="15631" max="15631" width="27" style="453" customWidth="1"/>
    <col min="15632" max="15872" width="9.109375" style="453"/>
    <col min="15873" max="15873" width="2.109375" style="453" customWidth="1"/>
    <col min="15874" max="15874" width="11.6640625" style="453" customWidth="1"/>
    <col min="15875" max="15875" width="78" style="453" customWidth="1"/>
    <col min="15876" max="15876" width="8.6640625" style="453" customWidth="1"/>
    <col min="15877" max="15877" width="14" style="453" customWidth="1"/>
    <col min="15878" max="15881" width="15.6640625" style="453" customWidth="1"/>
    <col min="15882" max="15882" width="18.44140625" style="453" customWidth="1"/>
    <col min="15883" max="15883" width="3" style="453" customWidth="1"/>
    <col min="15884" max="15885" width="9.109375" style="453"/>
    <col min="15886" max="15886" width="34.6640625" style="453" customWidth="1"/>
    <col min="15887" max="15887" width="27" style="453" customWidth="1"/>
    <col min="15888" max="16128" width="9.109375" style="453"/>
    <col min="16129" max="16129" width="2.109375" style="453" customWidth="1"/>
    <col min="16130" max="16130" width="11.6640625" style="453" customWidth="1"/>
    <col min="16131" max="16131" width="78" style="453" customWidth="1"/>
    <col min="16132" max="16132" width="8.6640625" style="453" customWidth="1"/>
    <col min="16133" max="16133" width="14" style="453" customWidth="1"/>
    <col min="16134" max="16137" width="15.6640625" style="453" customWidth="1"/>
    <col min="16138" max="16138" width="18.44140625" style="453" customWidth="1"/>
    <col min="16139" max="16139" width="3" style="453" customWidth="1"/>
    <col min="16140" max="16141" width="9.109375" style="453"/>
    <col min="16142" max="16142" width="34.6640625" style="453" customWidth="1"/>
    <col min="16143" max="16143" width="27" style="453" customWidth="1"/>
    <col min="16144" max="16384" width="9.109375" style="453"/>
  </cols>
  <sheetData>
    <row r="1" spans="1:21">
      <c r="T1" s="457"/>
    </row>
    <row r="2" spans="1:21">
      <c r="T2" s="457"/>
      <c r="U2" s="457"/>
    </row>
    <row r="3" spans="1:21">
      <c r="T3" s="458"/>
    </row>
    <row r="4" spans="1:21" ht="13.8" thickBot="1"/>
    <row r="5" spans="1:21" s="460" customFormat="1" ht="22.8">
      <c r="A5" s="459"/>
      <c r="B5" s="1050" t="s">
        <v>626</v>
      </c>
      <c r="C5" s="1051"/>
      <c r="D5" s="1051"/>
      <c r="E5" s="1051"/>
      <c r="F5" s="1051"/>
      <c r="G5" s="1051"/>
      <c r="H5" s="1051"/>
      <c r="I5" s="1051"/>
      <c r="J5" s="1051"/>
      <c r="K5" s="1051"/>
      <c r="L5" s="1051"/>
      <c r="M5" s="1051"/>
      <c r="N5" s="1051"/>
      <c r="O5" s="1051"/>
      <c r="P5" s="1051"/>
      <c r="Q5" s="1052"/>
      <c r="R5" s="453"/>
      <c r="S5" s="453"/>
    </row>
    <row r="6" spans="1:21" ht="62.4">
      <c r="B6" s="461" t="s">
        <v>627</v>
      </c>
      <c r="C6" s="462" t="s">
        <v>6</v>
      </c>
      <c r="D6" s="462" t="s">
        <v>5</v>
      </c>
      <c r="E6" s="463" t="s">
        <v>628</v>
      </c>
      <c r="F6" s="464" t="s">
        <v>629</v>
      </c>
      <c r="G6" s="464" t="s">
        <v>630</v>
      </c>
      <c r="H6" s="464" t="s">
        <v>631</v>
      </c>
      <c r="I6" s="464" t="s">
        <v>40</v>
      </c>
      <c r="J6" s="464" t="s">
        <v>632</v>
      </c>
      <c r="K6" s="464" t="s">
        <v>633</v>
      </c>
      <c r="L6" s="464" t="s">
        <v>634</v>
      </c>
      <c r="M6" s="464" t="s">
        <v>635</v>
      </c>
      <c r="N6" s="464" t="s">
        <v>636</v>
      </c>
      <c r="O6" s="464" t="s">
        <v>637</v>
      </c>
      <c r="P6" s="464" t="s">
        <v>638</v>
      </c>
      <c r="Q6" s="465" t="s">
        <v>639</v>
      </c>
    </row>
    <row r="7" spans="1:21" s="475" customFormat="1" ht="33" customHeight="1">
      <c r="A7" s="466">
        <v>10001</v>
      </c>
      <c r="B7" s="467"/>
      <c r="C7" s="496">
        <f t="shared" ref="C7:C47" si="0">VLOOKUP($A7,RENDIMIENTO,3,FALSE)</f>
        <v>0</v>
      </c>
      <c r="D7" s="468"/>
      <c r="E7" s="469"/>
      <c r="F7" s="470"/>
      <c r="G7" s="470"/>
      <c r="H7" s="470"/>
      <c r="I7" s="470"/>
      <c r="J7" s="470"/>
      <c r="K7" s="470"/>
      <c r="L7" s="470"/>
      <c r="M7" s="470"/>
      <c r="N7" s="471"/>
      <c r="O7" s="471"/>
      <c r="P7" s="472"/>
      <c r="Q7" s="473"/>
      <c r="R7" s="474"/>
    </row>
    <row r="8" spans="1:21" s="486" customFormat="1" ht="33" customHeight="1">
      <c r="A8" s="447">
        <v>10002</v>
      </c>
      <c r="B8" s="476" t="e">
        <f t="shared" ref="B8:B20" si="1">VLOOKUP($A8,PRESUPUESTO_,2,FALSE)</f>
        <v>#N/A</v>
      </c>
      <c r="C8" s="497">
        <f>VLOOKUP($A8,RENDIMIENTO,3,FALSE)</f>
        <v>0</v>
      </c>
      <c r="D8" s="477"/>
      <c r="E8" s="478"/>
      <c r="F8" s="479"/>
      <c r="G8" s="479"/>
      <c r="H8" s="479"/>
      <c r="I8" s="479"/>
      <c r="J8" s="480"/>
      <c r="K8" s="479"/>
      <c r="L8" s="481"/>
      <c r="M8" s="481"/>
      <c r="N8" s="482"/>
      <c r="O8" s="482"/>
      <c r="P8" s="483"/>
      <c r="Q8" s="484"/>
      <c r="R8" s="485"/>
    </row>
    <row r="9" spans="1:21" s="486" customFormat="1" ht="33" customHeight="1">
      <c r="A9" s="447">
        <v>10051</v>
      </c>
      <c r="B9" s="476" t="e">
        <f t="shared" si="1"/>
        <v>#N/A</v>
      </c>
      <c r="C9" s="497">
        <f t="shared" ref="C9:C11" si="2">VLOOKUP($A9,RENDIMIENTO,3,FALSE)</f>
        <v>0</v>
      </c>
      <c r="D9" s="477">
        <f t="shared" ref="D9:D11" si="3">VLOOKUP($A9,RENDIMIENTO,4,FALSE)</f>
        <v>0</v>
      </c>
      <c r="E9" s="478" t="e">
        <f t="shared" ref="E9:E14" si="4">VLOOKUP($A9,PRESUPUESTO_,5,FALSE)</f>
        <v>#N/A</v>
      </c>
      <c r="F9" s="479" t="s">
        <v>640</v>
      </c>
      <c r="G9" s="479" t="e">
        <f>IF(F9="Un Turno",ROUND(E9*11/VLOOKUP(A9,Rend,5,FALSE),2),ROUND(E9*11/VLOOKUP(A9,Rend,5,FALSE),2))</f>
        <v>#N/A</v>
      </c>
      <c r="H9" s="479" t="e">
        <f t="shared" ref="H9:H12" si="5">VLOOKUP($A9,PRESUPUESTO_,12,FALSE)</f>
        <v>#N/A</v>
      </c>
      <c r="I9" s="479" t="str">
        <f>CONCATENATE(ROUND(VLOOKUP(A9,Rend,5,FALSE),2),VLOOKUP(A9,Rend,4,FALSE),"/día")</f>
        <v>0/día</v>
      </c>
      <c r="J9" s="480">
        <v>1</v>
      </c>
      <c r="K9" s="479">
        <v>0</v>
      </c>
      <c r="L9" s="481" t="e">
        <f>IF(K9&lt;&gt;0,E9/(J9*K9),IF(F9="Un Turno",G9/(11*J9),G9/(22*J9)))</f>
        <v>#N/A</v>
      </c>
      <c r="M9" s="481" t="e">
        <f t="shared" ref="M9:M13" si="6">IF(L9&lt;0.5,1,ROUND(L9,0))</f>
        <v>#N/A</v>
      </c>
      <c r="N9" s="482">
        <v>0</v>
      </c>
      <c r="O9" s="482" t="e">
        <f t="shared" ref="O9:O11" si="7">+M9+N9</f>
        <v>#N/A</v>
      </c>
      <c r="P9" s="483"/>
      <c r="Q9" s="484"/>
      <c r="R9" s="485"/>
    </row>
    <row r="10" spans="1:21" s="486" customFormat="1" ht="33" customHeight="1">
      <c r="A10" s="447">
        <v>10052</v>
      </c>
      <c r="B10" s="476" t="e">
        <f t="shared" si="1"/>
        <v>#N/A</v>
      </c>
      <c r="C10" s="497">
        <f t="shared" si="2"/>
        <v>0</v>
      </c>
      <c r="D10" s="477">
        <f t="shared" si="3"/>
        <v>0</v>
      </c>
      <c r="E10" s="478" t="e">
        <f t="shared" si="4"/>
        <v>#N/A</v>
      </c>
      <c r="F10" s="479" t="s">
        <v>640</v>
      </c>
      <c r="G10" s="479" t="e">
        <f>IF(F10="Un Turno",ROUND(E10*11/VLOOKUP(A10,Rend,5,FALSE),2),ROUND(E10*11/VLOOKUP(A10,Rend,5,FALSE),2))</f>
        <v>#N/A</v>
      </c>
      <c r="H10" s="479" t="e">
        <f t="shared" si="5"/>
        <v>#N/A</v>
      </c>
      <c r="I10" s="479" t="str">
        <f>CONCATENATE(ROUND(VLOOKUP(A10,Rend,5,FALSE),2),VLOOKUP(A10,Rend,4,FALSE),"/día")</f>
        <v>0/día</v>
      </c>
      <c r="J10" s="480">
        <v>1</v>
      </c>
      <c r="K10" s="479">
        <v>0</v>
      </c>
      <c r="L10" s="481" t="e">
        <f t="shared" ref="L10:L11" si="8">IF(K10&lt;&gt;0,E10/(J10*K10),IF(F10="Un Turno",G10/(11*J10),G10/(22*J10)))</f>
        <v>#N/A</v>
      </c>
      <c r="M10" s="481" t="e">
        <f t="shared" si="6"/>
        <v>#N/A</v>
      </c>
      <c r="N10" s="482">
        <v>0</v>
      </c>
      <c r="O10" s="482" t="e">
        <f t="shared" si="7"/>
        <v>#N/A</v>
      </c>
      <c r="P10" s="483"/>
      <c r="Q10" s="484"/>
      <c r="R10" s="485"/>
    </row>
    <row r="11" spans="1:21" s="486" customFormat="1" ht="33" customHeight="1">
      <c r="A11" s="447">
        <v>10040</v>
      </c>
      <c r="B11" s="476" t="e">
        <f t="shared" si="1"/>
        <v>#N/A</v>
      </c>
      <c r="C11" s="497">
        <f t="shared" si="2"/>
        <v>0</v>
      </c>
      <c r="D11" s="477">
        <f t="shared" si="3"/>
        <v>0</v>
      </c>
      <c r="E11" s="478" t="e">
        <f t="shared" si="4"/>
        <v>#N/A</v>
      </c>
      <c r="F11" s="479" t="s">
        <v>640</v>
      </c>
      <c r="G11" s="479" t="e">
        <f>IF(F11="Un Turno",ROUND(E11*11/VLOOKUP(A11,Rend,5,FALSE),2),ROUND(E11*11/VLOOKUP(A11,Rend,5,FALSE),2))</f>
        <v>#N/A</v>
      </c>
      <c r="H11" s="479" t="e">
        <f t="shared" si="5"/>
        <v>#N/A</v>
      </c>
      <c r="I11" s="479" t="str">
        <f>CONCATENATE(ROUND(VLOOKUP(A11,Rend,5,FALSE),2),VLOOKUP(A11,Rend,4,FALSE),"/día")</f>
        <v>0/día</v>
      </c>
      <c r="J11" s="480">
        <v>1</v>
      </c>
      <c r="K11" s="479">
        <v>0</v>
      </c>
      <c r="L11" s="481" t="e">
        <f t="shared" si="8"/>
        <v>#N/A</v>
      </c>
      <c r="M11" s="481" t="e">
        <f t="shared" si="6"/>
        <v>#N/A</v>
      </c>
      <c r="N11" s="482">
        <v>0</v>
      </c>
      <c r="O11" s="482" t="e">
        <f t="shared" si="7"/>
        <v>#N/A</v>
      </c>
      <c r="P11" s="483"/>
      <c r="Q11" s="484"/>
      <c r="R11" s="485"/>
    </row>
    <row r="12" spans="1:21" s="486" customFormat="1" ht="33" customHeight="1">
      <c r="A12" s="447">
        <v>10043</v>
      </c>
      <c r="B12" s="476" t="e">
        <f t="shared" si="1"/>
        <v>#N/A</v>
      </c>
      <c r="C12" s="497">
        <f t="shared" si="0"/>
        <v>0</v>
      </c>
      <c r="D12" s="477">
        <f t="shared" ref="D12:D47" si="9">VLOOKUP($A12,RENDIMIENTO,4,FALSE)</f>
        <v>0</v>
      </c>
      <c r="E12" s="478" t="e">
        <f t="shared" si="4"/>
        <v>#N/A</v>
      </c>
      <c r="F12" s="479" t="s">
        <v>640</v>
      </c>
      <c r="G12" s="479" t="e">
        <f>IF(F12="Un Turno",ROUND(E12*11/VLOOKUP(A12,Rend,5,FALSE),2),ROUND(E12*11/VLOOKUP(A12,Rend,5,FALSE),2))</f>
        <v>#N/A</v>
      </c>
      <c r="H12" s="479" t="e">
        <f t="shared" si="5"/>
        <v>#N/A</v>
      </c>
      <c r="I12" s="479" t="str">
        <f>CONCATENATE(ROUND(VLOOKUP(A12,Rend,5,FALSE),2),VLOOKUP(A12,Rend,4,FALSE),"/día")</f>
        <v>0/día</v>
      </c>
      <c r="J12" s="480">
        <v>1</v>
      </c>
      <c r="K12" s="479">
        <v>0</v>
      </c>
      <c r="L12" s="481" t="e">
        <f t="shared" ref="L12" si="10">IF(K12&lt;&gt;0,E12/(J12*K12),IF(F12="Un Turno",G12/(11*J12),G12/(22*J12)))</f>
        <v>#N/A</v>
      </c>
      <c r="M12" s="481" t="e">
        <f t="shared" ref="M12" si="11">IF(L12&lt;0.5,1,ROUND(L12,0))</f>
        <v>#N/A</v>
      </c>
      <c r="N12" s="482">
        <v>0</v>
      </c>
      <c r="O12" s="482" t="e">
        <f t="shared" ref="O12" si="12">+M12+N12</f>
        <v>#N/A</v>
      </c>
      <c r="P12" s="483"/>
      <c r="Q12" s="484"/>
      <c r="R12" s="485"/>
    </row>
    <row r="13" spans="1:21" s="486" customFormat="1" ht="33" customHeight="1">
      <c r="A13" s="447">
        <v>10045</v>
      </c>
      <c r="B13" s="476" t="e">
        <f t="shared" si="1"/>
        <v>#N/A</v>
      </c>
      <c r="C13" s="497">
        <f t="shared" si="0"/>
        <v>0</v>
      </c>
      <c r="D13" s="477">
        <f t="shared" si="9"/>
        <v>0</v>
      </c>
      <c r="E13" s="478" t="e">
        <f t="shared" si="4"/>
        <v>#N/A</v>
      </c>
      <c r="F13" s="479" t="s">
        <v>640</v>
      </c>
      <c r="G13" s="498" t="e">
        <f>IF(F13="Un Turno",ROUND(E13*330/VLOOKUP(A13,Rend,5,FALSE),2),ROUND(E13*660/VLOOKUP(A13,Rend,5,FALSE),2))</f>
        <v>#N/A</v>
      </c>
      <c r="H13" s="479" t="e">
        <f t="shared" ref="H13:H14" si="13">VLOOKUP($A13,PRESUPUESTO_,12,FALSE)</f>
        <v>#N/A</v>
      </c>
      <c r="I13" s="479" t="str">
        <f>CONCATENATE(ROUND(VLOOKUP(A13,Rend,5,FALSE),2),VLOOKUP(A13,Rend,4,FALSE),"/mes")</f>
        <v>0/mes</v>
      </c>
      <c r="J13" s="480">
        <v>0.99</v>
      </c>
      <c r="K13" s="479">
        <v>0</v>
      </c>
      <c r="L13" s="481" t="e">
        <f t="shared" ref="L13" si="14">IF(K13&lt;&gt;0,E13/(J13*K13),IF(F13="Un Turno",G13/(11*J13),G13/(22*J13)))</f>
        <v>#N/A</v>
      </c>
      <c r="M13" s="481" t="e">
        <f t="shared" si="6"/>
        <v>#N/A</v>
      </c>
      <c r="N13" s="482">
        <v>0</v>
      </c>
      <c r="O13" s="482" t="e">
        <f t="shared" ref="O13" si="15">+M13+N13</f>
        <v>#N/A</v>
      </c>
      <c r="P13" s="483"/>
      <c r="Q13" s="484"/>
      <c r="R13" s="485"/>
    </row>
    <row r="14" spans="1:21" s="486" customFormat="1" ht="33" customHeight="1">
      <c r="A14" s="447">
        <v>10044</v>
      </c>
      <c r="B14" s="476" t="e">
        <f t="shared" si="1"/>
        <v>#N/A</v>
      </c>
      <c r="C14" s="497">
        <f t="shared" si="0"/>
        <v>0</v>
      </c>
      <c r="D14" s="477">
        <f t="shared" si="9"/>
        <v>0</v>
      </c>
      <c r="E14" s="478" t="e">
        <f t="shared" si="4"/>
        <v>#N/A</v>
      </c>
      <c r="F14" s="479" t="s">
        <v>640</v>
      </c>
      <c r="G14" s="498" t="e">
        <f>IF(F14="Un Turno",ROUND(E14*330/VLOOKUP(A14,Rend,5,FALSE),2),ROUND(E14*660/VLOOKUP(A14,Rend,5,FALSE),2))</f>
        <v>#N/A</v>
      </c>
      <c r="H14" s="479" t="e">
        <f t="shared" si="13"/>
        <v>#N/A</v>
      </c>
      <c r="I14" s="479" t="str">
        <f>CONCATENATE(ROUND(VLOOKUP(A14,Rend,5,FALSE),2),VLOOKUP(A14,Rend,4,FALSE),"/mes")</f>
        <v>0/mes</v>
      </c>
      <c r="J14" s="480">
        <v>0.99</v>
      </c>
      <c r="K14" s="479">
        <v>0</v>
      </c>
      <c r="L14" s="481" t="e">
        <f t="shared" ref="L14" si="16">IF(K14&lt;&gt;0,E14/(J14*K14),IF(F14="Un Turno",G14/(11*J14),G14/(22*J14)))</f>
        <v>#N/A</v>
      </c>
      <c r="M14" s="481" t="e">
        <f t="shared" ref="M14" si="17">IF(L14&lt;0.5,1,ROUND(L14,0))</f>
        <v>#N/A</v>
      </c>
      <c r="N14" s="482">
        <v>1</v>
      </c>
      <c r="O14" s="482" t="e">
        <f t="shared" ref="O14" si="18">+M14+N14</f>
        <v>#N/A</v>
      </c>
      <c r="P14" s="483"/>
      <c r="Q14" s="484"/>
      <c r="R14" s="485"/>
    </row>
    <row r="15" spans="1:21" s="486" customFormat="1" ht="33" customHeight="1">
      <c r="A15" s="447">
        <v>10050</v>
      </c>
      <c r="B15" s="476" t="e">
        <f t="shared" si="1"/>
        <v>#N/A</v>
      </c>
      <c r="C15" s="497">
        <f t="shared" ref="C15:C20" si="19">VLOOKUP($A15,RENDIMIENTO,3,FALSE)</f>
        <v>0</v>
      </c>
      <c r="D15" s="477">
        <f t="shared" ref="D15:D20" si="20">VLOOKUP($A15,RENDIMIENTO,4,FALSE)</f>
        <v>0</v>
      </c>
      <c r="E15" s="478" t="e">
        <f t="shared" ref="E15:E20" si="21">VLOOKUP($A15,PRESUPUESTO_,5,FALSE)</f>
        <v>#N/A</v>
      </c>
      <c r="F15" s="479" t="s">
        <v>642</v>
      </c>
      <c r="G15" s="498" t="e">
        <f t="shared" ref="G15:G21" si="22">IF(F15="Un Turno",ROUND(E15*1/VLOOKUP(A15,Rend,5,FALSE),2),ROUND(E15*2/VLOOKUP(A15,Rend,5,FALSE),2))</f>
        <v>#N/A</v>
      </c>
      <c r="H15" s="479" t="e">
        <f t="shared" ref="H15:H20" si="23">VLOOKUP($A15,PRESUPUESTO_,12,FALSE)</f>
        <v>#N/A</v>
      </c>
      <c r="I15" s="479" t="str">
        <f t="shared" ref="I15:I20" si="24">CONCATENATE(ROUND(VLOOKUP(A15,Rend,5,FALSE),2),VLOOKUP(A15,Rend,4,FALSE),"/hr")</f>
        <v>0/hr</v>
      </c>
      <c r="J15" s="480">
        <v>1</v>
      </c>
      <c r="K15" s="479">
        <v>454.54545454545456</v>
      </c>
      <c r="L15" s="481" t="e">
        <f t="shared" ref="L15" si="25">IF(K15&lt;&gt;0,E15/(J15*K15),IF(F15="Un Turno",G15/(11*J15),G15/(22*J15)))</f>
        <v>#N/A</v>
      </c>
      <c r="M15" s="481" t="e">
        <f>IF(L15&lt;0,ROUND(L15,0),IF(L15&lt;0.5,1,ROUND(L15,0)))</f>
        <v>#N/A</v>
      </c>
      <c r="N15" s="482">
        <v>0</v>
      </c>
      <c r="O15" s="482" t="e">
        <f t="shared" ref="O15" si="26">+M15+N15</f>
        <v>#N/A</v>
      </c>
      <c r="P15" s="483"/>
      <c r="Q15" s="484"/>
      <c r="R15" s="485"/>
    </row>
    <row r="16" spans="1:21" s="486" customFormat="1" ht="33" customHeight="1">
      <c r="A16" s="447">
        <v>10003</v>
      </c>
      <c r="B16" s="476" t="e">
        <f t="shared" si="1"/>
        <v>#N/A</v>
      </c>
      <c r="C16" s="497">
        <f t="shared" si="19"/>
        <v>0</v>
      </c>
      <c r="D16" s="477">
        <f t="shared" si="20"/>
        <v>0</v>
      </c>
      <c r="E16" s="478" t="e">
        <f t="shared" si="21"/>
        <v>#N/A</v>
      </c>
      <c r="F16" s="479" t="s">
        <v>642</v>
      </c>
      <c r="G16" s="498" t="e">
        <f t="shared" si="22"/>
        <v>#N/A</v>
      </c>
      <c r="H16" s="479" t="e">
        <f t="shared" si="23"/>
        <v>#N/A</v>
      </c>
      <c r="I16" s="479" t="str">
        <f t="shared" si="24"/>
        <v>0/hr</v>
      </c>
      <c r="J16" s="480">
        <v>1</v>
      </c>
      <c r="K16" s="479">
        <v>454.54545454545456</v>
      </c>
      <c r="L16" s="481" t="e">
        <f t="shared" ref="L16:L20" si="27">IF(K16&lt;&gt;0,E16/(J16*K16),IF(F16="Un Turno",G16/(11*J16),G16/(22*J16)))</f>
        <v>#N/A</v>
      </c>
      <c r="M16" s="481" t="e">
        <f t="shared" ref="M16:M20" si="28">IF(L16&lt;0,ROUND(L16,0),IF(L16&lt;0.5,1,ROUND(L16,0)))</f>
        <v>#N/A</v>
      </c>
      <c r="N16" s="482">
        <v>1</v>
      </c>
      <c r="O16" s="482" t="e">
        <f t="shared" ref="O16:O20" si="29">+M16+N16</f>
        <v>#N/A</v>
      </c>
      <c r="P16" s="483"/>
      <c r="Q16" s="484"/>
      <c r="R16" s="485"/>
    </row>
    <row r="17" spans="1:18" s="486" customFormat="1" ht="33" customHeight="1">
      <c r="A17" s="447">
        <v>10004</v>
      </c>
      <c r="B17" s="476" t="e">
        <f t="shared" si="1"/>
        <v>#N/A</v>
      </c>
      <c r="C17" s="497">
        <f t="shared" si="19"/>
        <v>0</v>
      </c>
      <c r="D17" s="477">
        <f t="shared" si="20"/>
        <v>0</v>
      </c>
      <c r="E17" s="478" t="e">
        <f t="shared" si="21"/>
        <v>#N/A</v>
      </c>
      <c r="F17" s="479" t="s">
        <v>642</v>
      </c>
      <c r="G17" s="498" t="e">
        <f t="shared" si="22"/>
        <v>#N/A</v>
      </c>
      <c r="H17" s="479" t="e">
        <f t="shared" si="23"/>
        <v>#N/A</v>
      </c>
      <c r="I17" s="479" t="str">
        <f t="shared" si="24"/>
        <v>0/hr</v>
      </c>
      <c r="J17" s="480">
        <v>1</v>
      </c>
      <c r="K17" s="479">
        <v>454.54545454545456</v>
      </c>
      <c r="L17" s="481" t="e">
        <f t="shared" si="27"/>
        <v>#N/A</v>
      </c>
      <c r="M17" s="481" t="e">
        <f t="shared" si="28"/>
        <v>#N/A</v>
      </c>
      <c r="N17" s="482">
        <v>2</v>
      </c>
      <c r="O17" s="482" t="e">
        <f t="shared" si="29"/>
        <v>#N/A</v>
      </c>
      <c r="P17" s="483"/>
      <c r="Q17" s="484"/>
    </row>
    <row r="18" spans="1:18" s="486" customFormat="1" ht="33" customHeight="1">
      <c r="A18" s="447">
        <v>10005</v>
      </c>
      <c r="B18" s="476" t="e">
        <f t="shared" si="1"/>
        <v>#N/A</v>
      </c>
      <c r="C18" s="497">
        <f t="shared" si="19"/>
        <v>0</v>
      </c>
      <c r="D18" s="477">
        <f t="shared" si="20"/>
        <v>0</v>
      </c>
      <c r="E18" s="478" t="e">
        <f t="shared" si="21"/>
        <v>#N/A</v>
      </c>
      <c r="F18" s="479" t="s">
        <v>642</v>
      </c>
      <c r="G18" s="498" t="e">
        <f t="shared" si="22"/>
        <v>#N/A</v>
      </c>
      <c r="H18" s="479" t="e">
        <f t="shared" si="23"/>
        <v>#N/A</v>
      </c>
      <c r="I18" s="479" t="str">
        <f t="shared" si="24"/>
        <v>0/hr</v>
      </c>
      <c r="J18" s="480">
        <v>1</v>
      </c>
      <c r="K18" s="479">
        <v>454.54545454545456</v>
      </c>
      <c r="L18" s="481" t="e">
        <f t="shared" si="27"/>
        <v>#N/A</v>
      </c>
      <c r="M18" s="481" t="e">
        <f t="shared" si="28"/>
        <v>#N/A</v>
      </c>
      <c r="N18" s="482">
        <v>3</v>
      </c>
      <c r="O18" s="482" t="e">
        <f t="shared" si="29"/>
        <v>#N/A</v>
      </c>
      <c r="P18" s="483"/>
      <c r="Q18" s="484"/>
    </row>
    <row r="19" spans="1:18" s="486" customFormat="1" ht="33" customHeight="1">
      <c r="A19" s="447">
        <v>10006</v>
      </c>
      <c r="B19" s="476" t="e">
        <f t="shared" si="1"/>
        <v>#N/A</v>
      </c>
      <c r="C19" s="497">
        <f t="shared" si="19"/>
        <v>0</v>
      </c>
      <c r="D19" s="477">
        <f t="shared" si="20"/>
        <v>0</v>
      </c>
      <c r="E19" s="478" t="e">
        <f t="shared" si="21"/>
        <v>#N/A</v>
      </c>
      <c r="F19" s="479" t="s">
        <v>642</v>
      </c>
      <c r="G19" s="498" t="e">
        <f t="shared" si="22"/>
        <v>#N/A</v>
      </c>
      <c r="H19" s="479" t="e">
        <f t="shared" si="23"/>
        <v>#N/A</v>
      </c>
      <c r="I19" s="479" t="str">
        <f t="shared" si="24"/>
        <v>0/hr</v>
      </c>
      <c r="J19" s="480">
        <v>1</v>
      </c>
      <c r="K19" s="479">
        <v>454.54545454545456</v>
      </c>
      <c r="L19" s="481" t="e">
        <f t="shared" si="27"/>
        <v>#N/A</v>
      </c>
      <c r="M19" s="481" t="e">
        <f t="shared" si="28"/>
        <v>#N/A</v>
      </c>
      <c r="N19" s="482">
        <v>4</v>
      </c>
      <c r="O19" s="482" t="e">
        <f t="shared" si="29"/>
        <v>#N/A</v>
      </c>
      <c r="P19" s="483"/>
      <c r="Q19" s="484"/>
    </row>
    <row r="20" spans="1:18" s="486" customFormat="1" ht="33" customHeight="1">
      <c r="A20" s="447">
        <v>10036</v>
      </c>
      <c r="B20" s="476" t="e">
        <f t="shared" si="1"/>
        <v>#N/A</v>
      </c>
      <c r="C20" s="497">
        <f t="shared" si="19"/>
        <v>0</v>
      </c>
      <c r="D20" s="477">
        <f t="shared" si="20"/>
        <v>0</v>
      </c>
      <c r="E20" s="478" t="e">
        <f t="shared" si="21"/>
        <v>#N/A</v>
      </c>
      <c r="F20" s="479" t="s">
        <v>642</v>
      </c>
      <c r="G20" s="498" t="e">
        <f t="shared" si="22"/>
        <v>#N/A</v>
      </c>
      <c r="H20" s="479" t="e">
        <f t="shared" si="23"/>
        <v>#N/A</v>
      </c>
      <c r="I20" s="479" t="str">
        <f t="shared" si="24"/>
        <v>0/hr</v>
      </c>
      <c r="J20" s="480">
        <v>1</v>
      </c>
      <c r="K20" s="479">
        <v>454.54545454545456</v>
      </c>
      <c r="L20" s="481" t="e">
        <f t="shared" si="27"/>
        <v>#N/A</v>
      </c>
      <c r="M20" s="481" t="e">
        <f t="shared" si="28"/>
        <v>#N/A</v>
      </c>
      <c r="N20" s="482">
        <v>5</v>
      </c>
      <c r="O20" s="482" t="e">
        <f t="shared" si="29"/>
        <v>#N/A</v>
      </c>
      <c r="P20" s="483"/>
      <c r="Q20" s="484"/>
    </row>
    <row r="21" spans="1:18" s="486" customFormat="1" ht="33" customHeight="1">
      <c r="A21" s="447">
        <v>10008</v>
      </c>
      <c r="B21" s="476" t="e">
        <f t="shared" ref="B21:B23" si="30">VLOOKUP($A21,PRESUPUESTO_,2,FALSE)</f>
        <v>#N/A</v>
      </c>
      <c r="C21" s="497">
        <f t="shared" ref="C21" si="31">VLOOKUP($A21,RENDIMIENTO,3,FALSE)</f>
        <v>0</v>
      </c>
      <c r="D21" s="477">
        <f t="shared" ref="D21" si="32">VLOOKUP($A21,RENDIMIENTO,4,FALSE)</f>
        <v>0</v>
      </c>
      <c r="E21" s="478" t="e">
        <f t="shared" ref="E21" si="33">VLOOKUP($A21,PRESUPUESTO_,5,FALSE)</f>
        <v>#N/A</v>
      </c>
      <c r="F21" s="479" t="s">
        <v>642</v>
      </c>
      <c r="G21" s="498" t="e">
        <f t="shared" si="22"/>
        <v>#N/A</v>
      </c>
      <c r="H21" s="479" t="e">
        <f t="shared" ref="H21" si="34">VLOOKUP($A21,PRESUPUESTO_,12,FALSE)</f>
        <v>#N/A</v>
      </c>
      <c r="I21" s="479" t="str">
        <f>CONCATENATE(ROUND(VLOOKUP(A21,Rend,5,FALSE),2),VLOOKUP(A21,Rend,4,FALSE),"/hr")</f>
        <v>0/hr</v>
      </c>
      <c r="J21" s="480">
        <v>1</v>
      </c>
      <c r="K21" s="479">
        <v>454.54545454545456</v>
      </c>
      <c r="L21" s="481" t="e">
        <f t="shared" ref="L21:L22" si="35">IF(K21&lt;&gt;0,E21/(J21*K21),IF(F21="Un Turno",G21/(11*J21),G21/(22*J21)))</f>
        <v>#N/A</v>
      </c>
      <c r="M21" s="481" t="e">
        <f>IF(L21&lt;0,ROUND(L21,0),IF(L21&lt;0.5,1,ROUND(L21,0)))</f>
        <v>#N/A</v>
      </c>
      <c r="N21" s="482">
        <v>0</v>
      </c>
      <c r="O21" s="482" t="e">
        <f t="shared" ref="O21:O22" si="36">+M21+N21</f>
        <v>#N/A</v>
      </c>
      <c r="P21" s="483"/>
      <c r="Q21" s="484"/>
    </row>
    <row r="22" spans="1:18" s="486" customFormat="1" ht="33" customHeight="1">
      <c r="A22" s="447">
        <v>10009</v>
      </c>
      <c r="B22" s="476" t="e">
        <f t="shared" si="30"/>
        <v>#N/A</v>
      </c>
      <c r="C22" s="497">
        <f t="shared" si="0"/>
        <v>0</v>
      </c>
      <c r="D22" s="477">
        <f t="shared" si="9"/>
        <v>0</v>
      </c>
      <c r="E22" s="478" t="e">
        <f t="shared" ref="E22:E27" si="37">VLOOKUP($A22,PRESUPUESTO_,5,FALSE)</f>
        <v>#N/A</v>
      </c>
      <c r="F22" s="479" t="s">
        <v>640</v>
      </c>
      <c r="G22" s="479" t="e">
        <f t="shared" ref="G22:G27" si="38">IF(F22="Un Turno",ROUND(E22*11/VLOOKUP(A22,Rend,5,FALSE),2),ROUND(E22*11/VLOOKUP(A22,Rend,5,FALSE),2))</f>
        <v>#N/A</v>
      </c>
      <c r="H22" s="479" t="e">
        <f t="shared" ref="H22:H32" si="39">VLOOKUP($A22,PRESUPUESTO_,12,FALSE)</f>
        <v>#N/A</v>
      </c>
      <c r="I22" s="479" t="str">
        <f t="shared" ref="I22:I27" si="40">CONCATENATE(ROUND(VLOOKUP(A22,Rend,5,FALSE),2),VLOOKUP(A22,Rend,4,FALSE),"/día")</f>
        <v>0/día</v>
      </c>
      <c r="J22" s="480">
        <v>1</v>
      </c>
      <c r="K22" s="479">
        <v>0</v>
      </c>
      <c r="L22" s="481" t="e">
        <f t="shared" si="35"/>
        <v>#N/A</v>
      </c>
      <c r="M22" s="481" t="e">
        <f t="shared" ref="M22" si="41">IF(L22&lt;0.5,1,ROUND(L22,0))</f>
        <v>#N/A</v>
      </c>
      <c r="N22" s="482">
        <v>0</v>
      </c>
      <c r="O22" s="482" t="e">
        <f t="shared" si="36"/>
        <v>#N/A</v>
      </c>
      <c r="P22" s="483"/>
      <c r="Q22" s="484"/>
    </row>
    <row r="23" spans="1:18" s="475" customFormat="1" ht="33" customHeight="1">
      <c r="A23" s="466">
        <v>10010</v>
      </c>
      <c r="B23" s="476" t="e">
        <f t="shared" si="30"/>
        <v>#N/A</v>
      </c>
      <c r="C23" s="497">
        <f t="shared" si="0"/>
        <v>0</v>
      </c>
      <c r="D23" s="477">
        <f t="shared" si="9"/>
        <v>0</v>
      </c>
      <c r="E23" s="478" t="e">
        <f t="shared" si="37"/>
        <v>#N/A</v>
      </c>
      <c r="F23" s="479" t="s">
        <v>640</v>
      </c>
      <c r="G23" s="479" t="e">
        <f t="shared" si="38"/>
        <v>#N/A</v>
      </c>
      <c r="H23" s="479" t="e">
        <f t="shared" si="39"/>
        <v>#N/A</v>
      </c>
      <c r="I23" s="479" t="str">
        <f t="shared" si="40"/>
        <v>0/día</v>
      </c>
      <c r="J23" s="480">
        <v>1</v>
      </c>
      <c r="K23" s="479">
        <v>0</v>
      </c>
      <c r="L23" s="481" t="e">
        <f t="shared" ref="L23" si="42">IF(K23&lt;&gt;0,E23/(J23*K23),IF(F23="Un Turno",G23/(11*J23),G23/(22*J23)))</f>
        <v>#N/A</v>
      </c>
      <c r="M23" s="481" t="e">
        <f t="shared" ref="M23" si="43">IF(L23&lt;0.5,1,ROUND(L23,0))</f>
        <v>#N/A</v>
      </c>
      <c r="N23" s="482">
        <v>1</v>
      </c>
      <c r="O23" s="482" t="e">
        <f t="shared" ref="O23" si="44">+M23+N23</f>
        <v>#N/A</v>
      </c>
      <c r="P23" s="483"/>
      <c r="Q23" s="484"/>
      <c r="R23" s="474"/>
    </row>
    <row r="24" spans="1:18" s="486" customFormat="1" ht="33" customHeight="1">
      <c r="A24" s="447">
        <v>10011</v>
      </c>
      <c r="B24" s="476" t="e">
        <f t="shared" ref="B24:B30" si="45">VLOOKUP($A24,PRESUPUESTO_,2,FALSE)</f>
        <v>#N/A</v>
      </c>
      <c r="C24" s="497">
        <f t="shared" si="0"/>
        <v>0</v>
      </c>
      <c r="D24" s="477">
        <f t="shared" si="9"/>
        <v>0</v>
      </c>
      <c r="E24" s="478" t="e">
        <f t="shared" si="37"/>
        <v>#N/A</v>
      </c>
      <c r="F24" s="479" t="s">
        <v>642</v>
      </c>
      <c r="G24" s="479" t="e">
        <f t="shared" si="38"/>
        <v>#N/A</v>
      </c>
      <c r="H24" s="479" t="e">
        <f t="shared" si="39"/>
        <v>#N/A</v>
      </c>
      <c r="I24" s="479" t="str">
        <f t="shared" si="40"/>
        <v>0/día</v>
      </c>
      <c r="J24" s="480">
        <v>1</v>
      </c>
      <c r="K24" s="479">
        <v>0</v>
      </c>
      <c r="L24" s="481" t="e">
        <f t="shared" ref="L24:L29" si="46">IF(K24&lt;&gt;0,E24/(J24*K24),IF(F24="Un Turno",G24/(11*J24),G24/(22*J24)))</f>
        <v>#N/A</v>
      </c>
      <c r="M24" s="481" t="e">
        <f t="shared" ref="M24:M27" si="47">IF(L24&lt;0.5,1,ROUND(L24,0))</f>
        <v>#N/A</v>
      </c>
      <c r="N24" s="482">
        <v>0</v>
      </c>
      <c r="O24" s="482" t="e">
        <f t="shared" ref="O24:O29" si="48">+M24+N24</f>
        <v>#N/A</v>
      </c>
      <c r="P24" s="483"/>
      <c r="Q24" s="484"/>
    </row>
    <row r="25" spans="1:18" s="486" customFormat="1" ht="33" customHeight="1">
      <c r="A25" s="447">
        <v>10012</v>
      </c>
      <c r="B25" s="476" t="e">
        <f t="shared" si="45"/>
        <v>#N/A</v>
      </c>
      <c r="C25" s="497">
        <f t="shared" si="0"/>
        <v>0</v>
      </c>
      <c r="D25" s="477">
        <f t="shared" si="9"/>
        <v>0</v>
      </c>
      <c r="E25" s="478" t="e">
        <f t="shared" si="37"/>
        <v>#N/A</v>
      </c>
      <c r="F25" s="479" t="s">
        <v>642</v>
      </c>
      <c r="G25" s="479" t="e">
        <f t="shared" si="38"/>
        <v>#N/A</v>
      </c>
      <c r="H25" s="479" t="e">
        <f t="shared" si="39"/>
        <v>#N/A</v>
      </c>
      <c r="I25" s="479" t="str">
        <f t="shared" si="40"/>
        <v>0/día</v>
      </c>
      <c r="J25" s="480">
        <v>1</v>
      </c>
      <c r="K25" s="479">
        <v>0</v>
      </c>
      <c r="L25" s="481" t="e">
        <f t="shared" si="46"/>
        <v>#N/A</v>
      </c>
      <c r="M25" s="481" t="e">
        <f t="shared" si="47"/>
        <v>#N/A</v>
      </c>
      <c r="N25" s="482">
        <v>0</v>
      </c>
      <c r="O25" s="482" t="e">
        <f t="shared" si="48"/>
        <v>#N/A</v>
      </c>
      <c r="P25" s="483"/>
      <c r="Q25" s="484"/>
    </row>
    <row r="26" spans="1:18" s="486" customFormat="1" ht="33" customHeight="1">
      <c r="A26" s="447">
        <v>10013</v>
      </c>
      <c r="B26" s="476" t="e">
        <f t="shared" si="45"/>
        <v>#N/A</v>
      </c>
      <c r="C26" s="497">
        <f t="shared" si="0"/>
        <v>0</v>
      </c>
      <c r="D26" s="477">
        <f t="shared" si="9"/>
        <v>0</v>
      </c>
      <c r="E26" s="478" t="e">
        <f t="shared" si="37"/>
        <v>#N/A</v>
      </c>
      <c r="F26" s="479" t="s">
        <v>642</v>
      </c>
      <c r="G26" s="479" t="e">
        <f t="shared" si="38"/>
        <v>#N/A</v>
      </c>
      <c r="H26" s="479" t="e">
        <f t="shared" si="39"/>
        <v>#N/A</v>
      </c>
      <c r="I26" s="479" t="str">
        <f t="shared" si="40"/>
        <v>0/día</v>
      </c>
      <c r="J26" s="480">
        <v>1</v>
      </c>
      <c r="K26" s="479">
        <v>0</v>
      </c>
      <c r="L26" s="481" t="e">
        <f t="shared" si="46"/>
        <v>#N/A</v>
      </c>
      <c r="M26" s="481" t="e">
        <f t="shared" si="47"/>
        <v>#N/A</v>
      </c>
      <c r="N26" s="482">
        <v>0</v>
      </c>
      <c r="O26" s="482" t="e">
        <f t="shared" si="48"/>
        <v>#N/A</v>
      </c>
      <c r="P26" s="483"/>
      <c r="Q26" s="484"/>
    </row>
    <row r="27" spans="1:18" s="486" customFormat="1" ht="33" customHeight="1">
      <c r="A27" s="447">
        <v>10014</v>
      </c>
      <c r="B27" s="476" t="e">
        <f t="shared" si="45"/>
        <v>#N/A</v>
      </c>
      <c r="C27" s="497">
        <f t="shared" si="0"/>
        <v>0</v>
      </c>
      <c r="D27" s="477">
        <f t="shared" si="9"/>
        <v>0</v>
      </c>
      <c r="E27" s="478" t="e">
        <f t="shared" si="37"/>
        <v>#N/A</v>
      </c>
      <c r="F27" s="479" t="s">
        <v>642</v>
      </c>
      <c r="G27" s="479" t="e">
        <f t="shared" si="38"/>
        <v>#N/A</v>
      </c>
      <c r="H27" s="479" t="e">
        <f t="shared" si="39"/>
        <v>#N/A</v>
      </c>
      <c r="I27" s="479" t="str">
        <f t="shared" si="40"/>
        <v>0/día</v>
      </c>
      <c r="J27" s="480">
        <v>1</v>
      </c>
      <c r="K27" s="479">
        <v>0</v>
      </c>
      <c r="L27" s="481" t="e">
        <f>IF(K27&lt;&gt;0,E27/(J27*K27),IF(F27="Un Turno",G27/(11*J27),G27/(22*J27)))</f>
        <v>#N/A</v>
      </c>
      <c r="M27" s="481" t="e">
        <f t="shared" si="47"/>
        <v>#N/A</v>
      </c>
      <c r="N27" s="482">
        <v>0</v>
      </c>
      <c r="O27" s="482" t="e">
        <f t="shared" si="48"/>
        <v>#N/A</v>
      </c>
      <c r="P27" s="483"/>
      <c r="Q27" s="484"/>
    </row>
    <row r="28" spans="1:18" s="486" customFormat="1" ht="33" customHeight="1">
      <c r="A28" s="447">
        <v>10015</v>
      </c>
      <c r="B28" s="476" t="e">
        <f t="shared" si="45"/>
        <v>#N/A</v>
      </c>
      <c r="C28" s="497">
        <f t="shared" si="0"/>
        <v>0</v>
      </c>
      <c r="D28" s="477">
        <f t="shared" si="9"/>
        <v>0</v>
      </c>
      <c r="E28" s="478" t="e">
        <f t="shared" ref="E28" si="49">VLOOKUP($A28,PRESUPUESTO_,5,FALSE)</f>
        <v>#N/A</v>
      </c>
      <c r="F28" s="479" t="s">
        <v>642</v>
      </c>
      <c r="G28" s="498" t="e">
        <f>IF(F28="Un Turno",ROUND(E28*1/VLOOKUP(A28,Rend,5,FALSE),2),ROUND(E28*2/VLOOKUP(A28,Rend,5,FALSE),2))</f>
        <v>#N/A</v>
      </c>
      <c r="H28" s="479" t="e">
        <f t="shared" si="39"/>
        <v>#N/A</v>
      </c>
      <c r="I28" s="479" t="str">
        <f>CONCATENATE(ROUND(VLOOKUP(A28,Rend,5,FALSE),2),VLOOKUP(A28,Rend,4,FALSE),"/hr")</f>
        <v>0/hr</v>
      </c>
      <c r="J28" s="480">
        <v>1</v>
      </c>
      <c r="K28" s="479">
        <v>454.54545454545456</v>
      </c>
      <c r="L28" s="481" t="e">
        <f t="shared" si="46"/>
        <v>#N/A</v>
      </c>
      <c r="M28" s="481" t="e">
        <f>IF(L28&lt;0,ROUND(L28,0),IF(L28&lt;0.5,1,ROUND(L28,0)))</f>
        <v>#N/A</v>
      </c>
      <c r="N28" s="482">
        <v>0</v>
      </c>
      <c r="O28" s="482" t="e">
        <f t="shared" si="48"/>
        <v>#N/A</v>
      </c>
      <c r="P28" s="483"/>
      <c r="Q28" s="484"/>
    </row>
    <row r="29" spans="1:18" s="486" customFormat="1" ht="33" customHeight="1">
      <c r="A29" s="447">
        <v>10016</v>
      </c>
      <c r="B29" s="476" t="e">
        <f t="shared" si="45"/>
        <v>#N/A</v>
      </c>
      <c r="C29" s="497">
        <f t="shared" si="0"/>
        <v>0</v>
      </c>
      <c r="D29" s="477">
        <f t="shared" si="9"/>
        <v>0</v>
      </c>
      <c r="E29" s="478" t="e">
        <f>VLOOKUP($A29,PRESUPUESTO_,5,FALSE)</f>
        <v>#N/A</v>
      </c>
      <c r="F29" s="479" t="s">
        <v>640</v>
      </c>
      <c r="G29" s="479" t="e">
        <f>IF(F29="Un Turno",ROUND(E29*11/VLOOKUP(A29,Rend,5,FALSE),2),ROUND(E29*11/VLOOKUP(A29,Rend,5,FALSE),2))</f>
        <v>#N/A</v>
      </c>
      <c r="H29" s="479" t="e">
        <f t="shared" si="39"/>
        <v>#N/A</v>
      </c>
      <c r="I29" s="479" t="str">
        <f>CONCATENATE(ROUND(VLOOKUP(A29,Rend,5,FALSE),2),VLOOKUP(A29,Rend,4,FALSE),"/día")</f>
        <v>0/día</v>
      </c>
      <c r="J29" s="480">
        <v>1</v>
      </c>
      <c r="K29" s="479">
        <v>0</v>
      </c>
      <c r="L29" s="481" t="e">
        <f t="shared" si="46"/>
        <v>#N/A</v>
      </c>
      <c r="M29" s="481" t="e">
        <f t="shared" ref="M29" si="50">IF(L29&lt;0.5,1,ROUND(L29,0))</f>
        <v>#N/A</v>
      </c>
      <c r="N29" s="482">
        <v>0</v>
      </c>
      <c r="O29" s="482" t="e">
        <f t="shared" si="48"/>
        <v>#N/A</v>
      </c>
      <c r="P29" s="483"/>
      <c r="Q29" s="484"/>
    </row>
    <row r="30" spans="1:18" s="475" customFormat="1" ht="33" customHeight="1">
      <c r="A30" s="466">
        <v>10017</v>
      </c>
      <c r="B30" s="476" t="e">
        <f t="shared" si="45"/>
        <v>#N/A</v>
      </c>
      <c r="C30" s="497">
        <f>VLOOKUP($A30,RENDIMIENTO,3,FALSE)</f>
        <v>0</v>
      </c>
      <c r="D30" s="477">
        <f t="shared" si="9"/>
        <v>0</v>
      </c>
      <c r="E30" s="478" t="e">
        <f>VLOOKUP($A30,PRESUPUESTO_,5,FALSE)</f>
        <v>#N/A</v>
      </c>
      <c r="F30" s="479" t="s">
        <v>640</v>
      </c>
      <c r="G30" s="479" t="e">
        <f>IF(F30="Un Turno",ROUND(E30*11/VLOOKUP(A30,Rend,5,FALSE),2),ROUND(E30*11/VLOOKUP(A30,Rend,5,FALSE),2))</f>
        <v>#N/A</v>
      </c>
      <c r="H30" s="479" t="e">
        <f t="shared" si="39"/>
        <v>#N/A</v>
      </c>
      <c r="I30" s="479" t="str">
        <f>CONCATENATE(ROUND(VLOOKUP(A30,Rend,5,FALSE),2),VLOOKUP(A30,Rend,4,FALSE),"/día")</f>
        <v>0/día</v>
      </c>
      <c r="J30" s="480">
        <v>1</v>
      </c>
      <c r="K30" s="479">
        <v>0</v>
      </c>
      <c r="L30" s="481" t="e">
        <f t="shared" ref="L30" si="51">IF(K30&lt;&gt;0,E30/(J30*K30),IF(F30="Un Turno",G30/(11*J30),G30/(22*J30)))</f>
        <v>#N/A</v>
      </c>
      <c r="M30" s="481" t="e">
        <f t="shared" ref="M30" si="52">IF(L30&lt;0.5,1,ROUND(L30,0))</f>
        <v>#N/A</v>
      </c>
      <c r="N30" s="482">
        <v>1</v>
      </c>
      <c r="O30" s="482" t="e">
        <f t="shared" ref="O30" si="53">+M30+N30</f>
        <v>#N/A</v>
      </c>
      <c r="P30" s="483"/>
      <c r="Q30" s="484"/>
      <c r="R30" s="474"/>
    </row>
    <row r="31" spans="1:18" s="486" customFormat="1" ht="33" customHeight="1">
      <c r="A31" s="447">
        <v>10018</v>
      </c>
      <c r="B31" s="476" t="e">
        <f>VLOOKUP($A31,PRESUPUESTO_,2,FALSE)</f>
        <v>#N/A</v>
      </c>
      <c r="C31" s="497">
        <f t="shared" si="0"/>
        <v>0</v>
      </c>
      <c r="D31" s="477">
        <f t="shared" si="9"/>
        <v>0</v>
      </c>
      <c r="E31" s="478" t="e">
        <f>VLOOKUP($A31,PRESUPUESTO_,5,FALSE)</f>
        <v>#N/A</v>
      </c>
      <c r="F31" s="479" t="s">
        <v>642</v>
      </c>
      <c r="G31" s="479" t="e">
        <f>IF(F31="Un Turno",ROUND(E31*11/VLOOKUP(A31,Rend,5,FALSE),2),ROUND(E31*11/VLOOKUP(A31,Rend,5,FALSE),2))</f>
        <v>#N/A</v>
      </c>
      <c r="H31" s="479" t="e">
        <f t="shared" si="39"/>
        <v>#N/A</v>
      </c>
      <c r="I31" s="479" t="str">
        <f>CONCATENATE(ROUND(VLOOKUP(A31,Rend,5,FALSE),2),VLOOKUP(A31,Rend,4,FALSE),"/día")</f>
        <v>0/día</v>
      </c>
      <c r="J31" s="480">
        <v>1</v>
      </c>
      <c r="K31" s="479">
        <v>0</v>
      </c>
      <c r="L31" s="481" t="e">
        <f t="shared" ref="L31:L32" si="54">IF(K31&lt;&gt;0,E31/(J31*K31),IF(F31="Un Turno",G31/(11*J31),G31/(22*J31)))</f>
        <v>#N/A</v>
      </c>
      <c r="M31" s="481" t="e">
        <f t="shared" ref="M31:M32" si="55">IF(L31&lt;0.5,1,ROUND(L31,0))</f>
        <v>#N/A</v>
      </c>
      <c r="N31" s="482">
        <v>0</v>
      </c>
      <c r="O31" s="482" t="e">
        <f t="shared" ref="O31:O32" si="56">+M31+N31</f>
        <v>#N/A</v>
      </c>
      <c r="P31" s="483"/>
      <c r="Q31" s="484"/>
    </row>
    <row r="32" spans="1:18" s="486" customFormat="1" ht="33" customHeight="1">
      <c r="A32" s="447">
        <v>10019</v>
      </c>
      <c r="B32" s="476" t="e">
        <f>VLOOKUP($A32,PRESUPUESTO_,2,FALSE)</f>
        <v>#N/A</v>
      </c>
      <c r="C32" s="497">
        <f t="shared" si="0"/>
        <v>0</v>
      </c>
      <c r="D32" s="477">
        <f t="shared" si="9"/>
        <v>0</v>
      </c>
      <c r="E32" s="478" t="e">
        <f>VLOOKUP($A32,PRESUPUESTO_,5,FALSE)</f>
        <v>#N/A</v>
      </c>
      <c r="F32" s="479" t="s">
        <v>640</v>
      </c>
      <c r="G32" s="479" t="e">
        <f>IF(F32="Un Turno",ROUND(E32*11/VLOOKUP(A32,Rend,5,FALSE),2),ROUND(E32*11/VLOOKUP(A32,Rend,5,FALSE),2))</f>
        <v>#N/A</v>
      </c>
      <c r="H32" s="479" t="e">
        <f t="shared" si="39"/>
        <v>#N/A</v>
      </c>
      <c r="I32" s="479" t="str">
        <f>CONCATENATE(ROUND(VLOOKUP(A32,Rend,5,FALSE),2),VLOOKUP(A32,Rend,4,FALSE),"/día")</f>
        <v>0/día</v>
      </c>
      <c r="J32" s="480">
        <v>1</v>
      </c>
      <c r="K32" s="479">
        <v>0</v>
      </c>
      <c r="L32" s="481" t="e">
        <f t="shared" si="54"/>
        <v>#N/A</v>
      </c>
      <c r="M32" s="481" t="e">
        <f t="shared" si="55"/>
        <v>#N/A</v>
      </c>
      <c r="N32" s="482">
        <v>0</v>
      </c>
      <c r="O32" s="482" t="e">
        <f t="shared" si="56"/>
        <v>#N/A</v>
      </c>
      <c r="P32" s="483"/>
      <c r="Q32" s="484"/>
    </row>
    <row r="33" spans="1:18" s="486" customFormat="1" ht="33" customHeight="1">
      <c r="A33" s="447">
        <v>10020</v>
      </c>
      <c r="B33" s="476" t="e">
        <f>VLOOKUP($A33,PRESUPUESTO_,2,FALSE)</f>
        <v>#N/A</v>
      </c>
      <c r="C33" s="497">
        <f t="shared" si="0"/>
        <v>0</v>
      </c>
      <c r="D33" s="477">
        <f t="shared" si="9"/>
        <v>0</v>
      </c>
      <c r="E33" s="478" t="e">
        <f t="shared" ref="E33:E35" si="57">VLOOKUP($A33,PRESUPUESTO_,5,FALSE)</f>
        <v>#N/A</v>
      </c>
      <c r="F33" s="479" t="s">
        <v>642</v>
      </c>
      <c r="G33" s="498" t="e">
        <f>IF(F33="Un Turno",ROUND(E33*1/VLOOKUP(A33,Rend,5,FALSE),2),ROUND(E33*2/VLOOKUP(A33,Rend,5,FALSE),2))</f>
        <v>#N/A</v>
      </c>
      <c r="H33" s="479" t="e">
        <f t="shared" ref="H33:H35" si="58">VLOOKUP($A33,PRESUPUESTO_,12,FALSE)</f>
        <v>#N/A</v>
      </c>
      <c r="I33" s="479" t="str">
        <f>CONCATENATE(ROUND(VLOOKUP(A33,Rend,5,FALSE),2),VLOOKUP(A33,Rend,4,FALSE),"/hr")</f>
        <v>0/hr</v>
      </c>
      <c r="J33" s="480">
        <v>1</v>
      </c>
      <c r="K33" s="479">
        <v>454.54545454545456</v>
      </c>
      <c r="L33" s="481" t="e">
        <f t="shared" ref="L33" si="59">IF(K33&lt;&gt;0,E33/(J33*K33),IF(F33="Un Turno",G33/(11*J33),G33/(22*J33)))</f>
        <v>#N/A</v>
      </c>
      <c r="M33" s="481" t="e">
        <f>IF(L33&lt;0,ROUND(L33,0),IF(L33&lt;0.5,1,ROUND(L33,0)))</f>
        <v>#N/A</v>
      </c>
      <c r="N33" s="482">
        <v>0</v>
      </c>
      <c r="O33" s="482" t="e">
        <f t="shared" ref="O33:O34" si="60">+M33+N33</f>
        <v>#N/A</v>
      </c>
      <c r="P33" s="483"/>
      <c r="Q33" s="484"/>
    </row>
    <row r="34" spans="1:18" s="486" customFormat="1" ht="33" customHeight="1">
      <c r="A34" s="447">
        <v>10021</v>
      </c>
      <c r="B34" s="476" t="e">
        <f>VLOOKUP($A34,PRESUPUESTO_,2,FALSE)</f>
        <v>#N/A</v>
      </c>
      <c r="C34" s="497">
        <f t="shared" si="0"/>
        <v>0</v>
      </c>
      <c r="D34" s="477">
        <f t="shared" si="9"/>
        <v>0</v>
      </c>
      <c r="E34" s="478" t="e">
        <f t="shared" si="57"/>
        <v>#N/A</v>
      </c>
      <c r="F34" s="479" t="s">
        <v>640</v>
      </c>
      <c r="G34" s="479" t="e">
        <f t="shared" ref="G34" si="61">IF(F34="Un Turno",ROUND(E34*1/VLOOKUP(A34,Rend,5,FALSE),2),ROUND(E34*1/VLOOKUP(A34,Rend,5,FALSE),2))</f>
        <v>#N/A</v>
      </c>
      <c r="H34" s="479" t="e">
        <f t="shared" si="58"/>
        <v>#N/A</v>
      </c>
      <c r="I34" s="479" t="str">
        <f t="shared" ref="I34" si="62">CONCATENATE(ROUND(VLOOKUP(A34,Rend,5,FALSE),2),VLOOKUP(A34,Rend,4,FALSE),"/hr")</f>
        <v>0/hr</v>
      </c>
      <c r="J34" s="480">
        <v>1</v>
      </c>
      <c r="K34" s="479">
        <v>0</v>
      </c>
      <c r="L34" s="481" t="e">
        <f t="shared" ref="L34" si="63">IF(K34&lt;&gt;0,ROUND(E34/(J34*K34),2),IF(F34="Un Turno",ROUND(G34/(11*J34),2),G34/(22*J34)))</f>
        <v>#N/A</v>
      </c>
      <c r="M34" s="487" t="e">
        <f t="shared" ref="M34" si="64">IF(L34&lt;0.5,1,ROUND(L34,0))</f>
        <v>#N/A</v>
      </c>
      <c r="N34" s="488">
        <v>0</v>
      </c>
      <c r="O34" s="488" t="e">
        <f t="shared" si="60"/>
        <v>#N/A</v>
      </c>
      <c r="P34" s="483"/>
      <c r="Q34" s="484"/>
    </row>
    <row r="35" spans="1:18" s="475" customFormat="1" ht="33" customHeight="1">
      <c r="A35" s="466">
        <v>10022</v>
      </c>
      <c r="B35" s="476" t="e">
        <f>VLOOKUP($A35,PRESUPUESTO_,2,FALSE)</f>
        <v>#N/A</v>
      </c>
      <c r="C35" s="497">
        <f t="shared" si="0"/>
        <v>0</v>
      </c>
      <c r="D35" s="477">
        <f t="shared" si="9"/>
        <v>0</v>
      </c>
      <c r="E35" s="478" t="e">
        <f t="shared" si="57"/>
        <v>#N/A</v>
      </c>
      <c r="F35" s="479" t="s">
        <v>640</v>
      </c>
      <c r="G35" s="479" t="e">
        <f t="shared" ref="G35" si="65">IF(F35="Un Turno",ROUND(E35*1/VLOOKUP(A35,Rend,5,FALSE),2),ROUND(E35*1/VLOOKUP(A35,Rend,5,FALSE),2))</f>
        <v>#N/A</v>
      </c>
      <c r="H35" s="479" t="e">
        <f t="shared" si="58"/>
        <v>#N/A</v>
      </c>
      <c r="I35" s="479" t="str">
        <f t="shared" ref="I35" si="66">CONCATENATE(ROUND(VLOOKUP(A35,Rend,5,FALSE),2),VLOOKUP(A35,Rend,4,FALSE),"/hr")</f>
        <v>0/hr</v>
      </c>
      <c r="J35" s="480">
        <v>1</v>
      </c>
      <c r="K35" s="479">
        <v>0</v>
      </c>
      <c r="L35" s="481" t="e">
        <f t="shared" ref="L35" si="67">IF(K35&lt;&gt;0,ROUND(E35/(J35*K35),2),IF(F35="Un Turno",ROUND(G35/(11*J35),2),G35/(22*J35)))</f>
        <v>#N/A</v>
      </c>
      <c r="M35" s="487" t="e">
        <f t="shared" ref="M35" si="68">IF(L35&lt;0.5,1,ROUND(L35,0))</f>
        <v>#N/A</v>
      </c>
      <c r="N35" s="488">
        <v>1</v>
      </c>
      <c r="O35" s="488" t="e">
        <f t="shared" ref="O35" si="69">+M35+N35</f>
        <v>#N/A</v>
      </c>
      <c r="P35" s="483"/>
      <c r="Q35" s="484"/>
      <c r="R35" s="474"/>
    </row>
    <row r="36" spans="1:18" s="486" customFormat="1" ht="33" customHeight="1">
      <c r="A36" s="447">
        <v>10023</v>
      </c>
      <c r="B36" s="476" t="e">
        <f t="shared" ref="B36:B42" si="70">VLOOKUP($A36,PRESUPUESTO_,2,FALSE)</f>
        <v>#N/A</v>
      </c>
      <c r="C36" s="497">
        <f t="shared" si="0"/>
        <v>0</v>
      </c>
      <c r="D36" s="477">
        <f t="shared" si="9"/>
        <v>0</v>
      </c>
      <c r="E36" s="478" t="e">
        <f>VLOOKUP($A36,PRESUPUESTO_,5,FALSE)</f>
        <v>#N/A</v>
      </c>
      <c r="F36" s="479" t="s">
        <v>642</v>
      </c>
      <c r="G36" s="479" t="e">
        <f>IF(F36="Un Turno",ROUND(E36*11/VLOOKUP(A36,Rend,5,FALSE),2),ROUND(E36*11/VLOOKUP(A36,Rend,5,FALSE),2))</f>
        <v>#N/A</v>
      </c>
      <c r="H36" s="479" t="e">
        <f t="shared" ref="H36:H47" si="71">VLOOKUP($A36,PRESUPUESTO_,12,FALSE)</f>
        <v>#N/A</v>
      </c>
      <c r="I36" s="479" t="str">
        <f>CONCATENATE(ROUND(VLOOKUP(A36,Rend,5,FALSE),2),VLOOKUP(A36,Rend,4,FALSE),"/día")</f>
        <v>0/día</v>
      </c>
      <c r="J36" s="480">
        <v>1</v>
      </c>
      <c r="K36" s="479">
        <v>0</v>
      </c>
      <c r="L36" s="481" t="e">
        <f t="shared" ref="L36:L41" si="72">IF(K36&lt;&gt;0,E36/(J36*K36),IF(F36="Un Turno",G36/(11*J36),G36/(22*J36)))</f>
        <v>#N/A</v>
      </c>
      <c r="M36" s="481" t="e">
        <f t="shared" ref="M36:M39" si="73">IF(L36&lt;0.5,1,ROUND(L36,0))</f>
        <v>#N/A</v>
      </c>
      <c r="N36" s="482">
        <v>0</v>
      </c>
      <c r="O36" s="482" t="e">
        <f t="shared" ref="O36:O41" si="74">+M36+N36</f>
        <v>#N/A</v>
      </c>
      <c r="P36" s="483"/>
      <c r="Q36" s="484"/>
    </row>
    <row r="37" spans="1:18" s="486" customFormat="1" ht="33" customHeight="1">
      <c r="A37" s="447">
        <v>10024</v>
      </c>
      <c r="B37" s="476" t="e">
        <f t="shared" si="70"/>
        <v>#N/A</v>
      </c>
      <c r="C37" s="497">
        <f t="shared" si="0"/>
        <v>0</v>
      </c>
      <c r="D37" s="477">
        <f t="shared" si="9"/>
        <v>0</v>
      </c>
      <c r="E37" s="478" t="e">
        <f>VLOOKUP($A37,PRESUPUESTO_,5,FALSE)</f>
        <v>#N/A</v>
      </c>
      <c r="F37" s="479" t="s">
        <v>642</v>
      </c>
      <c r="G37" s="479" t="e">
        <f>IF(F37="Un Turno",ROUND(E37*11/VLOOKUP(A37,Rend,5,FALSE),2),ROUND(E37*11/VLOOKUP(A37,Rend,5,FALSE),2))</f>
        <v>#N/A</v>
      </c>
      <c r="H37" s="479" t="e">
        <f t="shared" si="71"/>
        <v>#N/A</v>
      </c>
      <c r="I37" s="479" t="str">
        <f>CONCATENATE(ROUND(VLOOKUP(A37,Rend,5,FALSE),2),VLOOKUP(A37,Rend,4,FALSE),"/día")</f>
        <v>0/día</v>
      </c>
      <c r="J37" s="480">
        <v>1</v>
      </c>
      <c r="K37" s="479">
        <v>0</v>
      </c>
      <c r="L37" s="481" t="e">
        <f t="shared" si="72"/>
        <v>#N/A</v>
      </c>
      <c r="M37" s="481" t="e">
        <f t="shared" si="73"/>
        <v>#N/A</v>
      </c>
      <c r="N37" s="482">
        <v>0</v>
      </c>
      <c r="O37" s="482" t="e">
        <f t="shared" si="74"/>
        <v>#N/A</v>
      </c>
      <c r="P37" s="483"/>
      <c r="Q37" s="484"/>
    </row>
    <row r="38" spans="1:18" s="486" customFormat="1" ht="33" customHeight="1">
      <c r="A38" s="447">
        <v>10025</v>
      </c>
      <c r="B38" s="476" t="e">
        <f t="shared" si="70"/>
        <v>#N/A</v>
      </c>
      <c r="C38" s="497">
        <f t="shared" si="0"/>
        <v>0</v>
      </c>
      <c r="D38" s="477">
        <f t="shared" si="9"/>
        <v>0</v>
      </c>
      <c r="E38" s="478" t="e">
        <f>VLOOKUP($A38,PRESUPUESTO_,5,FALSE)</f>
        <v>#N/A</v>
      </c>
      <c r="F38" s="479" t="s">
        <v>642</v>
      </c>
      <c r="G38" s="479" t="e">
        <f>IF(F38="Un Turno",ROUND(E38*11/VLOOKUP(A38,Rend,5,FALSE),2),ROUND(E38*11/VLOOKUP(A38,Rend,5,FALSE),2))</f>
        <v>#N/A</v>
      </c>
      <c r="H38" s="479" t="e">
        <f t="shared" si="71"/>
        <v>#N/A</v>
      </c>
      <c r="I38" s="479" t="str">
        <f>CONCATENATE(ROUND(VLOOKUP(A38,Rend,5,FALSE),2),VLOOKUP(A38,Rend,4,FALSE),"/día")</f>
        <v>0/día</v>
      </c>
      <c r="J38" s="480">
        <v>1</v>
      </c>
      <c r="K38" s="479">
        <v>0</v>
      </c>
      <c r="L38" s="481" t="e">
        <f t="shared" si="72"/>
        <v>#N/A</v>
      </c>
      <c r="M38" s="481" t="e">
        <f t="shared" si="73"/>
        <v>#N/A</v>
      </c>
      <c r="N38" s="482">
        <v>0</v>
      </c>
      <c r="O38" s="482" t="e">
        <f t="shared" si="74"/>
        <v>#N/A</v>
      </c>
      <c r="P38" s="483"/>
      <c r="Q38" s="484"/>
    </row>
    <row r="39" spans="1:18" s="486" customFormat="1" ht="33" customHeight="1">
      <c r="A39" s="447">
        <v>10026</v>
      </c>
      <c r="B39" s="476" t="e">
        <f t="shared" si="70"/>
        <v>#N/A</v>
      </c>
      <c r="C39" s="497">
        <f t="shared" si="0"/>
        <v>0</v>
      </c>
      <c r="D39" s="477">
        <f t="shared" si="9"/>
        <v>0</v>
      </c>
      <c r="E39" s="478" t="e">
        <f>VLOOKUP($A39,PRESUPUESTO_,5,FALSE)</f>
        <v>#N/A</v>
      </c>
      <c r="F39" s="479" t="s">
        <v>642</v>
      </c>
      <c r="G39" s="479" t="e">
        <f>IF(F39="Un Turno",ROUND(E39*11/VLOOKUP(A39,Rend,5,FALSE),2),ROUND(E39*11/VLOOKUP(A39,Rend,5,FALSE),2))</f>
        <v>#N/A</v>
      </c>
      <c r="H39" s="479" t="e">
        <f t="shared" si="71"/>
        <v>#N/A</v>
      </c>
      <c r="I39" s="479" t="str">
        <f>CONCATENATE(ROUND(VLOOKUP(A39,Rend,5,FALSE),2),VLOOKUP(A39,Rend,4,FALSE),"/día")</f>
        <v>0/día</v>
      </c>
      <c r="J39" s="480">
        <v>1</v>
      </c>
      <c r="K39" s="479">
        <v>0</v>
      </c>
      <c r="L39" s="481" t="e">
        <f t="shared" si="72"/>
        <v>#N/A</v>
      </c>
      <c r="M39" s="481" t="e">
        <f t="shared" si="73"/>
        <v>#N/A</v>
      </c>
      <c r="N39" s="482">
        <v>0</v>
      </c>
      <c r="O39" s="482" t="e">
        <f t="shared" si="74"/>
        <v>#N/A</v>
      </c>
      <c r="P39" s="483"/>
      <c r="Q39" s="484"/>
    </row>
    <row r="40" spans="1:18" s="486" customFormat="1" ht="33" customHeight="1">
      <c r="A40" s="447">
        <v>10027</v>
      </c>
      <c r="B40" s="476" t="e">
        <f t="shared" si="70"/>
        <v>#N/A</v>
      </c>
      <c r="C40" s="497">
        <f t="shared" si="0"/>
        <v>0</v>
      </c>
      <c r="D40" s="477">
        <f t="shared" si="9"/>
        <v>0</v>
      </c>
      <c r="E40" s="478" t="e">
        <f t="shared" ref="E40" si="75">VLOOKUP($A40,PRESUPUESTO_,5,FALSE)</f>
        <v>#N/A</v>
      </c>
      <c r="F40" s="479" t="s">
        <v>642</v>
      </c>
      <c r="G40" s="498" t="e">
        <f>IF(F40="Un Turno",ROUND(E40*1/VLOOKUP(A40,Rend,5,FALSE),2),ROUND(E40*2/VLOOKUP(A40,Rend,5,FALSE),2))</f>
        <v>#N/A</v>
      </c>
      <c r="H40" s="479" t="e">
        <f t="shared" si="71"/>
        <v>#N/A</v>
      </c>
      <c r="I40" s="479" t="str">
        <f>CONCATENATE(ROUND(VLOOKUP(A40,Rend,5,FALSE),2),VLOOKUP(A40,Rend,4,FALSE),"/hr")</f>
        <v>0/hr</v>
      </c>
      <c r="J40" s="480">
        <v>1</v>
      </c>
      <c r="K40" s="479">
        <v>454.54545454545456</v>
      </c>
      <c r="L40" s="481" t="e">
        <f t="shared" si="72"/>
        <v>#N/A</v>
      </c>
      <c r="M40" s="481" t="e">
        <f>IF(L40&lt;0,ROUND(L40,0),IF(L40&lt;0.5,1,ROUND(L40,0)))</f>
        <v>#N/A</v>
      </c>
      <c r="N40" s="482">
        <v>0</v>
      </c>
      <c r="O40" s="482" t="e">
        <f t="shared" si="74"/>
        <v>#N/A</v>
      </c>
      <c r="P40" s="483"/>
      <c r="Q40" s="484"/>
    </row>
    <row r="41" spans="1:18" s="486" customFormat="1" ht="33" customHeight="1">
      <c r="A41" s="447">
        <v>10028</v>
      </c>
      <c r="B41" s="476" t="e">
        <f t="shared" si="70"/>
        <v>#N/A</v>
      </c>
      <c r="C41" s="497">
        <f t="shared" si="0"/>
        <v>0</v>
      </c>
      <c r="D41" s="477">
        <f t="shared" si="9"/>
        <v>0</v>
      </c>
      <c r="E41" s="478" t="e">
        <f t="shared" ref="E41:E46" si="76">VLOOKUP($A41,PRESUPUESTO_,5,FALSE)</f>
        <v>#N/A</v>
      </c>
      <c r="F41" s="479" t="s">
        <v>640</v>
      </c>
      <c r="G41" s="479" t="e">
        <f t="shared" ref="G41:G46" si="77">IF(F41="Un Turno",ROUND(E41*11/VLOOKUP(A41,Rend,5,FALSE),2),ROUND(E41*11/VLOOKUP(A41,Rend,5,FALSE),2))</f>
        <v>#N/A</v>
      </c>
      <c r="H41" s="479" t="e">
        <f t="shared" si="71"/>
        <v>#N/A</v>
      </c>
      <c r="I41" s="479" t="str">
        <f t="shared" ref="I41:I46" si="78">CONCATENATE(ROUND(VLOOKUP(A41,Rend,5,FALSE),2),VLOOKUP(A41,Rend,4,FALSE),"/día")</f>
        <v>0/día</v>
      </c>
      <c r="J41" s="480">
        <v>1</v>
      </c>
      <c r="K41" s="479">
        <v>0</v>
      </c>
      <c r="L41" s="481" t="e">
        <f t="shared" si="72"/>
        <v>#N/A</v>
      </c>
      <c r="M41" s="481" t="e">
        <f t="shared" ref="M41" si="79">IF(L41&lt;0.5,1,ROUND(L41,0))</f>
        <v>#N/A</v>
      </c>
      <c r="N41" s="482">
        <v>0</v>
      </c>
      <c r="O41" s="482" t="e">
        <f t="shared" si="74"/>
        <v>#N/A</v>
      </c>
      <c r="P41" s="483"/>
      <c r="Q41" s="484"/>
    </row>
    <row r="42" spans="1:18" s="475" customFormat="1" ht="33" customHeight="1">
      <c r="A42" s="466">
        <v>10029</v>
      </c>
      <c r="B42" s="476" t="e">
        <f t="shared" si="70"/>
        <v>#N/A</v>
      </c>
      <c r="C42" s="497">
        <f t="shared" si="0"/>
        <v>0</v>
      </c>
      <c r="D42" s="477">
        <f t="shared" si="9"/>
        <v>0</v>
      </c>
      <c r="E42" s="478" t="e">
        <f t="shared" si="76"/>
        <v>#N/A</v>
      </c>
      <c r="F42" s="479" t="s">
        <v>640</v>
      </c>
      <c r="G42" s="479" t="e">
        <f t="shared" si="77"/>
        <v>#N/A</v>
      </c>
      <c r="H42" s="479" t="e">
        <f t="shared" si="71"/>
        <v>#N/A</v>
      </c>
      <c r="I42" s="479" t="str">
        <f t="shared" si="78"/>
        <v>0/día</v>
      </c>
      <c r="J42" s="480">
        <v>1</v>
      </c>
      <c r="K42" s="479">
        <v>0</v>
      </c>
      <c r="L42" s="481" t="e">
        <f t="shared" ref="L42" si="80">IF(K42&lt;&gt;0,E42/(J42*K42),IF(F42="Un Turno",G42/(11*J42),G42/(22*J42)))</f>
        <v>#N/A</v>
      </c>
      <c r="M42" s="481" t="e">
        <f t="shared" ref="M42" si="81">IF(L42&lt;0.5,1,ROUND(L42,0))</f>
        <v>#N/A</v>
      </c>
      <c r="N42" s="482">
        <v>1</v>
      </c>
      <c r="O42" s="482" t="e">
        <f t="shared" ref="O42" si="82">+M42+N42</f>
        <v>#N/A</v>
      </c>
      <c r="P42" s="483"/>
      <c r="Q42" s="484"/>
      <c r="R42" s="474"/>
    </row>
    <row r="43" spans="1:18" s="486" customFormat="1" ht="33" customHeight="1">
      <c r="A43" s="447">
        <v>10030</v>
      </c>
      <c r="B43" s="476" t="e">
        <f t="shared" ref="B43:B47" si="83">VLOOKUP($A43,PRESUPUESTO_,2,FALSE)</f>
        <v>#N/A</v>
      </c>
      <c r="C43" s="497">
        <f t="shared" si="0"/>
        <v>0</v>
      </c>
      <c r="D43" s="477">
        <f t="shared" si="9"/>
        <v>0</v>
      </c>
      <c r="E43" s="478" t="e">
        <f t="shared" si="76"/>
        <v>#N/A</v>
      </c>
      <c r="F43" s="479" t="s">
        <v>642</v>
      </c>
      <c r="G43" s="479" t="e">
        <f t="shared" si="77"/>
        <v>#N/A</v>
      </c>
      <c r="H43" s="479" t="e">
        <f t="shared" si="71"/>
        <v>#N/A</v>
      </c>
      <c r="I43" s="479" t="str">
        <f t="shared" si="78"/>
        <v>0/día</v>
      </c>
      <c r="J43" s="480">
        <v>1</v>
      </c>
      <c r="K43" s="479">
        <v>0</v>
      </c>
      <c r="L43" s="481" t="e">
        <f t="shared" ref="L43:L47" si="84">IF(K43&lt;&gt;0,E43/(J43*K43),IF(F43="Un Turno",G43/(11*J43),G43/(22*J43)))</f>
        <v>#N/A</v>
      </c>
      <c r="M43" s="481" t="e">
        <f t="shared" ref="M43:M45" si="85">IF(L43&lt;0.5,1,ROUND(L43,0))</f>
        <v>#N/A</v>
      </c>
      <c r="N43" s="482">
        <v>0</v>
      </c>
      <c r="O43" s="482" t="e">
        <f t="shared" ref="O43:O47" si="86">+M43+N43</f>
        <v>#N/A</v>
      </c>
      <c r="P43" s="483"/>
      <c r="Q43" s="484"/>
    </row>
    <row r="44" spans="1:18" s="486" customFormat="1" ht="33" customHeight="1">
      <c r="A44" s="447">
        <v>10031</v>
      </c>
      <c r="B44" s="476" t="e">
        <f t="shared" si="83"/>
        <v>#N/A</v>
      </c>
      <c r="C44" s="497">
        <f t="shared" si="0"/>
        <v>0</v>
      </c>
      <c r="D44" s="477">
        <f t="shared" si="9"/>
        <v>0</v>
      </c>
      <c r="E44" s="478" t="e">
        <f t="shared" si="76"/>
        <v>#N/A</v>
      </c>
      <c r="F44" s="479" t="s">
        <v>642</v>
      </c>
      <c r="G44" s="479" t="e">
        <f t="shared" si="77"/>
        <v>#N/A</v>
      </c>
      <c r="H44" s="479" t="e">
        <f t="shared" si="71"/>
        <v>#N/A</v>
      </c>
      <c r="I44" s="479" t="str">
        <f t="shared" si="78"/>
        <v>0/día</v>
      </c>
      <c r="J44" s="480">
        <v>1</v>
      </c>
      <c r="K44" s="479">
        <v>0</v>
      </c>
      <c r="L44" s="481" t="e">
        <f t="shared" si="84"/>
        <v>#N/A</v>
      </c>
      <c r="M44" s="481" t="e">
        <f t="shared" si="85"/>
        <v>#N/A</v>
      </c>
      <c r="N44" s="482">
        <v>0</v>
      </c>
      <c r="O44" s="482" t="e">
        <f t="shared" si="86"/>
        <v>#N/A</v>
      </c>
      <c r="P44" s="483"/>
      <c r="Q44" s="484"/>
    </row>
    <row r="45" spans="1:18" s="486" customFormat="1" ht="33" customHeight="1">
      <c r="A45" s="447">
        <v>10032</v>
      </c>
      <c r="B45" s="476" t="e">
        <f t="shared" si="83"/>
        <v>#N/A</v>
      </c>
      <c r="C45" s="497">
        <f t="shared" si="0"/>
        <v>0</v>
      </c>
      <c r="D45" s="477">
        <f t="shared" si="9"/>
        <v>0</v>
      </c>
      <c r="E45" s="478" t="e">
        <f t="shared" si="76"/>
        <v>#N/A</v>
      </c>
      <c r="F45" s="479" t="s">
        <v>642</v>
      </c>
      <c r="G45" s="479" t="e">
        <f t="shared" si="77"/>
        <v>#N/A</v>
      </c>
      <c r="H45" s="479" t="e">
        <f t="shared" si="71"/>
        <v>#N/A</v>
      </c>
      <c r="I45" s="479" t="str">
        <f t="shared" si="78"/>
        <v>0/día</v>
      </c>
      <c r="J45" s="480">
        <v>1</v>
      </c>
      <c r="K45" s="479">
        <v>0</v>
      </c>
      <c r="L45" s="481" t="e">
        <f t="shared" si="84"/>
        <v>#N/A</v>
      </c>
      <c r="M45" s="481" t="e">
        <f t="shared" si="85"/>
        <v>#N/A</v>
      </c>
      <c r="N45" s="482">
        <v>0</v>
      </c>
      <c r="O45" s="482" t="e">
        <f t="shared" si="86"/>
        <v>#N/A</v>
      </c>
      <c r="P45" s="489"/>
      <c r="Q45" s="490"/>
    </row>
    <row r="46" spans="1:18" s="486" customFormat="1" ht="33" customHeight="1">
      <c r="A46" s="447">
        <v>10033</v>
      </c>
      <c r="B46" s="476" t="e">
        <f t="shared" si="83"/>
        <v>#N/A</v>
      </c>
      <c r="C46" s="497">
        <f t="shared" si="0"/>
        <v>0</v>
      </c>
      <c r="D46" s="477">
        <f t="shared" si="9"/>
        <v>0</v>
      </c>
      <c r="E46" s="478" t="e">
        <f t="shared" si="76"/>
        <v>#N/A</v>
      </c>
      <c r="F46" s="479" t="s">
        <v>642</v>
      </c>
      <c r="G46" s="479" t="e">
        <f t="shared" si="77"/>
        <v>#N/A</v>
      </c>
      <c r="H46" s="479" t="e">
        <f t="shared" si="71"/>
        <v>#N/A</v>
      </c>
      <c r="I46" s="479" t="str">
        <f t="shared" si="78"/>
        <v>0/día</v>
      </c>
      <c r="J46" s="480">
        <v>1</v>
      </c>
      <c r="K46" s="479">
        <v>0</v>
      </c>
      <c r="L46" s="481" t="e">
        <f t="shared" ref="L46" si="87">IF(K46&lt;&gt;0,E46/(J46*K46),IF(F46="Un Turno",G46/(11*J46),G46/(22*J46)))</f>
        <v>#N/A</v>
      </c>
      <c r="M46" s="481" t="e">
        <f t="shared" ref="M46" si="88">IF(L46&lt;0.5,1,ROUND(L46,0))</f>
        <v>#N/A</v>
      </c>
      <c r="N46" s="482">
        <v>0</v>
      </c>
      <c r="O46" s="482" t="e">
        <f t="shared" ref="O46" si="89">+M46+N46</f>
        <v>#N/A</v>
      </c>
      <c r="P46" s="489"/>
      <c r="Q46" s="490"/>
    </row>
    <row r="47" spans="1:18" s="486" customFormat="1" ht="33" customHeight="1">
      <c r="A47" s="447">
        <v>10034</v>
      </c>
      <c r="B47" s="476" t="e">
        <f t="shared" si="83"/>
        <v>#N/A</v>
      </c>
      <c r="C47" s="497">
        <f t="shared" si="0"/>
        <v>0</v>
      </c>
      <c r="D47" s="477">
        <f t="shared" si="9"/>
        <v>0</v>
      </c>
      <c r="E47" s="478" t="e">
        <f t="shared" ref="E47" si="90">VLOOKUP($A47,PRESUPUESTO_,5,FALSE)</f>
        <v>#N/A</v>
      </c>
      <c r="F47" s="479" t="s">
        <v>642</v>
      </c>
      <c r="G47" s="498" t="e">
        <f>IF(F47="Un Turno",ROUND(E47*1/VLOOKUP(A47,Rend,5,FALSE),2),ROUND(E47*2/VLOOKUP(A47,Rend,5,FALSE),2))</f>
        <v>#N/A</v>
      </c>
      <c r="H47" s="479" t="e">
        <f t="shared" si="71"/>
        <v>#N/A</v>
      </c>
      <c r="I47" s="479" t="str">
        <f>CONCATENATE(ROUND(VLOOKUP(A47,Rend,5,FALSE),2),VLOOKUP(A47,Rend,4,FALSE),"/hr")</f>
        <v>0/hr</v>
      </c>
      <c r="J47" s="480">
        <v>1</v>
      </c>
      <c r="K47" s="479">
        <v>454.54545454545456</v>
      </c>
      <c r="L47" s="481" t="e">
        <f t="shared" si="84"/>
        <v>#N/A</v>
      </c>
      <c r="M47" s="481" t="e">
        <f>IF(L47&lt;0,ROUND(L47,0),IF(L47&lt;0.5,1,ROUND(L47,0)))</f>
        <v>#N/A</v>
      </c>
      <c r="N47" s="482">
        <v>0</v>
      </c>
      <c r="O47" s="482" t="e">
        <f t="shared" si="86"/>
        <v>#N/A</v>
      </c>
      <c r="P47" s="489"/>
      <c r="Q47" s="490"/>
    </row>
    <row r="48" spans="1:18" ht="13.8">
      <c r="M48" s="453"/>
      <c r="N48" s="491" t="s">
        <v>641</v>
      </c>
      <c r="O48" s="492"/>
    </row>
    <row r="49" spans="1:19">
      <c r="D49" s="455"/>
      <c r="E49" s="455"/>
      <c r="F49" s="455"/>
      <c r="G49" s="455"/>
      <c r="I49" s="455"/>
      <c r="L49" s="493"/>
    </row>
    <row r="50" spans="1:19">
      <c r="D50" s="455"/>
      <c r="E50" s="455"/>
      <c r="F50" s="455"/>
      <c r="G50" s="455"/>
      <c r="I50" s="455"/>
      <c r="L50" s="493"/>
    </row>
    <row r="51" spans="1:19">
      <c r="D51" s="455"/>
      <c r="E51" s="455"/>
      <c r="F51" s="455"/>
      <c r="G51" s="455"/>
      <c r="I51" s="455"/>
      <c r="O51" s="494"/>
      <c r="P51" s="494"/>
      <c r="Q51" s="494"/>
    </row>
    <row r="52" spans="1:19">
      <c r="D52" s="455"/>
      <c r="E52" s="455"/>
      <c r="F52" s="455"/>
      <c r="G52" s="455"/>
      <c r="I52" s="455"/>
      <c r="P52" s="495"/>
      <c r="Q52" s="495"/>
    </row>
    <row r="53" spans="1:19">
      <c r="D53" s="455"/>
      <c r="E53" s="455"/>
      <c r="F53" s="455"/>
      <c r="G53" s="455"/>
      <c r="I53" s="455"/>
      <c r="P53" s="495"/>
      <c r="Q53" s="495"/>
    </row>
    <row r="54" spans="1:19">
      <c r="D54" s="455"/>
      <c r="E54" s="455"/>
      <c r="F54" s="455"/>
      <c r="G54" s="455"/>
      <c r="I54" s="455"/>
      <c r="P54" s="495"/>
      <c r="Q54" s="495"/>
    </row>
    <row r="55" spans="1:19">
      <c r="D55" s="455"/>
      <c r="E55" s="455"/>
      <c r="F55" s="455"/>
      <c r="G55" s="455"/>
      <c r="I55" s="455"/>
      <c r="P55" s="495"/>
      <c r="Q55" s="495"/>
    </row>
    <row r="56" spans="1:19">
      <c r="D56" s="455"/>
      <c r="E56" s="455"/>
      <c r="F56" s="455"/>
      <c r="G56" s="455"/>
      <c r="I56" s="455"/>
      <c r="P56" s="495"/>
      <c r="Q56" s="495"/>
    </row>
    <row r="57" spans="1:19">
      <c r="D57" s="455"/>
      <c r="E57" s="455"/>
      <c r="F57" s="455"/>
      <c r="G57" s="455"/>
      <c r="I57" s="455"/>
      <c r="P57" s="495"/>
      <c r="Q57" s="495"/>
    </row>
    <row r="58" spans="1:19" s="456" customFormat="1">
      <c r="A58" s="453"/>
      <c r="B58" s="454"/>
      <c r="C58" s="455"/>
      <c r="D58" s="455"/>
      <c r="E58" s="455"/>
      <c r="F58" s="455"/>
      <c r="G58" s="455"/>
      <c r="I58" s="455"/>
      <c r="L58" s="495"/>
      <c r="M58" s="495"/>
      <c r="P58" s="495"/>
      <c r="Q58" s="495"/>
      <c r="R58" s="453"/>
      <c r="S58" s="453"/>
    </row>
    <row r="59" spans="1:19" s="456" customFormat="1">
      <c r="A59" s="453"/>
      <c r="B59" s="454"/>
      <c r="C59" s="455"/>
      <c r="D59" s="455"/>
      <c r="E59" s="455"/>
      <c r="F59" s="455"/>
      <c r="G59" s="455"/>
      <c r="I59" s="455"/>
      <c r="L59" s="495"/>
      <c r="M59" s="495"/>
      <c r="P59" s="495"/>
      <c r="Q59" s="495"/>
      <c r="R59" s="453"/>
      <c r="S59" s="453"/>
    </row>
    <row r="60" spans="1:19" s="456" customFormat="1">
      <c r="A60" s="453"/>
      <c r="B60" s="454"/>
      <c r="C60" s="455"/>
      <c r="D60" s="455"/>
      <c r="E60" s="455"/>
      <c r="F60" s="455"/>
      <c r="G60" s="455"/>
      <c r="I60" s="455"/>
      <c r="L60" s="495"/>
      <c r="M60" s="495"/>
      <c r="P60" s="495"/>
      <c r="Q60" s="495"/>
      <c r="R60" s="453"/>
      <c r="S60" s="453"/>
    </row>
    <row r="61" spans="1:19">
      <c r="L61" s="495"/>
      <c r="M61" s="495"/>
      <c r="Q61" s="495"/>
    </row>
    <row r="62" spans="1:19">
      <c r="L62" s="495"/>
      <c r="M62" s="495"/>
      <c r="Q62" s="495"/>
    </row>
    <row r="63" spans="1:19">
      <c r="L63" s="495"/>
      <c r="M63" s="495"/>
      <c r="Q63" s="495"/>
    </row>
    <row r="64" spans="1:19">
      <c r="L64" s="495"/>
      <c r="M64" s="495"/>
    </row>
    <row r="65" spans="12:13">
      <c r="L65" s="495"/>
      <c r="M65" s="495"/>
    </row>
    <row r="66" spans="12:13">
      <c r="M66" s="495"/>
    </row>
  </sheetData>
  <mergeCells count="1">
    <mergeCell ref="B5:Q5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headerFooter>
    <oddHeader>&amp;R&amp;G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/>
  <dimension ref="A5:R87"/>
  <sheetViews>
    <sheetView workbookViewId="0">
      <selection activeCell="B22" sqref="B22"/>
    </sheetView>
  </sheetViews>
  <sheetFormatPr baseColWidth="10" defaultColWidth="11.5546875" defaultRowHeight="13.2"/>
  <cols>
    <col min="1" max="1" width="44" customWidth="1"/>
    <col min="2" max="2" width="14.88671875" customWidth="1"/>
    <col min="3" max="3" width="11.77734375" bestFit="1" customWidth="1"/>
    <col min="6" max="6" width="11.5546875" customWidth="1"/>
    <col min="8" max="8" width="11.5546875" customWidth="1"/>
    <col min="9" max="9" width="14.33203125" customWidth="1"/>
    <col min="10" max="12" width="11.5546875" hidden="1" customWidth="1"/>
  </cols>
  <sheetData>
    <row r="5" spans="1:18" ht="13.8" thickBot="1"/>
    <row r="6" spans="1:18" ht="40.200000000000003" thickBot="1">
      <c r="A6" s="369" t="s">
        <v>516</v>
      </c>
      <c r="B6" s="356" t="s">
        <v>518</v>
      </c>
      <c r="C6" s="356" t="s">
        <v>519</v>
      </c>
      <c r="D6" s="356" t="s">
        <v>520</v>
      </c>
      <c r="E6" s="368" t="s">
        <v>521</v>
      </c>
      <c r="F6" s="368" t="s">
        <v>522</v>
      </c>
      <c r="G6" s="356" t="s">
        <v>748</v>
      </c>
      <c r="H6" s="356" t="s">
        <v>523</v>
      </c>
      <c r="I6" s="356" t="s">
        <v>524</v>
      </c>
      <c r="J6" s="356" t="s">
        <v>525</v>
      </c>
      <c r="K6" s="356" t="s">
        <v>526</v>
      </c>
      <c r="L6" s="374" t="s">
        <v>527</v>
      </c>
    </row>
    <row r="7" spans="1:18">
      <c r="A7" s="370" t="str">
        <f>'1.4 Insumos'!B30</f>
        <v>Tractor sobre Orugas CAT D8T</v>
      </c>
      <c r="B7" s="508">
        <f>'1.4 Insumos'!F30</f>
        <v>269.27</v>
      </c>
      <c r="C7" s="556">
        <f>+'1.3 Gastos Generales'!PZ</f>
        <v>1.23</v>
      </c>
      <c r="D7" s="376">
        <f>365/12*11*0.87</f>
        <v>291.08750000000003</v>
      </c>
      <c r="E7" s="377">
        <v>180</v>
      </c>
      <c r="F7" s="408">
        <f>+B7/(C7*D7*2)</f>
        <v>0.3760358984617887</v>
      </c>
      <c r="G7" s="409">
        <v>1</v>
      </c>
      <c r="H7" s="360">
        <v>10</v>
      </c>
      <c r="I7" s="362">
        <f t="shared" ref="I7:I21" si="0">+ROUNDUP(B7*H7,2)</f>
        <v>2692.7</v>
      </c>
      <c r="J7" s="364"/>
      <c r="K7" s="373"/>
      <c r="L7" s="367"/>
    </row>
    <row r="8" spans="1:18" s="290" customFormat="1">
      <c r="A8" s="370" t="str">
        <f>'1.4 Insumos'!B31</f>
        <v>Tractor sobre Orugas CAT D6T</v>
      </c>
      <c r="B8" s="508">
        <f>'1.4 Insumos'!F31</f>
        <v>0</v>
      </c>
      <c r="C8" s="556">
        <f>+'1.3 Gastos Generales'!PZ</f>
        <v>1.23</v>
      </c>
      <c r="D8" s="376">
        <f t="shared" ref="D8:D21" si="1">365/12*11*0.87</f>
        <v>291.08750000000003</v>
      </c>
      <c r="E8" s="377">
        <v>180</v>
      </c>
      <c r="F8" s="408">
        <f t="shared" ref="F8:F20" si="2">+B8/(C8*D8*2)</f>
        <v>0</v>
      </c>
      <c r="G8" s="410"/>
      <c r="H8" s="361">
        <v>5.5</v>
      </c>
      <c r="I8" s="363">
        <f t="shared" si="0"/>
        <v>0</v>
      </c>
      <c r="J8" s="365"/>
      <c r="K8" s="373"/>
      <c r="L8" s="367"/>
    </row>
    <row r="9" spans="1:18" s="290" customFormat="1">
      <c r="A9" s="370" t="str">
        <f>'1.4 Insumos'!B33</f>
        <v>Excavadora John Deere 290</v>
      </c>
      <c r="B9" s="508">
        <f>'1.4 Insumos'!F33</f>
        <v>0</v>
      </c>
      <c r="C9" s="556">
        <f>+'1.3 Gastos Generales'!PZ</f>
        <v>1.23</v>
      </c>
      <c r="D9" s="376">
        <f t="shared" si="1"/>
        <v>291.08750000000003</v>
      </c>
      <c r="E9" s="377">
        <v>180</v>
      </c>
      <c r="F9" s="408">
        <f t="shared" si="2"/>
        <v>0</v>
      </c>
      <c r="G9" s="410"/>
      <c r="H9" s="361">
        <v>7</v>
      </c>
      <c r="I9" s="363">
        <f t="shared" si="0"/>
        <v>0</v>
      </c>
      <c r="J9" s="365"/>
      <c r="K9" s="373"/>
      <c r="L9" s="367"/>
    </row>
    <row r="10" spans="1:18" s="290" customFormat="1">
      <c r="A10" s="370" t="str">
        <f>'1.4 Insumos'!B34</f>
        <v>Cargador Frontal John Deere 744 K</v>
      </c>
      <c r="B10" s="508">
        <f>'1.4 Insumos'!F34</f>
        <v>181.10000000000002</v>
      </c>
      <c r="C10" s="556">
        <f>+'1.3 Gastos Generales'!PZ</f>
        <v>1.23</v>
      </c>
      <c r="D10" s="376">
        <f t="shared" si="1"/>
        <v>291.08750000000003</v>
      </c>
      <c r="E10" s="377">
        <v>180</v>
      </c>
      <c r="F10" s="408">
        <f t="shared" si="2"/>
        <v>0.25290638099836577</v>
      </c>
      <c r="G10" s="410">
        <v>1</v>
      </c>
      <c r="H10" s="361">
        <v>6.5</v>
      </c>
      <c r="I10" s="363">
        <f t="shared" si="0"/>
        <v>1177.1500000000001</v>
      </c>
      <c r="J10" s="365"/>
      <c r="K10" s="373"/>
      <c r="L10" s="367"/>
    </row>
    <row r="11" spans="1:18" s="565" customFormat="1" hidden="1">
      <c r="A11" s="370" t="str">
        <f>'1.4 Insumos'!B32</f>
        <v>Excavadora EC 380D</v>
      </c>
      <c r="B11" s="508">
        <f>'1.4 Insumos'!F32</f>
        <v>0</v>
      </c>
      <c r="C11" s="556">
        <f>+'1.3 Gastos Generales'!PZ</f>
        <v>1.23</v>
      </c>
      <c r="D11" s="376">
        <f t="shared" si="1"/>
        <v>291.08750000000003</v>
      </c>
      <c r="E11" s="377">
        <v>180</v>
      </c>
      <c r="F11" s="408">
        <f t="shared" ref="F11" si="3">+B11/(C11*D11*2)</f>
        <v>0</v>
      </c>
      <c r="G11" s="410"/>
      <c r="H11" s="361">
        <v>7</v>
      </c>
      <c r="I11" s="363">
        <f t="shared" si="0"/>
        <v>0</v>
      </c>
      <c r="J11" s="365"/>
      <c r="K11" s="373"/>
      <c r="L11" s="367"/>
    </row>
    <row r="12" spans="1:18" s="290" customFormat="1">
      <c r="A12" s="370" t="str">
        <f>'1.4 Insumos'!B35</f>
        <v>Retroexcavadora Cat 420e</v>
      </c>
      <c r="B12" s="508">
        <f>'1.4 Insumos'!F35</f>
        <v>24.89</v>
      </c>
      <c r="C12" s="556">
        <f>+'1.3 Gastos Generales'!PZ</f>
        <v>1.23</v>
      </c>
      <c r="D12" s="376">
        <f t="shared" si="1"/>
        <v>291.08750000000003</v>
      </c>
      <c r="E12" s="377">
        <v>180</v>
      </c>
      <c r="F12" s="408">
        <f t="shared" si="2"/>
        <v>3.4758916747925583E-2</v>
      </c>
      <c r="G12" s="410">
        <v>1</v>
      </c>
      <c r="H12" s="361">
        <v>2.5</v>
      </c>
      <c r="I12" s="363">
        <f t="shared" si="0"/>
        <v>62.23</v>
      </c>
      <c r="J12" s="365"/>
      <c r="K12" s="373"/>
      <c r="L12" s="367"/>
    </row>
    <row r="13" spans="1:18" s="290" customFormat="1">
      <c r="A13" s="370" t="str">
        <f>'1.4 Insumos'!B36</f>
        <v>Volquete de 17 m3</v>
      </c>
      <c r="B13" s="508">
        <f>'1.4 Insumos'!F36</f>
        <v>1348.38</v>
      </c>
      <c r="C13" s="556">
        <f>+'1.3 Gastos Generales'!PZ</f>
        <v>1.23</v>
      </c>
      <c r="D13" s="376">
        <f t="shared" si="1"/>
        <v>291.08750000000003</v>
      </c>
      <c r="E13" s="377">
        <v>180</v>
      </c>
      <c r="F13" s="408">
        <f>+B13/(C13*D13*2)</f>
        <v>1.8830143898982683</v>
      </c>
      <c r="G13" s="410">
        <v>7</v>
      </c>
      <c r="H13" s="361">
        <v>3.2</v>
      </c>
      <c r="I13" s="363">
        <f t="shared" si="0"/>
        <v>4314.8200000000006</v>
      </c>
      <c r="J13" s="365"/>
      <c r="K13" s="373"/>
      <c r="L13" s="367"/>
    </row>
    <row r="14" spans="1:18" s="290" customFormat="1">
      <c r="A14" s="370" t="str">
        <f>'1.4 Insumos'!B38</f>
        <v>Cisterna de agua 5,000 gln.</v>
      </c>
      <c r="B14" s="508">
        <f>'1.4 Insumos'!F38</f>
        <v>269.27</v>
      </c>
      <c r="C14" s="556">
        <f>+'1.3 Gastos Generales'!PZ</f>
        <v>1.23</v>
      </c>
      <c r="D14" s="376">
        <f t="shared" si="1"/>
        <v>291.08750000000003</v>
      </c>
      <c r="E14" s="377">
        <v>180</v>
      </c>
      <c r="F14" s="408">
        <f t="shared" si="2"/>
        <v>0.3760358984617887</v>
      </c>
      <c r="G14" s="410">
        <v>1</v>
      </c>
      <c r="H14" s="361">
        <v>3.2</v>
      </c>
      <c r="I14" s="363">
        <f t="shared" si="0"/>
        <v>861.67</v>
      </c>
      <c r="J14" s="365"/>
      <c r="K14" s="373"/>
      <c r="L14" s="367"/>
    </row>
    <row r="15" spans="1:18" s="290" customFormat="1">
      <c r="A15" s="370" t="str">
        <f>'1.4 Insumos'!B39</f>
        <v>Camión Grúa de 20 Ton.</v>
      </c>
      <c r="B15" s="508">
        <f>'1.4 Insumos'!F39</f>
        <v>0</v>
      </c>
      <c r="C15" s="556">
        <f>+'1.3 Gastos Generales'!PZ</f>
        <v>1.23</v>
      </c>
      <c r="D15" s="376">
        <f t="shared" si="1"/>
        <v>291.08750000000003</v>
      </c>
      <c r="E15" s="377">
        <v>180</v>
      </c>
      <c r="F15" s="408">
        <f t="shared" si="2"/>
        <v>0</v>
      </c>
      <c r="G15" s="410"/>
      <c r="H15" s="361">
        <v>5.5</v>
      </c>
      <c r="I15" s="363">
        <f t="shared" si="0"/>
        <v>0</v>
      </c>
      <c r="J15" s="365"/>
      <c r="K15" s="373"/>
      <c r="L15" s="367"/>
      <c r="Q15" s="1"/>
      <c r="R15" s="1"/>
    </row>
    <row r="16" spans="1:18" s="290" customFormat="1">
      <c r="A16" s="370" t="str">
        <f>'1.4 Insumos'!B41</f>
        <v>Motoniveladora de 140 HP</v>
      </c>
      <c r="B16" s="508">
        <f>'1.4 Insumos'!F41</f>
        <v>269.27</v>
      </c>
      <c r="C16" s="556">
        <f>+'1.3 Gastos Generales'!PZ</f>
        <v>1.23</v>
      </c>
      <c r="D16" s="376">
        <f t="shared" si="1"/>
        <v>291.08750000000003</v>
      </c>
      <c r="E16" s="377">
        <v>180</v>
      </c>
      <c r="F16" s="408">
        <f t="shared" si="2"/>
        <v>0.3760358984617887</v>
      </c>
      <c r="G16" s="410">
        <v>1</v>
      </c>
      <c r="H16" s="361">
        <v>3.5</v>
      </c>
      <c r="I16" s="363">
        <f t="shared" si="0"/>
        <v>942.45</v>
      </c>
      <c r="J16" s="365"/>
      <c r="K16" s="373"/>
      <c r="L16" s="367"/>
      <c r="Q16" s="1"/>
      <c r="R16" s="1"/>
    </row>
    <row r="17" spans="1:18" s="290" customFormat="1">
      <c r="A17" s="370" t="str">
        <f>'1.4 Insumos'!B42</f>
        <v>Rodillo Liso Vibratorio Autopropulsado HAMM 20 Tn.</v>
      </c>
      <c r="B17" s="508">
        <f>'1.4 Insumos'!F42</f>
        <v>269.27</v>
      </c>
      <c r="C17" s="556">
        <f>+'1.3 Gastos Generales'!PZ</f>
        <v>1.23</v>
      </c>
      <c r="D17" s="376">
        <f t="shared" si="1"/>
        <v>291.08750000000003</v>
      </c>
      <c r="E17" s="377">
        <v>180</v>
      </c>
      <c r="F17" s="408">
        <f t="shared" si="2"/>
        <v>0.3760358984617887</v>
      </c>
      <c r="G17" s="410">
        <v>1</v>
      </c>
      <c r="H17" s="361">
        <v>2</v>
      </c>
      <c r="I17" s="363">
        <f t="shared" si="0"/>
        <v>538.54</v>
      </c>
      <c r="J17" s="365"/>
      <c r="K17" s="373"/>
      <c r="L17" s="367"/>
      <c r="Q17" s="1"/>
      <c r="R17" s="1"/>
    </row>
    <row r="18" spans="1:18" s="290" customFormat="1">
      <c r="A18" s="370" t="str">
        <f>'1.4 Insumos'!B43</f>
        <v>Rodillo Liso Vibratorio Autopropulsado HAMM 11 Tn.</v>
      </c>
      <c r="B18" s="508">
        <f>'1.4 Insumos'!F43</f>
        <v>0</v>
      </c>
      <c r="C18" s="556">
        <f>+'1.3 Gastos Generales'!PZ</f>
        <v>1.23</v>
      </c>
      <c r="D18" s="376">
        <f t="shared" si="1"/>
        <v>291.08750000000003</v>
      </c>
      <c r="E18" s="377">
        <v>180</v>
      </c>
      <c r="F18" s="408">
        <f t="shared" si="2"/>
        <v>0</v>
      </c>
      <c r="G18" s="410"/>
      <c r="H18" s="361">
        <v>1.5</v>
      </c>
      <c r="I18" s="363">
        <f t="shared" si="0"/>
        <v>0</v>
      </c>
      <c r="J18" s="365"/>
      <c r="K18" s="373"/>
      <c r="L18" s="367"/>
    </row>
    <row r="19" spans="1:18" s="290" customFormat="1">
      <c r="A19" s="370" t="str">
        <f>'1.4 Insumos'!B48</f>
        <v>Minicargador  Cat 246, 74 HP</v>
      </c>
      <c r="B19" s="508">
        <f>'1.4 Insumos'!F48</f>
        <v>0</v>
      </c>
      <c r="C19" s="556">
        <f>+'1.3 Gastos Generales'!PZ</f>
        <v>1.23</v>
      </c>
      <c r="D19" s="376">
        <f t="shared" si="1"/>
        <v>291.08750000000003</v>
      </c>
      <c r="E19" s="377">
        <v>180</v>
      </c>
      <c r="F19" s="408">
        <f t="shared" si="2"/>
        <v>0</v>
      </c>
      <c r="G19" s="410"/>
      <c r="H19" s="361">
        <v>6.5</v>
      </c>
      <c r="I19" s="363">
        <f t="shared" si="0"/>
        <v>0</v>
      </c>
      <c r="J19" s="365"/>
      <c r="K19" s="373"/>
      <c r="L19" s="367"/>
    </row>
    <row r="20" spans="1:18" s="290" customFormat="1">
      <c r="A20" s="370" t="str">
        <f>'1.4 Insumos'!B51</f>
        <v>Luminaria 4K</v>
      </c>
      <c r="B20" s="508">
        <f>'1.4 Insumos'!F51</f>
        <v>0</v>
      </c>
      <c r="C20" s="556">
        <f>+'1.3 Gastos Generales'!PZ</f>
        <v>1.23</v>
      </c>
      <c r="D20" s="376">
        <f t="shared" si="1"/>
        <v>291.08750000000003</v>
      </c>
      <c r="E20" s="377">
        <v>180</v>
      </c>
      <c r="F20" s="408">
        <f t="shared" si="2"/>
        <v>0</v>
      </c>
      <c r="G20" s="410"/>
      <c r="H20" s="361">
        <v>0.5</v>
      </c>
      <c r="I20" s="363">
        <f t="shared" si="0"/>
        <v>0</v>
      </c>
      <c r="J20" s="365"/>
      <c r="K20" s="373"/>
      <c r="L20" s="367"/>
    </row>
    <row r="21" spans="1:18" s="290" customFormat="1" ht="13.8" thickBot="1">
      <c r="A21" s="370" t="str">
        <f>'1.4 Insumos'!B52</f>
        <v>Rodillo compactador Tandem Tipo Chupetero</v>
      </c>
      <c r="B21" s="508">
        <f>'1.4 Insumos'!F52</f>
        <v>0</v>
      </c>
      <c r="C21" s="556">
        <f>+'1.3 Gastos Generales'!PZ</f>
        <v>1.23</v>
      </c>
      <c r="D21" s="376">
        <f t="shared" si="1"/>
        <v>291.08750000000003</v>
      </c>
      <c r="E21" s="377">
        <v>180</v>
      </c>
      <c r="F21" s="408">
        <f t="shared" ref="F21" si="4">+B21/(C21*D21*2)</f>
        <v>0</v>
      </c>
      <c r="G21" s="410"/>
      <c r="H21" s="361">
        <v>0.5</v>
      </c>
      <c r="I21" s="363">
        <f t="shared" si="0"/>
        <v>0</v>
      </c>
      <c r="J21" s="365"/>
      <c r="K21" s="373"/>
      <c r="L21" s="367"/>
    </row>
    <row r="22" spans="1:18" ht="13.8" thickBot="1">
      <c r="A22" s="371" t="s">
        <v>517</v>
      </c>
      <c r="B22" s="357">
        <f>SUM(B7:B19)</f>
        <v>2631.45</v>
      </c>
      <c r="C22" s="358"/>
      <c r="D22" s="358"/>
      <c r="E22" s="372"/>
      <c r="F22" s="372"/>
      <c r="G22" s="357">
        <f>SUM(G7:G21)</f>
        <v>13</v>
      </c>
      <c r="H22" s="358"/>
      <c r="I22" s="357">
        <f>SUM(I7:I19)</f>
        <v>10589.560000000001</v>
      </c>
      <c r="J22" s="359">
        <f>SUM(J7:J19)</f>
        <v>0</v>
      </c>
      <c r="K22" s="357">
        <f>SUM(K7:K19)</f>
        <v>0</v>
      </c>
      <c r="L22" s="375">
        <f>SUM(L7:L19)</f>
        <v>0</v>
      </c>
    </row>
    <row r="25" spans="1:18">
      <c r="A25" s="170" t="s">
        <v>528</v>
      </c>
    </row>
    <row r="26" spans="1:18">
      <c r="A26" s="170" t="s">
        <v>529</v>
      </c>
    </row>
    <row r="28" spans="1:18" ht="13.8" thickBot="1">
      <c r="E28" s="290"/>
    </row>
    <row r="29" spans="1:18" ht="27.6" customHeight="1" thickBot="1">
      <c r="A29" s="378" t="s">
        <v>530</v>
      </c>
      <c r="B29" s="382" t="s">
        <v>689</v>
      </c>
      <c r="C29" s="382" t="s">
        <v>690</v>
      </c>
      <c r="D29" s="382" t="s">
        <v>532</v>
      </c>
      <c r="E29" s="383" t="s">
        <v>533</v>
      </c>
      <c r="F29" s="290"/>
    </row>
    <row r="30" spans="1:18">
      <c r="A30" s="379" t="str">
        <f>'1.4 Insumos'!B12</f>
        <v>Operador de equipo pesado</v>
      </c>
      <c r="B30" s="376">
        <f>SUM(G7:G19)+G21</f>
        <v>13</v>
      </c>
      <c r="C30" s="376"/>
      <c r="D30" s="376"/>
      <c r="E30" s="385">
        <f t="shared" ref="E30:E42" si="5">SUM(B30:D30)</f>
        <v>13</v>
      </c>
      <c r="F30" s="290"/>
    </row>
    <row r="31" spans="1:18">
      <c r="A31" s="380" t="str">
        <f>'1.4 Insumos'!B11</f>
        <v>Capataz</v>
      </c>
      <c r="B31" s="417">
        <f>ROUNDUP('1.4 Insumos'!F11/10/((365/12)*(17/30)),0)</f>
        <v>3</v>
      </c>
      <c r="C31" s="417"/>
      <c r="D31" s="417"/>
      <c r="E31" s="385">
        <f t="shared" si="5"/>
        <v>3</v>
      </c>
      <c r="F31" s="290"/>
    </row>
    <row r="32" spans="1:18">
      <c r="A32" s="380" t="str">
        <f>'1.4 Insumos'!B13</f>
        <v>Operario</v>
      </c>
      <c r="B32" s="417">
        <f>ROUNDUP('1.4 Insumos'!F13/10/((365/12)*(17/30)),0)</f>
        <v>0</v>
      </c>
      <c r="C32" s="376"/>
      <c r="D32" s="376"/>
      <c r="E32" s="385">
        <f t="shared" si="5"/>
        <v>0</v>
      </c>
      <c r="F32" s="290"/>
    </row>
    <row r="33" spans="1:6">
      <c r="A33" s="381" t="str">
        <f>'1.4 Insumos'!B14</f>
        <v>Topógrafo</v>
      </c>
      <c r="B33" s="417">
        <f>ROUNDUP('1.4 Insumos'!F14/10/((365/12)*(17/30)),0)</f>
        <v>4</v>
      </c>
      <c r="C33" s="376"/>
      <c r="D33" s="376"/>
      <c r="E33" s="385">
        <f t="shared" si="5"/>
        <v>4</v>
      </c>
      <c r="F33" s="290"/>
    </row>
    <row r="34" spans="1:6">
      <c r="A34" s="381" t="str">
        <f>'1.4 Insumos'!B15</f>
        <v>Auxiliar de Topógrafo</v>
      </c>
      <c r="B34" s="417">
        <f>ROUNDUP('1.4 Insumos'!F15/10/((365/12)*(17/30)),0)</f>
        <v>4</v>
      </c>
      <c r="C34" s="376"/>
      <c r="D34" s="376"/>
      <c r="E34" s="385">
        <f t="shared" si="5"/>
        <v>4</v>
      </c>
      <c r="F34" s="290"/>
    </row>
    <row r="35" spans="1:6">
      <c r="A35" s="381" t="str">
        <f>'1.4 Insumos'!B16</f>
        <v>Cadista</v>
      </c>
      <c r="B35" s="417">
        <f>ROUNDUP('1.4 Insumos'!F16/10/((365/12)*(17/30)),0)</f>
        <v>2</v>
      </c>
      <c r="C35" s="376"/>
      <c r="D35" s="376"/>
      <c r="E35" s="385">
        <f t="shared" si="5"/>
        <v>2</v>
      </c>
      <c r="F35" s="290"/>
    </row>
    <row r="36" spans="1:6" s="565" customFormat="1">
      <c r="A36" s="381" t="str">
        <f>'1.4 Insumos'!B17</f>
        <v>Operario Termofusionista</v>
      </c>
      <c r="B36" s="417">
        <f>ROUNDUP('1.4 Insumos'!F17/10/((365/12)*(17/30)),0)</f>
        <v>0</v>
      </c>
      <c r="C36" s="376"/>
      <c r="D36" s="376"/>
      <c r="E36" s="385">
        <f t="shared" ref="E36:E37" si="6">SUM(B36:D36)</f>
        <v>0</v>
      </c>
    </row>
    <row r="37" spans="1:6" s="565" customFormat="1">
      <c r="A37" s="381" t="str">
        <f>'1.4 Insumos'!B18</f>
        <v>Oficial Termofusionista</v>
      </c>
      <c r="B37" s="417">
        <f>ROUNDUP('1.4 Insumos'!F18/10/((365/12)*(17/30)),0)</f>
        <v>0</v>
      </c>
      <c r="C37" s="376"/>
      <c r="D37" s="376"/>
      <c r="E37" s="385">
        <f t="shared" si="6"/>
        <v>0</v>
      </c>
    </row>
    <row r="38" spans="1:6" s="290" customFormat="1">
      <c r="A38" s="380" t="str">
        <f>'1.4 Insumos'!B20</f>
        <v>Oficial</v>
      </c>
      <c r="B38" s="417">
        <f>ROUNDUP('1.4 Insumos'!F20/10/((365/12)*(17/30)),0)</f>
        <v>0</v>
      </c>
      <c r="C38" s="376"/>
      <c r="D38" s="376"/>
      <c r="E38" s="385">
        <f t="shared" si="5"/>
        <v>0</v>
      </c>
    </row>
    <row r="39" spans="1:6" s="290" customFormat="1">
      <c r="A39" s="380" t="str">
        <f>'1.4 Insumos'!B21</f>
        <v>Peón</v>
      </c>
      <c r="B39" s="417">
        <f>ROUNDUP('1.4 Insumos'!F21/10/((365/12)*(17/30)),0)</f>
        <v>7</v>
      </c>
      <c r="C39" s="376"/>
      <c r="D39" s="376"/>
      <c r="E39" s="385">
        <f t="shared" si="5"/>
        <v>7</v>
      </c>
    </row>
    <row r="40" spans="1:6" s="290" customFormat="1">
      <c r="A40" s="380" t="str">
        <f>'1.4 Insumos'!B22</f>
        <v>Cuadrador</v>
      </c>
      <c r="B40" s="417">
        <f>ROUNDUP('1.4 Insumos'!F22/10/((365/12)*(17/30)),0)</f>
        <v>0</v>
      </c>
      <c r="C40" s="376"/>
      <c r="D40" s="376"/>
      <c r="E40" s="385">
        <f t="shared" si="5"/>
        <v>0</v>
      </c>
    </row>
    <row r="41" spans="1:6" s="290" customFormat="1">
      <c r="A41" s="380" t="str">
        <f>'1.4 Insumos'!B23</f>
        <v>Vigía</v>
      </c>
      <c r="B41" s="417">
        <f>ROUNDUP('1.4 Insumos'!F23/10/((365/12)*(17/30)),0)</f>
        <v>6</v>
      </c>
      <c r="C41" s="376"/>
      <c r="D41" s="376"/>
      <c r="E41" s="385">
        <f t="shared" si="5"/>
        <v>6</v>
      </c>
    </row>
    <row r="42" spans="1:6" s="290" customFormat="1" ht="13.8" thickBot="1">
      <c r="A42" s="380" t="str">
        <f>'1.4 Insumos'!B24</f>
        <v>Rigger</v>
      </c>
      <c r="B42" s="417">
        <f>ROUNDUP('1.4 Insumos'!F24/10/((365/12)*(30/30)),0)</f>
        <v>0</v>
      </c>
      <c r="C42" s="376"/>
      <c r="D42" s="376"/>
      <c r="E42" s="385">
        <f t="shared" si="5"/>
        <v>0</v>
      </c>
    </row>
    <row r="43" spans="1:6" ht="13.8" thickBot="1">
      <c r="A43" s="371" t="s">
        <v>531</v>
      </c>
      <c r="B43" s="359">
        <f>SUM(B30:B42)</f>
        <v>39</v>
      </c>
      <c r="C43" s="359">
        <f>SUM(C30:C42)</f>
        <v>0</v>
      </c>
      <c r="D43" s="359">
        <f>SUM(D30:D42)</f>
        <v>0</v>
      </c>
      <c r="E43" s="384">
        <f>SUM(E30:E42)</f>
        <v>39</v>
      </c>
      <c r="F43" s="290"/>
    </row>
    <row r="87" spans="7:7">
      <c r="G87">
        <f>ROUNDUP(SUM(G50,G52,G70,G75)/2,0)+SUM('Equipos-Personal (HH y HM)'!G7:G19)</f>
        <v>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64" orientation="portrait" r:id="rId1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/>
  <dimension ref="A1:H43"/>
  <sheetViews>
    <sheetView view="pageBreakPreview" zoomScale="60" zoomScaleNormal="70" workbookViewId="0">
      <selection activeCell="E30" sqref="E30"/>
    </sheetView>
  </sheetViews>
  <sheetFormatPr baseColWidth="10" defaultColWidth="11.44140625" defaultRowHeight="13.2"/>
  <cols>
    <col min="1" max="1" width="13.88671875" style="1" customWidth="1"/>
    <col min="2" max="2" width="96.44140625" style="1" customWidth="1"/>
    <col min="3" max="3" width="7.109375" style="1" customWidth="1"/>
    <col min="4" max="5" width="11.5546875" style="1" bestFit="1" customWidth="1"/>
    <col min="6" max="7" width="12.44140625" style="1" customWidth="1"/>
    <col min="8" max="8" width="20.33203125" style="1" bestFit="1" customWidth="1"/>
    <col min="9" max="16384" width="11.44140625" style="1"/>
  </cols>
  <sheetData>
    <row r="1" spans="1:8" ht="21">
      <c r="A1" s="1053" t="s">
        <v>327</v>
      </c>
      <c r="B1" s="1054"/>
      <c r="C1" s="1054"/>
      <c r="D1" s="1054"/>
      <c r="E1" s="1054"/>
      <c r="F1" s="1054"/>
      <c r="G1" s="1054"/>
      <c r="H1" s="1054"/>
    </row>
    <row r="2" spans="1:8" ht="15.6">
      <c r="A2" s="137"/>
      <c r="B2" s="140"/>
      <c r="C2" s="140"/>
      <c r="D2" s="140"/>
      <c r="E2" s="140"/>
      <c r="F2" s="140"/>
      <c r="G2" s="140"/>
      <c r="H2" s="140"/>
    </row>
    <row r="3" spans="1:8">
      <c r="A3" s="163"/>
      <c r="B3" s="163"/>
    </row>
    <row r="4" spans="1:8">
      <c r="A4" s="163" t="s">
        <v>329</v>
      </c>
      <c r="B4" s="163" t="str">
        <f>+'1.7 Costos Covid'!D5</f>
        <v>MEJORAMIENTO DE VÍAS Y ACCESOS EXISTENTES SUBPROYECTOS A3-A4</v>
      </c>
    </row>
    <row r="5" spans="1:8" hidden="1">
      <c r="A5" s="163" t="s">
        <v>330</v>
      </c>
      <c r="B5" s="163" t="e">
        <f>+#REF!</f>
        <v>#REF!</v>
      </c>
    </row>
    <row r="6" spans="1:8">
      <c r="A6" s="163" t="s">
        <v>331</v>
      </c>
      <c r="B6" s="163" t="str">
        <f>+'1.7 Costos Covid'!D7</f>
        <v>OHLA</v>
      </c>
    </row>
    <row r="7" spans="1:8">
      <c r="A7" s="163" t="s">
        <v>332</v>
      </c>
      <c r="B7" s="163" t="str">
        <f>+'1.7 Costos Covid'!D8</f>
        <v>ZOVICSA</v>
      </c>
    </row>
    <row r="8" spans="1:8">
      <c r="A8" s="163" t="s">
        <v>21</v>
      </c>
      <c r="B8" s="6">
        <f>+'1.7 Costos Covid'!D9</f>
        <v>44655</v>
      </c>
    </row>
    <row r="9" spans="1:8">
      <c r="A9" s="164"/>
    </row>
    <row r="10" spans="1:8" ht="15.6">
      <c r="A10" s="137"/>
      <c r="B10" s="138" t="s">
        <v>286</v>
      </c>
      <c r="C10" s="425">
        <f>+'1.3 Gastos Generales'!PZ</f>
        <v>1.23</v>
      </c>
      <c r="D10" s="139" t="s">
        <v>287</v>
      </c>
      <c r="E10" s="140"/>
      <c r="F10" s="140"/>
      <c r="G10" s="140"/>
      <c r="H10" s="140"/>
    </row>
    <row r="11" spans="1:8" ht="15.6">
      <c r="A11" s="137"/>
      <c r="B11" s="138" t="s">
        <v>288</v>
      </c>
      <c r="C11" s="168">
        <f>+j</f>
        <v>8</v>
      </c>
      <c r="D11" s="139" t="s">
        <v>289</v>
      </c>
      <c r="E11" s="140"/>
      <c r="F11" s="140"/>
      <c r="G11" s="140"/>
      <c r="H11" s="140"/>
    </row>
    <row r="12" spans="1:8" ht="15.6">
      <c r="A12" s="137"/>
      <c r="B12" s="138" t="s">
        <v>290</v>
      </c>
      <c r="C12" s="168">
        <f>+ROUNDUP(C11*C10*365/12,0)</f>
        <v>300</v>
      </c>
      <c r="D12" s="139" t="s">
        <v>289</v>
      </c>
      <c r="E12" s="140"/>
      <c r="F12" s="140"/>
      <c r="G12" s="140"/>
      <c r="H12" s="140"/>
    </row>
    <row r="14" spans="1:8" s="165" customFormat="1" ht="39.6">
      <c r="A14" s="1055" t="s">
        <v>291</v>
      </c>
      <c r="B14" s="1055" t="s">
        <v>6</v>
      </c>
      <c r="C14" s="1055" t="s">
        <v>4</v>
      </c>
      <c r="D14" s="141" t="s">
        <v>292</v>
      </c>
      <c r="E14" s="141" t="s">
        <v>293</v>
      </c>
      <c r="F14" s="141" t="s">
        <v>294</v>
      </c>
      <c r="G14" s="141" t="s">
        <v>295</v>
      </c>
      <c r="H14" s="141" t="s">
        <v>296</v>
      </c>
    </row>
    <row r="15" spans="1:8" s="165" customFormat="1">
      <c r="A15" s="1056"/>
      <c r="B15" s="1056"/>
      <c r="C15" s="1056"/>
      <c r="D15" s="142" t="s">
        <v>297</v>
      </c>
      <c r="E15" s="142" t="s">
        <v>298</v>
      </c>
      <c r="F15" s="142" t="s">
        <v>299</v>
      </c>
      <c r="G15" s="142" t="s">
        <v>300</v>
      </c>
      <c r="H15" s="142" t="s">
        <v>301</v>
      </c>
    </row>
    <row r="16" spans="1:8">
      <c r="A16" s="143">
        <v>1</v>
      </c>
      <c r="B16" s="144" t="s">
        <v>302</v>
      </c>
      <c r="C16" s="145" t="s">
        <v>4</v>
      </c>
      <c r="D16" s="146">
        <v>12</v>
      </c>
      <c r="E16" s="146">
        <f>ROUNDUP($C$10/D16,0)</f>
        <v>1</v>
      </c>
      <c r="F16" s="147">
        <v>0.05</v>
      </c>
      <c r="G16" s="877"/>
      <c r="H16" s="148">
        <f>ROUNDUP(E16*F16*G16/$C$12,3)</f>
        <v>0</v>
      </c>
    </row>
    <row r="17" spans="1:8">
      <c r="A17" s="143">
        <v>2</v>
      </c>
      <c r="B17" s="144" t="s">
        <v>303</v>
      </c>
      <c r="C17" s="145" t="s">
        <v>4</v>
      </c>
      <c r="D17" s="146">
        <v>12</v>
      </c>
      <c r="E17" s="146">
        <f t="shared" ref="E17:E37" si="0">ROUNDUP($C$10/D17,0)</f>
        <v>1</v>
      </c>
      <c r="F17" s="147">
        <v>0.05</v>
      </c>
      <c r="G17" s="877"/>
      <c r="H17" s="148">
        <f t="shared" ref="H17:H37" si="1">ROUNDUP(E17*F17*G17/$C$12,3)</f>
        <v>0</v>
      </c>
    </row>
    <row r="18" spans="1:8">
      <c r="A18" s="143">
        <v>3</v>
      </c>
      <c r="B18" s="144" t="s">
        <v>304</v>
      </c>
      <c r="C18" s="145" t="s">
        <v>4</v>
      </c>
      <c r="D18" s="146">
        <v>12</v>
      </c>
      <c r="E18" s="146">
        <f t="shared" si="0"/>
        <v>1</v>
      </c>
      <c r="F18" s="147">
        <v>0.5</v>
      </c>
      <c r="G18" s="877">
        <v>1.3366244986115394</v>
      </c>
      <c r="H18" s="148">
        <f t="shared" si="1"/>
        <v>3.0000000000000001E-3</v>
      </c>
    </row>
    <row r="19" spans="1:8">
      <c r="A19" s="143">
        <v>4</v>
      </c>
      <c r="B19" s="144" t="s">
        <v>305</v>
      </c>
      <c r="C19" s="145" t="s">
        <v>306</v>
      </c>
      <c r="D19" s="146">
        <v>10</v>
      </c>
      <c r="E19" s="146">
        <f t="shared" si="0"/>
        <v>1</v>
      </c>
      <c r="F19" s="147">
        <v>1</v>
      </c>
      <c r="G19" s="877">
        <v>83.504501697007214</v>
      </c>
      <c r="H19" s="148">
        <f t="shared" si="1"/>
        <v>0.27900000000000003</v>
      </c>
    </row>
    <row r="20" spans="1:8">
      <c r="A20" s="143">
        <v>5</v>
      </c>
      <c r="B20" s="144" t="s">
        <v>307</v>
      </c>
      <c r="C20" s="145" t="s">
        <v>4</v>
      </c>
      <c r="D20" s="146">
        <v>12</v>
      </c>
      <c r="E20" s="146">
        <f t="shared" si="0"/>
        <v>1</v>
      </c>
      <c r="F20" s="147">
        <v>0.5</v>
      </c>
      <c r="G20" s="877">
        <v>16.707806232644245</v>
      </c>
      <c r="H20" s="148">
        <f t="shared" si="1"/>
        <v>2.8000000000000001E-2</v>
      </c>
    </row>
    <row r="21" spans="1:8">
      <c r="A21" s="143">
        <v>6</v>
      </c>
      <c r="B21" s="144" t="s">
        <v>308</v>
      </c>
      <c r="C21" s="145" t="s">
        <v>4</v>
      </c>
      <c r="D21" s="146">
        <v>12</v>
      </c>
      <c r="E21" s="146">
        <f t="shared" si="0"/>
        <v>1</v>
      </c>
      <c r="F21" s="147">
        <v>1</v>
      </c>
      <c r="G21" s="877">
        <v>28.403270595495215</v>
      </c>
      <c r="H21" s="148">
        <f t="shared" si="1"/>
        <v>9.5000000000000001E-2</v>
      </c>
    </row>
    <row r="22" spans="1:8">
      <c r="A22" s="143">
        <v>7</v>
      </c>
      <c r="B22" s="144" t="s">
        <v>309</v>
      </c>
      <c r="C22" s="145" t="s">
        <v>4</v>
      </c>
      <c r="D22" s="146">
        <v>12</v>
      </c>
      <c r="E22" s="146">
        <f t="shared" si="0"/>
        <v>1</v>
      </c>
      <c r="F22" s="147">
        <v>0.5</v>
      </c>
      <c r="G22" s="877">
        <v>6.5717371181734032</v>
      </c>
      <c r="H22" s="148">
        <f t="shared" si="1"/>
        <v>1.0999999999999999E-2</v>
      </c>
    </row>
    <row r="23" spans="1:8">
      <c r="A23" s="143">
        <v>8</v>
      </c>
      <c r="B23" s="144" t="s">
        <v>310</v>
      </c>
      <c r="C23" s="145" t="s">
        <v>4</v>
      </c>
      <c r="D23" s="146">
        <v>6</v>
      </c>
      <c r="E23" s="146">
        <f t="shared" si="0"/>
        <v>1</v>
      </c>
      <c r="F23" s="147">
        <v>1</v>
      </c>
      <c r="G23" s="877">
        <v>7.2400493674791715</v>
      </c>
      <c r="H23" s="148">
        <f t="shared" si="1"/>
        <v>2.5000000000000001E-2</v>
      </c>
    </row>
    <row r="24" spans="1:8">
      <c r="A24" s="143">
        <v>9</v>
      </c>
      <c r="B24" s="144" t="s">
        <v>311</v>
      </c>
      <c r="C24" s="145" t="s">
        <v>4</v>
      </c>
      <c r="D24" s="146">
        <v>12</v>
      </c>
      <c r="E24" s="146">
        <f t="shared" si="0"/>
        <v>1</v>
      </c>
      <c r="F24" s="147">
        <v>0.5</v>
      </c>
      <c r="G24" s="877">
        <v>0</v>
      </c>
      <c r="H24" s="148">
        <f t="shared" si="1"/>
        <v>0</v>
      </c>
    </row>
    <row r="25" spans="1:8">
      <c r="A25" s="143">
        <v>10</v>
      </c>
      <c r="B25" s="144" t="s">
        <v>312</v>
      </c>
      <c r="C25" s="145" t="s">
        <v>4</v>
      </c>
      <c r="D25" s="146">
        <v>3</v>
      </c>
      <c r="E25" s="146">
        <f t="shared" si="0"/>
        <v>1</v>
      </c>
      <c r="F25" s="147">
        <v>0.5</v>
      </c>
      <c r="G25" s="877">
        <v>0</v>
      </c>
      <c r="H25" s="148">
        <f t="shared" si="1"/>
        <v>0</v>
      </c>
    </row>
    <row r="26" spans="1:8" s="169" customFormat="1">
      <c r="A26" s="143">
        <v>11</v>
      </c>
      <c r="B26" s="144" t="s">
        <v>339</v>
      </c>
      <c r="C26" s="145" t="s">
        <v>4</v>
      </c>
      <c r="D26" s="146">
        <v>0.1</v>
      </c>
      <c r="E26" s="146">
        <f t="shared" si="0"/>
        <v>13</v>
      </c>
      <c r="F26" s="147">
        <v>0</v>
      </c>
      <c r="G26" s="877">
        <v>14.520686625349743</v>
      </c>
      <c r="H26" s="148">
        <f t="shared" si="1"/>
        <v>0</v>
      </c>
    </row>
    <row r="27" spans="1:8">
      <c r="A27" s="143">
        <v>12</v>
      </c>
      <c r="B27" s="144" t="s">
        <v>313</v>
      </c>
      <c r="C27" s="145" t="s">
        <v>306</v>
      </c>
      <c r="D27" s="146">
        <v>1</v>
      </c>
      <c r="E27" s="146">
        <f t="shared" si="0"/>
        <v>2</v>
      </c>
      <c r="F27" s="147">
        <v>0.1</v>
      </c>
      <c r="G27" s="877">
        <v>5.5692687442147477</v>
      </c>
      <c r="H27" s="148">
        <f t="shared" si="1"/>
        <v>4.0000000000000001E-3</v>
      </c>
    </row>
    <row r="28" spans="1:8">
      <c r="A28" s="143">
        <v>13</v>
      </c>
      <c r="B28" s="144" t="s">
        <v>314</v>
      </c>
      <c r="C28" s="145" t="s">
        <v>306</v>
      </c>
      <c r="D28" s="146">
        <v>1</v>
      </c>
      <c r="E28" s="146">
        <f t="shared" si="0"/>
        <v>2</v>
      </c>
      <c r="F28" s="147">
        <v>1</v>
      </c>
      <c r="G28" s="877">
        <v>12.141005862388152</v>
      </c>
      <c r="H28" s="148">
        <f t="shared" si="1"/>
        <v>8.1000000000000003E-2</v>
      </c>
    </row>
    <row r="29" spans="1:8">
      <c r="A29" s="143">
        <v>14</v>
      </c>
      <c r="B29" s="144" t="s">
        <v>315</v>
      </c>
      <c r="C29" s="145" t="s">
        <v>306</v>
      </c>
      <c r="D29" s="146">
        <v>1</v>
      </c>
      <c r="E29" s="146">
        <f t="shared" si="0"/>
        <v>2</v>
      </c>
      <c r="F29" s="147">
        <v>0</v>
      </c>
      <c r="G29" s="877">
        <v>10.247454489355135</v>
      </c>
      <c r="H29" s="148">
        <f t="shared" si="1"/>
        <v>0</v>
      </c>
    </row>
    <row r="30" spans="1:8">
      <c r="A30" s="143">
        <v>15</v>
      </c>
      <c r="B30" s="144" t="s">
        <v>316</v>
      </c>
      <c r="C30" s="145" t="s">
        <v>4</v>
      </c>
      <c r="D30" s="146">
        <v>0.25</v>
      </c>
      <c r="E30" s="146">
        <f t="shared" si="0"/>
        <v>5</v>
      </c>
      <c r="F30" s="147">
        <v>1</v>
      </c>
      <c r="G30" s="877">
        <v>2.7846343721073739</v>
      </c>
      <c r="H30" s="148">
        <f t="shared" si="1"/>
        <v>4.7E-2</v>
      </c>
    </row>
    <row r="31" spans="1:8">
      <c r="A31" s="143">
        <v>16</v>
      </c>
      <c r="B31" s="144" t="s">
        <v>317</v>
      </c>
      <c r="C31" s="145" t="s">
        <v>4</v>
      </c>
      <c r="D31" s="146">
        <v>1</v>
      </c>
      <c r="E31" s="146">
        <f t="shared" si="0"/>
        <v>2</v>
      </c>
      <c r="F31" s="147">
        <v>1</v>
      </c>
      <c r="G31" s="877">
        <v>1.8935513730330145</v>
      </c>
      <c r="H31" s="148">
        <f t="shared" si="1"/>
        <v>1.3000000000000001E-2</v>
      </c>
    </row>
    <row r="32" spans="1:8">
      <c r="A32" s="143">
        <v>17</v>
      </c>
      <c r="B32" s="144" t="s">
        <v>318</v>
      </c>
      <c r="C32" s="145" t="s">
        <v>4</v>
      </c>
      <c r="D32" s="146">
        <v>3.3333333333333333E-2</v>
      </c>
      <c r="E32" s="146">
        <f t="shared" si="0"/>
        <v>37</v>
      </c>
      <c r="F32" s="147">
        <v>1</v>
      </c>
      <c r="G32" s="877">
        <v>2.8124807158284479</v>
      </c>
      <c r="H32" s="148">
        <f t="shared" si="1"/>
        <v>0.34699999999999998</v>
      </c>
    </row>
    <row r="33" spans="1:8">
      <c r="A33" s="143">
        <v>18</v>
      </c>
      <c r="B33" s="144" t="s">
        <v>319</v>
      </c>
      <c r="C33" s="145" t="s">
        <v>4</v>
      </c>
      <c r="D33" s="146">
        <v>0.35</v>
      </c>
      <c r="E33" s="146">
        <f t="shared" si="0"/>
        <v>4</v>
      </c>
      <c r="F33" s="147">
        <v>0</v>
      </c>
      <c r="G33" s="877">
        <v>9.4677568651650716</v>
      </c>
      <c r="H33" s="148">
        <f t="shared" si="1"/>
        <v>0</v>
      </c>
    </row>
    <row r="34" spans="1:8">
      <c r="A34" s="143">
        <v>19</v>
      </c>
      <c r="B34" s="144" t="s">
        <v>320</v>
      </c>
      <c r="C34" s="145" t="s">
        <v>4</v>
      </c>
      <c r="D34" s="146">
        <v>12</v>
      </c>
      <c r="E34" s="146">
        <f t="shared" si="0"/>
        <v>1</v>
      </c>
      <c r="F34" s="147">
        <v>1</v>
      </c>
      <c r="G34" s="877">
        <v>147.58562172169084</v>
      </c>
      <c r="H34" s="148">
        <f t="shared" si="1"/>
        <v>0.49199999999999999</v>
      </c>
    </row>
    <row r="35" spans="1:8">
      <c r="A35" s="143">
        <v>20</v>
      </c>
      <c r="B35" s="144" t="s">
        <v>321</v>
      </c>
      <c r="C35" s="145" t="s">
        <v>4</v>
      </c>
      <c r="D35" s="146">
        <v>12</v>
      </c>
      <c r="E35" s="146">
        <f t="shared" si="0"/>
        <v>1</v>
      </c>
      <c r="F35" s="149">
        <v>1</v>
      </c>
      <c r="G35" s="877">
        <v>31.187904967602588</v>
      </c>
      <c r="H35" s="148">
        <f t="shared" si="1"/>
        <v>0.104</v>
      </c>
    </row>
    <row r="36" spans="1:8">
      <c r="A36" s="143">
        <v>21</v>
      </c>
      <c r="B36" s="144" t="s">
        <v>322</v>
      </c>
      <c r="C36" s="145" t="s">
        <v>4</v>
      </c>
      <c r="D36" s="146">
        <v>12</v>
      </c>
      <c r="E36" s="146">
        <f t="shared" si="0"/>
        <v>1</v>
      </c>
      <c r="F36" s="147">
        <v>1</v>
      </c>
      <c r="G36" s="877">
        <v>11.138537488429495</v>
      </c>
      <c r="H36" s="148">
        <f t="shared" si="1"/>
        <v>3.7999999999999999E-2</v>
      </c>
    </row>
    <row r="37" spans="1:8">
      <c r="A37" s="143">
        <v>22</v>
      </c>
      <c r="B37" s="144" t="s">
        <v>323</v>
      </c>
      <c r="C37" s="145" t="s">
        <v>4</v>
      </c>
      <c r="D37" s="146">
        <v>12</v>
      </c>
      <c r="E37" s="146">
        <f t="shared" si="0"/>
        <v>1</v>
      </c>
      <c r="F37" s="147">
        <v>0.2</v>
      </c>
      <c r="G37" s="877">
        <v>28.403270595495215</v>
      </c>
      <c r="H37" s="148">
        <f t="shared" si="1"/>
        <v>1.9E-2</v>
      </c>
    </row>
    <row r="38" spans="1:8">
      <c r="A38" s="143">
        <v>22</v>
      </c>
      <c r="B38" s="144" t="s">
        <v>324</v>
      </c>
      <c r="C38" s="145" t="s">
        <v>4</v>
      </c>
      <c r="D38" s="146">
        <v>12</v>
      </c>
      <c r="E38" s="146">
        <f t="shared" ref="E38" si="2">ROUNDUP($C$10/D38,0)</f>
        <v>1</v>
      </c>
      <c r="F38" s="147">
        <v>0.2</v>
      </c>
      <c r="G38" s="877">
        <v>25.618636223387838</v>
      </c>
      <c r="H38" s="148">
        <f t="shared" ref="H38" si="3">ROUNDUP(E38*F38*G38/$C$12,3)</f>
        <v>1.8000000000000002E-2</v>
      </c>
    </row>
    <row r="39" spans="1:8">
      <c r="A39" s="150"/>
      <c r="B39" s="150"/>
      <c r="C39" s="150"/>
      <c r="D39" s="150"/>
      <c r="E39" s="150"/>
      <c r="F39" s="151"/>
      <c r="G39" s="152" t="s">
        <v>325</v>
      </c>
      <c r="H39" s="878">
        <f>SUM(H16:H38)</f>
        <v>1.6040000000000001</v>
      </c>
    </row>
    <row r="40" spans="1:8">
      <c r="A40" s="153"/>
      <c r="B40" s="153"/>
      <c r="C40" s="153"/>
      <c r="D40" s="153"/>
      <c r="E40" s="153"/>
      <c r="F40" s="150"/>
      <c r="G40" s="154"/>
      <c r="H40" s="155"/>
    </row>
    <row r="41" spans="1:8">
      <c r="A41" s="153"/>
      <c r="B41" s="153"/>
      <c r="C41" s="153"/>
      <c r="D41" s="153"/>
      <c r="E41" s="153"/>
      <c r="F41" s="153"/>
      <c r="G41" s="156"/>
      <c r="H41" s="157"/>
    </row>
    <row r="42" spans="1:8">
      <c r="A42" s="158"/>
      <c r="B42" s="158"/>
      <c r="C42" s="158"/>
      <c r="D42" s="158"/>
      <c r="E42" s="159"/>
      <c r="F42" s="160"/>
      <c r="G42" s="161" t="s">
        <v>326</v>
      </c>
      <c r="H42" s="879">
        <f>ROUNDUP(H39*C12,0)</f>
        <v>482</v>
      </c>
    </row>
    <row r="43" spans="1:8">
      <c r="E43" s="159"/>
      <c r="F43" s="160"/>
      <c r="G43" s="161" t="s">
        <v>692</v>
      </c>
      <c r="H43" s="879">
        <f>H42/4</f>
        <v>120.5</v>
      </c>
    </row>
  </sheetData>
  <mergeCells count="4">
    <mergeCell ref="A1:H1"/>
    <mergeCell ref="A14:A15"/>
    <mergeCell ref="B14:B15"/>
    <mergeCell ref="C14:C15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/>
  <dimension ref="A1:H39"/>
  <sheetViews>
    <sheetView view="pageBreakPreview" zoomScale="60" zoomScaleNormal="70" workbookViewId="0">
      <selection activeCell="C11" sqref="C11"/>
    </sheetView>
  </sheetViews>
  <sheetFormatPr baseColWidth="10" defaultColWidth="11.44140625" defaultRowHeight="13.2"/>
  <cols>
    <col min="1" max="1" width="13.88671875" style="1" customWidth="1"/>
    <col min="2" max="2" width="96.44140625" style="1" customWidth="1"/>
    <col min="3" max="3" width="6.88671875" style="1" customWidth="1"/>
    <col min="4" max="5" width="11.5546875" style="1" bestFit="1" customWidth="1"/>
    <col min="6" max="7" width="12.44140625" style="1" customWidth="1"/>
    <col min="8" max="8" width="21.44140625" style="1" bestFit="1" customWidth="1"/>
    <col min="9" max="16384" width="11.44140625" style="1"/>
  </cols>
  <sheetData>
    <row r="1" spans="1:8" ht="21">
      <c r="A1" s="1053" t="s">
        <v>333</v>
      </c>
      <c r="B1" s="1054"/>
      <c r="C1" s="1054"/>
      <c r="D1" s="1054"/>
      <c r="E1" s="1054"/>
      <c r="F1" s="1054"/>
      <c r="G1" s="1054"/>
      <c r="H1" s="1054"/>
    </row>
    <row r="2" spans="1:8" ht="15.6">
      <c r="A2" s="137"/>
      <c r="B2" s="140"/>
      <c r="C2" s="140"/>
      <c r="D2" s="140"/>
      <c r="E2" s="140"/>
      <c r="F2" s="140"/>
      <c r="G2" s="140"/>
      <c r="H2" s="140"/>
    </row>
    <row r="3" spans="1:8">
      <c r="A3" s="163"/>
      <c r="B3" s="163"/>
    </row>
    <row r="4" spans="1:8">
      <c r="A4" s="163" t="str">
        <f>+'EEPs OBREROS'!A4</f>
        <v>Licitación:</v>
      </c>
      <c r="B4" s="163" t="str">
        <f>+'EEPs OBREROS'!B4</f>
        <v>MEJORAMIENTO DE VÍAS Y ACCESOS EXISTENTES SUBPROYECTOS A3-A4</v>
      </c>
    </row>
    <row r="5" spans="1:8" hidden="1">
      <c r="A5" s="163" t="str">
        <f>+'EEPs OBREROS'!A5</f>
        <v>Situado en:</v>
      </c>
      <c r="B5" s="163" t="e">
        <f>+'EEPs OBREROS'!B5</f>
        <v>#REF!</v>
      </c>
    </row>
    <row r="6" spans="1:8">
      <c r="A6" s="163" t="str">
        <f>+'EEPs OBREROS'!A6</f>
        <v xml:space="preserve">Presentado a: </v>
      </c>
      <c r="B6" s="163" t="str">
        <f>+'EEPs OBREROS'!B6</f>
        <v>OHLA</v>
      </c>
    </row>
    <row r="7" spans="1:8">
      <c r="A7" s="163" t="str">
        <f>+'EEPs OBREROS'!A7</f>
        <v>Postor:</v>
      </c>
      <c r="B7" s="163" t="str">
        <f>+'EEPs OBREROS'!B7</f>
        <v>ZOVICSA</v>
      </c>
    </row>
    <row r="8" spans="1:8">
      <c r="A8" s="163" t="str">
        <f>+'EEPs OBREROS'!A8</f>
        <v>Fecha:</v>
      </c>
      <c r="B8" s="6">
        <f>+'EEPs OBREROS'!B8</f>
        <v>44655</v>
      </c>
    </row>
    <row r="9" spans="1:8">
      <c r="A9" s="163"/>
    </row>
    <row r="10" spans="1:8" ht="15.6">
      <c r="A10" s="137"/>
      <c r="B10" s="138" t="s">
        <v>286</v>
      </c>
      <c r="C10" s="166">
        <f>+'EEPs OBREROS'!C10</f>
        <v>1.23</v>
      </c>
      <c r="D10" s="139" t="s">
        <v>287</v>
      </c>
      <c r="E10" s="140"/>
      <c r="F10" s="140"/>
      <c r="G10" s="140"/>
      <c r="H10" s="140"/>
    </row>
    <row r="11" spans="1:8" ht="15.6">
      <c r="A11" s="137"/>
      <c r="B11" s="138" t="s">
        <v>288</v>
      </c>
      <c r="C11" s="167">
        <f>+j</f>
        <v>8</v>
      </c>
      <c r="D11" s="139" t="s">
        <v>289</v>
      </c>
      <c r="E11" s="140"/>
      <c r="F11" s="140"/>
      <c r="G11" s="140"/>
      <c r="H11" s="140"/>
    </row>
    <row r="12" spans="1:8" ht="15.6">
      <c r="A12" s="137"/>
      <c r="B12" s="138" t="s">
        <v>290</v>
      </c>
      <c r="C12" s="167">
        <f>+ROUNDUP(C11*C10*365/12,0)</f>
        <v>300</v>
      </c>
      <c r="D12" s="139" t="s">
        <v>289</v>
      </c>
      <c r="E12" s="140"/>
      <c r="F12" s="140"/>
      <c r="G12" s="140"/>
      <c r="H12" s="140"/>
    </row>
    <row r="14" spans="1:8" s="165" customFormat="1" ht="39.6">
      <c r="A14" s="1055" t="s">
        <v>291</v>
      </c>
      <c r="B14" s="1055" t="s">
        <v>6</v>
      </c>
      <c r="C14" s="1055" t="s">
        <v>4</v>
      </c>
      <c r="D14" s="141" t="s">
        <v>292</v>
      </c>
      <c r="E14" s="141" t="s">
        <v>293</v>
      </c>
      <c r="F14" s="141" t="s">
        <v>294</v>
      </c>
      <c r="G14" s="141" t="s">
        <v>295</v>
      </c>
      <c r="H14" s="141" t="s">
        <v>296</v>
      </c>
    </row>
    <row r="15" spans="1:8" s="165" customFormat="1">
      <c r="A15" s="1056"/>
      <c r="B15" s="1056"/>
      <c r="C15" s="1056"/>
      <c r="D15" s="142" t="s">
        <v>297</v>
      </c>
      <c r="E15" s="142" t="s">
        <v>298</v>
      </c>
      <c r="F15" s="142" t="s">
        <v>299</v>
      </c>
      <c r="G15" s="142" t="s">
        <v>300</v>
      </c>
      <c r="H15" s="142" t="s">
        <v>301</v>
      </c>
    </row>
    <row r="16" spans="1:8">
      <c r="A16" s="143">
        <v>1</v>
      </c>
      <c r="B16" s="144" t="s">
        <v>304</v>
      </c>
      <c r="C16" s="145" t="s">
        <v>4</v>
      </c>
      <c r="D16" s="146">
        <v>12</v>
      </c>
      <c r="E16" s="146">
        <f>ROUNDUP($C$10/D16,0)</f>
        <v>1</v>
      </c>
      <c r="F16" s="147">
        <v>0.5</v>
      </c>
      <c r="G16" s="877">
        <v>1.3366244986115394</v>
      </c>
      <c r="H16" s="148">
        <f>ROUNDUP(E16*F16*G16/$C$12,3)</f>
        <v>3.0000000000000001E-3</v>
      </c>
    </row>
    <row r="17" spans="1:8">
      <c r="A17" s="143">
        <v>2</v>
      </c>
      <c r="B17" s="144" t="s">
        <v>305</v>
      </c>
      <c r="C17" s="145" t="s">
        <v>306</v>
      </c>
      <c r="D17" s="146">
        <v>10</v>
      </c>
      <c r="E17" s="146">
        <f t="shared" ref="E17:E34" si="0">ROUNDUP($C$10/D17,0)</f>
        <v>1</v>
      </c>
      <c r="F17" s="147">
        <v>1</v>
      </c>
      <c r="G17" s="877">
        <v>83.504501697007214</v>
      </c>
      <c r="H17" s="148">
        <f t="shared" ref="H17:H34" si="1">ROUNDUP(E17*F17*G17/$C$12,3)</f>
        <v>0.27900000000000003</v>
      </c>
    </row>
    <row r="18" spans="1:8">
      <c r="A18" s="143">
        <v>3</v>
      </c>
      <c r="B18" s="144" t="s">
        <v>307</v>
      </c>
      <c r="C18" s="145" t="s">
        <v>4</v>
      </c>
      <c r="D18" s="146">
        <v>12</v>
      </c>
      <c r="E18" s="146">
        <f t="shared" si="0"/>
        <v>1</v>
      </c>
      <c r="F18" s="147">
        <v>0.1</v>
      </c>
      <c r="G18" s="877">
        <v>16.707806232644245</v>
      </c>
      <c r="H18" s="148">
        <f t="shared" si="1"/>
        <v>6.0000000000000001E-3</v>
      </c>
    </row>
    <row r="19" spans="1:8">
      <c r="A19" s="143">
        <v>4</v>
      </c>
      <c r="B19" s="144" t="s">
        <v>308</v>
      </c>
      <c r="C19" s="145" t="s">
        <v>4</v>
      </c>
      <c r="D19" s="146">
        <v>12</v>
      </c>
      <c r="E19" s="146">
        <f t="shared" si="0"/>
        <v>1</v>
      </c>
      <c r="F19" s="147">
        <v>1</v>
      </c>
      <c r="G19" s="877">
        <v>28.403270595495215</v>
      </c>
      <c r="H19" s="148">
        <f t="shared" si="1"/>
        <v>9.5000000000000001E-2</v>
      </c>
    </row>
    <row r="20" spans="1:8">
      <c r="A20" s="143">
        <v>5</v>
      </c>
      <c r="B20" s="144" t="s">
        <v>309</v>
      </c>
      <c r="C20" s="145" t="s">
        <v>4</v>
      </c>
      <c r="D20" s="146">
        <v>12</v>
      </c>
      <c r="E20" s="146">
        <f t="shared" si="0"/>
        <v>1</v>
      </c>
      <c r="F20" s="147">
        <v>0.2</v>
      </c>
      <c r="G20" s="877">
        <v>6.5717371181734032</v>
      </c>
      <c r="H20" s="148">
        <f t="shared" si="1"/>
        <v>5.0000000000000001E-3</v>
      </c>
    </row>
    <row r="21" spans="1:8">
      <c r="A21" s="143">
        <v>6</v>
      </c>
      <c r="B21" s="144" t="s">
        <v>334</v>
      </c>
      <c r="C21" s="145" t="s">
        <v>4</v>
      </c>
      <c r="D21" s="146">
        <v>12</v>
      </c>
      <c r="E21" s="146">
        <f t="shared" si="0"/>
        <v>1</v>
      </c>
      <c r="F21" s="147">
        <v>1</v>
      </c>
      <c r="G21" s="877">
        <v>19.492440604751621</v>
      </c>
      <c r="H21" s="148">
        <f t="shared" si="1"/>
        <v>6.5000000000000002E-2</v>
      </c>
    </row>
    <row r="22" spans="1:8">
      <c r="A22" s="143">
        <v>7</v>
      </c>
      <c r="B22" s="144" t="s">
        <v>311</v>
      </c>
      <c r="C22" s="145" t="s">
        <v>4</v>
      </c>
      <c r="D22" s="146">
        <v>12</v>
      </c>
      <c r="E22" s="146">
        <f t="shared" si="0"/>
        <v>1</v>
      </c>
      <c r="F22" s="147">
        <v>0</v>
      </c>
      <c r="G22" s="877">
        <v>9.7424694499999998</v>
      </c>
      <c r="H22" s="148">
        <f t="shared" si="1"/>
        <v>0</v>
      </c>
    </row>
    <row r="23" spans="1:8">
      <c r="A23" s="143">
        <v>8</v>
      </c>
      <c r="B23" s="144" t="s">
        <v>312</v>
      </c>
      <c r="C23" s="145" t="s">
        <v>4</v>
      </c>
      <c r="D23" s="146">
        <v>3</v>
      </c>
      <c r="E23" s="146">
        <f t="shared" si="0"/>
        <v>1</v>
      </c>
      <c r="F23" s="147">
        <v>0</v>
      </c>
      <c r="G23" s="877">
        <v>25.395865473619253</v>
      </c>
      <c r="H23" s="148">
        <f t="shared" si="1"/>
        <v>0</v>
      </c>
    </row>
    <row r="24" spans="1:8" s="169" customFormat="1">
      <c r="A24" s="143">
        <v>9</v>
      </c>
      <c r="B24" s="144" t="s">
        <v>339</v>
      </c>
      <c r="C24" s="145" t="s">
        <v>4</v>
      </c>
      <c r="D24" s="146">
        <v>0.1</v>
      </c>
      <c r="E24" s="146">
        <f t="shared" si="0"/>
        <v>13</v>
      </c>
      <c r="F24" s="147">
        <v>0</v>
      </c>
      <c r="G24" s="877">
        <v>14.520686625349743</v>
      </c>
      <c r="H24" s="148">
        <f t="shared" si="1"/>
        <v>0</v>
      </c>
    </row>
    <row r="25" spans="1:8">
      <c r="A25" s="143">
        <v>10</v>
      </c>
      <c r="B25" s="144" t="s">
        <v>314</v>
      </c>
      <c r="C25" s="145" t="s">
        <v>4</v>
      </c>
      <c r="D25" s="146">
        <v>1</v>
      </c>
      <c r="E25" s="146">
        <f t="shared" si="0"/>
        <v>2</v>
      </c>
      <c r="F25" s="147">
        <v>0.3</v>
      </c>
      <c r="G25" s="877">
        <v>12.141005862388152</v>
      </c>
      <c r="H25" s="148">
        <f t="shared" si="1"/>
        <v>2.5000000000000001E-2</v>
      </c>
    </row>
    <row r="26" spans="1:8">
      <c r="A26" s="143">
        <v>11</v>
      </c>
      <c r="B26" s="144" t="s">
        <v>316</v>
      </c>
      <c r="C26" s="145" t="s">
        <v>4</v>
      </c>
      <c r="D26" s="146">
        <v>0.25</v>
      </c>
      <c r="E26" s="146">
        <f t="shared" si="0"/>
        <v>5</v>
      </c>
      <c r="F26" s="147">
        <v>1</v>
      </c>
      <c r="G26" s="877">
        <v>2.7846343721073739</v>
      </c>
      <c r="H26" s="148">
        <f t="shared" si="1"/>
        <v>4.7E-2</v>
      </c>
    </row>
    <row r="27" spans="1:8">
      <c r="A27" s="143">
        <v>12</v>
      </c>
      <c r="B27" s="144" t="s">
        <v>335</v>
      </c>
      <c r="C27" s="145" t="s">
        <v>306</v>
      </c>
      <c r="D27" s="146">
        <v>12</v>
      </c>
      <c r="E27" s="146">
        <f t="shared" si="0"/>
        <v>1</v>
      </c>
      <c r="F27" s="147">
        <v>0.2</v>
      </c>
      <c r="G27" s="877">
        <v>59.368404813329214</v>
      </c>
      <c r="H27" s="148">
        <f t="shared" si="1"/>
        <v>0.04</v>
      </c>
    </row>
    <row r="28" spans="1:8">
      <c r="A28" s="143">
        <v>13</v>
      </c>
      <c r="B28" s="144" t="s">
        <v>317</v>
      </c>
      <c r="C28" s="145" t="s">
        <v>306</v>
      </c>
      <c r="D28" s="146">
        <v>1</v>
      </c>
      <c r="E28" s="146">
        <f t="shared" si="0"/>
        <v>2</v>
      </c>
      <c r="F28" s="147">
        <v>0.2</v>
      </c>
      <c r="G28" s="877">
        <v>1.8935513730330145</v>
      </c>
      <c r="H28" s="148">
        <f t="shared" si="1"/>
        <v>3.0000000000000001E-3</v>
      </c>
    </row>
    <row r="29" spans="1:8">
      <c r="A29" s="143">
        <v>14</v>
      </c>
      <c r="B29" s="144" t="s">
        <v>318</v>
      </c>
      <c r="C29" s="145" t="s">
        <v>306</v>
      </c>
      <c r="D29" s="146">
        <v>3.3333333333333333E-2</v>
      </c>
      <c r="E29" s="146">
        <f t="shared" si="0"/>
        <v>37</v>
      </c>
      <c r="F29" s="147">
        <v>0.5</v>
      </c>
      <c r="G29" s="877">
        <v>2.8124807158284479</v>
      </c>
      <c r="H29" s="148">
        <f t="shared" si="1"/>
        <v>0.17399999999999999</v>
      </c>
    </row>
    <row r="30" spans="1:8">
      <c r="A30" s="143">
        <v>15</v>
      </c>
      <c r="B30" s="144" t="s">
        <v>319</v>
      </c>
      <c r="C30" s="145" t="s">
        <v>4</v>
      </c>
      <c r="D30" s="146">
        <v>0.2</v>
      </c>
      <c r="E30" s="146">
        <f t="shared" si="0"/>
        <v>7</v>
      </c>
      <c r="F30" s="147">
        <v>0</v>
      </c>
      <c r="G30" s="877">
        <v>9.4677568651650716</v>
      </c>
      <c r="H30" s="148">
        <f t="shared" si="1"/>
        <v>0</v>
      </c>
    </row>
    <row r="31" spans="1:8">
      <c r="A31" s="143">
        <v>16</v>
      </c>
      <c r="B31" s="144" t="s">
        <v>321</v>
      </c>
      <c r="C31" s="145" t="s">
        <v>4</v>
      </c>
      <c r="D31" s="146">
        <v>12</v>
      </c>
      <c r="E31" s="146">
        <f t="shared" si="0"/>
        <v>1</v>
      </c>
      <c r="F31" s="147">
        <v>1</v>
      </c>
      <c r="G31" s="877">
        <v>31.187904967602588</v>
      </c>
      <c r="H31" s="148">
        <f t="shared" si="1"/>
        <v>0.104</v>
      </c>
    </row>
    <row r="32" spans="1:8">
      <c r="A32" s="143">
        <v>17</v>
      </c>
      <c r="B32" s="144" t="s">
        <v>322</v>
      </c>
      <c r="C32" s="145" t="s">
        <v>4</v>
      </c>
      <c r="D32" s="146">
        <v>12</v>
      </c>
      <c r="E32" s="146">
        <f t="shared" si="0"/>
        <v>1</v>
      </c>
      <c r="F32" s="147">
        <v>1</v>
      </c>
      <c r="G32" s="877">
        <v>11.138537488429495</v>
      </c>
      <c r="H32" s="148">
        <f t="shared" si="1"/>
        <v>3.7999999999999999E-2</v>
      </c>
    </row>
    <row r="33" spans="1:8">
      <c r="A33" s="143">
        <v>18</v>
      </c>
      <c r="B33" s="144" t="s">
        <v>323</v>
      </c>
      <c r="C33" s="145" t="s">
        <v>4</v>
      </c>
      <c r="D33" s="146">
        <v>12</v>
      </c>
      <c r="E33" s="146">
        <f t="shared" si="0"/>
        <v>1</v>
      </c>
      <c r="F33" s="147">
        <v>1</v>
      </c>
      <c r="G33" s="877">
        <v>28.403270595495215</v>
      </c>
      <c r="H33" s="148">
        <f t="shared" si="1"/>
        <v>9.5000000000000001E-2</v>
      </c>
    </row>
    <row r="34" spans="1:8">
      <c r="A34" s="143">
        <v>19</v>
      </c>
      <c r="B34" s="144" t="s">
        <v>324</v>
      </c>
      <c r="C34" s="145" t="s">
        <v>4</v>
      </c>
      <c r="D34" s="146">
        <v>12</v>
      </c>
      <c r="E34" s="146">
        <f t="shared" si="0"/>
        <v>1</v>
      </c>
      <c r="F34" s="147">
        <v>1</v>
      </c>
      <c r="G34" s="877">
        <v>25.618636223387838</v>
      </c>
      <c r="H34" s="148">
        <f t="shared" si="1"/>
        <v>8.6000000000000007E-2</v>
      </c>
    </row>
    <row r="35" spans="1:8">
      <c r="A35" s="150"/>
      <c r="B35" s="150"/>
      <c r="C35" s="150"/>
      <c r="D35" s="150"/>
      <c r="E35" s="150"/>
      <c r="F35" s="151"/>
      <c r="G35" s="152" t="s">
        <v>325</v>
      </c>
      <c r="H35" s="878">
        <f>SUM(H16:H34)</f>
        <v>1.0649999999999999</v>
      </c>
    </row>
    <row r="36" spans="1:8">
      <c r="A36" s="153"/>
      <c r="B36" s="153"/>
      <c r="C36" s="153"/>
      <c r="D36" s="153"/>
      <c r="E36" s="153"/>
      <c r="F36" s="150"/>
      <c r="G36" s="154"/>
      <c r="H36" s="155"/>
    </row>
    <row r="37" spans="1:8">
      <c r="A37" s="153"/>
      <c r="B37" s="153"/>
      <c r="C37" s="153"/>
      <c r="D37" s="153"/>
      <c r="E37" s="153"/>
      <c r="F37" s="153"/>
      <c r="G37" s="156"/>
      <c r="H37" s="157"/>
    </row>
    <row r="38" spans="1:8">
      <c r="A38" s="158"/>
      <c r="B38" s="158"/>
      <c r="C38" s="158"/>
      <c r="D38" s="158"/>
      <c r="E38" s="159"/>
      <c r="F38" s="160"/>
      <c r="G38" s="161" t="s">
        <v>326</v>
      </c>
      <c r="H38" s="879">
        <f>ROUNDUP(H35*C12,0)</f>
        <v>320</v>
      </c>
    </row>
    <row r="39" spans="1:8">
      <c r="E39" s="159"/>
      <c r="F39" s="160"/>
      <c r="G39" s="161" t="s">
        <v>692</v>
      </c>
      <c r="H39" s="879">
        <f>H38/4</f>
        <v>80</v>
      </c>
    </row>
  </sheetData>
  <mergeCells count="4">
    <mergeCell ref="A1:H1"/>
    <mergeCell ref="A14:A15"/>
    <mergeCell ref="B14:B15"/>
    <mergeCell ref="C14:C15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8">
    <tabColor theme="8" tint="-0.249977111117893"/>
    <pageSetUpPr fitToPage="1"/>
  </sheetPr>
  <dimension ref="A1:N25"/>
  <sheetViews>
    <sheetView view="pageBreakPreview" zoomScale="60" zoomScaleNormal="70" workbookViewId="0">
      <selection activeCell="D17" sqref="D17"/>
    </sheetView>
  </sheetViews>
  <sheetFormatPr baseColWidth="10" defaultColWidth="11.44140625" defaultRowHeight="13.2"/>
  <cols>
    <col min="1" max="1" width="13.88671875" style="509" customWidth="1"/>
    <col min="2" max="2" width="75.6640625" style="509" bestFit="1" customWidth="1"/>
    <col min="3" max="3" width="6.88671875" style="509" customWidth="1"/>
    <col min="4" max="5" width="11.5546875" style="509" bestFit="1" customWidth="1"/>
    <col min="6" max="7" width="12.44140625" style="509" customWidth="1"/>
    <col min="8" max="8" width="21.44140625" style="509" bestFit="1" customWidth="1"/>
    <col min="9" max="16384" width="11.44140625" style="509"/>
  </cols>
  <sheetData>
    <row r="1" spans="1:9" ht="21">
      <c r="A1" s="1057" t="s">
        <v>680</v>
      </c>
      <c r="B1" s="1058"/>
      <c r="C1" s="1058"/>
      <c r="D1" s="1058"/>
      <c r="E1" s="1058"/>
      <c r="F1" s="1058"/>
      <c r="G1" s="1058"/>
      <c r="H1" s="1058"/>
    </row>
    <row r="2" spans="1:9" ht="15.6">
      <c r="A2" s="536"/>
      <c r="B2" s="532"/>
      <c r="C2" s="532"/>
      <c r="D2" s="532"/>
      <c r="E2" s="532"/>
      <c r="F2" s="532"/>
      <c r="G2" s="532"/>
      <c r="H2" s="532"/>
    </row>
    <row r="3" spans="1:9">
      <c r="A3" s="539"/>
      <c r="B3" s="539"/>
    </row>
    <row r="4" spans="1:9">
      <c r="A4" s="539" t="str">
        <f>+'EPPs EMPLEADOS'!A4</f>
        <v>Licitación:</v>
      </c>
      <c r="B4" s="539" t="str">
        <f>+'EPPs EMPLEADOS'!B4</f>
        <v>MEJORAMIENTO DE VÍAS Y ACCESOS EXISTENTES SUBPROYECTOS A3-A4</v>
      </c>
    </row>
    <row r="5" spans="1:9" hidden="1">
      <c r="A5" s="539" t="str">
        <f>+'EPPs EMPLEADOS'!A5</f>
        <v>Situado en:</v>
      </c>
      <c r="B5" s="539" t="e">
        <f>+'EPPs EMPLEADOS'!B5</f>
        <v>#REF!</v>
      </c>
    </row>
    <row r="6" spans="1:9">
      <c r="A6" s="539" t="str">
        <f>+'EPPs EMPLEADOS'!A6</f>
        <v xml:space="preserve">Presentado a: </v>
      </c>
      <c r="B6" s="539" t="str">
        <f>+'EPPs EMPLEADOS'!B6</f>
        <v>OHLA</v>
      </c>
    </row>
    <row r="7" spans="1:9">
      <c r="A7" s="539" t="str">
        <f>+'EPPs EMPLEADOS'!A7</f>
        <v>Postor:</v>
      </c>
      <c r="B7" s="539" t="str">
        <f>+'EPPs EMPLEADOS'!B7</f>
        <v>ZOVICSA</v>
      </c>
    </row>
    <row r="8" spans="1:9">
      <c r="A8" s="539" t="str">
        <f>+'EPPs EMPLEADOS'!A8</f>
        <v>Fecha:</v>
      </c>
      <c r="B8" s="538">
        <f>+'EPPs EMPLEADOS'!B8</f>
        <v>44655</v>
      </c>
    </row>
    <row r="9" spans="1:9">
      <c r="A9" s="537"/>
    </row>
    <row r="10" spans="1:9" ht="15.6">
      <c r="A10" s="536"/>
      <c r="B10" s="535" t="s">
        <v>286</v>
      </c>
      <c r="C10" s="635">
        <f>+'EPPs EMPLEADOS'!C10</f>
        <v>1.23</v>
      </c>
      <c r="D10" s="533" t="s">
        <v>287</v>
      </c>
      <c r="E10" s="532"/>
      <c r="H10" s="532"/>
    </row>
    <row r="11" spans="1:9" ht="15.6">
      <c r="A11" s="536"/>
      <c r="B11" s="535" t="s">
        <v>288</v>
      </c>
      <c r="C11" s="534">
        <v>11</v>
      </c>
      <c r="D11" s="533" t="s">
        <v>289</v>
      </c>
      <c r="E11" s="532"/>
      <c r="H11" s="532"/>
    </row>
    <row r="12" spans="1:9" ht="15.6">
      <c r="A12" s="536"/>
      <c r="B12" s="535" t="s">
        <v>290</v>
      </c>
      <c r="C12" s="534">
        <f>+ROUNDUP(C11*C10*365/12,0)</f>
        <v>412</v>
      </c>
      <c r="D12" s="533" t="s">
        <v>289</v>
      </c>
      <c r="E12" s="532"/>
      <c r="H12" s="532"/>
    </row>
    <row r="14" spans="1:9" s="530" customFormat="1" ht="39.6">
      <c r="A14" s="1059" t="s">
        <v>291</v>
      </c>
      <c r="B14" s="1059" t="s">
        <v>6</v>
      </c>
      <c r="C14" s="1059" t="s">
        <v>4</v>
      </c>
      <c r="D14" s="531" t="s">
        <v>292</v>
      </c>
      <c r="E14" s="531" t="s">
        <v>293</v>
      </c>
      <c r="F14" s="531" t="s">
        <v>294</v>
      </c>
      <c r="G14" s="531" t="s">
        <v>295</v>
      </c>
      <c r="H14" s="531" t="s">
        <v>296</v>
      </c>
    </row>
    <row r="15" spans="1:9" s="530" customFormat="1">
      <c r="A15" s="1056"/>
      <c r="B15" s="1056"/>
      <c r="C15" s="1056"/>
      <c r="D15" s="507" t="s">
        <v>297</v>
      </c>
      <c r="E15" s="507" t="s">
        <v>298</v>
      </c>
      <c r="F15" s="507" t="s">
        <v>299</v>
      </c>
      <c r="G15" s="507" t="s">
        <v>300</v>
      </c>
      <c r="H15" s="507" t="s">
        <v>301</v>
      </c>
    </row>
    <row r="16" spans="1:9" s="522" customFormat="1">
      <c r="A16" s="529">
        <v>1</v>
      </c>
      <c r="B16" s="528" t="s">
        <v>339</v>
      </c>
      <c r="C16" s="527" t="s">
        <v>4</v>
      </c>
      <c r="D16" s="526">
        <v>0.1</v>
      </c>
      <c r="E16" s="526">
        <f t="shared" ref="E16:E21" si="0">ROUNDUP($C$10/D16,0)</f>
        <v>13</v>
      </c>
      <c r="F16" s="525">
        <v>1</v>
      </c>
      <c r="G16" s="954">
        <v>3.1406999999999998</v>
      </c>
      <c r="H16" s="524">
        <f t="shared" ref="H16:H21" si="1">ROUNDUP(E16*F16*G16/$C$12,3)</f>
        <v>0.1</v>
      </c>
      <c r="I16" s="523"/>
    </row>
    <row r="17" spans="1:14" s="522" customFormat="1">
      <c r="A17" s="529">
        <f>+A16+1</f>
        <v>2</v>
      </c>
      <c r="B17" s="528" t="s">
        <v>781</v>
      </c>
      <c r="C17" s="527" t="s">
        <v>4</v>
      </c>
      <c r="D17" s="526">
        <v>1</v>
      </c>
      <c r="E17" s="526">
        <f t="shared" si="0"/>
        <v>2</v>
      </c>
      <c r="F17" s="525">
        <v>1</v>
      </c>
      <c r="G17" s="954">
        <v>22.531553815124756</v>
      </c>
      <c r="H17" s="524">
        <f t="shared" si="1"/>
        <v>0.11</v>
      </c>
      <c r="I17" s="523"/>
    </row>
    <row r="18" spans="1:14" s="522" customFormat="1">
      <c r="A18" s="529">
        <f>+A17+1</f>
        <v>3</v>
      </c>
      <c r="B18" s="528" t="s">
        <v>336</v>
      </c>
      <c r="C18" s="527" t="s">
        <v>4</v>
      </c>
      <c r="D18" s="526">
        <v>1</v>
      </c>
      <c r="E18" s="526">
        <f t="shared" si="0"/>
        <v>2</v>
      </c>
      <c r="F18" s="525">
        <v>0.25</v>
      </c>
      <c r="G18" s="954">
        <v>7.0394999999999994</v>
      </c>
      <c r="H18" s="524">
        <f t="shared" si="1"/>
        <v>9.0000000000000011E-3</v>
      </c>
      <c r="N18" s="522">
        <f>ROUNDUP(E18*F18*G18,3)</f>
        <v>3.52</v>
      </c>
    </row>
    <row r="19" spans="1:14" s="522" customFormat="1">
      <c r="A19" s="529">
        <v>4</v>
      </c>
      <c r="B19" s="528" t="s">
        <v>337</v>
      </c>
      <c r="C19" s="527" t="s">
        <v>4</v>
      </c>
      <c r="D19" s="526">
        <f>0.5/30</f>
        <v>1.6666666666666666E-2</v>
      </c>
      <c r="E19" s="526">
        <f t="shared" si="0"/>
        <v>74</v>
      </c>
      <c r="F19" s="525">
        <v>0.1</v>
      </c>
      <c r="G19" s="954">
        <v>0.5776</v>
      </c>
      <c r="H19" s="524">
        <f t="shared" si="1"/>
        <v>1.0999999999999999E-2</v>
      </c>
      <c r="I19" s="523"/>
    </row>
    <row r="20" spans="1:14" s="522" customFormat="1">
      <c r="A20" s="529">
        <v>5</v>
      </c>
      <c r="B20" s="528" t="s">
        <v>338</v>
      </c>
      <c r="C20" s="527" t="s">
        <v>4</v>
      </c>
      <c r="D20" s="526">
        <v>3</v>
      </c>
      <c r="E20" s="526">
        <f t="shared" si="0"/>
        <v>1</v>
      </c>
      <c r="F20" s="525">
        <v>0.5</v>
      </c>
      <c r="G20" s="954">
        <v>2.3208649912331971</v>
      </c>
      <c r="H20" s="524">
        <f t="shared" si="1"/>
        <v>3.0000000000000001E-3</v>
      </c>
      <c r="I20" s="523"/>
    </row>
    <row r="21" spans="1:14" s="522" customFormat="1">
      <c r="A21" s="529">
        <f>+A20+1</f>
        <v>6</v>
      </c>
      <c r="B21" s="528" t="s">
        <v>676</v>
      </c>
      <c r="C21" s="527" t="s">
        <v>4</v>
      </c>
      <c r="D21" s="526">
        <v>2</v>
      </c>
      <c r="E21" s="526">
        <f t="shared" si="0"/>
        <v>1</v>
      </c>
      <c r="F21" s="525">
        <v>1</v>
      </c>
      <c r="G21" s="954">
        <v>17.829750145264381</v>
      </c>
      <c r="H21" s="524">
        <f t="shared" si="1"/>
        <v>4.3999999999999997E-2</v>
      </c>
      <c r="I21" s="523"/>
    </row>
    <row r="22" spans="1:14">
      <c r="A22" s="521"/>
      <c r="B22" s="521"/>
      <c r="C22" s="521"/>
      <c r="D22" s="521"/>
      <c r="E22" s="521"/>
      <c r="F22" s="520"/>
      <c r="G22" s="519" t="s">
        <v>325</v>
      </c>
      <c r="H22" s="955">
        <f>SUM(H16:H21)</f>
        <v>0.27700000000000002</v>
      </c>
    </row>
    <row r="23" spans="1:14">
      <c r="A23" s="517"/>
      <c r="B23" s="517"/>
      <c r="C23" s="517"/>
      <c r="D23" s="517"/>
      <c r="E23" s="517"/>
      <c r="F23" s="517"/>
      <c r="G23" s="516"/>
      <c r="H23" s="515"/>
    </row>
    <row r="24" spans="1:14">
      <c r="A24" s="514"/>
      <c r="B24" s="514"/>
      <c r="C24" s="514"/>
      <c r="D24" s="514"/>
      <c r="E24" s="513"/>
      <c r="F24" s="512"/>
      <c r="G24" s="511" t="s">
        <v>326</v>
      </c>
      <c r="H24" s="956">
        <f>ROUNDUP(H22*C12,0)</f>
        <v>115</v>
      </c>
    </row>
    <row r="25" spans="1:14">
      <c r="E25" s="159"/>
      <c r="F25" s="160"/>
      <c r="G25" s="161" t="s">
        <v>692</v>
      </c>
      <c r="H25" s="879">
        <f>H24/4</f>
        <v>28.75</v>
      </c>
    </row>
  </sheetData>
  <sheetProtection selectLockedCells="1" selectUnlockedCells="1"/>
  <mergeCells count="4">
    <mergeCell ref="A1:H1"/>
    <mergeCell ref="A14:A15"/>
    <mergeCell ref="B14:B15"/>
    <mergeCell ref="C14:C15"/>
  </mergeCells>
  <pageMargins left="0.59055118110236227" right="0.59055118110236227" top="0.98425196850393704" bottom="0.59055118110236227" header="0.31496062992125984" footer="0.31496062992125984"/>
  <pageSetup paperSize="9" scale="55" orientation="portrait" r:id="rId1"/>
  <headerFooter>
    <oddHeader>&amp;R&amp;G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9">
    <tabColor theme="8" tint="-0.249977111117893"/>
    <pageSetUpPr fitToPage="1"/>
  </sheetPr>
  <dimension ref="A1:M49"/>
  <sheetViews>
    <sheetView view="pageBreakPreview" zoomScale="60" zoomScaleNormal="85" workbookViewId="0">
      <selection activeCell="D18" sqref="D18"/>
    </sheetView>
  </sheetViews>
  <sheetFormatPr baseColWidth="10" defaultColWidth="11.44140625" defaultRowHeight="13.2"/>
  <cols>
    <col min="1" max="1" width="13.88671875" style="509" customWidth="1"/>
    <col min="2" max="2" width="70.88671875" style="509" bestFit="1" customWidth="1"/>
    <col min="3" max="3" width="6.88671875" style="509" customWidth="1"/>
    <col min="4" max="5" width="11.5546875" style="509" bestFit="1" customWidth="1"/>
    <col min="6" max="7" width="12.44140625" style="509" customWidth="1"/>
    <col min="8" max="8" width="22" style="509" customWidth="1"/>
    <col min="9" max="10" width="0" style="509" hidden="1" customWidth="1"/>
    <col min="11" max="11" width="11.44140625" style="509" hidden="1" customWidth="1"/>
    <col min="12" max="12" width="12.6640625" style="509" hidden="1" customWidth="1"/>
    <col min="13" max="13" width="0" style="509" hidden="1" customWidth="1"/>
    <col min="14" max="16384" width="11.44140625" style="509"/>
  </cols>
  <sheetData>
    <row r="1" spans="1:8" ht="21">
      <c r="A1" s="1057" t="s">
        <v>681</v>
      </c>
      <c r="B1" s="1058"/>
      <c r="C1" s="1058"/>
      <c r="D1" s="1058"/>
      <c r="E1" s="1058"/>
      <c r="F1" s="1058"/>
      <c r="G1" s="1058"/>
      <c r="H1" s="1058"/>
    </row>
    <row r="2" spans="1:8" ht="15.6">
      <c r="A2" s="536"/>
      <c r="B2" s="532"/>
      <c r="C2" s="532"/>
      <c r="D2" s="532"/>
      <c r="E2" s="532"/>
      <c r="F2" s="532"/>
      <c r="G2" s="532"/>
      <c r="H2" s="532"/>
    </row>
    <row r="3" spans="1:8">
      <c r="A3" s="539"/>
      <c r="B3" s="539"/>
    </row>
    <row r="4" spans="1:8">
      <c r="A4" s="539" t="str">
        <f>+'EPPs EMPLEADOS'!A4</f>
        <v>Licitación:</v>
      </c>
      <c r="B4" s="539" t="str">
        <f>+'EPPs EMPLEADOS'!B4</f>
        <v>MEJORAMIENTO DE VÍAS Y ACCESOS EXISTENTES SUBPROYECTOS A3-A4</v>
      </c>
    </row>
    <row r="5" spans="1:8" hidden="1">
      <c r="A5" s="539" t="str">
        <f>+'EPPs EMPLEADOS'!A5</f>
        <v>Situado en:</v>
      </c>
      <c r="B5" s="539" t="e">
        <f>+'EPPs EMPLEADOS'!B5</f>
        <v>#REF!</v>
      </c>
    </row>
    <row r="6" spans="1:8">
      <c r="A6" s="539" t="str">
        <f>+'EPPs EMPLEADOS'!A6</f>
        <v xml:space="preserve">Presentado a: </v>
      </c>
      <c r="B6" s="539" t="str">
        <f>+'EPPs EMPLEADOS'!B6</f>
        <v>OHLA</v>
      </c>
    </row>
    <row r="7" spans="1:8">
      <c r="A7" s="539" t="str">
        <f>+'EPPs EMPLEADOS'!A7</f>
        <v>Postor:</v>
      </c>
      <c r="B7" s="539" t="str">
        <f>+'EPPs EMPLEADOS'!B7</f>
        <v>ZOVICSA</v>
      </c>
    </row>
    <row r="8" spans="1:8">
      <c r="A8" s="539" t="str">
        <f>+'EPPs EMPLEADOS'!A8</f>
        <v>Fecha:</v>
      </c>
      <c r="B8" s="538">
        <f>+'EPPs EMPLEADOS'!B8</f>
        <v>44655</v>
      </c>
    </row>
    <row r="9" spans="1:8">
      <c r="A9" s="539"/>
      <c r="B9" s="538"/>
    </row>
    <row r="10" spans="1:8">
      <c r="A10" s="537"/>
    </row>
    <row r="11" spans="1:8" ht="15.6">
      <c r="A11" s="536"/>
      <c r="B11" s="535" t="s">
        <v>286</v>
      </c>
      <c r="C11" s="953">
        <f>+'EPPs Empleados (kit)'!C10</f>
        <v>1.23</v>
      </c>
      <c r="D11" s="533" t="s">
        <v>287</v>
      </c>
      <c r="E11" s="532"/>
      <c r="H11" s="532"/>
    </row>
    <row r="12" spans="1:8" ht="15.6">
      <c r="A12" s="536"/>
      <c r="B12" s="535" t="s">
        <v>288</v>
      </c>
      <c r="C12" s="534">
        <v>11</v>
      </c>
      <c r="D12" s="533" t="s">
        <v>289</v>
      </c>
      <c r="E12" s="532"/>
      <c r="H12" s="532"/>
    </row>
    <row r="13" spans="1:8" ht="15.6">
      <c r="A13" s="536"/>
      <c r="B13" s="535" t="s">
        <v>290</v>
      </c>
      <c r="C13" s="534">
        <f>+ROUNDUP(C12*C11*365/12,0)</f>
        <v>412</v>
      </c>
      <c r="D13" s="533" t="s">
        <v>289</v>
      </c>
      <c r="E13" s="532"/>
      <c r="H13" s="532"/>
    </row>
    <row r="15" spans="1:8" s="530" customFormat="1" ht="39.6">
      <c r="A15" s="1059" t="s">
        <v>291</v>
      </c>
      <c r="B15" s="1059" t="s">
        <v>6</v>
      </c>
      <c r="C15" s="1059" t="s">
        <v>4</v>
      </c>
      <c r="D15" s="531" t="s">
        <v>292</v>
      </c>
      <c r="E15" s="531" t="s">
        <v>293</v>
      </c>
      <c r="F15" s="531" t="s">
        <v>294</v>
      </c>
      <c r="G15" s="531" t="s">
        <v>295</v>
      </c>
      <c r="H15" s="531" t="s">
        <v>296</v>
      </c>
    </row>
    <row r="16" spans="1:8" s="530" customFormat="1">
      <c r="A16" s="1056"/>
      <c r="B16" s="1056"/>
      <c r="C16" s="1056"/>
      <c r="D16" s="507" t="s">
        <v>297</v>
      </c>
      <c r="E16" s="507" t="s">
        <v>298</v>
      </c>
      <c r="F16" s="507" t="s">
        <v>299</v>
      </c>
      <c r="G16" s="507" t="s">
        <v>300</v>
      </c>
      <c r="H16" s="507" t="s">
        <v>301</v>
      </c>
    </row>
    <row r="17" spans="1:13" s="522" customFormat="1">
      <c r="A17" s="529">
        <v>1</v>
      </c>
      <c r="B17" s="528" t="s">
        <v>339</v>
      </c>
      <c r="C17" s="527" t="s">
        <v>4</v>
      </c>
      <c r="D17" s="526">
        <v>0.1</v>
      </c>
      <c r="E17" s="526">
        <f t="shared" ref="E17:E22" si="0">ROUNDUP($C$11/D17,0)</f>
        <v>13</v>
      </c>
      <c r="F17" s="525">
        <v>1</v>
      </c>
      <c r="G17" s="954">
        <v>3.1406999999999998</v>
      </c>
      <c r="H17" s="524">
        <f t="shared" ref="H17:H22" si="1">ROUNDUP(E17*F17*G17/$C$13,3)</f>
        <v>0.1</v>
      </c>
      <c r="I17" s="522">
        <v>0.763653193458809</v>
      </c>
      <c r="K17" s="551">
        <v>0.2</v>
      </c>
      <c r="L17" s="522">
        <v>0.76</v>
      </c>
      <c r="M17" s="555">
        <f>+G17-L17</f>
        <v>2.3807</v>
      </c>
    </row>
    <row r="18" spans="1:13" s="522" customFormat="1">
      <c r="A18" s="529">
        <f>+A17+1</f>
        <v>2</v>
      </c>
      <c r="B18" s="528" t="s">
        <v>781</v>
      </c>
      <c r="C18" s="527" t="s">
        <v>4</v>
      </c>
      <c r="D18" s="526">
        <v>1</v>
      </c>
      <c r="E18" s="526">
        <f t="shared" si="0"/>
        <v>2</v>
      </c>
      <c r="F18" s="525">
        <v>1</v>
      </c>
      <c r="G18" s="954">
        <v>22.531553815124756</v>
      </c>
      <c r="H18" s="524">
        <f t="shared" si="1"/>
        <v>0.11</v>
      </c>
    </row>
    <row r="19" spans="1:13" s="522" customFormat="1">
      <c r="A19" s="529">
        <f>+A18+1</f>
        <v>3</v>
      </c>
      <c r="B19" s="528" t="s">
        <v>336</v>
      </c>
      <c r="C19" s="527" t="s">
        <v>4</v>
      </c>
      <c r="D19" s="526">
        <v>1</v>
      </c>
      <c r="E19" s="526">
        <f t="shared" si="0"/>
        <v>2</v>
      </c>
      <c r="F19" s="525">
        <v>0.25</v>
      </c>
      <c r="G19" s="954">
        <v>7.0394999999999994</v>
      </c>
      <c r="H19" s="524">
        <f t="shared" si="1"/>
        <v>9.0000000000000011E-3</v>
      </c>
    </row>
    <row r="20" spans="1:13" s="522" customFormat="1">
      <c r="A20" s="529">
        <f>+A19+1</f>
        <v>4</v>
      </c>
      <c r="B20" s="528" t="s">
        <v>337</v>
      </c>
      <c r="C20" s="527" t="s">
        <v>4</v>
      </c>
      <c r="D20" s="526">
        <f>0.5/30</f>
        <v>1.6666666666666666E-2</v>
      </c>
      <c r="E20" s="526">
        <f t="shared" si="0"/>
        <v>74</v>
      </c>
      <c r="F20" s="525">
        <v>0.1</v>
      </c>
      <c r="G20" s="954">
        <v>0.5776</v>
      </c>
      <c r="H20" s="524">
        <f t="shared" si="1"/>
        <v>1.0999999999999999E-2</v>
      </c>
    </row>
    <row r="21" spans="1:13" s="522" customFormat="1">
      <c r="A21" s="529">
        <f>+A20+1</f>
        <v>5</v>
      </c>
      <c r="B21" s="528" t="s">
        <v>338</v>
      </c>
      <c r="C21" s="527" t="s">
        <v>4</v>
      </c>
      <c r="D21" s="526">
        <v>3</v>
      </c>
      <c r="E21" s="526">
        <f t="shared" si="0"/>
        <v>1</v>
      </c>
      <c r="F21" s="525">
        <v>0.5</v>
      </c>
      <c r="G21" s="954">
        <v>2.3208649912331971</v>
      </c>
      <c r="H21" s="524">
        <f t="shared" si="1"/>
        <v>3.0000000000000001E-3</v>
      </c>
    </row>
    <row r="22" spans="1:13" s="522" customFormat="1">
      <c r="A22" s="529">
        <f>+A21+1</f>
        <v>6</v>
      </c>
      <c r="B22" s="528" t="s">
        <v>676</v>
      </c>
      <c r="C22" s="527" t="s">
        <v>4</v>
      </c>
      <c r="D22" s="526">
        <v>2</v>
      </c>
      <c r="E22" s="526">
        <f t="shared" si="0"/>
        <v>1</v>
      </c>
      <c r="F22" s="525">
        <v>1</v>
      </c>
      <c r="G22" s="954">
        <v>17.829750145264381</v>
      </c>
      <c r="H22" s="524">
        <f t="shared" si="1"/>
        <v>4.3999999999999997E-2</v>
      </c>
    </row>
    <row r="23" spans="1:13">
      <c r="A23" s="521"/>
      <c r="B23" s="521"/>
      <c r="C23" s="521"/>
      <c r="D23" s="521"/>
      <c r="E23" s="521"/>
      <c r="F23" s="520"/>
      <c r="G23" s="519" t="s">
        <v>325</v>
      </c>
      <c r="H23" s="518">
        <f>SUM(H17:H22)</f>
        <v>0.27700000000000002</v>
      </c>
    </row>
    <row r="24" spans="1:13">
      <c r="A24" s="517"/>
      <c r="B24" s="517"/>
      <c r="C24" s="517"/>
      <c r="D24" s="957"/>
      <c r="E24" s="517"/>
      <c r="F24" s="517"/>
      <c r="G24" s="516"/>
      <c r="H24" s="515"/>
    </row>
    <row r="25" spans="1:13">
      <c r="A25" s="514"/>
      <c r="B25" s="514"/>
      <c r="C25" s="514"/>
      <c r="D25" s="514"/>
      <c r="E25" s="513"/>
      <c r="F25" s="512"/>
      <c r="G25" s="511" t="s">
        <v>326</v>
      </c>
      <c r="H25" s="510">
        <f>ROUNDUP(H23*C13,0)</f>
        <v>115</v>
      </c>
    </row>
    <row r="26" spans="1:13" hidden="1">
      <c r="D26" s="551">
        <v>0.1</v>
      </c>
      <c r="H26" s="509">
        <f>+H25/36</f>
        <v>3.1944444444444446</v>
      </c>
    </row>
    <row r="27" spans="1:13" hidden="1">
      <c r="D27" s="551">
        <v>1</v>
      </c>
    </row>
    <row r="28" spans="1:13" hidden="1">
      <c r="D28" s="551">
        <v>1</v>
      </c>
    </row>
    <row r="29" spans="1:13" hidden="1">
      <c r="D29" s="551">
        <f>0.5/30</f>
        <v>1.6666666666666666E-2</v>
      </c>
    </row>
    <row r="30" spans="1:13" hidden="1">
      <c r="D30" s="551">
        <v>3</v>
      </c>
    </row>
    <row r="31" spans="1:13" hidden="1">
      <c r="D31" s="551">
        <v>2</v>
      </c>
    </row>
    <row r="32" spans="1:13" hidden="1"/>
    <row r="33" spans="1:9" s="522" customFormat="1" hidden="1">
      <c r="A33" s="554">
        <v>37</v>
      </c>
      <c r="B33" s="553" t="s">
        <v>675</v>
      </c>
      <c r="C33" s="552" t="s">
        <v>4</v>
      </c>
      <c r="D33" s="551">
        <v>6</v>
      </c>
      <c r="E33" s="551">
        <f>ROUNDUP($C$11/D33,0)</f>
        <v>1</v>
      </c>
      <c r="F33" s="550">
        <v>1</v>
      </c>
      <c r="G33" s="549">
        <v>9.059029807130333</v>
      </c>
      <c r="H33" s="548">
        <f>ROUNDUP(E33*F33*G33/$C$13,3)</f>
        <v>2.2000000000000002E-2</v>
      </c>
      <c r="I33" s="522" t="s">
        <v>673</v>
      </c>
    </row>
    <row r="34" spans="1:9" s="540" customFormat="1" hidden="1">
      <c r="A34" s="547">
        <v>38</v>
      </c>
      <c r="B34" s="546" t="s">
        <v>674</v>
      </c>
      <c r="C34" s="545" t="s">
        <v>4</v>
      </c>
      <c r="D34" s="544">
        <v>6</v>
      </c>
      <c r="E34" s="544">
        <f>ROUNDUP($C$11/D34,0)</f>
        <v>1</v>
      </c>
      <c r="F34" s="543">
        <v>1</v>
      </c>
      <c r="G34" s="542">
        <v>52.600818234950317</v>
      </c>
      <c r="H34" s="541">
        <f>ROUNDUP(E34*F34*G34/$C$13,3)</f>
        <v>0.128</v>
      </c>
      <c r="I34" s="540" t="s">
        <v>673</v>
      </c>
    </row>
    <row r="35" spans="1:9" s="540" customFormat="1" hidden="1">
      <c r="A35" s="547">
        <v>39</v>
      </c>
      <c r="B35" s="546" t="s">
        <v>672</v>
      </c>
      <c r="C35" s="545" t="s">
        <v>4</v>
      </c>
      <c r="D35" s="544">
        <v>3</v>
      </c>
      <c r="E35" s="544">
        <f>ROUNDUP($C$11/D35,0)</f>
        <v>1</v>
      </c>
      <c r="F35" s="543">
        <v>0.5</v>
      </c>
      <c r="G35" s="542">
        <v>1.4611338398597311</v>
      </c>
      <c r="H35" s="541">
        <f>ROUNDUP(E35*F35*G35/$C$13,3)</f>
        <v>2E-3</v>
      </c>
    </row>
    <row r="36" spans="1:9" hidden="1"/>
    <row r="37" spans="1:9" hidden="1"/>
    <row r="38" spans="1:9" hidden="1"/>
    <row r="39" spans="1:9" hidden="1"/>
    <row r="40" spans="1:9" hidden="1"/>
    <row r="41" spans="1:9" hidden="1"/>
    <row r="42" spans="1:9" hidden="1"/>
    <row r="43" spans="1:9" hidden="1"/>
    <row r="44" spans="1:9" hidden="1"/>
    <row r="45" spans="1:9" hidden="1"/>
    <row r="46" spans="1:9" hidden="1"/>
    <row r="47" spans="1:9" hidden="1"/>
    <row r="48" spans="1:9">
      <c r="E48" s="159"/>
      <c r="F48" s="160"/>
      <c r="G48" s="161" t="s">
        <v>692</v>
      </c>
      <c r="H48" s="162">
        <f>H25/4</f>
        <v>28.75</v>
      </c>
    </row>
    <row r="49" spans="4:4">
      <c r="D49" s="559"/>
    </row>
  </sheetData>
  <sheetProtection selectLockedCells="1"/>
  <mergeCells count="4">
    <mergeCell ref="A1:H1"/>
    <mergeCell ref="A15:A16"/>
    <mergeCell ref="B15:B16"/>
    <mergeCell ref="C15:C16"/>
  </mergeCells>
  <pageMargins left="0.59055118110236227" right="0.59055118110236227" top="0.98425196850393704" bottom="0.59055118110236227" header="0.31496062992125984" footer="0.31496062992125984"/>
  <pageSetup paperSize="9" scale="57" orientation="portrait" r:id="rId1"/>
  <headerFooter>
    <oddHeader xml:space="preserve">&amp;R&amp;G
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1"/>
  <dimension ref="B3:W25"/>
  <sheetViews>
    <sheetView workbookViewId="0"/>
  </sheetViews>
  <sheetFormatPr baseColWidth="10" defaultColWidth="11.5546875" defaultRowHeight="14.4"/>
  <cols>
    <col min="1" max="1" width="11.5546875" style="606"/>
    <col min="2" max="2" width="22.44140625" style="606" customWidth="1"/>
    <col min="3" max="16384" width="11.5546875" style="606"/>
  </cols>
  <sheetData>
    <row r="3" spans="2:23">
      <c r="B3" s="1060" t="s">
        <v>750</v>
      </c>
      <c r="C3" s="1061"/>
      <c r="D3" s="1061"/>
      <c r="E3" s="1061"/>
      <c r="F3" s="1061"/>
      <c r="G3" s="1061"/>
      <c r="H3" s="1062"/>
    </row>
    <row r="5" spans="2:23">
      <c r="B5" s="606" t="s">
        <v>751</v>
      </c>
      <c r="C5" s="628">
        <f>G9</f>
        <v>4.7399749999999994</v>
      </c>
      <c r="D5" s="606" t="s">
        <v>752</v>
      </c>
      <c r="E5" s="1063" t="s">
        <v>791</v>
      </c>
      <c r="F5" s="629" t="s">
        <v>792</v>
      </c>
      <c r="G5" s="630">
        <v>4.2472300000000001</v>
      </c>
      <c r="H5" s="606">
        <v>0.4</v>
      </c>
    </row>
    <row r="6" spans="2:23">
      <c r="B6" s="606" t="s">
        <v>753</v>
      </c>
      <c r="C6" s="606">
        <v>8</v>
      </c>
      <c r="D6" s="606" t="s">
        <v>754</v>
      </c>
      <c r="E6" s="1064"/>
      <c r="F6" s="631" t="s">
        <v>793</v>
      </c>
      <c r="G6" s="632">
        <v>4.7291699999999999</v>
      </c>
      <c r="H6" s="606">
        <v>0.6</v>
      </c>
    </row>
    <row r="7" spans="2:23">
      <c r="B7" s="606" t="s">
        <v>755</v>
      </c>
      <c r="C7" s="606">
        <v>17</v>
      </c>
      <c r="D7" s="606" t="s">
        <v>9</v>
      </c>
      <c r="E7" s="1063" t="s">
        <v>794</v>
      </c>
      <c r="F7" s="629" t="s">
        <v>795</v>
      </c>
      <c r="G7" s="630">
        <v>4.7232399999999997</v>
      </c>
      <c r="W7" s="607">
        <v>11.081481481481481</v>
      </c>
    </row>
    <row r="8" spans="2:23">
      <c r="B8" s="606" t="s">
        <v>756</v>
      </c>
      <c r="D8" s="606" t="s">
        <v>757</v>
      </c>
      <c r="E8" s="1064"/>
      <c r="F8" s="631" t="s">
        <v>796</v>
      </c>
      <c r="G8" s="632">
        <v>5.2602599999999997</v>
      </c>
      <c r="W8" s="608"/>
    </row>
    <row r="9" spans="2:23">
      <c r="B9" s="606" t="s">
        <v>758</v>
      </c>
      <c r="D9" s="606" t="s">
        <v>757</v>
      </c>
      <c r="F9" s="629" t="s">
        <v>797</v>
      </c>
      <c r="G9" s="633">
        <f>AVERAGE(G5:G8)</f>
        <v>4.7399749999999994</v>
      </c>
      <c r="W9" s="609">
        <f>+W7/C7</f>
        <v>0.65185185185185179</v>
      </c>
    </row>
    <row r="10" spans="2:23">
      <c r="B10" s="606" t="s">
        <v>759</v>
      </c>
      <c r="D10" s="606" t="s">
        <v>760</v>
      </c>
      <c r="W10" s="609"/>
    </row>
    <row r="11" spans="2:23">
      <c r="B11" s="606" t="s">
        <v>761</v>
      </c>
      <c r="D11" s="606" t="s">
        <v>760</v>
      </c>
      <c r="W11" s="609"/>
    </row>
    <row r="12" spans="2:23">
      <c r="B12" s="606" t="s">
        <v>762</v>
      </c>
      <c r="C12" s="610"/>
      <c r="D12" s="606" t="s">
        <v>754</v>
      </c>
      <c r="W12" s="611"/>
    </row>
    <row r="13" spans="2:23">
      <c r="B13" s="606" t="s">
        <v>763</v>
      </c>
      <c r="C13" s="610"/>
      <c r="D13" s="606" t="s">
        <v>754</v>
      </c>
    </row>
    <row r="15" spans="2:23">
      <c r="B15" s="606" t="s">
        <v>764</v>
      </c>
      <c r="C15" s="610">
        <v>0.73192307692307734</v>
      </c>
      <c r="D15" s="606" t="s">
        <v>754</v>
      </c>
    </row>
    <row r="16" spans="2:23">
      <c r="B16" s="606" t="s">
        <v>765</v>
      </c>
      <c r="C16" s="612">
        <f>C6/C15</f>
        <v>10.930110352075664</v>
      </c>
      <c r="D16" s="606" t="s">
        <v>766</v>
      </c>
    </row>
    <row r="18" spans="2:12">
      <c r="B18" s="606" t="s">
        <v>767</v>
      </c>
      <c r="C18" s="610">
        <f>C7*$W$9</f>
        <v>11.081481481481481</v>
      </c>
      <c r="D18" s="606" t="s">
        <v>9</v>
      </c>
      <c r="L18" s="613"/>
    </row>
    <row r="19" spans="2:12">
      <c r="B19" s="606" t="s">
        <v>768</v>
      </c>
      <c r="C19" s="610">
        <f>C18*C16</f>
        <v>121.1218154570755</v>
      </c>
      <c r="D19" s="606" t="s">
        <v>769</v>
      </c>
    </row>
    <row r="21" spans="2:12">
      <c r="B21" s="606" t="s">
        <v>770</v>
      </c>
      <c r="C21" s="634">
        <v>76.099999999999994</v>
      </c>
      <c r="D21" s="606" t="s">
        <v>771</v>
      </c>
    </row>
    <row r="23" spans="2:12" ht="15" thickBot="1"/>
    <row r="24" spans="2:12" ht="29.4" thickBot="1">
      <c r="B24" s="614" t="s">
        <v>772</v>
      </c>
      <c r="C24" s="614" t="s">
        <v>773</v>
      </c>
      <c r="D24" s="614" t="s">
        <v>774</v>
      </c>
      <c r="E24" s="614" t="s">
        <v>775</v>
      </c>
      <c r="F24" s="615" t="s">
        <v>776</v>
      </c>
      <c r="G24" s="615" t="s">
        <v>777</v>
      </c>
      <c r="H24" s="614" t="s">
        <v>779</v>
      </c>
    </row>
    <row r="25" spans="2:12" ht="15" thickBot="1">
      <c r="B25" s="616" t="s">
        <v>778</v>
      </c>
      <c r="C25" s="617">
        <f>+C5</f>
        <v>4.7399749999999994</v>
      </c>
      <c r="D25" s="617">
        <f>+C15</f>
        <v>0.73192307692307734</v>
      </c>
      <c r="E25" s="617">
        <f>ROUND(C6/D25,0)</f>
        <v>11</v>
      </c>
      <c r="F25" s="617">
        <f>ROUND(E25*C18,2)</f>
        <v>121.9</v>
      </c>
      <c r="G25" s="617">
        <f>+C21*C6</f>
        <v>608.79999999999995</v>
      </c>
      <c r="H25" s="618">
        <f>ROUND(G25/F25,0)</f>
        <v>5</v>
      </c>
      <c r="J25" s="613"/>
    </row>
  </sheetData>
  <mergeCells count="3">
    <mergeCell ref="B3:H3"/>
    <mergeCell ref="E5:E6"/>
    <mergeCell ref="E7:E8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0"/>
  <dimension ref="A1:H24"/>
  <sheetViews>
    <sheetView view="pageBreakPreview" zoomScale="60" zoomScaleNormal="100" workbookViewId="0">
      <selection activeCell="H32" sqref="H32"/>
    </sheetView>
  </sheetViews>
  <sheetFormatPr baseColWidth="10" defaultColWidth="11.44140625" defaultRowHeight="13.2"/>
  <cols>
    <col min="1" max="1" width="13.88671875" style="1" customWidth="1"/>
    <col min="2" max="2" width="96.44140625" style="1" customWidth="1"/>
    <col min="3" max="3" width="6.88671875" style="1" customWidth="1"/>
    <col min="4" max="5" width="11.5546875" style="1" bestFit="1" customWidth="1"/>
    <col min="6" max="6" width="12.44140625" style="1" customWidth="1"/>
    <col min="7" max="7" width="15.109375" style="1" customWidth="1"/>
    <col min="8" max="8" width="21.44140625" style="1" bestFit="1" customWidth="1"/>
    <col min="9" max="16384" width="11.44140625" style="1"/>
  </cols>
  <sheetData>
    <row r="1" spans="1:8" ht="21">
      <c r="A1" s="1053" t="s">
        <v>549</v>
      </c>
      <c r="B1" s="1054"/>
      <c r="C1" s="1054"/>
      <c r="D1" s="1054"/>
      <c r="E1" s="1054"/>
      <c r="F1" s="1054"/>
      <c r="G1" s="1054"/>
      <c r="H1" s="1054"/>
    </row>
    <row r="2" spans="1:8" ht="15.6">
      <c r="A2" s="137"/>
      <c r="B2" s="140"/>
      <c r="C2" s="140"/>
      <c r="D2" s="140"/>
      <c r="E2" s="140"/>
      <c r="F2" s="140"/>
      <c r="G2" s="140"/>
      <c r="H2" s="140"/>
    </row>
    <row r="3" spans="1:8">
      <c r="A3" s="163"/>
      <c r="B3" s="163"/>
    </row>
    <row r="4" spans="1:8">
      <c r="A4" s="163" t="str">
        <f>+'EEPs OBREROS'!A4</f>
        <v>Licitación:</v>
      </c>
      <c r="B4" s="163" t="str">
        <f>+'EPPs EMPLEADOS'!B4</f>
        <v>MEJORAMIENTO DE VÍAS Y ACCESOS EXISTENTES SUBPROYECTOS A3-A4</v>
      </c>
    </row>
    <row r="5" spans="1:8" hidden="1">
      <c r="A5" s="163" t="str">
        <f>+'EEPs OBREROS'!A5</f>
        <v>Situado en:</v>
      </c>
      <c r="B5" s="163" t="e">
        <f>+'EPPs EMPLEADOS'!B5</f>
        <v>#REF!</v>
      </c>
    </row>
    <row r="6" spans="1:8">
      <c r="A6" s="163" t="str">
        <f>+'EEPs OBREROS'!A6</f>
        <v xml:space="preserve">Presentado a: </v>
      </c>
      <c r="B6" s="163" t="str">
        <f>+'EPPs EMPLEADOS'!B6</f>
        <v>OHLA</v>
      </c>
    </row>
    <row r="7" spans="1:8">
      <c r="A7" s="163" t="str">
        <f>+'EEPs OBREROS'!A7</f>
        <v>Postor:</v>
      </c>
      <c r="B7" s="163" t="str">
        <f>+'EPPs EMPLEADOS'!B7</f>
        <v>ZOVICSA</v>
      </c>
    </row>
    <row r="8" spans="1:8">
      <c r="A8" s="163" t="str">
        <f>+'EEPs OBREROS'!A8</f>
        <v>Fecha:</v>
      </c>
      <c r="B8" s="6">
        <f>+'EPPs EMPLEADOS'!B8</f>
        <v>44655</v>
      </c>
    </row>
    <row r="9" spans="1:8">
      <c r="A9" s="163"/>
    </row>
    <row r="10" spans="1:8" ht="15.6">
      <c r="A10" s="137"/>
      <c r="B10" s="138" t="s">
        <v>286</v>
      </c>
      <c r="C10" s="635">
        <f>+'EPPs Obreros (kit)'!C11</f>
        <v>1.23</v>
      </c>
      <c r="D10" s="139" t="s">
        <v>287</v>
      </c>
      <c r="E10" s="140"/>
      <c r="F10" s="140"/>
      <c r="G10" s="140"/>
      <c r="H10" s="140"/>
    </row>
    <row r="12" spans="1:8" s="165" customFormat="1" ht="39.6">
      <c r="A12" s="1055" t="s">
        <v>291</v>
      </c>
      <c r="B12" s="1055" t="s">
        <v>6</v>
      </c>
      <c r="C12" s="1055" t="s">
        <v>4</v>
      </c>
      <c r="D12" s="386" t="s">
        <v>292</v>
      </c>
      <c r="E12" s="386" t="s">
        <v>551</v>
      </c>
      <c r="F12" s="386" t="s">
        <v>294</v>
      </c>
      <c r="G12" s="386" t="s">
        <v>295</v>
      </c>
      <c r="H12" s="386" t="s">
        <v>296</v>
      </c>
    </row>
    <row r="13" spans="1:8" s="165" customFormat="1">
      <c r="A13" s="1056"/>
      <c r="B13" s="1056"/>
      <c r="C13" s="1056"/>
      <c r="D13" s="387" t="s">
        <v>297</v>
      </c>
      <c r="E13" s="387" t="s">
        <v>298</v>
      </c>
      <c r="F13" s="387" t="s">
        <v>299</v>
      </c>
      <c r="G13" s="387" t="s">
        <v>300</v>
      </c>
      <c r="H13" s="387" t="s">
        <v>301</v>
      </c>
    </row>
    <row r="14" spans="1:8">
      <c r="A14" s="143">
        <v>1</v>
      </c>
      <c r="B14" s="144" t="s">
        <v>546</v>
      </c>
      <c r="C14" s="145" t="s">
        <v>497</v>
      </c>
      <c r="D14" s="146">
        <v>0.26666666666666666</v>
      </c>
      <c r="E14" s="146">
        <f>ROUNDUP($C$10/D14,0)</f>
        <v>5</v>
      </c>
      <c r="F14" s="147">
        <v>1</v>
      </c>
      <c r="G14" s="954">
        <v>187.9366</v>
      </c>
      <c r="H14" s="148">
        <f>ROUNDUP(E14*F14*G14,3)</f>
        <v>939.68299999999999</v>
      </c>
    </row>
    <row r="15" spans="1:8">
      <c r="A15" s="143">
        <v>2</v>
      </c>
      <c r="B15" s="144" t="s">
        <v>547</v>
      </c>
      <c r="C15" s="145" t="s">
        <v>497</v>
      </c>
      <c r="D15" s="146">
        <v>0.16666666666666666</v>
      </c>
      <c r="E15" s="146">
        <f t="shared" ref="E15:E21" si="0">ROUNDUP($C$10/D15,0)</f>
        <v>8</v>
      </c>
      <c r="F15" s="147">
        <v>1</v>
      </c>
      <c r="G15" s="954">
        <v>26.533499999999997</v>
      </c>
      <c r="H15" s="148">
        <f>ROUNDUP(E15*F15*G15,3)</f>
        <v>212.268</v>
      </c>
    </row>
    <row r="16" spans="1:8">
      <c r="A16" s="143">
        <v>3</v>
      </c>
      <c r="B16" s="407" t="s">
        <v>550</v>
      </c>
      <c r="C16" s="145" t="s">
        <v>4</v>
      </c>
      <c r="D16" s="146"/>
      <c r="E16" s="146">
        <v>2</v>
      </c>
      <c r="F16" s="147">
        <v>1</v>
      </c>
      <c r="G16" s="954">
        <v>356.58181124999999</v>
      </c>
      <c r="H16" s="148">
        <f t="shared" ref="H16:H21" si="1">ROUNDUP(E16*F16*G16,3)</f>
        <v>713.16399999999999</v>
      </c>
    </row>
    <row r="17" spans="1:8">
      <c r="A17" s="143">
        <v>4</v>
      </c>
      <c r="B17" s="144" t="s">
        <v>552</v>
      </c>
      <c r="C17" s="145" t="s">
        <v>4</v>
      </c>
      <c r="D17" s="146"/>
      <c r="E17" s="146">
        <v>2</v>
      </c>
      <c r="F17" s="147">
        <v>1</v>
      </c>
      <c r="G17" s="954">
        <v>702.37801111797398</v>
      </c>
      <c r="H17" s="148">
        <f t="shared" si="1"/>
        <v>1404.7570000000001</v>
      </c>
    </row>
    <row r="18" spans="1:8">
      <c r="A18" s="143">
        <v>4</v>
      </c>
      <c r="B18" s="144" t="s">
        <v>780</v>
      </c>
      <c r="C18" s="145" t="s">
        <v>4</v>
      </c>
      <c r="D18" s="146">
        <v>0.23333333333333334</v>
      </c>
      <c r="E18" s="146">
        <f t="shared" si="0"/>
        <v>6</v>
      </c>
      <c r="F18" s="147">
        <v>1</v>
      </c>
      <c r="G18" s="954">
        <v>22.531553815124756</v>
      </c>
      <c r="H18" s="148">
        <f t="shared" si="1"/>
        <v>135.19</v>
      </c>
    </row>
    <row r="19" spans="1:8">
      <c r="A19" s="143">
        <v>5</v>
      </c>
      <c r="B19" s="144" t="s">
        <v>553</v>
      </c>
      <c r="C19" s="145" t="s">
        <v>4</v>
      </c>
      <c r="D19" s="146"/>
      <c r="E19" s="146">
        <v>2</v>
      </c>
      <c r="F19" s="147">
        <v>1</v>
      </c>
      <c r="G19" s="954">
        <v>2397.9468599033817</v>
      </c>
      <c r="H19" s="148">
        <f t="shared" si="1"/>
        <v>4795.8940000000002</v>
      </c>
    </row>
    <row r="20" spans="1:8">
      <c r="A20" s="143">
        <v>5</v>
      </c>
      <c r="B20" s="144" t="s">
        <v>340</v>
      </c>
      <c r="C20" s="145" t="s">
        <v>4</v>
      </c>
      <c r="D20" s="146">
        <v>0.16666666666666666</v>
      </c>
      <c r="E20" s="146">
        <f>ROUNDUP($C$10/D20,0)*3</f>
        <v>24</v>
      </c>
      <c r="F20" s="147">
        <v>1</v>
      </c>
      <c r="G20" s="954">
        <v>2.4369082407948581</v>
      </c>
      <c r="H20" s="148">
        <f t="shared" si="1"/>
        <v>58.485999999999997</v>
      </c>
    </row>
    <row r="21" spans="1:8">
      <c r="A21" s="143">
        <v>5</v>
      </c>
      <c r="B21" s="144" t="s">
        <v>548</v>
      </c>
      <c r="C21" s="145" t="s">
        <v>4</v>
      </c>
      <c r="D21" s="146">
        <v>0.23333333333333334</v>
      </c>
      <c r="E21" s="146">
        <f t="shared" si="0"/>
        <v>6</v>
      </c>
      <c r="F21" s="147">
        <v>1</v>
      </c>
      <c r="G21" s="954">
        <v>26.533499999999997</v>
      </c>
      <c r="H21" s="148">
        <f t="shared" si="1"/>
        <v>159.20099999999999</v>
      </c>
    </row>
    <row r="22" spans="1:8">
      <c r="A22" s="150"/>
      <c r="B22" s="150"/>
      <c r="C22" s="150"/>
      <c r="D22" s="150"/>
      <c r="E22" s="150"/>
      <c r="F22" s="151"/>
      <c r="G22" s="152" t="s">
        <v>325</v>
      </c>
      <c r="H22" s="414">
        <f>SUM(H14:H21)</f>
        <v>8418.643</v>
      </c>
    </row>
    <row r="23" spans="1:8">
      <c r="A23" s="153"/>
      <c r="B23" s="153"/>
      <c r="C23" s="153"/>
      <c r="D23" s="153"/>
      <c r="E23" s="153"/>
      <c r="F23" s="150"/>
      <c r="G23" s="154"/>
      <c r="H23" s="155"/>
    </row>
    <row r="24" spans="1:8">
      <c r="A24" s="153"/>
      <c r="B24" s="153"/>
      <c r="C24" s="153"/>
      <c r="D24" s="153"/>
      <c r="E24" s="153"/>
      <c r="F24" s="151"/>
      <c r="G24" s="152" t="s">
        <v>691</v>
      </c>
      <c r="H24" s="414">
        <f>H22/4</f>
        <v>2104.66075</v>
      </c>
    </row>
  </sheetData>
  <mergeCells count="4">
    <mergeCell ref="A1:H1"/>
    <mergeCell ref="A12:A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2"/>
  <dimension ref="A1:L40"/>
  <sheetViews>
    <sheetView topLeftCell="A28" workbookViewId="0">
      <selection activeCell="D46" sqref="D46"/>
    </sheetView>
  </sheetViews>
  <sheetFormatPr baseColWidth="10" defaultColWidth="11.5546875" defaultRowHeight="13.2"/>
  <cols>
    <col min="1" max="1" width="13.5546875" customWidth="1"/>
    <col min="2" max="2" width="35.109375" customWidth="1"/>
  </cols>
  <sheetData>
    <row r="1" spans="1:10" ht="21">
      <c r="A1" s="964" t="s">
        <v>358</v>
      </c>
      <c r="B1" s="964"/>
      <c r="C1" s="964"/>
      <c r="D1" s="964"/>
      <c r="E1" s="964"/>
      <c r="F1" s="964"/>
      <c r="G1" s="964"/>
      <c r="H1" s="964"/>
      <c r="I1" s="964"/>
      <c r="J1" s="964"/>
    </row>
    <row r="2" spans="1:10">
      <c r="B2" s="181"/>
      <c r="C2" s="183"/>
      <c r="D2" s="182"/>
      <c r="E2" s="182"/>
      <c r="F2" s="182"/>
      <c r="G2" s="182"/>
      <c r="H2" s="182"/>
      <c r="I2" s="182"/>
      <c r="J2" s="182"/>
    </row>
    <row r="3" spans="1:10" ht="13.8" thickBot="1"/>
    <row r="4" spans="1:10" ht="15" thickTop="1">
      <c r="A4" s="1068" t="s">
        <v>359</v>
      </c>
      <c r="B4" s="1069"/>
      <c r="C4" s="1070"/>
      <c r="D4" s="184" t="s">
        <v>360</v>
      </c>
      <c r="E4" s="185"/>
      <c r="F4" s="185"/>
      <c r="G4" s="185"/>
      <c r="H4" s="185"/>
      <c r="I4" s="185"/>
      <c r="J4" s="186"/>
    </row>
    <row r="5" spans="1:10" ht="14.4">
      <c r="A5" s="1071"/>
      <c r="B5" s="1072"/>
      <c r="C5" s="1073"/>
      <c r="D5" s="187" t="s">
        <v>16</v>
      </c>
      <c r="E5" s="187" t="s">
        <v>121</v>
      </c>
      <c r="F5" s="187" t="s">
        <v>17</v>
      </c>
      <c r="G5" s="187" t="s">
        <v>18</v>
      </c>
      <c r="H5" s="187" t="s">
        <v>50</v>
      </c>
      <c r="I5" s="187" t="s">
        <v>42</v>
      </c>
      <c r="J5" s="188" t="s">
        <v>43</v>
      </c>
    </row>
    <row r="6" spans="1:10" ht="14.4">
      <c r="A6" s="1074" t="s">
        <v>361</v>
      </c>
      <c r="B6" s="189" t="s">
        <v>366</v>
      </c>
      <c r="C6" s="198"/>
      <c r="D6" s="199">
        <f>+E6</f>
        <v>71.8</v>
      </c>
      <c r="E6" s="199">
        <f>+F6</f>
        <v>71.8</v>
      </c>
      <c r="F6" s="200">
        <v>71.8</v>
      </c>
      <c r="G6" s="200">
        <v>56.55</v>
      </c>
      <c r="H6" s="200">
        <v>50.8</v>
      </c>
      <c r="I6" s="200">
        <v>50.8</v>
      </c>
      <c r="J6" s="201">
        <v>50.8</v>
      </c>
    </row>
    <row r="7" spans="1:10" ht="14.4">
      <c r="A7" s="1075"/>
      <c r="B7" s="190" t="s">
        <v>367</v>
      </c>
      <c r="C7" s="202">
        <v>1</v>
      </c>
      <c r="D7" s="203">
        <v>0.04</v>
      </c>
      <c r="E7" s="203">
        <f t="shared" ref="E7:J7" si="0">+D7</f>
        <v>0.04</v>
      </c>
      <c r="F7" s="203">
        <f t="shared" si="0"/>
        <v>0.04</v>
      </c>
      <c r="G7" s="203">
        <f t="shared" si="0"/>
        <v>0.04</v>
      </c>
      <c r="H7" s="203">
        <f t="shared" si="0"/>
        <v>0.04</v>
      </c>
      <c r="I7" s="203">
        <f t="shared" si="0"/>
        <v>0.04</v>
      </c>
      <c r="J7" s="204">
        <f t="shared" si="0"/>
        <v>0.04</v>
      </c>
    </row>
    <row r="8" spans="1:10" ht="14.4">
      <c r="A8" s="1075"/>
      <c r="B8" s="189" t="s">
        <v>368</v>
      </c>
      <c r="C8" s="198"/>
      <c r="D8" s="199">
        <f>+D$6*(1+$C$7*D$7)</f>
        <v>74.671999999999997</v>
      </c>
      <c r="E8" s="199">
        <f>+E$6*(1+$C$7*E$7)</f>
        <v>74.671999999999997</v>
      </c>
      <c r="F8" s="199">
        <f t="shared" ref="F8:J8" si="1">+F$6*(1+$C$7*F$7)</f>
        <v>74.671999999999997</v>
      </c>
      <c r="G8" s="199">
        <f t="shared" si="1"/>
        <v>58.811999999999998</v>
      </c>
      <c r="H8" s="199">
        <f t="shared" si="1"/>
        <v>52.832000000000001</v>
      </c>
      <c r="I8" s="199">
        <f t="shared" si="1"/>
        <v>52.832000000000001</v>
      </c>
      <c r="J8" s="205">
        <f t="shared" si="1"/>
        <v>52.832000000000001</v>
      </c>
    </row>
    <row r="9" spans="1:10" ht="14.4">
      <c r="A9" s="1075"/>
      <c r="B9" s="177" t="s">
        <v>369</v>
      </c>
      <c r="C9" s="206">
        <v>0.5</v>
      </c>
      <c r="D9" s="207">
        <v>0.25</v>
      </c>
      <c r="E9" s="207">
        <v>0.25</v>
      </c>
      <c r="F9" s="207">
        <v>0.25</v>
      </c>
      <c r="G9" s="207">
        <v>0.25</v>
      </c>
      <c r="H9" s="207">
        <v>0.25</v>
      </c>
      <c r="I9" s="207">
        <v>0.25</v>
      </c>
      <c r="J9" s="208">
        <v>0.25</v>
      </c>
    </row>
    <row r="10" spans="1:10" ht="14.4">
      <c r="A10" s="1075"/>
      <c r="B10" s="189" t="s">
        <v>370</v>
      </c>
      <c r="C10" s="198"/>
      <c r="D10" s="209">
        <f>+D$8*(1+$C$9*D9)</f>
        <v>84.006</v>
      </c>
      <c r="E10" s="209">
        <f t="shared" ref="E10:J10" si="2">+E$8*(1+$C$9*E9)</f>
        <v>84.006</v>
      </c>
      <c r="F10" s="209">
        <f t="shared" si="2"/>
        <v>84.006</v>
      </c>
      <c r="G10" s="209">
        <f t="shared" si="2"/>
        <v>66.163499999999999</v>
      </c>
      <c r="H10" s="209">
        <f t="shared" si="2"/>
        <v>59.436</v>
      </c>
      <c r="I10" s="209">
        <f t="shared" si="2"/>
        <v>59.436</v>
      </c>
      <c r="J10" s="210">
        <f t="shared" si="2"/>
        <v>59.436</v>
      </c>
    </row>
    <row r="11" spans="1:10" ht="14.4">
      <c r="A11" s="1076"/>
      <c r="B11" s="191" t="s">
        <v>371</v>
      </c>
      <c r="C11" s="211"/>
      <c r="D11" s="212">
        <f>+D10*6</f>
        <v>504.036</v>
      </c>
      <c r="E11" s="212">
        <f t="shared" ref="E11:J11" si="3">+E10*6</f>
        <v>504.036</v>
      </c>
      <c r="F11" s="212">
        <f t="shared" si="3"/>
        <v>504.036</v>
      </c>
      <c r="G11" s="212">
        <f t="shared" si="3"/>
        <v>396.98099999999999</v>
      </c>
      <c r="H11" s="212">
        <f t="shared" si="3"/>
        <v>356.61599999999999</v>
      </c>
      <c r="I11" s="212">
        <f t="shared" si="3"/>
        <v>356.61599999999999</v>
      </c>
      <c r="J11" s="213">
        <f t="shared" si="3"/>
        <v>356.61599999999999</v>
      </c>
    </row>
    <row r="12" spans="1:10" ht="14.4">
      <c r="A12" s="1077" t="s">
        <v>362</v>
      </c>
      <c r="B12" s="192" t="s">
        <v>372</v>
      </c>
      <c r="C12" s="214" t="s">
        <v>387</v>
      </c>
      <c r="D12" s="215">
        <v>0.15</v>
      </c>
      <c r="E12" s="215">
        <v>0.1</v>
      </c>
      <c r="F12" s="215"/>
      <c r="G12" s="215"/>
      <c r="H12" s="215"/>
      <c r="I12" s="215"/>
      <c r="J12" s="216"/>
    </row>
    <row r="13" spans="1:10" ht="14.4">
      <c r="A13" s="1078"/>
      <c r="B13" s="193" t="s">
        <v>373</v>
      </c>
      <c r="C13" s="217"/>
      <c r="D13" s="218">
        <f>+D11*D12</f>
        <v>75.605400000000003</v>
      </c>
      <c r="E13" s="218">
        <f t="shared" ref="E13:J13" si="4">+E11*E12</f>
        <v>50.403600000000004</v>
      </c>
      <c r="F13" s="218">
        <f t="shared" si="4"/>
        <v>0</v>
      </c>
      <c r="G13" s="218">
        <f t="shared" si="4"/>
        <v>0</v>
      </c>
      <c r="H13" s="218">
        <f t="shared" si="4"/>
        <v>0</v>
      </c>
      <c r="I13" s="218">
        <f t="shared" si="4"/>
        <v>0</v>
      </c>
      <c r="J13" s="219">
        <f t="shared" si="4"/>
        <v>0</v>
      </c>
    </row>
    <row r="14" spans="1:10" ht="14.4">
      <c r="A14" s="1079" t="s">
        <v>363</v>
      </c>
      <c r="B14" s="194" t="s">
        <v>374</v>
      </c>
      <c r="C14" s="214" t="s">
        <v>387</v>
      </c>
      <c r="D14" s="220">
        <v>12</v>
      </c>
      <c r="E14" s="220">
        <v>12</v>
      </c>
      <c r="F14" s="220">
        <v>12</v>
      </c>
      <c r="G14" s="220">
        <v>12</v>
      </c>
      <c r="H14" s="220">
        <v>12</v>
      </c>
      <c r="I14" s="220">
        <v>12</v>
      </c>
      <c r="J14" s="221">
        <v>12</v>
      </c>
    </row>
    <row r="15" spans="1:10" ht="14.4">
      <c r="A15" s="1080"/>
      <c r="B15" s="194" t="s">
        <v>375</v>
      </c>
      <c r="C15" s="214" t="s">
        <v>387</v>
      </c>
      <c r="D15" s="220">
        <v>17</v>
      </c>
      <c r="E15" s="220">
        <v>17</v>
      </c>
      <c r="F15" s="220">
        <v>17</v>
      </c>
      <c r="G15" s="220">
        <v>17</v>
      </c>
      <c r="H15" s="220">
        <v>17</v>
      </c>
      <c r="I15" s="220">
        <v>17</v>
      </c>
      <c r="J15" s="221">
        <v>17</v>
      </c>
    </row>
    <row r="16" spans="1:10" ht="14.4">
      <c r="A16" s="1081"/>
      <c r="B16" s="195" t="s">
        <v>376</v>
      </c>
      <c r="C16" s="222"/>
      <c r="D16" s="223">
        <f>D10/8*(D14*1.6+D15*2)</f>
        <v>558.63990000000001</v>
      </c>
      <c r="E16" s="223">
        <f t="shared" ref="E16:J16" si="5">E10/8*(E14*1.6+E15*2)</f>
        <v>558.63990000000001</v>
      </c>
      <c r="F16" s="223">
        <f t="shared" si="5"/>
        <v>558.63990000000001</v>
      </c>
      <c r="G16" s="223">
        <f t="shared" si="5"/>
        <v>439.98727500000001</v>
      </c>
      <c r="H16" s="223">
        <f t="shared" si="5"/>
        <v>395.24940000000004</v>
      </c>
      <c r="I16" s="223">
        <f t="shared" si="5"/>
        <v>395.24940000000004</v>
      </c>
      <c r="J16" s="224">
        <f t="shared" si="5"/>
        <v>395.24940000000004</v>
      </c>
    </row>
    <row r="17" spans="1:12" ht="14.4">
      <c r="A17" s="1082" t="s">
        <v>364</v>
      </c>
      <c r="B17" s="192" t="s">
        <v>342</v>
      </c>
      <c r="C17" s="225">
        <f>+'% Leyes Sociales'!C3</f>
        <v>0.14285714285714285</v>
      </c>
      <c r="D17" s="226">
        <f>+$C17*D$11</f>
        <v>72.005142857142857</v>
      </c>
      <c r="E17" s="226">
        <f t="shared" ref="E17:J17" si="6">+$C17*E$11</f>
        <v>72.005142857142857</v>
      </c>
      <c r="F17" s="226">
        <f t="shared" si="6"/>
        <v>72.005142857142857</v>
      </c>
      <c r="G17" s="226">
        <f t="shared" si="6"/>
        <v>56.711571428571425</v>
      </c>
      <c r="H17" s="226">
        <f t="shared" si="6"/>
        <v>50.945142857142855</v>
      </c>
      <c r="I17" s="226">
        <f t="shared" si="6"/>
        <v>50.945142857142855</v>
      </c>
      <c r="J17" s="227">
        <f t="shared" si="6"/>
        <v>50.945142857142855</v>
      </c>
    </row>
    <row r="18" spans="1:12" ht="14.4">
      <c r="A18" s="1083"/>
      <c r="B18" s="192" t="s">
        <v>391</v>
      </c>
      <c r="C18" s="244">
        <v>2.5</v>
      </c>
      <c r="D18" s="220">
        <f>+$C$18*7</f>
        <v>17.5</v>
      </c>
      <c r="E18" s="220">
        <f t="shared" ref="E18:G18" si="7">+$C$18*7</f>
        <v>17.5</v>
      </c>
      <c r="F18" s="220">
        <f t="shared" si="7"/>
        <v>17.5</v>
      </c>
      <c r="G18" s="220">
        <f t="shared" si="7"/>
        <v>17.5</v>
      </c>
      <c r="H18" s="220"/>
      <c r="I18" s="220"/>
      <c r="J18" s="221"/>
    </row>
    <row r="19" spans="1:12" ht="14.4">
      <c r="A19" s="1083"/>
      <c r="B19" s="192" t="s">
        <v>377</v>
      </c>
      <c r="C19" s="225" t="s">
        <v>388</v>
      </c>
      <c r="D19" s="220">
        <f>0.32*D11</f>
        <v>161.29151999999999</v>
      </c>
      <c r="E19" s="220">
        <f>0.32*E11</f>
        <v>161.29151999999999</v>
      </c>
      <c r="F19" s="220">
        <f>0.32*F11</f>
        <v>161.29151999999999</v>
      </c>
      <c r="G19" s="220">
        <f>0.32*G11</f>
        <v>127.03391999999999</v>
      </c>
      <c r="H19" s="220">
        <f t="shared" ref="H19:J19" si="8">0.3*H11</f>
        <v>106.98479999999999</v>
      </c>
      <c r="I19" s="220">
        <f t="shared" si="8"/>
        <v>106.98479999999999</v>
      </c>
      <c r="J19" s="221">
        <f t="shared" si="8"/>
        <v>106.98479999999999</v>
      </c>
    </row>
    <row r="20" spans="1:12" ht="14.4">
      <c r="A20" s="1083"/>
      <c r="B20" s="192" t="s">
        <v>345</v>
      </c>
      <c r="C20" s="228">
        <f>+'% Leyes Sociales'!C7</f>
        <v>0.10135135135135136</v>
      </c>
      <c r="D20" s="229">
        <f>+$C20*D$11</f>
        <v>51.08472972972973</v>
      </c>
      <c r="E20" s="229">
        <f t="shared" ref="E20:J20" si="9">+$C20*E$11</f>
        <v>51.08472972972973</v>
      </c>
      <c r="F20" s="229">
        <f t="shared" si="9"/>
        <v>51.08472972972973</v>
      </c>
      <c r="G20" s="229">
        <f t="shared" si="9"/>
        <v>40.234560810810812</v>
      </c>
      <c r="H20" s="229">
        <f t="shared" si="9"/>
        <v>36.143513513513511</v>
      </c>
      <c r="I20" s="229">
        <f t="shared" si="9"/>
        <v>36.143513513513511</v>
      </c>
      <c r="J20" s="230">
        <f t="shared" si="9"/>
        <v>36.143513513513511</v>
      </c>
    </row>
    <row r="21" spans="1:12" ht="14.4">
      <c r="A21" s="1083"/>
      <c r="B21" s="192" t="s">
        <v>378</v>
      </c>
      <c r="C21" s="225">
        <v>0.12</v>
      </c>
      <c r="D21" s="229">
        <f>(D$11+(D$14+D$15)*(D$10/8))*$C21</f>
        <v>97.026929999999993</v>
      </c>
      <c r="E21" s="229">
        <f>(E$11+(E$14+E$15)*(E$10/8))*$C21</f>
        <v>97.026929999999993</v>
      </c>
      <c r="F21" s="229">
        <f t="shared" ref="F21:J22" si="10">(F$11+(F$14+F$15)*(F$10/8))*$C21</f>
        <v>97.026929999999993</v>
      </c>
      <c r="G21" s="229">
        <f t="shared" si="10"/>
        <v>76.418842499999997</v>
      </c>
      <c r="H21" s="229">
        <f t="shared" si="10"/>
        <v>68.648579999999995</v>
      </c>
      <c r="I21" s="229">
        <f t="shared" si="10"/>
        <v>68.648579999999995</v>
      </c>
      <c r="J21" s="230">
        <f t="shared" si="10"/>
        <v>68.648579999999995</v>
      </c>
    </row>
    <row r="22" spans="1:12" ht="14.4">
      <c r="A22" s="1083"/>
      <c r="B22" s="192" t="s">
        <v>379</v>
      </c>
      <c r="C22" s="225">
        <v>0.03</v>
      </c>
      <c r="D22" s="229">
        <f>(D$11+(D$14+D$15)*(D$10/8))*$C22</f>
        <v>24.256732499999998</v>
      </c>
      <c r="E22" s="229">
        <f t="shared" ref="E22" si="11">(E$11+(E$14+E$15)*(E$10/8))*$C22</f>
        <v>24.256732499999998</v>
      </c>
      <c r="F22" s="229">
        <f t="shared" si="10"/>
        <v>24.256732499999998</v>
      </c>
      <c r="G22" s="229">
        <f t="shared" si="10"/>
        <v>19.104710624999999</v>
      </c>
      <c r="H22" s="229">
        <f t="shared" si="10"/>
        <v>17.162144999999999</v>
      </c>
      <c r="I22" s="229">
        <f t="shared" si="10"/>
        <v>17.162144999999999</v>
      </c>
      <c r="J22" s="230">
        <f t="shared" si="10"/>
        <v>17.162144999999999</v>
      </c>
    </row>
    <row r="23" spans="1:12" ht="14.4">
      <c r="A23" s="1083"/>
      <c r="B23" s="192" t="s">
        <v>380</v>
      </c>
      <c r="C23" s="228">
        <f>+'% Leyes Sociales'!C12</f>
        <v>0.22222222222222221</v>
      </c>
      <c r="D23" s="229">
        <f>+$C23*D$11*7/6</f>
        <v>130.67599999999999</v>
      </c>
      <c r="E23" s="229">
        <f t="shared" ref="E23:J23" si="12">+$C23*E$11*7/6</f>
        <v>130.67599999999999</v>
      </c>
      <c r="F23" s="229">
        <f t="shared" si="12"/>
        <v>130.67599999999999</v>
      </c>
      <c r="G23" s="229">
        <f t="shared" si="12"/>
        <v>102.92099999999999</v>
      </c>
      <c r="H23" s="229">
        <f t="shared" si="12"/>
        <v>92.455999999999975</v>
      </c>
      <c r="I23" s="229">
        <f t="shared" si="12"/>
        <v>92.455999999999975</v>
      </c>
      <c r="J23" s="230">
        <f t="shared" si="12"/>
        <v>92.455999999999975</v>
      </c>
    </row>
    <row r="24" spans="1:12" ht="14.4">
      <c r="A24" s="1083"/>
      <c r="B24" s="192" t="s">
        <v>347</v>
      </c>
      <c r="C24" s="228">
        <f>+'% Leyes Sociales'!C23</f>
        <v>0.13364517206815904</v>
      </c>
      <c r="D24" s="229">
        <f>(D$11*7/6)*$C24</f>
        <v>78.588974273304387</v>
      </c>
      <c r="E24" s="229">
        <f t="shared" ref="E24:J25" si="13">(E$11*7/6)*$C24</f>
        <v>78.588974273304387</v>
      </c>
      <c r="F24" s="229">
        <f t="shared" si="13"/>
        <v>78.588974273304387</v>
      </c>
      <c r="G24" s="229">
        <f t="shared" si="13"/>
        <v>61.89702639492149</v>
      </c>
      <c r="H24" s="229">
        <f t="shared" si="13"/>
        <v>55.603341129301697</v>
      </c>
      <c r="I24" s="229">
        <f t="shared" si="13"/>
        <v>55.603341129301697</v>
      </c>
      <c r="J24" s="230">
        <f t="shared" si="13"/>
        <v>55.603341129301697</v>
      </c>
    </row>
    <row r="25" spans="1:12" ht="14.4">
      <c r="A25" s="1083"/>
      <c r="B25" s="192" t="s">
        <v>381</v>
      </c>
      <c r="C25" s="228">
        <f>+'% Leyes Sociales'!C16</f>
        <v>0.1875</v>
      </c>
      <c r="D25" s="229">
        <f>(D$11*7/6)*$C25</f>
        <v>110.25787500000001</v>
      </c>
      <c r="E25" s="229">
        <f t="shared" si="13"/>
        <v>110.25787500000001</v>
      </c>
      <c r="F25" s="229">
        <f t="shared" si="13"/>
        <v>110.25787500000001</v>
      </c>
      <c r="G25" s="229">
        <f t="shared" si="13"/>
        <v>86.839593750000006</v>
      </c>
      <c r="H25" s="229">
        <f t="shared" si="13"/>
        <v>78.009749999999997</v>
      </c>
      <c r="I25" s="229">
        <f t="shared" si="13"/>
        <v>78.009749999999997</v>
      </c>
      <c r="J25" s="230">
        <f t="shared" si="13"/>
        <v>78.009749999999997</v>
      </c>
    </row>
    <row r="26" spans="1:12" ht="14.4">
      <c r="A26" s="1084"/>
      <c r="B26" s="196" t="s">
        <v>376</v>
      </c>
      <c r="C26" s="231"/>
      <c r="D26" s="232">
        <f>SUM(D17:D25)</f>
        <v>742.68790436017696</v>
      </c>
      <c r="E26" s="232">
        <f t="shared" ref="E26:J26" si="14">SUM(E17:E25)</f>
        <v>742.68790436017696</v>
      </c>
      <c r="F26" s="232">
        <f t="shared" si="14"/>
        <v>742.68790436017696</v>
      </c>
      <c r="G26" s="232">
        <f t="shared" si="14"/>
        <v>588.66122550930368</v>
      </c>
      <c r="H26" s="232">
        <f t="shared" si="14"/>
        <v>505.95327249995802</v>
      </c>
      <c r="I26" s="232">
        <f t="shared" si="14"/>
        <v>505.95327249995802</v>
      </c>
      <c r="J26" s="233">
        <f t="shared" si="14"/>
        <v>505.95327249995802</v>
      </c>
    </row>
    <row r="27" spans="1:12" ht="14.4">
      <c r="A27" s="1065" t="s">
        <v>365</v>
      </c>
      <c r="B27" s="192" t="s">
        <v>382</v>
      </c>
      <c r="C27" s="228">
        <v>0.09</v>
      </c>
      <c r="D27" s="220">
        <f t="shared" ref="D27:J30" si="15">$C27*SUM(D$11,D$13,D$16:D$20,D$23:D$24)</f>
        <v>148.44849001741591</v>
      </c>
      <c r="E27" s="220">
        <f t="shared" si="15"/>
        <v>146.18032801741592</v>
      </c>
      <c r="F27" s="220">
        <f t="shared" si="15"/>
        <v>141.64400401741591</v>
      </c>
      <c r="G27" s="220">
        <f t="shared" si="15"/>
        <v>111.89397182708734</v>
      </c>
      <c r="H27" s="220">
        <f t="shared" si="15"/>
        <v>98.459837774996217</v>
      </c>
      <c r="I27" s="220">
        <f t="shared" si="15"/>
        <v>98.459837774996217</v>
      </c>
      <c r="J27" s="221">
        <f t="shared" si="15"/>
        <v>98.459837774996217</v>
      </c>
    </row>
    <row r="28" spans="1:12" ht="14.4">
      <c r="A28" s="1066"/>
      <c r="B28" s="192" t="s">
        <v>383</v>
      </c>
      <c r="C28" s="228">
        <v>0.01</v>
      </c>
      <c r="D28" s="220">
        <f t="shared" si="15"/>
        <v>16.494276668601771</v>
      </c>
      <c r="E28" s="220">
        <f t="shared" si="15"/>
        <v>16.242258668601771</v>
      </c>
      <c r="F28" s="220">
        <f t="shared" si="15"/>
        <v>15.738222668601768</v>
      </c>
      <c r="G28" s="220">
        <f t="shared" si="15"/>
        <v>12.432663536343039</v>
      </c>
      <c r="H28" s="220">
        <f t="shared" si="15"/>
        <v>10.939981974999581</v>
      </c>
      <c r="I28" s="220">
        <f t="shared" si="15"/>
        <v>10.939981974999581</v>
      </c>
      <c r="J28" s="221">
        <f t="shared" si="15"/>
        <v>10.939981974999581</v>
      </c>
    </row>
    <row r="29" spans="1:12" ht="14.4">
      <c r="A29" s="1066"/>
      <c r="B29" s="192" t="s">
        <v>384</v>
      </c>
      <c r="C29" s="228">
        <v>3.0333333333333336E-3</v>
      </c>
      <c r="D29" s="220">
        <f t="shared" si="15"/>
        <v>5.0032639228092037</v>
      </c>
      <c r="E29" s="220">
        <f t="shared" si="15"/>
        <v>4.9268184628092033</v>
      </c>
      <c r="F29" s="220">
        <f t="shared" si="15"/>
        <v>4.7739275428092034</v>
      </c>
      <c r="G29" s="220">
        <f t="shared" si="15"/>
        <v>3.7712412726907223</v>
      </c>
      <c r="H29" s="220">
        <f t="shared" si="15"/>
        <v>3.318461199083206</v>
      </c>
      <c r="I29" s="220">
        <f t="shared" si="15"/>
        <v>3.318461199083206</v>
      </c>
      <c r="J29" s="221">
        <f t="shared" si="15"/>
        <v>3.318461199083206</v>
      </c>
    </row>
    <row r="30" spans="1:12" ht="14.4">
      <c r="A30" s="1066"/>
      <c r="B30" s="192" t="s">
        <v>385</v>
      </c>
      <c r="C30" s="228">
        <v>3.966666666666667E-3</v>
      </c>
      <c r="D30" s="220">
        <f t="shared" si="15"/>
        <v>6.5427297452120357</v>
      </c>
      <c r="E30" s="220">
        <f t="shared" si="15"/>
        <v>6.4427626052120353</v>
      </c>
      <c r="F30" s="220">
        <f t="shared" si="15"/>
        <v>6.2428283252120353</v>
      </c>
      <c r="G30" s="220">
        <f t="shared" si="15"/>
        <v>4.9316232027494058</v>
      </c>
      <c r="H30" s="220">
        <f t="shared" si="15"/>
        <v>4.3395261834165</v>
      </c>
      <c r="I30" s="220">
        <f t="shared" si="15"/>
        <v>4.3395261834165</v>
      </c>
      <c r="J30" s="221">
        <f t="shared" si="15"/>
        <v>4.3395261834165</v>
      </c>
    </row>
    <row r="31" spans="1:12" ht="14.4">
      <c r="A31" s="1066"/>
      <c r="B31" s="192" t="s">
        <v>386</v>
      </c>
      <c r="C31" s="234">
        <v>1.1499999999999999</v>
      </c>
      <c r="D31" s="229">
        <f>+C31</f>
        <v>1.1499999999999999</v>
      </c>
      <c r="E31" s="229">
        <f>+C31</f>
        <v>1.1499999999999999</v>
      </c>
      <c r="F31" s="229">
        <f>+C31</f>
        <v>1.1499999999999999</v>
      </c>
      <c r="G31" s="229">
        <f>+C31</f>
        <v>1.1499999999999999</v>
      </c>
      <c r="H31" s="229">
        <f>+C31</f>
        <v>1.1499999999999999</v>
      </c>
      <c r="I31" s="229">
        <f>+C31</f>
        <v>1.1499999999999999</v>
      </c>
      <c r="J31" s="230">
        <f>+C31</f>
        <v>1.1499999999999999</v>
      </c>
    </row>
    <row r="32" spans="1:12" ht="14.4">
      <c r="A32" s="1067"/>
      <c r="B32" s="197" t="s">
        <v>376</v>
      </c>
      <c r="C32" s="235"/>
      <c r="D32" s="236">
        <f>SUM(D27:D31)</f>
        <v>177.63876035403891</v>
      </c>
      <c r="E32" s="236">
        <f t="shared" ref="E32:J32" si="16">SUM(E27:E31)</f>
        <v>174.94216775403893</v>
      </c>
      <c r="F32" s="236">
        <f t="shared" si="16"/>
        <v>169.5489825540389</v>
      </c>
      <c r="G32" s="236">
        <f t="shared" si="16"/>
        <v>134.1794998388705</v>
      </c>
      <c r="H32" s="236">
        <f t="shared" si="16"/>
        <v>118.2078071324955</v>
      </c>
      <c r="I32" s="236">
        <f t="shared" si="16"/>
        <v>118.2078071324955</v>
      </c>
      <c r="J32" s="237">
        <f t="shared" si="16"/>
        <v>118.2078071324955</v>
      </c>
      <c r="L32" s="1"/>
    </row>
    <row r="34" spans="1:10" ht="14.4">
      <c r="A34" s="1089" t="s">
        <v>389</v>
      </c>
      <c r="B34" s="1090"/>
      <c r="C34" s="238"/>
      <c r="D34" s="220">
        <f>SUM(D11,D13,D16,D26,D32)</f>
        <v>2058.607964714216</v>
      </c>
      <c r="E34" s="220">
        <f t="shared" ref="E34:J34" si="17">SUM(E11,E13,E16,E26,E32)</f>
        <v>2030.7095721142159</v>
      </c>
      <c r="F34" s="220">
        <f t="shared" si="17"/>
        <v>1974.9127869142158</v>
      </c>
      <c r="G34" s="220">
        <f t="shared" si="17"/>
        <v>1559.8090003481741</v>
      </c>
      <c r="H34" s="220">
        <f t="shared" si="17"/>
        <v>1376.0264796324534</v>
      </c>
      <c r="I34" s="220">
        <f t="shared" si="17"/>
        <v>1376.0264796324534</v>
      </c>
      <c r="J34" s="221">
        <f t="shared" si="17"/>
        <v>1376.0264796324534</v>
      </c>
    </row>
    <row r="35" spans="1:10" ht="15" thickBot="1">
      <c r="A35" s="1091" t="s">
        <v>390</v>
      </c>
      <c r="B35" s="1092"/>
      <c r="C35" s="239"/>
      <c r="D35" s="240">
        <f t="shared" ref="D35:J35" si="18">D34/(7*j)</f>
        <v>36.760856512753854</v>
      </c>
      <c r="E35" s="240">
        <f t="shared" si="18"/>
        <v>36.262670930611002</v>
      </c>
      <c r="F35" s="240">
        <f t="shared" si="18"/>
        <v>35.266299766325282</v>
      </c>
      <c r="G35" s="240">
        <f t="shared" si="18"/>
        <v>27.853732149074538</v>
      </c>
      <c r="H35" s="240">
        <f t="shared" si="18"/>
        <v>24.571901422008096</v>
      </c>
      <c r="I35" s="240">
        <f t="shared" si="18"/>
        <v>24.571901422008096</v>
      </c>
      <c r="J35" s="241">
        <f t="shared" si="18"/>
        <v>24.571901422008096</v>
      </c>
    </row>
    <row r="36" spans="1:10" ht="14.4" thickTop="1" thickBot="1"/>
    <row r="37" spans="1:10" ht="15.6" thickTop="1" thickBot="1">
      <c r="A37" s="1087" t="s">
        <v>390</v>
      </c>
      <c r="B37" s="1088"/>
      <c r="C37" s="242" t="s">
        <v>387</v>
      </c>
      <c r="D37" s="243">
        <f t="shared" ref="D37:J37" si="19">+D35/TC</f>
        <v>36.760856512753854</v>
      </c>
      <c r="E37" s="243">
        <f t="shared" si="19"/>
        <v>36.262670930611002</v>
      </c>
      <c r="F37" s="243">
        <f t="shared" si="19"/>
        <v>35.266299766325282</v>
      </c>
      <c r="G37" s="243">
        <f t="shared" si="19"/>
        <v>27.853732149074538</v>
      </c>
      <c r="H37" s="243">
        <f t="shared" si="19"/>
        <v>24.571901422008096</v>
      </c>
      <c r="I37" s="243">
        <f t="shared" si="19"/>
        <v>24.571901422008096</v>
      </c>
      <c r="J37" s="243">
        <f t="shared" si="19"/>
        <v>24.571901422008096</v>
      </c>
    </row>
    <row r="38" spans="1:10" s="290" customFormat="1" ht="15.6" thickTop="1" thickBot="1">
      <c r="A38" s="1085" t="s">
        <v>967</v>
      </c>
      <c r="B38" s="1086"/>
      <c r="C38" s="415" t="s">
        <v>387</v>
      </c>
      <c r="D38" s="416">
        <v>2.7427890825316101</v>
      </c>
      <c r="E38" s="416">
        <v>2.6157625862524863</v>
      </c>
      <c r="F38" s="416">
        <v>2.5417095936942329</v>
      </c>
      <c r="G38" s="416">
        <v>2.0088934038731403</v>
      </c>
      <c r="H38" s="416">
        <v>1.7683341337604694</v>
      </c>
      <c r="I38" s="416">
        <v>1.7683341337604694</v>
      </c>
      <c r="J38" s="416">
        <v>1.7683341337604694</v>
      </c>
    </row>
    <row r="39" spans="1:10" s="290" customFormat="1" ht="15.6" thickTop="1" thickBot="1">
      <c r="A39" s="1087" t="s">
        <v>968</v>
      </c>
      <c r="B39" s="1088"/>
      <c r="C39" s="242" t="s">
        <v>387</v>
      </c>
      <c r="D39" s="243">
        <f>SUM(D37:D38)</f>
        <v>39.503645595285462</v>
      </c>
      <c r="E39" s="243">
        <f t="shared" ref="E39:J39" si="20">SUM(E37:E38)</f>
        <v>38.878433516863488</v>
      </c>
      <c r="F39" s="243">
        <f t="shared" si="20"/>
        <v>37.808009360019518</v>
      </c>
      <c r="G39" s="243">
        <f t="shared" si="20"/>
        <v>29.86262555294768</v>
      </c>
      <c r="H39" s="243">
        <f t="shared" si="20"/>
        <v>26.340235555768565</v>
      </c>
      <c r="I39" s="243">
        <f t="shared" si="20"/>
        <v>26.340235555768565</v>
      </c>
      <c r="J39" s="243">
        <f t="shared" si="20"/>
        <v>26.340235555768565</v>
      </c>
    </row>
    <row r="40" spans="1:10" ht="13.8" thickTop="1">
      <c r="A40" s="2" t="s">
        <v>392</v>
      </c>
      <c r="B40" s="2" t="s">
        <v>393</v>
      </c>
    </row>
  </sheetData>
  <mergeCells count="11">
    <mergeCell ref="A38:B38"/>
    <mergeCell ref="A39:B39"/>
    <mergeCell ref="A34:B34"/>
    <mergeCell ref="A35:B35"/>
    <mergeCell ref="A37:B37"/>
    <mergeCell ref="A27:A32"/>
    <mergeCell ref="A4:C5"/>
    <mergeCell ref="A6:A11"/>
    <mergeCell ref="A12:A13"/>
    <mergeCell ref="A14:A16"/>
    <mergeCell ref="A17:A26"/>
  </mergeCells>
  <pageMargins left="0.7" right="0.7" top="0.75" bottom="0.75" header="0.3" footer="0.3"/>
  <pageSetup paperSize="9" scale="6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3"/>
  <dimension ref="A1:C25"/>
  <sheetViews>
    <sheetView workbookViewId="0">
      <selection activeCell="B31" sqref="B31"/>
    </sheetView>
  </sheetViews>
  <sheetFormatPr baseColWidth="10" defaultColWidth="11.5546875" defaultRowHeight="13.2"/>
  <cols>
    <col min="2" max="2" width="35.109375" customWidth="1"/>
    <col min="3" max="3" width="11.77734375" bestFit="1" customWidth="1"/>
  </cols>
  <sheetData>
    <row r="1" spans="1:3" ht="21">
      <c r="A1" s="1093" t="s">
        <v>341</v>
      </c>
      <c r="B1" s="1093"/>
      <c r="C1" s="1093"/>
    </row>
    <row r="2" spans="1:3" ht="25.2" customHeight="1"/>
    <row r="3" spans="1:3">
      <c r="A3" s="171">
        <v>1</v>
      </c>
      <c r="B3" s="173" t="s">
        <v>342</v>
      </c>
      <c r="C3" s="175">
        <f>+C5/C4</f>
        <v>0.14285714285714285</v>
      </c>
    </row>
    <row r="4" spans="1:3">
      <c r="A4" s="172">
        <v>1.1000000000000001</v>
      </c>
      <c r="B4" s="174" t="s">
        <v>343</v>
      </c>
      <c r="C4" s="178">
        <v>7</v>
      </c>
    </row>
    <row r="5" spans="1:3">
      <c r="A5" s="172">
        <v>1.2000000000000002</v>
      </c>
      <c r="B5" s="174" t="s">
        <v>344</v>
      </c>
      <c r="C5" s="178">
        <v>1</v>
      </c>
    </row>
    <row r="6" spans="1:3">
      <c r="A6" s="172"/>
      <c r="B6" s="174"/>
      <c r="C6" s="177"/>
    </row>
    <row r="7" spans="1:3">
      <c r="A7" s="171">
        <v>2</v>
      </c>
      <c r="B7" s="173" t="s">
        <v>345</v>
      </c>
      <c r="C7" s="176">
        <f>30/C10</f>
        <v>0.10135135135135136</v>
      </c>
    </row>
    <row r="8" spans="1:3">
      <c r="A8" s="172">
        <v>2.1</v>
      </c>
      <c r="B8" s="174" t="s">
        <v>346</v>
      </c>
      <c r="C8" s="178">
        <v>52</v>
      </c>
    </row>
    <row r="9" spans="1:3">
      <c r="A9" s="172">
        <v>2.2000000000000002</v>
      </c>
      <c r="B9" s="174" t="s">
        <v>347</v>
      </c>
      <c r="C9" s="178">
        <v>12</v>
      </c>
    </row>
    <row r="10" spans="1:3">
      <c r="A10" s="172">
        <v>2.3000000000000003</v>
      </c>
      <c r="B10" s="174" t="s">
        <v>348</v>
      </c>
      <c r="C10" s="178">
        <v>296</v>
      </c>
    </row>
    <row r="11" spans="1:3">
      <c r="A11" s="172"/>
      <c r="B11" s="109"/>
      <c r="C11" s="177"/>
    </row>
    <row r="12" spans="1:3">
      <c r="A12" s="171">
        <v>3</v>
      </c>
      <c r="B12" s="173" t="s">
        <v>349</v>
      </c>
      <c r="C12" s="176">
        <f>+C13/C14</f>
        <v>0.22222222222222221</v>
      </c>
    </row>
    <row r="13" spans="1:3">
      <c r="A13" s="172">
        <v>3.1</v>
      </c>
      <c r="B13" s="174" t="s">
        <v>350</v>
      </c>
      <c r="C13" s="178">
        <v>80</v>
      </c>
    </row>
    <row r="14" spans="1:3">
      <c r="A14" s="172">
        <v>3.2</v>
      </c>
      <c r="B14" s="174" t="s">
        <v>348</v>
      </c>
      <c r="C14" s="178">
        <v>360</v>
      </c>
    </row>
    <row r="15" spans="1:3">
      <c r="A15" s="172"/>
      <c r="B15" s="109"/>
      <c r="C15" s="177"/>
    </row>
    <row r="16" spans="1:3">
      <c r="A16" s="171">
        <v>4</v>
      </c>
      <c r="B16" s="173" t="s">
        <v>351</v>
      </c>
      <c r="C16" s="176">
        <f>+C20/C21</f>
        <v>0.1875</v>
      </c>
    </row>
    <row r="17" spans="1:3">
      <c r="A17" s="172">
        <v>4.0999999999999996</v>
      </c>
      <c r="B17" s="174" t="s">
        <v>352</v>
      </c>
      <c r="C17" s="178">
        <v>3</v>
      </c>
    </row>
    <row r="18" spans="1:3">
      <c r="A18" s="172">
        <v>4.1999999999999993</v>
      </c>
      <c r="B18" s="174" t="s">
        <v>353</v>
      </c>
      <c r="C18" s="178">
        <v>30</v>
      </c>
    </row>
    <row r="19" spans="1:3">
      <c r="A19" s="172">
        <v>4.2999999999999989</v>
      </c>
      <c r="B19" s="174" t="s">
        <v>354</v>
      </c>
      <c r="C19" s="179">
        <v>0.75</v>
      </c>
    </row>
    <row r="20" spans="1:3">
      <c r="A20" s="172">
        <v>4.3999999999999986</v>
      </c>
      <c r="B20" s="174" t="s">
        <v>355</v>
      </c>
      <c r="C20" s="178">
        <f>+C17*C18*C19</f>
        <v>67.5</v>
      </c>
    </row>
    <row r="21" spans="1:3">
      <c r="A21" s="172">
        <v>4.4999999999999982</v>
      </c>
      <c r="B21" s="174" t="s">
        <v>348</v>
      </c>
      <c r="C21" s="178">
        <v>360</v>
      </c>
    </row>
    <row r="22" spans="1:3">
      <c r="A22" s="172"/>
      <c r="B22" s="109"/>
      <c r="C22" s="177"/>
    </row>
    <row r="23" spans="1:3">
      <c r="A23" s="171">
        <v>5</v>
      </c>
      <c r="B23" s="173" t="s">
        <v>347</v>
      </c>
      <c r="C23" s="176">
        <f>C24/C25</f>
        <v>0.13364517206815904</v>
      </c>
    </row>
    <row r="24" spans="1:3">
      <c r="A24" s="172">
        <v>5.0999999999999996</v>
      </c>
      <c r="B24" s="174" t="s">
        <v>356</v>
      </c>
      <c r="C24" s="178">
        <v>5</v>
      </c>
    </row>
    <row r="25" spans="1:3">
      <c r="A25" s="172">
        <v>5.1999999999999993</v>
      </c>
      <c r="B25" s="174" t="s">
        <v>357</v>
      </c>
      <c r="C25" s="180">
        <f>'1.3 Gastos Generales'!PZ*365/12</f>
        <v>37.412500000000001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4"/>
  <dimension ref="A8:E14"/>
  <sheetViews>
    <sheetView workbookViewId="0">
      <selection activeCell="B11" sqref="B11"/>
    </sheetView>
  </sheetViews>
  <sheetFormatPr baseColWidth="10" defaultColWidth="11.5546875" defaultRowHeight="13.2"/>
  <cols>
    <col min="1" max="1" width="25" bestFit="1" customWidth="1"/>
    <col min="4" max="4" width="12.33203125" bestFit="1" customWidth="1"/>
  </cols>
  <sheetData>
    <row r="8" spans="1:5">
      <c r="A8" s="126" t="s">
        <v>248</v>
      </c>
    </row>
    <row r="10" spans="1:5">
      <c r="A10" s="1" t="s">
        <v>249</v>
      </c>
      <c r="B10" s="128">
        <v>8</v>
      </c>
      <c r="C10" s="1" t="s">
        <v>256</v>
      </c>
    </row>
    <row r="11" spans="1:5">
      <c r="A11" s="1" t="s">
        <v>250</v>
      </c>
      <c r="B11" s="128">
        <v>17</v>
      </c>
      <c r="C11" s="1" t="s">
        <v>100</v>
      </c>
    </row>
    <row r="12" spans="1:5">
      <c r="A12" s="1" t="s">
        <v>251</v>
      </c>
      <c r="B12" s="127">
        <v>0.05</v>
      </c>
      <c r="C12" s="1" t="s">
        <v>257</v>
      </c>
    </row>
    <row r="13" spans="1:5">
      <c r="A13" s="1" t="s">
        <v>252</v>
      </c>
      <c r="B13" s="128">
        <v>1</v>
      </c>
      <c r="C13" s="1" t="s">
        <v>255</v>
      </c>
      <c r="D13" s="110">
        <v>44008</v>
      </c>
      <c r="E13" s="130" t="s">
        <v>254</v>
      </c>
    </row>
    <row r="14" spans="1:5">
      <c r="A14" s="1" t="s">
        <v>253</v>
      </c>
      <c r="B14" s="129">
        <v>0</v>
      </c>
    </row>
  </sheetData>
  <hyperlinks>
    <hyperlink ref="E13" r:id="rId1" xr:uid="{00000000-0004-0000-1D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27</vt:i4>
      </vt:variant>
    </vt:vector>
  </HeadingPairs>
  <TitlesOfParts>
    <vt:vector size="48" baseType="lpstr">
      <vt:lpstr>1.1 Formato C-1</vt:lpstr>
      <vt:lpstr>1.2 Rendimiento</vt:lpstr>
      <vt:lpstr>1.2 APU</vt:lpstr>
      <vt:lpstr>1.4 Insumos</vt:lpstr>
      <vt:lpstr>1.3 Gastos Generales</vt:lpstr>
      <vt:lpstr>1.9 Duration</vt:lpstr>
      <vt:lpstr>1.4 COMBUSTIBLE</vt:lpstr>
      <vt:lpstr>Tarifas</vt:lpstr>
      <vt:lpstr>1.7 Costos Covid</vt:lpstr>
      <vt:lpstr>Resumen Viajes</vt:lpstr>
      <vt:lpstr>1.8 Estimado del tiempo</vt:lpstr>
      <vt:lpstr>Equipos-Personal (HH y HM)</vt:lpstr>
      <vt:lpstr>EEPs OBREROS</vt:lpstr>
      <vt:lpstr>EPPs EMPLEADOS</vt:lpstr>
      <vt:lpstr>EPPs Empleados (kit)</vt:lpstr>
      <vt:lpstr>EPPs Obreros (kit)</vt:lpstr>
      <vt:lpstr>Cálculo de ciclos</vt:lpstr>
      <vt:lpstr>EPPs Colectivo KIT COVID</vt:lpstr>
      <vt:lpstr>Costo HH</vt:lpstr>
      <vt:lpstr>% Leyes Sociales</vt:lpstr>
      <vt:lpstr>Datos</vt:lpstr>
      <vt:lpstr>APU</vt:lpstr>
      <vt:lpstr>'1.1 Formato C-1'!Área_de_impresión</vt:lpstr>
      <vt:lpstr>'1.2 APU'!Área_de_impresión</vt:lpstr>
      <vt:lpstr>'1.3 Gastos Generales'!Área_de_impresión</vt:lpstr>
      <vt:lpstr>'1.4 COMBUSTIBLE'!Área_de_impresión</vt:lpstr>
      <vt:lpstr>'1.4 Insumos'!Área_de_impresión</vt:lpstr>
      <vt:lpstr>'1.7 Costos Covid'!Área_de_impresión</vt:lpstr>
      <vt:lpstr>'1.9 Duration'!Área_de_impresión</vt:lpstr>
      <vt:lpstr>'Costo HH'!Área_de_impresión</vt:lpstr>
      <vt:lpstr>'EPPs Colectivo KIT COVID'!Área_de_impresión</vt:lpstr>
      <vt:lpstr>'EPPs Empleados (kit)'!Área_de_impresión</vt:lpstr>
      <vt:lpstr>'EPPs Obreros (kit)'!Área_de_impresión</vt:lpstr>
      <vt:lpstr>'Equipos-Personal (HH y HM)'!Área_de_impresión</vt:lpstr>
      <vt:lpstr>'Resumen Viajes'!Área_de_impresión</vt:lpstr>
      <vt:lpstr>CP</vt:lpstr>
      <vt:lpstr>HMO</vt:lpstr>
      <vt:lpstr>j</vt:lpstr>
      <vt:lpstr>PRESUPUESTO_</vt:lpstr>
      <vt:lpstr>'1.3 Gastos Generales'!PZ</vt:lpstr>
      <vt:lpstr>Recursos</vt:lpstr>
      <vt:lpstr>Rend</vt:lpstr>
      <vt:lpstr>RENDIMIENTO</vt:lpstr>
      <vt:lpstr>TC</vt:lpstr>
      <vt:lpstr>'1.1 Formato C-1'!Títulos_a_imprimir</vt:lpstr>
      <vt:lpstr>'1.2 APU'!Títulos_a_imprimir</vt:lpstr>
      <vt:lpstr>'Resumen Viajes'!Títulos_a_imprimir</vt:lpstr>
      <vt:lpstr>vol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 Yabar</dc:creator>
  <cp:lastModifiedBy>Mmacedo</cp:lastModifiedBy>
  <cp:lastPrinted>2022-03-18T17:26:49Z</cp:lastPrinted>
  <dcterms:created xsi:type="dcterms:W3CDTF">2010-10-15T23:23:40Z</dcterms:created>
  <dcterms:modified xsi:type="dcterms:W3CDTF">2022-04-05T23:24:45Z</dcterms:modified>
</cp:coreProperties>
</file>